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 codeName="{B6124F1A-AFFB-F854-7757-9A1D4C6FC43C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J:\IRP\2023 IRP\Avista Resources\Supply Side Resource Options\"/>
    </mc:Choice>
  </mc:AlternateContent>
  <xr:revisionPtr revIDLastSave="0" documentId="13_ncr:1_{D57EBE7F-F2B0-4D8D-9B69-98AE2E7CE07B}" xr6:coauthVersionLast="47" xr6:coauthVersionMax="47" xr10:uidLastSave="{00000000-0000-0000-0000-000000000000}"/>
  <bookViews>
    <workbookView xWindow="-120" yWindow="-120" windowWidth="29040" windowHeight="15840" tabRatio="915" firstSheet="5" activeTab="5" xr2:uid="{4206A28C-B41E-40FB-A15D-798B339EFDD1}"/>
  </bookViews>
  <sheets>
    <sheet name="Resource Options" sheetId="1" r:id="rId1"/>
    <sheet name="DATA (Real)" sheetId="25" r:id="rId2"/>
    <sheet name="DATA (Nominal)" sheetId="13" r:id="rId3"/>
    <sheet name="Assumptions" sheetId="10" r:id="rId4"/>
    <sheet name="AFUDC" sheetId="12" r:id="rId5"/>
    <sheet name="MACROS" sheetId="34" r:id="rId6"/>
    <sheet name="PRiSM Resource_Data" sheetId="35" r:id="rId7"/>
    <sheet name="Solar PPA" sheetId="5" r:id="rId8"/>
    <sheet name="Solar PPA (PTC)" sheetId="40" r:id="rId9"/>
    <sheet name="Wind PPA" sheetId="4" r:id="rId10"/>
    <sheet name="Other PPA" sheetId="26" r:id="rId11"/>
    <sheet name="Upgrades" sheetId="7" r:id="rId12"/>
    <sheet name="Ownership Storage" sheetId="6" r:id="rId13"/>
    <sheet name="Fuel Gen" sheetId="2" r:id="rId14"/>
    <sheet name="IRP Tables" sheetId="36" r:id="rId15"/>
    <sheet name="Levelized Cost Summary" sheetId="21" r:id="rId16"/>
    <sheet name="PPA Summary" sheetId="16" r:id="rId17"/>
    <sheet name="Storage Summary" sheetId="17" r:id="rId18"/>
    <sheet name="Upgrade Summary" sheetId="20" r:id="rId19"/>
    <sheet name="Fuel Gen Summary" sheetId="22" r:id="rId20"/>
  </sheets>
  <definedNames>
    <definedName name="Capacity_Payment_SOLAR_100MW_200MWh">'Solar PPA'!$E$443</definedName>
    <definedName name="Capacity_Payment_SOLAR_100MW_200MWh_PTC">'Solar PPA (PTC)'!$E$443</definedName>
    <definedName name="Capacity_Payment_SOLAR_100MW_400MWh">'Solar PPA'!$E$400</definedName>
    <definedName name="Capacity_Payment_SOLAR_100MW_400MWh_PTC">'Solar PPA (PTC)'!$E$400</definedName>
    <definedName name="Capacity_Payment_SOLAR_50MW_200MWh">'Solar PPA'!$E$486</definedName>
    <definedName name="Capacity_Payment_SOLAR_50MW_200MWh_PTC">'Solar PPA (PTC)'!$E$486</definedName>
    <definedName name="Capacity_Payment_SOLAR_Commercial_Plus_Storage">'Solar PPA'!$E$200</definedName>
    <definedName name="Capacity_Payment_SOLAR_Commercial_Plus_Storage_PTC">'Solar PPA (PTC)'!$E$200</definedName>
    <definedName name="Capacity_Payment_SOLAR_Existing_Residential_Plus_Storage">'Solar PPA'!$E$121</definedName>
    <definedName name="Capacity_Payment_SOLAR_Existing_Residential_Plus_Storage_PTC">'Solar PPA (PTC)'!$E$121</definedName>
    <definedName name="Capacity_Payment_SOLAR_New_Residential_Plus_Storage">'Solar PPA'!$E$44</definedName>
    <definedName name="Capacity_Payment_SOLAR_New_Residential_Plus_Storage_PTC">'Solar PPA (PTC)'!$E$44</definedName>
    <definedName name="Capacity_Payment_SOLAR_PV_Fixed_Array_Plus_Storage">'Solar PPA'!$E$281</definedName>
    <definedName name="Capacity_Payment_SOLAR_PV_Fixed_Array_Plus_Storage_PTC">'Solar PPA (PTC)'!$E$281</definedName>
    <definedName name="Debt_Rate">Assumptions!$C$5</definedName>
    <definedName name="Discount_Rate">Assumptions!$C$2</definedName>
    <definedName name="DiscRate">Assumptions!$C$2</definedName>
    <definedName name="FCF_Other_Geothermal">'Other PPA'!$B$61</definedName>
    <definedName name="FCF_Other_Small_Modular_Reactor">'Other PPA'!$B$22</definedName>
    <definedName name="FCF_SOLAR_100MW_200MWh">'Solar PPA'!$B$459</definedName>
    <definedName name="FCF_SOLAR_100MW_200MWh_PTC">'Solar PPA (PTC)'!$B$459</definedName>
    <definedName name="FCF_SOLAR_100MW_400MWh">'Solar PPA'!$B$416</definedName>
    <definedName name="FCF_SOLAR_100MW_400MWh_PTC">'Solar PPA (PTC)'!$B$416</definedName>
    <definedName name="FCF_SOLAR_50MW_200MWh">'Solar PPA'!$B$502</definedName>
    <definedName name="FCF_SOLAR_50MW_200MWh_PTC">'Solar PPA (PTC)'!$B$502</definedName>
    <definedName name="FCF_SOLAR_Commercial">'Solar PPA'!$B$175</definedName>
    <definedName name="FCF_SOLAR_Commercial_Plus_Storage">'Solar PPA'!$B$216</definedName>
    <definedName name="FCF_SOLAR_Commercial_Plus_Storage_PTC">'Solar PPA (PTC)'!$B$216</definedName>
    <definedName name="FCF_SOLAR_Commercial_PTC">'Solar PPA (PTC)'!$B$175</definedName>
    <definedName name="FCF_SOLAR_Existing_Residential">'Solar PPA'!$B$97</definedName>
    <definedName name="FCF_SOLAR_Existing_Residential_Plus_Storage">'Solar PPA'!$B$136</definedName>
    <definedName name="FCF_SOLAR_Existing_Residential_Plus_Storage_PTC">'Solar PPA (PTC)'!$B$136</definedName>
    <definedName name="FCF_SOLAR_Existing_Residential_PTC">'Solar PPA (PTC)'!$B$97</definedName>
    <definedName name="FCF_SOLAR_New_Residential">'Solar PPA'!$B$20</definedName>
    <definedName name="FCF_SOLAR_New_Residential_Plus_Storage">'Solar PPA'!$B$59</definedName>
    <definedName name="FCF_SOLAR_New_Residential_Plus_Storage_PTC">'Solar PPA (PTC)'!$B$59</definedName>
    <definedName name="FCF_SOLAR_New_Residential_PTC">'Solar PPA (PTC)'!$B$20</definedName>
    <definedName name="FCF_SOLAR_PV_Fixed_Array">'Solar PPA'!$B$256</definedName>
    <definedName name="FCF_SOLAR_PV_Fixed_Array_Plus_Storage">'Solar PPA'!$B$297</definedName>
    <definedName name="FCF_SOLAR_PV_Fixed_Array_Plus_Storage_PTC">'Solar PPA (PTC)'!$B$297</definedName>
    <definedName name="FCF_SOLAR_PV_Fixed_Array_PTC">'Solar PPA (PTC)'!$B$256</definedName>
    <definedName name="FCF_SOLAR_PV_Single_Axis_Tracking">'Solar PPA'!$B$337</definedName>
    <definedName name="FCF_SOLAR_PV_Single_Axis_Tracking_PTC">'Solar PPA (PTC)'!$B$337</definedName>
    <definedName name="FCF_SOLAR_Southern_NW_PV_Single_Axis_Tracking">'Solar PPA'!$B$375</definedName>
    <definedName name="FCF_SOLAR_Southern_NW_PV_Single_Axis_Tracking_PTC">'Solar PPA (PTC)'!$B$375</definedName>
    <definedName name="FCF_TARGET_Other_Geothermal">'PPA Summary'!$B$70</definedName>
    <definedName name="FCF_TARGET_Other_Small_Modular_Reactor">'PPA Summary'!$B$39</definedName>
    <definedName name="FCF_TARGET_SOLAR_100MW_200MWh">'PPA Summary'!$B$55</definedName>
    <definedName name="FCF_TARGET_SOLAR_100MW_200MWh_PTC">'PPA Summary'!$B$68</definedName>
    <definedName name="FCF_TARGET_SOLAR_100MW_400MWh">'PPA Summary'!$B$54</definedName>
    <definedName name="FCF_TARGET_SOLAR_100MW_400MWh_PTC">'PPA Summary'!$B$67</definedName>
    <definedName name="FCF_TARGET_SOLAR_50MW_200MWh">'PPA Summary'!$B$56</definedName>
    <definedName name="FCF_TARGET_SOLAR_50MW_200MWh_PTC">'PPA Summary'!$B$69</definedName>
    <definedName name="FCF_TARGET_SOLAR_Commercial">'PPA Summary'!$B$48</definedName>
    <definedName name="FCF_TARGET_SOLAR_Commercial_Plus_Storage">'PPA Summary'!$B$49</definedName>
    <definedName name="FCF_TARGET_SOLAR_Commercial_Plus_Storage_PTC">'PPA Summary'!$B$62</definedName>
    <definedName name="FCF_TARGET_SOLAR_Commercial_PTC">'PPA Summary'!$B$61</definedName>
    <definedName name="FCF_TARGET_SOLAR_Existing_Residential">'PPA Summary'!$B$46</definedName>
    <definedName name="FCF_TARGET_SOLAR_Existing_Residential_Plus_Storage">'PPA Summary'!$B$47</definedName>
    <definedName name="FCF_TARGET_SOLAR_Existing_Residential_Plus_Storage_PTC">'PPA Summary'!$B$60</definedName>
    <definedName name="FCF_TARGET_SOLAR_Existing_Residential_PTC">'PPA Summary'!$B$59</definedName>
    <definedName name="FCF_TARGET_SOLAR_New_Residential">'PPA Summary'!$B$44</definedName>
    <definedName name="FCF_TARGET_SOLAR_New_Residential_Plus_Storage">'PPA Summary'!$B$45</definedName>
    <definedName name="FCF_TARGET_SOLAR_New_Residential_Plus_Storage_PTC">'PPA Summary'!$B$58</definedName>
    <definedName name="FCF_TARGET_SOLAR_New_Residential_PTC">'PPA Summary'!$B$57</definedName>
    <definedName name="FCF_TARGET_SOLAR_PV_Fixed_Array">'PPA Summary'!$B$50</definedName>
    <definedName name="FCF_TARGET_SOLAR_PV_Fixed_Array_Plus_Storage">'PPA Summary'!$B$51</definedName>
    <definedName name="FCF_TARGET_SOLAR_PV_Fixed_Array_Plus_Storage_PTC">'PPA Summary'!$B$64</definedName>
    <definedName name="FCF_TARGET_SOLAR_PV_Fixed_Array_PTC">'PPA Summary'!$B$63</definedName>
    <definedName name="FCF_TARGET_SOLAR_PV_Single_Axis_Tracking">'PPA Summary'!$B$52</definedName>
    <definedName name="FCF_TARGET_SOLAR_PV_Single_Axis_Tracking_PTC">'PPA Summary'!$B$65</definedName>
    <definedName name="FCF_TARGET_SOLAR_Southern_NW_PV_Single_Axis_Tracking">'PPA Summary'!$B$53</definedName>
    <definedName name="FCF_TARGET_SOLAR_Southern_NW_PV_Single_Axis_Tracking_PTC">'PPA Summary'!$B$66</definedName>
    <definedName name="FCF_TARGET_WIND_MONTANA">'PPA Summary'!$B$42</definedName>
    <definedName name="FCF_TARGET_WIND_NW_OFF_SYSTEM">'PPA Summary'!$B$41</definedName>
    <definedName name="FCF_TARGET_WIND_NW_ON_SYSTEM">'PPA Summary'!$B$40</definedName>
    <definedName name="FCF_TARGET_WIND_OFFSHORE">'PPA Summary'!$B$43</definedName>
    <definedName name="FCF_WIND_MONTANA">'Wind PPA'!$B$94</definedName>
    <definedName name="FCF_WIND_NW_OFF_SYSTEM">'Wind PPA'!$B$57</definedName>
    <definedName name="FCF_WIND_NW_ON_SYSTEM">'Wind PPA'!$B$20</definedName>
    <definedName name="FCF_WIND_OFFSHORE">'Wind PPA'!$B$131</definedName>
    <definedName name="Federal_Tax_Rate">Assumptions!$C$4</definedName>
    <definedName name="Fixed_kW_100hr_Iron_Oxide">'Ownership Storage'!$D$167</definedName>
    <definedName name="Fixed_kW_16hr_Li_Ion">'Ownership Storage'!$D$104</definedName>
    <definedName name="Fixed_kW_4hr_Li_Ion">'Ownership Storage'!$D$62</definedName>
    <definedName name="Fixed_kW_4hr_Vanadium">'Ownership Storage'!$D$125</definedName>
    <definedName name="Fixed_kW_4hr_Zinc_Bromide">'Ownership Storage'!$D$146</definedName>
    <definedName name="Fixed_kW_8hr_Li_Ion">'Ownership Storage'!$D$83</definedName>
    <definedName name="Fixed_kW_Dist_Scale_4hr_Li_Ion">'Ownership Storage'!$D$20</definedName>
    <definedName name="Fixed_kW_Dist_Scale_8hr_Li_Ion">'Ownership Storage'!$D$41</definedName>
    <definedName name="Fixed_kW_Liquid_Air">'Ownership Storage'!$D$188</definedName>
    <definedName name="Fixed_kW_Pumped_Hydro_16hr_100MW">'Ownership Storage'!$D$230</definedName>
    <definedName name="Fixed_kW_Pumped_Hydro_24hr_100MW">'Ownership Storage'!$D$251</definedName>
    <definedName name="Fixed_kW_Pumped_Hydro_8.5hr_400MW">'Ownership Storage'!$D$209</definedName>
    <definedName name="ID_Sales_Tax_Rate">Assumptions!$C$9</definedName>
    <definedName name="Misc_Fees">Assumptions!$C$3</definedName>
    <definedName name="Misc_Rev">Assumptions!$C$3</definedName>
    <definedName name="PPA_Other_Geothermal">'Other PPA'!$E$46</definedName>
    <definedName name="PPA_Other_Small_Modular_Reactor">'Other PPA'!$E$7</definedName>
    <definedName name="PPA_SOLAR_100MW_200MWh">'Solar PPA'!$E$442</definedName>
    <definedName name="PPA_SOLAR_100MW_200MWh_PTC">'Solar PPA (PTC)'!$E$442</definedName>
    <definedName name="PPA_SOLAR_100MW_400MWh">'Solar PPA'!$E$399</definedName>
    <definedName name="PPA_SOLAR_100MW_400MWh_PTC">'Solar PPA (PTC)'!$E$399</definedName>
    <definedName name="PPA_SOLAR_50MW_200MWh">'Solar PPA'!$E$485</definedName>
    <definedName name="PPA_SOLAR_50MW_200MWh_PTC">'Solar PPA (PTC)'!$E$485</definedName>
    <definedName name="PPA_SOLAR_Commercial">'Solar PPA'!$E$161</definedName>
    <definedName name="PPA_SOLAR_Commercial_Plus_Storage">'Solar PPA'!$E$199</definedName>
    <definedName name="PPA_SOLAR_Commercial_Plus_Storage_PTC">'Solar PPA (PTC)'!$E$199</definedName>
    <definedName name="PPA_SOLAR_Commercial_PTC">'Solar PPA (PTC)'!$E$161</definedName>
    <definedName name="PPA_SOLAR_Existing_Residential">'Solar PPA'!$E$84</definedName>
    <definedName name="PPA_SOLAR_Existing_Residential_Plus_Storage">'Solar PPA'!$E$120</definedName>
    <definedName name="PPA_SOLAR_Existing_Residential_Plus_Storage_PTC">'Solar PPA (PTC)'!$E$120</definedName>
    <definedName name="PPA_SOLAR_Existing_Residential_PTC">'Solar PPA (PTC)'!$E$84</definedName>
    <definedName name="PPA_SOLAR_New_Residential">'Solar PPA'!$E$7</definedName>
    <definedName name="PPA_SOLAR_New_Residential_PTC">'Solar PPA (PTC)'!$E$7</definedName>
    <definedName name="PPA_SOLAR_PV_Fixed_Array">'Solar PPA'!$E$242</definedName>
    <definedName name="PPA_SOLAR_PV_Fixed_Array_Plus_Storage">'Solar PPA'!$E$280</definedName>
    <definedName name="PPA_SOLAR_PV_Fixed_Array_Plus_Storage_PTC">'Solar PPA (PTC)'!$E$280</definedName>
    <definedName name="PPA_SOLAR_PV_Fixed_Array_PTC">'Solar PPA (PTC)'!$E$242</definedName>
    <definedName name="PPA_SOLAR_PV_Single_Axis_Tracking">'Solar PPA'!$E$323</definedName>
    <definedName name="PPA_SOLAR_PV_Single_Axis_Tracking_PTC">'Solar PPA (PTC)'!$E$323</definedName>
    <definedName name="PPA_SOLAR_Southern_NW_PV_Single_Axis_Tracking">'Solar PPA'!$E$361</definedName>
    <definedName name="PPA_SOLAR_Southern_NW_PV_Single_Axis_Tracking_PTC">'Solar PPA (PTC)'!$E$361</definedName>
    <definedName name="PPA_WIND_MONTANA">'Wind PPA'!$E$81</definedName>
    <definedName name="PPA_WIND_NW_OFF_SYSTEM">'Wind PPA'!$E$44</definedName>
    <definedName name="PPA_WIND_NW_ON_SYSTEM">'Wind PPA'!$E$7</definedName>
    <definedName name="PPA_WIND_OFFSHORE">'Wind PPA'!$E$118</definedName>
    <definedName name="Property_Tax_Rate">Assumptions!$C$6</definedName>
    <definedName name="solver_adj" localSheetId="10" hidden="1">'Other PPA'!$E$46</definedName>
    <definedName name="solver_adj" localSheetId="16" hidden="1">'PPA Summary'!$E$39</definedName>
    <definedName name="solver_adj" localSheetId="0" hidden="1">'Resource Options'!$E$11</definedName>
    <definedName name="solver_adj" localSheetId="7" hidden="1">'Solar PPA'!$E$486</definedName>
    <definedName name="solver_adj" localSheetId="8" hidden="1">'Solar PPA (PTC)'!$E$486</definedName>
    <definedName name="solver_adj" localSheetId="9" hidden="1">'Wind PPA'!$E$118</definedName>
    <definedName name="solver_cvg" localSheetId="16" hidden="1">0.0001</definedName>
    <definedName name="solver_cvg" localSheetId="0" hidden="1">0.0001</definedName>
    <definedName name="solver_cvg" localSheetId="7" hidden="1">0.0001</definedName>
    <definedName name="solver_cvg" localSheetId="9" hidden="1">0.0001</definedName>
    <definedName name="solver_drv" localSheetId="16" hidden="1">1</definedName>
    <definedName name="solver_drv" localSheetId="0" hidden="1">1</definedName>
    <definedName name="solver_drv" localSheetId="7" hidden="1">1</definedName>
    <definedName name="solver_drv" localSheetId="9" hidden="1">1</definedName>
    <definedName name="solver_eng" localSheetId="10" hidden="1">1</definedName>
    <definedName name="solver_eng" localSheetId="16" hidden="1">1</definedName>
    <definedName name="solver_eng" localSheetId="0" hidden="1">1</definedName>
    <definedName name="solver_eng" localSheetId="7" hidden="1">1</definedName>
    <definedName name="solver_eng" localSheetId="8" hidden="1">1</definedName>
    <definedName name="solver_eng" localSheetId="9" hidden="1">1</definedName>
    <definedName name="solver_est" localSheetId="16" hidden="1">1</definedName>
    <definedName name="solver_est" localSheetId="0" hidden="1">1</definedName>
    <definedName name="solver_est" localSheetId="7" hidden="1">1</definedName>
    <definedName name="solver_est" localSheetId="9" hidden="1">1</definedName>
    <definedName name="solver_itr" localSheetId="16" hidden="1">2147483647</definedName>
    <definedName name="solver_itr" localSheetId="0" hidden="1">2147483647</definedName>
    <definedName name="solver_itr" localSheetId="7" hidden="1">2147483647</definedName>
    <definedName name="solver_itr" localSheetId="9" hidden="1">2147483647</definedName>
    <definedName name="solver_mip" localSheetId="16" hidden="1">2147483647</definedName>
    <definedName name="solver_mip" localSheetId="0" hidden="1">2147483647</definedName>
    <definedName name="solver_mip" localSheetId="7" hidden="1">2147483647</definedName>
    <definedName name="solver_mip" localSheetId="9" hidden="1">2147483647</definedName>
    <definedName name="solver_mni" localSheetId="16" hidden="1">30</definedName>
    <definedName name="solver_mni" localSheetId="0" hidden="1">30</definedName>
    <definedName name="solver_mni" localSheetId="7" hidden="1">30</definedName>
    <definedName name="solver_mni" localSheetId="9" hidden="1">30</definedName>
    <definedName name="solver_mrt" localSheetId="16" hidden="1">0.075</definedName>
    <definedName name="solver_mrt" localSheetId="0" hidden="1">0.075</definedName>
    <definedName name="solver_mrt" localSheetId="7" hidden="1">0.075</definedName>
    <definedName name="solver_mrt" localSheetId="9" hidden="1">0.075</definedName>
    <definedName name="solver_msl" localSheetId="16" hidden="1">2</definedName>
    <definedName name="solver_msl" localSheetId="0" hidden="1">2</definedName>
    <definedName name="solver_msl" localSheetId="7" hidden="1">2</definedName>
    <definedName name="solver_msl" localSheetId="9" hidden="1">2</definedName>
    <definedName name="solver_neg" localSheetId="16" hidden="1">1</definedName>
    <definedName name="solver_neg" localSheetId="0" hidden="1">1</definedName>
    <definedName name="solver_neg" localSheetId="7" hidden="1">1</definedName>
    <definedName name="solver_neg" localSheetId="9" hidden="1">1</definedName>
    <definedName name="solver_nod" localSheetId="16" hidden="1">2147483647</definedName>
    <definedName name="solver_nod" localSheetId="0" hidden="1">2147483647</definedName>
    <definedName name="solver_nod" localSheetId="7" hidden="1">2147483647</definedName>
    <definedName name="solver_nod" localSheetId="9" hidden="1">2147483647</definedName>
    <definedName name="solver_num" localSheetId="16" hidden="1">0</definedName>
    <definedName name="solver_num" localSheetId="0" hidden="1">0</definedName>
    <definedName name="solver_num" localSheetId="7" hidden="1">0</definedName>
    <definedName name="solver_num" localSheetId="9" hidden="1">0</definedName>
    <definedName name="solver_nwt" localSheetId="16" hidden="1">1</definedName>
    <definedName name="solver_nwt" localSheetId="0" hidden="1">1</definedName>
    <definedName name="solver_nwt" localSheetId="7" hidden="1">1</definedName>
    <definedName name="solver_nwt" localSheetId="9" hidden="1">1</definedName>
    <definedName name="solver_opt" localSheetId="10" hidden="1">'Other PPA'!$B$61</definedName>
    <definedName name="solver_opt" localSheetId="16" hidden="1">'PPA Summary'!$E$39</definedName>
    <definedName name="solver_opt" localSheetId="0" hidden="1">'Resource Options'!$A$13</definedName>
    <definedName name="solver_opt" localSheetId="7" hidden="1">'Solar PPA'!$B$502</definedName>
    <definedName name="solver_opt" localSheetId="8" hidden="1">'Solar PPA (PTC)'!$B$502</definedName>
    <definedName name="solver_opt" localSheetId="9" hidden="1">'Wind PPA'!$B$131</definedName>
    <definedName name="solver_pre" localSheetId="16" hidden="1">0.000001</definedName>
    <definedName name="solver_pre" localSheetId="0" hidden="1">0.000001</definedName>
    <definedName name="solver_pre" localSheetId="7" hidden="1">0.000001</definedName>
    <definedName name="solver_pre" localSheetId="9" hidden="1">0.000001</definedName>
    <definedName name="solver_rbv" localSheetId="16" hidden="1">1</definedName>
    <definedName name="solver_rbv" localSheetId="0" hidden="1">1</definedName>
    <definedName name="solver_rbv" localSheetId="7" hidden="1">1</definedName>
    <definedName name="solver_rbv" localSheetId="9" hidden="1">1</definedName>
    <definedName name="solver_rlx" localSheetId="16" hidden="1">2</definedName>
    <definedName name="solver_rlx" localSheetId="0" hidden="1">2</definedName>
    <definedName name="solver_rlx" localSheetId="7" hidden="1">2</definedName>
    <definedName name="solver_rlx" localSheetId="9" hidden="1">2</definedName>
    <definedName name="solver_rsd" localSheetId="16" hidden="1">0</definedName>
    <definedName name="solver_rsd" localSheetId="0" hidden="1">0</definedName>
    <definedName name="solver_rsd" localSheetId="7" hidden="1">0</definedName>
    <definedName name="solver_rsd" localSheetId="9" hidden="1">0</definedName>
    <definedName name="solver_scl" localSheetId="16" hidden="1">1</definedName>
    <definedName name="solver_scl" localSheetId="0" hidden="1">1</definedName>
    <definedName name="solver_scl" localSheetId="7" hidden="1">1</definedName>
    <definedName name="solver_scl" localSheetId="9" hidden="1">1</definedName>
    <definedName name="solver_sho" localSheetId="16" hidden="1">2</definedName>
    <definedName name="solver_sho" localSheetId="0" hidden="1">2</definedName>
    <definedName name="solver_sho" localSheetId="7" hidden="1">2</definedName>
    <definedName name="solver_sho" localSheetId="9" hidden="1">2</definedName>
    <definedName name="solver_ssz" localSheetId="16" hidden="1">100</definedName>
    <definedName name="solver_ssz" localSheetId="0" hidden="1">100</definedName>
    <definedName name="solver_ssz" localSheetId="7" hidden="1">100</definedName>
    <definedName name="solver_ssz" localSheetId="9" hidden="1">100</definedName>
    <definedName name="solver_tim" localSheetId="16" hidden="1">2147483647</definedName>
    <definedName name="solver_tim" localSheetId="0" hidden="1">2147483647</definedName>
    <definedName name="solver_tim" localSheetId="7" hidden="1">2147483647</definedName>
    <definedName name="solver_tim" localSheetId="9" hidden="1">2147483647</definedName>
    <definedName name="solver_tol" localSheetId="16" hidden="1">0.01</definedName>
    <definedName name="solver_tol" localSheetId="0" hidden="1">0.01</definedName>
    <definedName name="solver_tol" localSheetId="7" hidden="1">0.01</definedName>
    <definedName name="solver_tol" localSheetId="9" hidden="1">0.01</definedName>
    <definedName name="solver_typ" localSheetId="10" hidden="1">3</definedName>
    <definedName name="solver_typ" localSheetId="16" hidden="1">3</definedName>
    <definedName name="solver_typ" localSheetId="0" hidden="1">3</definedName>
    <definedName name="solver_typ" localSheetId="7" hidden="1">3</definedName>
    <definedName name="solver_typ" localSheetId="8" hidden="1">3</definedName>
    <definedName name="solver_typ" localSheetId="9" hidden="1">3</definedName>
    <definedName name="solver_val" localSheetId="10" hidden="1">0.075</definedName>
    <definedName name="solver_val" localSheetId="16" hidden="1">0.065</definedName>
    <definedName name="solver_val" localSheetId="0" hidden="1">21800</definedName>
    <definedName name="solver_val" localSheetId="7" hidden="1">0.075</definedName>
    <definedName name="solver_val" localSheetId="8" hidden="1">0.075</definedName>
    <definedName name="solver_val" localSheetId="9" hidden="1">0.075</definedName>
    <definedName name="solver_ver" localSheetId="16" hidden="1">3</definedName>
    <definedName name="solver_ver" localSheetId="0" hidden="1">3</definedName>
    <definedName name="solver_ver" localSheetId="7" hidden="1">3</definedName>
    <definedName name="solver_ver" localSheetId="9" hidden="1">3</definedName>
    <definedName name="Tax_Equity_Rate">Assumptions!$C$7</definedName>
    <definedName name="WA_Sales_Tax_Rate">Assumptions!$C$8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6" i="26" l="1"/>
  <c r="E7" i="26"/>
  <c r="E118" i="4"/>
  <c r="E81" i="4"/>
  <c r="E44" i="4"/>
  <c r="E7" i="4"/>
  <c r="E486" i="40"/>
  <c r="E443" i="40"/>
  <c r="E400" i="40"/>
  <c r="E281" i="40"/>
  <c r="E200" i="40"/>
  <c r="E121" i="40"/>
  <c r="E44" i="40"/>
  <c r="E486" i="5"/>
  <c r="E443" i="5"/>
  <c r="E400" i="5"/>
  <c r="E281" i="5"/>
  <c r="E200" i="5"/>
  <c r="E121" i="5"/>
  <c r="E44" i="5"/>
  <c r="E361" i="40"/>
  <c r="E323" i="40"/>
  <c r="E399" i="40" s="1"/>
  <c r="E242" i="40"/>
  <c r="E280" i="40" s="1"/>
  <c r="E161" i="40"/>
  <c r="E199" i="40" s="1"/>
  <c r="E84" i="40"/>
  <c r="E120" i="40" s="1"/>
  <c r="E7" i="40"/>
  <c r="E361" i="5"/>
  <c r="E323" i="5"/>
  <c r="E242" i="5"/>
  <c r="E161" i="5"/>
  <c r="E84" i="5"/>
  <c r="E7" i="5"/>
  <c r="AK143" i="13"/>
  <c r="AL143" i="13" s="1"/>
  <c r="AM143" i="13" s="1"/>
  <c r="AN143" i="13" s="1"/>
  <c r="AO143" i="13" s="1"/>
  <c r="AP143" i="13" s="1"/>
  <c r="AQ143" i="13" s="1"/>
  <c r="AR143" i="13" s="1"/>
  <c r="AS143" i="13" s="1"/>
  <c r="AT143" i="13" s="1"/>
  <c r="AU143" i="13" s="1"/>
  <c r="AV143" i="13" s="1"/>
  <c r="AW143" i="13" s="1"/>
  <c r="AX143" i="13" s="1"/>
  <c r="AY143" i="13" s="1"/>
  <c r="AZ143" i="13" s="1"/>
  <c r="BA143" i="13" s="1"/>
  <c r="BB143" i="13" s="1"/>
  <c r="BC143" i="13" s="1"/>
  <c r="BD143" i="13" s="1"/>
  <c r="BE143" i="13" s="1"/>
  <c r="BF143" i="13" s="1"/>
  <c r="BG143" i="13" s="1"/>
  <c r="BH143" i="13" s="1"/>
  <c r="BI143" i="13" s="1"/>
  <c r="BJ143" i="13" s="1"/>
  <c r="BK143" i="13" s="1"/>
  <c r="BL143" i="13" s="1"/>
  <c r="BM143" i="13" s="1"/>
  <c r="BN143" i="13" s="1"/>
  <c r="BO143" i="13" s="1"/>
  <c r="BP143" i="13" s="1"/>
  <c r="BQ143" i="13" s="1"/>
  <c r="BR143" i="13" s="1"/>
  <c r="BS143" i="13" s="1"/>
  <c r="BT143" i="13" s="1"/>
  <c r="BU143" i="13" s="1"/>
  <c r="BV143" i="13" s="1"/>
  <c r="BW143" i="13" s="1"/>
  <c r="BX143" i="13" s="1"/>
  <c r="AK142" i="13"/>
  <c r="AL142" i="13" s="1"/>
  <c r="AM142" i="13" s="1"/>
  <c r="AN142" i="13" s="1"/>
  <c r="AO142" i="13" s="1"/>
  <c r="AP142" i="13" s="1"/>
  <c r="AQ142" i="13" s="1"/>
  <c r="AR142" i="13" s="1"/>
  <c r="AS142" i="13" s="1"/>
  <c r="AT142" i="13" s="1"/>
  <c r="AU142" i="13" s="1"/>
  <c r="AV142" i="13" s="1"/>
  <c r="AW142" i="13" s="1"/>
  <c r="AX142" i="13" s="1"/>
  <c r="AY142" i="13" s="1"/>
  <c r="AZ142" i="13" s="1"/>
  <c r="BA142" i="13" s="1"/>
  <c r="BB142" i="13" s="1"/>
  <c r="BC142" i="13" s="1"/>
  <c r="BD142" i="13" s="1"/>
  <c r="BE142" i="13" s="1"/>
  <c r="BF142" i="13" s="1"/>
  <c r="BG142" i="13" s="1"/>
  <c r="BH142" i="13" s="1"/>
  <c r="BI142" i="13" s="1"/>
  <c r="BJ142" i="13" s="1"/>
  <c r="BK142" i="13" s="1"/>
  <c r="BL142" i="13" s="1"/>
  <c r="BM142" i="13" s="1"/>
  <c r="BN142" i="13" s="1"/>
  <c r="BO142" i="13" s="1"/>
  <c r="BP142" i="13" s="1"/>
  <c r="BQ142" i="13" s="1"/>
  <c r="BR142" i="13" s="1"/>
  <c r="BS142" i="13" s="1"/>
  <c r="BT142" i="13" s="1"/>
  <c r="BU142" i="13" s="1"/>
  <c r="BV142" i="13" s="1"/>
  <c r="BW142" i="13" s="1"/>
  <c r="BX142" i="13" s="1"/>
  <c r="AK140" i="13"/>
  <c r="AL140" i="13" s="1"/>
  <c r="AM140" i="13" s="1"/>
  <c r="AN140" i="13" s="1"/>
  <c r="AO140" i="13" s="1"/>
  <c r="AP140" i="13" s="1"/>
  <c r="AQ140" i="13" s="1"/>
  <c r="AR140" i="13" s="1"/>
  <c r="AS140" i="13" s="1"/>
  <c r="AT140" i="13" s="1"/>
  <c r="AU140" i="13" s="1"/>
  <c r="AV140" i="13" s="1"/>
  <c r="AW140" i="13" s="1"/>
  <c r="AX140" i="13" s="1"/>
  <c r="AY140" i="13" s="1"/>
  <c r="AZ140" i="13" s="1"/>
  <c r="BA140" i="13" s="1"/>
  <c r="BB140" i="13" s="1"/>
  <c r="BC140" i="13" s="1"/>
  <c r="BD140" i="13" s="1"/>
  <c r="BE140" i="13" s="1"/>
  <c r="BF140" i="13" s="1"/>
  <c r="BG140" i="13" s="1"/>
  <c r="BH140" i="13" s="1"/>
  <c r="BI140" i="13" s="1"/>
  <c r="BJ140" i="13" s="1"/>
  <c r="BK140" i="13" s="1"/>
  <c r="BL140" i="13" s="1"/>
  <c r="BM140" i="13" s="1"/>
  <c r="BN140" i="13" s="1"/>
  <c r="BO140" i="13" s="1"/>
  <c r="BP140" i="13" s="1"/>
  <c r="BQ140" i="13" s="1"/>
  <c r="BR140" i="13" s="1"/>
  <c r="BS140" i="13" s="1"/>
  <c r="BT140" i="13" s="1"/>
  <c r="BU140" i="13" s="1"/>
  <c r="BV140" i="13" s="1"/>
  <c r="BW140" i="13" s="1"/>
  <c r="BX140" i="13" s="1"/>
  <c r="AM139" i="13"/>
  <c r="AN139" i="13" s="1"/>
  <c r="AO139" i="13" s="1"/>
  <c r="AP139" i="13" s="1"/>
  <c r="AQ139" i="13" s="1"/>
  <c r="AR139" i="13" s="1"/>
  <c r="AS139" i="13" s="1"/>
  <c r="AT139" i="13" s="1"/>
  <c r="AU139" i="13" s="1"/>
  <c r="AV139" i="13" s="1"/>
  <c r="AW139" i="13" s="1"/>
  <c r="AX139" i="13" s="1"/>
  <c r="AY139" i="13" s="1"/>
  <c r="AZ139" i="13" s="1"/>
  <c r="BA139" i="13" s="1"/>
  <c r="BB139" i="13" s="1"/>
  <c r="BC139" i="13" s="1"/>
  <c r="BD139" i="13" s="1"/>
  <c r="BE139" i="13" s="1"/>
  <c r="BF139" i="13" s="1"/>
  <c r="BG139" i="13" s="1"/>
  <c r="BH139" i="13" s="1"/>
  <c r="BI139" i="13" s="1"/>
  <c r="BJ139" i="13" s="1"/>
  <c r="BK139" i="13" s="1"/>
  <c r="BL139" i="13" s="1"/>
  <c r="BM139" i="13" s="1"/>
  <c r="BN139" i="13" s="1"/>
  <c r="BO139" i="13" s="1"/>
  <c r="BP139" i="13" s="1"/>
  <c r="BQ139" i="13" s="1"/>
  <c r="BR139" i="13" s="1"/>
  <c r="BS139" i="13" s="1"/>
  <c r="BT139" i="13" s="1"/>
  <c r="BU139" i="13" s="1"/>
  <c r="BV139" i="13" s="1"/>
  <c r="BW139" i="13" s="1"/>
  <c r="BX139" i="13" s="1"/>
  <c r="AL139" i="13"/>
  <c r="AK139" i="13"/>
  <c r="D81" i="36"/>
  <c r="D82" i="36"/>
  <c r="D83" i="36"/>
  <c r="D84" i="36"/>
  <c r="F84" i="36"/>
  <c r="F83" i="36"/>
  <c r="F82" i="36"/>
  <c r="F81" i="36"/>
  <c r="F75" i="36"/>
  <c r="F74" i="36"/>
  <c r="F73" i="36"/>
  <c r="F72" i="36"/>
  <c r="D75" i="36"/>
  <c r="D74" i="36"/>
  <c r="D73" i="36"/>
  <c r="D72" i="36"/>
  <c r="F80" i="36"/>
  <c r="F71" i="36"/>
  <c r="D80" i="36"/>
  <c r="D71" i="36"/>
  <c r="C83" i="36"/>
  <c r="C82" i="36"/>
  <c r="C81" i="36"/>
  <c r="C84" i="36"/>
  <c r="E84" i="36"/>
  <c r="E83" i="36"/>
  <c r="E82" i="36"/>
  <c r="E81" i="36"/>
  <c r="E72" i="36"/>
  <c r="E73" i="36"/>
  <c r="E74" i="36"/>
  <c r="E75" i="36"/>
  <c r="C75" i="36"/>
  <c r="C74" i="36"/>
  <c r="C73" i="36"/>
  <c r="C72" i="36"/>
  <c r="E80" i="36"/>
  <c r="E71" i="36"/>
  <c r="C80" i="36"/>
  <c r="C71" i="36"/>
  <c r="BX251" i="13"/>
  <c r="BW251" i="13"/>
  <c r="BV251" i="13"/>
  <c r="BU251" i="13"/>
  <c r="BT251" i="13"/>
  <c r="BS251" i="13"/>
  <c r="BR251" i="13"/>
  <c r="BQ251" i="13"/>
  <c r="BP251" i="13"/>
  <c r="BO251" i="13"/>
  <c r="BN251" i="13"/>
  <c r="BM251" i="13"/>
  <c r="BL251" i="13"/>
  <c r="BK251" i="13"/>
  <c r="BJ251" i="13"/>
  <c r="BI251" i="13"/>
  <c r="BH251" i="13"/>
  <c r="BG251" i="13"/>
  <c r="BF251" i="13"/>
  <c r="BE251" i="13"/>
  <c r="BD251" i="13"/>
  <c r="BC251" i="13"/>
  <c r="BB251" i="13"/>
  <c r="BA251" i="13"/>
  <c r="AZ251" i="13"/>
  <c r="AY251" i="13"/>
  <c r="AX251" i="13"/>
  <c r="AW251" i="13"/>
  <c r="AV251" i="13"/>
  <c r="AU251" i="13"/>
  <c r="AT251" i="13"/>
  <c r="AS251" i="13"/>
  <c r="AR251" i="13"/>
  <c r="AQ251" i="13"/>
  <c r="AP251" i="13"/>
  <c r="AO251" i="13"/>
  <c r="AN251" i="13"/>
  <c r="AM251" i="13"/>
  <c r="AL251" i="13"/>
  <c r="AK251" i="13"/>
  <c r="AJ251" i="13"/>
  <c r="AI251" i="13"/>
  <c r="AH251" i="13"/>
  <c r="AG251" i="13"/>
  <c r="AF251" i="13"/>
  <c r="AE251" i="13"/>
  <c r="AD251" i="13"/>
  <c r="AC251" i="13"/>
  <c r="AB251" i="13"/>
  <c r="AA251" i="13"/>
  <c r="Z251" i="13"/>
  <c r="Y251" i="13"/>
  <c r="X251" i="13"/>
  <c r="W251" i="13"/>
  <c r="BX250" i="13"/>
  <c r="BW250" i="13"/>
  <c r="BV250" i="13"/>
  <c r="BU250" i="13"/>
  <c r="BT250" i="13"/>
  <c r="BS250" i="13"/>
  <c r="BR250" i="13"/>
  <c r="BQ250" i="13"/>
  <c r="BP250" i="13"/>
  <c r="BO250" i="13"/>
  <c r="BN250" i="13"/>
  <c r="BM250" i="13"/>
  <c r="BL250" i="13"/>
  <c r="BK250" i="13"/>
  <c r="BJ250" i="13"/>
  <c r="BI250" i="13"/>
  <c r="BH250" i="13"/>
  <c r="BG250" i="13"/>
  <c r="BF250" i="13"/>
  <c r="BE250" i="13"/>
  <c r="BD250" i="13"/>
  <c r="BC250" i="13"/>
  <c r="BB250" i="13"/>
  <c r="BA250" i="13"/>
  <c r="AZ250" i="13"/>
  <c r="AY250" i="13"/>
  <c r="AX250" i="13"/>
  <c r="AW250" i="13"/>
  <c r="AV250" i="13"/>
  <c r="AU250" i="13"/>
  <c r="AT250" i="13"/>
  <c r="AS250" i="13"/>
  <c r="AR250" i="13"/>
  <c r="AQ250" i="13"/>
  <c r="AP250" i="13"/>
  <c r="AO250" i="13"/>
  <c r="AN250" i="13"/>
  <c r="AM250" i="13"/>
  <c r="AL250" i="13"/>
  <c r="AK250" i="13"/>
  <c r="AJ250" i="13"/>
  <c r="AI250" i="13"/>
  <c r="AH250" i="13"/>
  <c r="AG250" i="13"/>
  <c r="AF250" i="13"/>
  <c r="AE250" i="13"/>
  <c r="AD250" i="13"/>
  <c r="AC250" i="13"/>
  <c r="AB250" i="13"/>
  <c r="AA250" i="13"/>
  <c r="Z250" i="13"/>
  <c r="Y250" i="13"/>
  <c r="X250" i="13"/>
  <c r="W250" i="13"/>
  <c r="BX249" i="13"/>
  <c r="BW249" i="13"/>
  <c r="BV249" i="13"/>
  <c r="BU249" i="13"/>
  <c r="BT249" i="13"/>
  <c r="BS249" i="13"/>
  <c r="BR249" i="13"/>
  <c r="BQ249" i="13"/>
  <c r="BP249" i="13"/>
  <c r="BO249" i="13"/>
  <c r="BN249" i="13"/>
  <c r="BM249" i="13"/>
  <c r="BL249" i="13"/>
  <c r="BK249" i="13"/>
  <c r="BJ249" i="13"/>
  <c r="BI249" i="13"/>
  <c r="BH249" i="13"/>
  <c r="BG249" i="13"/>
  <c r="BF249" i="13"/>
  <c r="BE249" i="13"/>
  <c r="BD249" i="13"/>
  <c r="BC249" i="13"/>
  <c r="BB249" i="13"/>
  <c r="BA249" i="13"/>
  <c r="AZ249" i="13"/>
  <c r="AY249" i="13"/>
  <c r="AX249" i="13"/>
  <c r="AW249" i="13"/>
  <c r="AV249" i="13"/>
  <c r="AU249" i="13"/>
  <c r="AT249" i="13"/>
  <c r="AS249" i="13"/>
  <c r="AR249" i="13"/>
  <c r="AQ249" i="13"/>
  <c r="AP249" i="13"/>
  <c r="AO249" i="13"/>
  <c r="AN249" i="13"/>
  <c r="AM249" i="13"/>
  <c r="AL249" i="13"/>
  <c r="AK249" i="13"/>
  <c r="AJ249" i="13"/>
  <c r="AI249" i="13"/>
  <c r="AH249" i="13"/>
  <c r="AG249" i="13"/>
  <c r="AF249" i="13"/>
  <c r="AE249" i="13"/>
  <c r="AD249" i="13"/>
  <c r="AC249" i="13"/>
  <c r="AB249" i="13"/>
  <c r="AA249" i="13"/>
  <c r="Z249" i="13"/>
  <c r="Y249" i="13"/>
  <c r="X249" i="13"/>
  <c r="W249" i="13"/>
  <c r="BX248" i="13"/>
  <c r="BW248" i="13"/>
  <c r="BV248" i="13"/>
  <c r="BU248" i="13"/>
  <c r="BT248" i="13"/>
  <c r="BS248" i="13"/>
  <c r="BR248" i="13"/>
  <c r="BQ248" i="13"/>
  <c r="BP248" i="13"/>
  <c r="BO248" i="13"/>
  <c r="BN248" i="13"/>
  <c r="BM248" i="13"/>
  <c r="BL248" i="13"/>
  <c r="BK248" i="13"/>
  <c r="BJ248" i="13"/>
  <c r="BI248" i="13"/>
  <c r="BH248" i="13"/>
  <c r="BG248" i="13"/>
  <c r="BF248" i="13"/>
  <c r="BE248" i="13"/>
  <c r="BD248" i="13"/>
  <c r="BC248" i="13"/>
  <c r="BB248" i="13"/>
  <c r="BA248" i="13"/>
  <c r="AZ248" i="13"/>
  <c r="AY248" i="13"/>
  <c r="AX248" i="13"/>
  <c r="AW248" i="13"/>
  <c r="AV248" i="13"/>
  <c r="AU248" i="13"/>
  <c r="AT248" i="13"/>
  <c r="AS248" i="13"/>
  <c r="AR248" i="13"/>
  <c r="AQ248" i="13"/>
  <c r="AP248" i="13"/>
  <c r="AO248" i="13"/>
  <c r="AN248" i="13"/>
  <c r="AM248" i="13"/>
  <c r="AL248" i="13"/>
  <c r="AK248" i="13"/>
  <c r="AJ248" i="13"/>
  <c r="AI248" i="13"/>
  <c r="AH248" i="13"/>
  <c r="AG248" i="13"/>
  <c r="AF248" i="13"/>
  <c r="AE248" i="13"/>
  <c r="AD248" i="13"/>
  <c r="AC248" i="13"/>
  <c r="AB248" i="13"/>
  <c r="AA248" i="13"/>
  <c r="Z248" i="13"/>
  <c r="Y248" i="13"/>
  <c r="X248" i="13"/>
  <c r="W248" i="13"/>
  <c r="BX247" i="13"/>
  <c r="BW247" i="13"/>
  <c r="BV247" i="13"/>
  <c r="BU247" i="13"/>
  <c r="BT247" i="13"/>
  <c r="BS247" i="13"/>
  <c r="BR247" i="13"/>
  <c r="BQ247" i="13"/>
  <c r="BP247" i="13"/>
  <c r="BO247" i="13"/>
  <c r="BN247" i="13"/>
  <c r="BM247" i="13"/>
  <c r="BL247" i="13"/>
  <c r="BK247" i="13"/>
  <c r="BJ247" i="13"/>
  <c r="BI247" i="13"/>
  <c r="BH247" i="13"/>
  <c r="BG247" i="13"/>
  <c r="BF247" i="13"/>
  <c r="BE247" i="13"/>
  <c r="BD247" i="13"/>
  <c r="BC247" i="13"/>
  <c r="BB247" i="13"/>
  <c r="BA247" i="13"/>
  <c r="AZ247" i="13"/>
  <c r="AY247" i="13"/>
  <c r="AX247" i="13"/>
  <c r="AW247" i="13"/>
  <c r="AV247" i="13"/>
  <c r="AU247" i="13"/>
  <c r="AT247" i="13"/>
  <c r="AS247" i="13"/>
  <c r="AR247" i="13"/>
  <c r="AQ247" i="13"/>
  <c r="AP247" i="13"/>
  <c r="AO247" i="13"/>
  <c r="AN247" i="13"/>
  <c r="AM247" i="13"/>
  <c r="AL247" i="13"/>
  <c r="AK247" i="13"/>
  <c r="AJ247" i="13"/>
  <c r="AI247" i="13"/>
  <c r="AH247" i="13"/>
  <c r="AG247" i="13"/>
  <c r="AF247" i="13"/>
  <c r="AE247" i="13"/>
  <c r="AD247" i="13"/>
  <c r="AC247" i="13"/>
  <c r="AB247" i="13"/>
  <c r="AA247" i="13"/>
  <c r="Z247" i="13"/>
  <c r="Y247" i="13"/>
  <c r="X247" i="13"/>
  <c r="W247" i="13"/>
  <c r="BX246" i="13"/>
  <c r="BW246" i="13"/>
  <c r="BV246" i="13"/>
  <c r="BU246" i="13"/>
  <c r="BT246" i="13"/>
  <c r="BS246" i="13"/>
  <c r="BR246" i="13"/>
  <c r="BQ246" i="13"/>
  <c r="BP246" i="13"/>
  <c r="BO246" i="13"/>
  <c r="BN246" i="13"/>
  <c r="BM246" i="13"/>
  <c r="BL246" i="13"/>
  <c r="BK246" i="13"/>
  <c r="BJ246" i="13"/>
  <c r="BI246" i="13"/>
  <c r="BH246" i="13"/>
  <c r="BG246" i="13"/>
  <c r="BF246" i="13"/>
  <c r="BE246" i="13"/>
  <c r="BD246" i="13"/>
  <c r="BC246" i="13"/>
  <c r="BB246" i="13"/>
  <c r="BA246" i="13"/>
  <c r="AZ246" i="13"/>
  <c r="AY246" i="13"/>
  <c r="AX246" i="13"/>
  <c r="AW246" i="13"/>
  <c r="AV246" i="13"/>
  <c r="AU246" i="13"/>
  <c r="AT246" i="13"/>
  <c r="AS246" i="13"/>
  <c r="AR246" i="13"/>
  <c r="AQ246" i="13"/>
  <c r="AP246" i="13"/>
  <c r="AO246" i="13"/>
  <c r="AN246" i="13"/>
  <c r="AM246" i="13"/>
  <c r="AL246" i="13"/>
  <c r="AK246" i="13"/>
  <c r="AJ246" i="13"/>
  <c r="AI246" i="13"/>
  <c r="AH246" i="13"/>
  <c r="AG246" i="13"/>
  <c r="AF246" i="13"/>
  <c r="AE246" i="13"/>
  <c r="AD246" i="13"/>
  <c r="AC246" i="13"/>
  <c r="AB246" i="13"/>
  <c r="AA246" i="13"/>
  <c r="Z246" i="13"/>
  <c r="Y246" i="13"/>
  <c r="X246" i="13"/>
  <c r="W246" i="13"/>
  <c r="BX245" i="13"/>
  <c r="BW245" i="13"/>
  <c r="BV245" i="13"/>
  <c r="BU245" i="13"/>
  <c r="BT245" i="13"/>
  <c r="BS245" i="13"/>
  <c r="BR245" i="13"/>
  <c r="BQ245" i="13"/>
  <c r="BP245" i="13"/>
  <c r="BO245" i="13"/>
  <c r="BN245" i="13"/>
  <c r="BM245" i="13"/>
  <c r="BL245" i="13"/>
  <c r="BK245" i="13"/>
  <c r="BJ245" i="13"/>
  <c r="BI245" i="13"/>
  <c r="BH245" i="13"/>
  <c r="BG245" i="13"/>
  <c r="BF245" i="13"/>
  <c r="BE245" i="13"/>
  <c r="BD245" i="13"/>
  <c r="BC245" i="13"/>
  <c r="BB245" i="13"/>
  <c r="BA245" i="13"/>
  <c r="AZ245" i="13"/>
  <c r="AY245" i="13"/>
  <c r="AX245" i="13"/>
  <c r="AW245" i="13"/>
  <c r="AV245" i="13"/>
  <c r="AU245" i="13"/>
  <c r="AT245" i="13"/>
  <c r="AS245" i="13"/>
  <c r="AR245" i="13"/>
  <c r="AQ245" i="13"/>
  <c r="AP245" i="13"/>
  <c r="AO245" i="13"/>
  <c r="AN245" i="13"/>
  <c r="AM245" i="13"/>
  <c r="AL245" i="13"/>
  <c r="AK245" i="13"/>
  <c r="AJ245" i="13"/>
  <c r="AI245" i="13"/>
  <c r="AH245" i="13"/>
  <c r="AG245" i="13"/>
  <c r="AF245" i="13"/>
  <c r="AE245" i="13"/>
  <c r="AD245" i="13"/>
  <c r="AC245" i="13"/>
  <c r="AB245" i="13"/>
  <c r="AA245" i="13"/>
  <c r="Z245" i="13"/>
  <c r="Y245" i="13"/>
  <c r="X245" i="13"/>
  <c r="W245" i="13"/>
  <c r="AK41" i="25"/>
  <c r="AL41" i="25" s="1"/>
  <c r="AK71" i="25"/>
  <c r="AK73" i="25" s="1"/>
  <c r="AK67" i="25"/>
  <c r="AL67" i="25" s="1"/>
  <c r="AK66" i="25"/>
  <c r="AK63" i="25" s="1"/>
  <c r="AN62" i="25"/>
  <c r="AL62" i="25"/>
  <c r="AM61" i="25"/>
  <c r="AK61" i="25"/>
  <c r="AO60" i="25"/>
  <c r="AO61" i="25" s="1"/>
  <c r="AN60" i="25"/>
  <c r="AN61" i="25" s="1"/>
  <c r="AM60" i="25"/>
  <c r="AL60" i="25"/>
  <c r="AL61" i="25" s="1"/>
  <c r="AK60" i="25"/>
  <c r="AO59" i="25"/>
  <c r="AO62" i="25" s="1"/>
  <c r="AN59" i="25"/>
  <c r="AM59" i="25"/>
  <c r="AM62" i="25" s="1"/>
  <c r="AL59" i="25"/>
  <c r="AK59" i="25"/>
  <c r="AK62" i="25" s="1"/>
  <c r="AL58" i="25"/>
  <c r="AO57" i="25"/>
  <c r="AO58" i="25" s="1"/>
  <c r="AN57" i="25"/>
  <c r="AN58" i="25" s="1"/>
  <c r="AM57" i="25"/>
  <c r="AM58" i="25" s="1"/>
  <c r="AL57" i="25"/>
  <c r="AK57" i="25"/>
  <c r="AK58" i="25" s="1"/>
  <c r="AO56" i="25"/>
  <c r="AN56" i="25"/>
  <c r="AM56" i="25"/>
  <c r="AL56" i="25"/>
  <c r="AK56" i="25"/>
  <c r="AO55" i="25"/>
  <c r="AK55" i="25"/>
  <c r="AO54" i="25"/>
  <c r="AN54" i="25"/>
  <c r="AN55" i="25" s="1"/>
  <c r="AM54" i="25"/>
  <c r="AM55" i="25" s="1"/>
  <c r="AL54" i="25"/>
  <c r="AL55" i="25" s="1"/>
  <c r="AK54" i="25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AL66" i="25" l="1"/>
  <c r="AL72" i="25" s="1"/>
  <c r="AK68" i="25"/>
  <c r="AL68" i="25"/>
  <c r="AK69" i="25"/>
  <c r="AK65" i="25" s="1"/>
  <c r="AK70" i="25"/>
  <c r="AM41" i="25"/>
  <c r="AL69" i="25"/>
  <c r="AL71" i="25"/>
  <c r="AM67" i="25"/>
  <c r="AK64" i="25"/>
  <c r="AK72" i="25"/>
  <c r="E485" i="40"/>
  <c r="E442" i="40"/>
  <c r="E94" i="16"/>
  <c r="AC28" i="21" s="1"/>
  <c r="AA105" i="16"/>
  <c r="AY39" i="21" s="1"/>
  <c r="Z105" i="16"/>
  <c r="AX39" i="21" s="1"/>
  <c r="Y105" i="16"/>
  <c r="AW39" i="21" s="1"/>
  <c r="X105" i="16"/>
  <c r="AV39" i="21" s="1"/>
  <c r="W105" i="16"/>
  <c r="AU39" i="21" s="1"/>
  <c r="V105" i="16"/>
  <c r="AT39" i="21" s="1"/>
  <c r="U105" i="16"/>
  <c r="AS39" i="21" s="1"/>
  <c r="T105" i="16"/>
  <c r="AR39" i="21" s="1"/>
  <c r="S105" i="16"/>
  <c r="AQ39" i="21" s="1"/>
  <c r="R105" i="16"/>
  <c r="AP39" i="21" s="1"/>
  <c r="Q105" i="16"/>
  <c r="AO39" i="21" s="1"/>
  <c r="P105" i="16"/>
  <c r="AN39" i="21" s="1"/>
  <c r="O105" i="16"/>
  <c r="AM39" i="21" s="1"/>
  <c r="N105" i="16"/>
  <c r="AL39" i="21" s="1"/>
  <c r="M105" i="16"/>
  <c r="AK39" i="21" s="1"/>
  <c r="L105" i="16"/>
  <c r="AJ39" i="21" s="1"/>
  <c r="K105" i="16"/>
  <c r="AI39" i="21" s="1"/>
  <c r="J105" i="16"/>
  <c r="AH39" i="21" s="1"/>
  <c r="I105" i="16"/>
  <c r="AG39" i="21" s="1"/>
  <c r="H105" i="16"/>
  <c r="AF39" i="21" s="1"/>
  <c r="G105" i="16"/>
  <c r="AE39" i="21" s="1"/>
  <c r="F105" i="16"/>
  <c r="AD39" i="21" s="1"/>
  <c r="E105" i="16"/>
  <c r="AC39" i="21" s="1"/>
  <c r="AA104" i="16"/>
  <c r="AY38" i="21" s="1"/>
  <c r="Z104" i="16"/>
  <c r="AX38" i="21" s="1"/>
  <c r="Y104" i="16"/>
  <c r="AW38" i="21" s="1"/>
  <c r="X104" i="16"/>
  <c r="AV38" i="21" s="1"/>
  <c r="W104" i="16"/>
  <c r="AU38" i="21" s="1"/>
  <c r="V104" i="16"/>
  <c r="AT38" i="21" s="1"/>
  <c r="U104" i="16"/>
  <c r="AS38" i="21" s="1"/>
  <c r="T104" i="16"/>
  <c r="AR38" i="21" s="1"/>
  <c r="S104" i="16"/>
  <c r="AQ38" i="21" s="1"/>
  <c r="R104" i="16"/>
  <c r="AP38" i="21" s="1"/>
  <c r="Q104" i="16"/>
  <c r="AO38" i="21" s="1"/>
  <c r="P104" i="16"/>
  <c r="AN38" i="21" s="1"/>
  <c r="O104" i="16"/>
  <c r="AM38" i="21" s="1"/>
  <c r="N104" i="16"/>
  <c r="AL38" i="21" s="1"/>
  <c r="M104" i="16"/>
  <c r="AK38" i="21" s="1"/>
  <c r="L104" i="16"/>
  <c r="AJ38" i="21" s="1"/>
  <c r="K104" i="16"/>
  <c r="AI38" i="21" s="1"/>
  <c r="J104" i="16"/>
  <c r="AH38" i="21" s="1"/>
  <c r="I104" i="16"/>
  <c r="AG38" i="21" s="1"/>
  <c r="H104" i="16"/>
  <c r="AF38" i="21" s="1"/>
  <c r="G104" i="16"/>
  <c r="AE38" i="21" s="1"/>
  <c r="F104" i="16"/>
  <c r="AD38" i="21" s="1"/>
  <c r="E104" i="16"/>
  <c r="AC38" i="21" s="1"/>
  <c r="AA103" i="16"/>
  <c r="AY37" i="21" s="1"/>
  <c r="Z103" i="16"/>
  <c r="AX37" i="21" s="1"/>
  <c r="Y103" i="16"/>
  <c r="AW37" i="21" s="1"/>
  <c r="X103" i="16"/>
  <c r="AV37" i="21" s="1"/>
  <c r="W103" i="16"/>
  <c r="AU37" i="21" s="1"/>
  <c r="V103" i="16"/>
  <c r="AT37" i="21" s="1"/>
  <c r="U103" i="16"/>
  <c r="AS37" i="21" s="1"/>
  <c r="T103" i="16"/>
  <c r="AR37" i="21" s="1"/>
  <c r="S103" i="16"/>
  <c r="AQ37" i="21" s="1"/>
  <c r="R103" i="16"/>
  <c r="AP37" i="21" s="1"/>
  <c r="Q103" i="16"/>
  <c r="AO37" i="21" s="1"/>
  <c r="P103" i="16"/>
  <c r="AN37" i="21" s="1"/>
  <c r="O103" i="16"/>
  <c r="AM37" i="21" s="1"/>
  <c r="N103" i="16"/>
  <c r="AL37" i="21" s="1"/>
  <c r="M103" i="16"/>
  <c r="AK37" i="21" s="1"/>
  <c r="L103" i="16"/>
  <c r="AJ37" i="21" s="1"/>
  <c r="K103" i="16"/>
  <c r="AI37" i="21" s="1"/>
  <c r="J103" i="16"/>
  <c r="AH37" i="21" s="1"/>
  <c r="I103" i="16"/>
  <c r="AG37" i="21" s="1"/>
  <c r="H103" i="16"/>
  <c r="AF37" i="21" s="1"/>
  <c r="G103" i="16"/>
  <c r="AE37" i="21" s="1"/>
  <c r="F103" i="16"/>
  <c r="AD37" i="21" s="1"/>
  <c r="E103" i="16"/>
  <c r="AC37" i="21" s="1"/>
  <c r="AA100" i="16"/>
  <c r="AY34" i="21" s="1"/>
  <c r="Z100" i="16"/>
  <c r="AX34" i="21" s="1"/>
  <c r="Y100" i="16"/>
  <c r="AW34" i="21" s="1"/>
  <c r="X100" i="16"/>
  <c r="AV34" i="21" s="1"/>
  <c r="W100" i="16"/>
  <c r="AU34" i="21" s="1"/>
  <c r="V100" i="16"/>
  <c r="AT34" i="21" s="1"/>
  <c r="U100" i="16"/>
  <c r="AS34" i="21" s="1"/>
  <c r="T100" i="16"/>
  <c r="AR34" i="21" s="1"/>
  <c r="S100" i="16"/>
  <c r="AQ34" i="21" s="1"/>
  <c r="R100" i="16"/>
  <c r="AP34" i="21" s="1"/>
  <c r="Q100" i="16"/>
  <c r="AO34" i="21" s="1"/>
  <c r="P100" i="16"/>
  <c r="AN34" i="21" s="1"/>
  <c r="O100" i="16"/>
  <c r="AM34" i="21" s="1"/>
  <c r="N100" i="16"/>
  <c r="AL34" i="21" s="1"/>
  <c r="M100" i="16"/>
  <c r="AK34" i="21" s="1"/>
  <c r="L100" i="16"/>
  <c r="AJ34" i="21" s="1"/>
  <c r="K100" i="16"/>
  <c r="AI34" i="21" s="1"/>
  <c r="J100" i="16"/>
  <c r="AH34" i="21" s="1"/>
  <c r="I100" i="16"/>
  <c r="AG34" i="21" s="1"/>
  <c r="H100" i="16"/>
  <c r="AF34" i="21" s="1"/>
  <c r="G100" i="16"/>
  <c r="AE34" i="21" s="1"/>
  <c r="F100" i="16"/>
  <c r="AD34" i="21" s="1"/>
  <c r="E100" i="16"/>
  <c r="AC34" i="21" s="1"/>
  <c r="AA98" i="16"/>
  <c r="AY32" i="21" s="1"/>
  <c r="Z98" i="16"/>
  <c r="AX32" i="21" s="1"/>
  <c r="Y98" i="16"/>
  <c r="AW32" i="21" s="1"/>
  <c r="X98" i="16"/>
  <c r="AV32" i="21" s="1"/>
  <c r="W98" i="16"/>
  <c r="AU32" i="21" s="1"/>
  <c r="V98" i="16"/>
  <c r="AT32" i="21" s="1"/>
  <c r="U98" i="16"/>
  <c r="AS32" i="21" s="1"/>
  <c r="T98" i="16"/>
  <c r="AR32" i="21" s="1"/>
  <c r="S98" i="16"/>
  <c r="AQ32" i="21" s="1"/>
  <c r="R98" i="16"/>
  <c r="AP32" i="21" s="1"/>
  <c r="Q98" i="16"/>
  <c r="AO32" i="21" s="1"/>
  <c r="P98" i="16"/>
  <c r="AN32" i="21" s="1"/>
  <c r="O98" i="16"/>
  <c r="AM32" i="21" s="1"/>
  <c r="N98" i="16"/>
  <c r="AL32" i="21" s="1"/>
  <c r="M98" i="16"/>
  <c r="AK32" i="21" s="1"/>
  <c r="L98" i="16"/>
  <c r="AJ32" i="21" s="1"/>
  <c r="K98" i="16"/>
  <c r="AI32" i="21" s="1"/>
  <c r="J98" i="16"/>
  <c r="AH32" i="21" s="1"/>
  <c r="I98" i="16"/>
  <c r="AG32" i="21" s="1"/>
  <c r="H98" i="16"/>
  <c r="AF32" i="21" s="1"/>
  <c r="G98" i="16"/>
  <c r="AE32" i="21" s="1"/>
  <c r="F98" i="16"/>
  <c r="AD32" i="21" s="1"/>
  <c r="E98" i="16"/>
  <c r="AC32" i="21" s="1"/>
  <c r="AA96" i="16"/>
  <c r="AY30" i="21" s="1"/>
  <c r="Z96" i="16"/>
  <c r="AX30" i="21" s="1"/>
  <c r="Y96" i="16"/>
  <c r="AW30" i="21" s="1"/>
  <c r="X96" i="16"/>
  <c r="AV30" i="21" s="1"/>
  <c r="W96" i="16"/>
  <c r="AU30" i="21" s="1"/>
  <c r="V96" i="16"/>
  <c r="AT30" i="21" s="1"/>
  <c r="U96" i="16"/>
  <c r="AS30" i="21" s="1"/>
  <c r="T96" i="16"/>
  <c r="AR30" i="21" s="1"/>
  <c r="S96" i="16"/>
  <c r="AQ30" i="21" s="1"/>
  <c r="R96" i="16"/>
  <c r="AP30" i="21" s="1"/>
  <c r="Q96" i="16"/>
  <c r="AO30" i="21" s="1"/>
  <c r="P96" i="16"/>
  <c r="AN30" i="21" s="1"/>
  <c r="O96" i="16"/>
  <c r="AM30" i="21" s="1"/>
  <c r="N96" i="16"/>
  <c r="AL30" i="21" s="1"/>
  <c r="M96" i="16"/>
  <c r="AK30" i="21" s="1"/>
  <c r="L96" i="16"/>
  <c r="AJ30" i="21" s="1"/>
  <c r="K96" i="16"/>
  <c r="AI30" i="21" s="1"/>
  <c r="J96" i="16"/>
  <c r="AH30" i="21" s="1"/>
  <c r="I96" i="16"/>
  <c r="AG30" i="21" s="1"/>
  <c r="H96" i="16"/>
  <c r="AF30" i="21" s="1"/>
  <c r="G96" i="16"/>
  <c r="AE30" i="21" s="1"/>
  <c r="F96" i="16"/>
  <c r="AD30" i="21" s="1"/>
  <c r="E96" i="16"/>
  <c r="AC30" i="21" s="1"/>
  <c r="AA94" i="16"/>
  <c r="AY28" i="21" s="1"/>
  <c r="Z94" i="16"/>
  <c r="AX28" i="21" s="1"/>
  <c r="Y94" i="16"/>
  <c r="AW28" i="21" s="1"/>
  <c r="X94" i="16"/>
  <c r="AV28" i="21" s="1"/>
  <c r="W94" i="16"/>
  <c r="AU28" i="21" s="1"/>
  <c r="V94" i="16"/>
  <c r="AT28" i="21" s="1"/>
  <c r="U94" i="16"/>
  <c r="AS28" i="21" s="1"/>
  <c r="T94" i="16"/>
  <c r="AR28" i="21" s="1"/>
  <c r="S94" i="16"/>
  <c r="AQ28" i="21" s="1"/>
  <c r="R94" i="16"/>
  <c r="AP28" i="21" s="1"/>
  <c r="Q94" i="16"/>
  <c r="AO28" i="21" s="1"/>
  <c r="P94" i="16"/>
  <c r="AN28" i="21" s="1"/>
  <c r="O94" i="16"/>
  <c r="AM28" i="21" s="1"/>
  <c r="N94" i="16"/>
  <c r="AL28" i="21" s="1"/>
  <c r="M94" i="16"/>
  <c r="AK28" i="21" s="1"/>
  <c r="L94" i="16"/>
  <c r="AJ28" i="21" s="1"/>
  <c r="K94" i="16"/>
  <c r="AI28" i="21" s="1"/>
  <c r="J94" i="16"/>
  <c r="AH28" i="21" s="1"/>
  <c r="I94" i="16"/>
  <c r="AG28" i="21" s="1"/>
  <c r="H94" i="16"/>
  <c r="AF28" i="21" s="1"/>
  <c r="G94" i="16"/>
  <c r="AE28" i="21" s="1"/>
  <c r="F94" i="16"/>
  <c r="AD28" i="21" s="1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39" i="16"/>
  <c r="AM66" i="25" l="1"/>
  <c r="AL70" i="25"/>
  <c r="AL63" i="25"/>
  <c r="AL64" i="25" s="1"/>
  <c r="AL65" i="25"/>
  <c r="AN41" i="25"/>
  <c r="AM69" i="25"/>
  <c r="AL73" i="25"/>
  <c r="AM71" i="25"/>
  <c r="AN67" i="25"/>
  <c r="BX264" i="13"/>
  <c r="BW264" i="13"/>
  <c r="BV264" i="13"/>
  <c r="BU264" i="13"/>
  <c r="BT264" i="13"/>
  <c r="BS264" i="13"/>
  <c r="BR264" i="13"/>
  <c r="BQ264" i="13"/>
  <c r="BP264" i="13"/>
  <c r="BO264" i="13"/>
  <c r="BN264" i="13"/>
  <c r="BM264" i="13"/>
  <c r="BL264" i="13"/>
  <c r="BK264" i="13"/>
  <c r="BJ264" i="13"/>
  <c r="BI264" i="13"/>
  <c r="BH264" i="13"/>
  <c r="BG264" i="13"/>
  <c r="BF264" i="13"/>
  <c r="BE264" i="13"/>
  <c r="BD264" i="13"/>
  <c r="BC264" i="13"/>
  <c r="BB264" i="13"/>
  <c r="BA264" i="13"/>
  <c r="AZ264" i="13"/>
  <c r="AY264" i="13"/>
  <c r="AX264" i="13"/>
  <c r="AW264" i="13"/>
  <c r="AV264" i="13"/>
  <c r="AU264" i="13"/>
  <c r="AT264" i="13"/>
  <c r="AS264" i="13"/>
  <c r="AR264" i="13"/>
  <c r="AQ264" i="13"/>
  <c r="AP264" i="13"/>
  <c r="AO264" i="13"/>
  <c r="AN264" i="13"/>
  <c r="AM264" i="13"/>
  <c r="AL264" i="13"/>
  <c r="AK264" i="13"/>
  <c r="AJ264" i="13"/>
  <c r="AI264" i="13"/>
  <c r="AH264" i="13"/>
  <c r="AG264" i="13"/>
  <c r="AF264" i="13"/>
  <c r="AE264" i="13"/>
  <c r="AD264" i="13"/>
  <c r="AC264" i="13"/>
  <c r="AB264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E264" i="13"/>
  <c r="D264" i="13"/>
  <c r="C264" i="13"/>
  <c r="BX263" i="13"/>
  <c r="BW263" i="13"/>
  <c r="BV263" i="13"/>
  <c r="BU263" i="13"/>
  <c r="BT263" i="13"/>
  <c r="BS263" i="13"/>
  <c r="BR263" i="13"/>
  <c r="BQ263" i="13"/>
  <c r="BP263" i="13"/>
  <c r="BO263" i="13"/>
  <c r="BN263" i="13"/>
  <c r="BM263" i="13"/>
  <c r="BL263" i="13"/>
  <c r="BK263" i="13"/>
  <c r="BJ263" i="13"/>
  <c r="BI263" i="13"/>
  <c r="BH263" i="13"/>
  <c r="BG263" i="13"/>
  <c r="BF263" i="13"/>
  <c r="BE263" i="13"/>
  <c r="BD263" i="13"/>
  <c r="BC263" i="13"/>
  <c r="BB263" i="13"/>
  <c r="BA263" i="13"/>
  <c r="AZ263" i="13"/>
  <c r="AY263" i="13"/>
  <c r="AX263" i="13"/>
  <c r="AW263" i="13"/>
  <c r="AV263" i="13"/>
  <c r="AU263" i="13"/>
  <c r="AT263" i="13"/>
  <c r="AS263" i="13"/>
  <c r="AR263" i="13"/>
  <c r="AQ263" i="13"/>
  <c r="AP263" i="13"/>
  <c r="AO263" i="13"/>
  <c r="AN263" i="13"/>
  <c r="AM263" i="13"/>
  <c r="AL263" i="13"/>
  <c r="AK263" i="13"/>
  <c r="AJ263" i="13"/>
  <c r="AI263" i="13"/>
  <c r="AH263" i="13"/>
  <c r="AG263" i="13"/>
  <c r="AF263" i="13"/>
  <c r="AE263" i="13"/>
  <c r="AD263" i="13"/>
  <c r="AC263" i="13"/>
  <c r="AB263" i="13"/>
  <c r="AA263" i="13"/>
  <c r="Z263" i="13"/>
  <c r="Y263" i="13"/>
  <c r="X263" i="13"/>
  <c r="W263" i="13"/>
  <c r="V263" i="13"/>
  <c r="U263" i="13"/>
  <c r="T263" i="13"/>
  <c r="S263" i="13"/>
  <c r="R263" i="13"/>
  <c r="Q263" i="13"/>
  <c r="P263" i="13"/>
  <c r="O263" i="13"/>
  <c r="N263" i="13"/>
  <c r="M263" i="13"/>
  <c r="L263" i="13"/>
  <c r="K263" i="13"/>
  <c r="J263" i="13"/>
  <c r="I263" i="13"/>
  <c r="H263" i="13"/>
  <c r="E263" i="13"/>
  <c r="D263" i="13"/>
  <c r="C263" i="13"/>
  <c r="BX262" i="13"/>
  <c r="BW262" i="13"/>
  <c r="BV262" i="13"/>
  <c r="BU262" i="13"/>
  <c r="BT262" i="13"/>
  <c r="BS262" i="13"/>
  <c r="BR262" i="13"/>
  <c r="BQ262" i="13"/>
  <c r="BP262" i="13"/>
  <c r="BO262" i="13"/>
  <c r="BN262" i="13"/>
  <c r="BM262" i="13"/>
  <c r="BL262" i="13"/>
  <c r="BK262" i="13"/>
  <c r="BJ262" i="13"/>
  <c r="BI262" i="13"/>
  <c r="BH262" i="13"/>
  <c r="BG262" i="13"/>
  <c r="BF262" i="13"/>
  <c r="BE262" i="13"/>
  <c r="BD262" i="13"/>
  <c r="BC262" i="13"/>
  <c r="BB262" i="13"/>
  <c r="BA262" i="13"/>
  <c r="AZ262" i="13"/>
  <c r="AY262" i="13"/>
  <c r="AX262" i="13"/>
  <c r="AW262" i="13"/>
  <c r="AV262" i="13"/>
  <c r="AU262" i="13"/>
  <c r="AT262" i="13"/>
  <c r="AS262" i="13"/>
  <c r="AR262" i="13"/>
  <c r="AQ262" i="13"/>
  <c r="AP262" i="13"/>
  <c r="AO262" i="13"/>
  <c r="AN262" i="13"/>
  <c r="AM262" i="13"/>
  <c r="AL262" i="13"/>
  <c r="AK262" i="13"/>
  <c r="AJ262" i="13"/>
  <c r="AI262" i="13"/>
  <c r="AH262" i="13"/>
  <c r="AG262" i="13"/>
  <c r="AF262" i="13"/>
  <c r="AE262" i="13"/>
  <c r="AD262" i="13"/>
  <c r="AC262" i="13"/>
  <c r="AB262" i="13"/>
  <c r="AA262" i="13"/>
  <c r="Z262" i="13"/>
  <c r="Y262" i="13"/>
  <c r="X262" i="13"/>
  <c r="W262" i="13"/>
  <c r="V262" i="13"/>
  <c r="U262" i="13"/>
  <c r="T262" i="13"/>
  <c r="S262" i="13"/>
  <c r="R262" i="13"/>
  <c r="Q262" i="13"/>
  <c r="P262" i="13"/>
  <c r="O262" i="13"/>
  <c r="N262" i="13"/>
  <c r="M262" i="13"/>
  <c r="L262" i="13"/>
  <c r="K262" i="13"/>
  <c r="J262" i="13"/>
  <c r="I262" i="13"/>
  <c r="H262" i="13"/>
  <c r="E262" i="13"/>
  <c r="D262" i="13"/>
  <c r="C262" i="13"/>
  <c r="BX261" i="13"/>
  <c r="BW261" i="13"/>
  <c r="BV261" i="13"/>
  <c r="BU261" i="13"/>
  <c r="BT261" i="13"/>
  <c r="BS261" i="13"/>
  <c r="BR261" i="13"/>
  <c r="BQ261" i="13"/>
  <c r="BP261" i="13"/>
  <c r="BO261" i="13"/>
  <c r="BN261" i="13"/>
  <c r="BM261" i="13"/>
  <c r="BL261" i="13"/>
  <c r="BK261" i="13"/>
  <c r="BJ261" i="13"/>
  <c r="BI261" i="13"/>
  <c r="BH261" i="13"/>
  <c r="BG261" i="13"/>
  <c r="BF261" i="13"/>
  <c r="BE261" i="13"/>
  <c r="BD261" i="13"/>
  <c r="BC261" i="13"/>
  <c r="BB261" i="13"/>
  <c r="BA261" i="13"/>
  <c r="AZ261" i="13"/>
  <c r="AY261" i="13"/>
  <c r="AX261" i="13"/>
  <c r="AW261" i="13"/>
  <c r="AV261" i="13"/>
  <c r="AU261" i="13"/>
  <c r="AT261" i="13"/>
  <c r="AS261" i="13"/>
  <c r="AR261" i="13"/>
  <c r="AQ261" i="13"/>
  <c r="AP261" i="13"/>
  <c r="AO261" i="13"/>
  <c r="AN261" i="13"/>
  <c r="AM261" i="13"/>
  <c r="AL261" i="13"/>
  <c r="AK261" i="13"/>
  <c r="AJ261" i="13"/>
  <c r="AI261" i="13"/>
  <c r="AH261" i="13"/>
  <c r="AG261" i="13"/>
  <c r="AF261" i="13"/>
  <c r="AE261" i="13"/>
  <c r="AD261" i="13"/>
  <c r="AC261" i="13"/>
  <c r="AB261" i="13"/>
  <c r="AA261" i="13"/>
  <c r="Z261" i="13"/>
  <c r="Y261" i="13"/>
  <c r="X261" i="13"/>
  <c r="W261" i="13"/>
  <c r="V261" i="13"/>
  <c r="U261" i="13"/>
  <c r="T261" i="13"/>
  <c r="S261" i="13"/>
  <c r="R261" i="13"/>
  <c r="Q261" i="13"/>
  <c r="P261" i="13"/>
  <c r="O261" i="13"/>
  <c r="N261" i="13"/>
  <c r="M261" i="13"/>
  <c r="L261" i="13"/>
  <c r="K261" i="13"/>
  <c r="J261" i="13"/>
  <c r="I261" i="13"/>
  <c r="H261" i="13"/>
  <c r="E261" i="13"/>
  <c r="D261" i="13"/>
  <c r="C261" i="13"/>
  <c r="BX260" i="13"/>
  <c r="BW260" i="13"/>
  <c r="BV260" i="13"/>
  <c r="BU260" i="13"/>
  <c r="BT260" i="13"/>
  <c r="BS260" i="13"/>
  <c r="BR260" i="13"/>
  <c r="BQ260" i="13"/>
  <c r="BP260" i="13"/>
  <c r="BO260" i="13"/>
  <c r="BN260" i="13"/>
  <c r="BM260" i="13"/>
  <c r="BL260" i="13"/>
  <c r="BK260" i="13"/>
  <c r="BJ260" i="13"/>
  <c r="BI260" i="13"/>
  <c r="BH260" i="13"/>
  <c r="BG260" i="13"/>
  <c r="BF260" i="13"/>
  <c r="BE260" i="13"/>
  <c r="BD260" i="13"/>
  <c r="BC260" i="13"/>
  <c r="BB260" i="13"/>
  <c r="BA260" i="13"/>
  <c r="AZ260" i="13"/>
  <c r="AY260" i="13"/>
  <c r="AX260" i="13"/>
  <c r="AW260" i="13"/>
  <c r="AV260" i="13"/>
  <c r="AU260" i="13"/>
  <c r="AT260" i="13"/>
  <c r="AS260" i="13"/>
  <c r="AR260" i="13"/>
  <c r="AQ260" i="13"/>
  <c r="AP260" i="13"/>
  <c r="AO260" i="13"/>
  <c r="AN260" i="13"/>
  <c r="AM260" i="13"/>
  <c r="AL260" i="13"/>
  <c r="AK260" i="13"/>
  <c r="AJ260" i="13"/>
  <c r="AI260" i="13"/>
  <c r="AH260" i="13"/>
  <c r="AG260" i="13"/>
  <c r="AF260" i="13"/>
  <c r="AE260" i="13"/>
  <c r="AD260" i="13"/>
  <c r="AC260" i="13"/>
  <c r="AB260" i="13"/>
  <c r="AA260" i="13"/>
  <c r="Z260" i="13"/>
  <c r="Y260" i="13"/>
  <c r="X260" i="13"/>
  <c r="W260" i="13"/>
  <c r="V260" i="13"/>
  <c r="U260" i="13"/>
  <c r="T260" i="13"/>
  <c r="S260" i="13"/>
  <c r="R260" i="13"/>
  <c r="Q260" i="13"/>
  <c r="P260" i="13"/>
  <c r="O260" i="13"/>
  <c r="N260" i="13"/>
  <c r="M260" i="13"/>
  <c r="L260" i="13"/>
  <c r="K260" i="13"/>
  <c r="J260" i="13"/>
  <c r="I260" i="13"/>
  <c r="H260" i="13"/>
  <c r="E260" i="13"/>
  <c r="D260" i="13"/>
  <c r="C260" i="13"/>
  <c r="BX259" i="13"/>
  <c r="BW259" i="13"/>
  <c r="BV259" i="13"/>
  <c r="BU259" i="13"/>
  <c r="BT259" i="13"/>
  <c r="BS259" i="13"/>
  <c r="BR259" i="13"/>
  <c r="BQ259" i="13"/>
  <c r="BP259" i="13"/>
  <c r="BO259" i="13"/>
  <c r="BN259" i="13"/>
  <c r="BM259" i="13"/>
  <c r="BL259" i="13"/>
  <c r="BK259" i="13"/>
  <c r="BJ259" i="13"/>
  <c r="BI259" i="13"/>
  <c r="BH259" i="13"/>
  <c r="BG259" i="13"/>
  <c r="BF259" i="13"/>
  <c r="BE259" i="13"/>
  <c r="BD259" i="13"/>
  <c r="BC259" i="13"/>
  <c r="BB259" i="13"/>
  <c r="BA259" i="13"/>
  <c r="AZ259" i="13"/>
  <c r="AY259" i="13"/>
  <c r="AX259" i="13"/>
  <c r="AW259" i="13"/>
  <c r="AV259" i="13"/>
  <c r="AU259" i="13"/>
  <c r="AT259" i="13"/>
  <c r="AS259" i="13"/>
  <c r="AR259" i="13"/>
  <c r="AQ259" i="13"/>
  <c r="AP259" i="13"/>
  <c r="AO259" i="13"/>
  <c r="AN259" i="13"/>
  <c r="AM259" i="13"/>
  <c r="AL259" i="13"/>
  <c r="AK259" i="13"/>
  <c r="AJ259" i="13"/>
  <c r="AI259" i="13"/>
  <c r="AH259" i="13"/>
  <c r="AG259" i="13"/>
  <c r="AF259" i="13"/>
  <c r="AE259" i="13"/>
  <c r="AD259" i="13"/>
  <c r="AC259" i="13"/>
  <c r="AB259" i="13"/>
  <c r="AA259" i="13"/>
  <c r="Z259" i="13"/>
  <c r="Y259" i="13"/>
  <c r="X259" i="13"/>
  <c r="W259" i="13"/>
  <c r="V259" i="13"/>
  <c r="U259" i="13"/>
  <c r="T259" i="13"/>
  <c r="S259" i="13"/>
  <c r="R259" i="13"/>
  <c r="Q259" i="13"/>
  <c r="P259" i="13"/>
  <c r="O259" i="13"/>
  <c r="N259" i="13"/>
  <c r="M259" i="13"/>
  <c r="L259" i="13"/>
  <c r="K259" i="13"/>
  <c r="J259" i="13"/>
  <c r="I259" i="13"/>
  <c r="H259" i="13"/>
  <c r="E259" i="13"/>
  <c r="D259" i="13"/>
  <c r="C259" i="13"/>
  <c r="BX258" i="13"/>
  <c r="BW258" i="13"/>
  <c r="BV258" i="13"/>
  <c r="BU258" i="13"/>
  <c r="BT258" i="13"/>
  <c r="BS258" i="13"/>
  <c r="BR258" i="13"/>
  <c r="BQ258" i="13"/>
  <c r="BP258" i="13"/>
  <c r="BO258" i="13"/>
  <c r="BN258" i="13"/>
  <c r="BM258" i="13"/>
  <c r="BL258" i="13"/>
  <c r="BK258" i="13"/>
  <c r="BJ258" i="13"/>
  <c r="BI258" i="13"/>
  <c r="BH258" i="13"/>
  <c r="BG258" i="13"/>
  <c r="BF258" i="13"/>
  <c r="BE258" i="13"/>
  <c r="BD258" i="13"/>
  <c r="BC258" i="13"/>
  <c r="BB258" i="13"/>
  <c r="BA258" i="13"/>
  <c r="AZ258" i="13"/>
  <c r="AY258" i="13"/>
  <c r="AX258" i="13"/>
  <c r="AW258" i="13"/>
  <c r="AV258" i="13"/>
  <c r="AU258" i="13"/>
  <c r="AT258" i="13"/>
  <c r="AS258" i="13"/>
  <c r="AR258" i="13"/>
  <c r="AQ258" i="13"/>
  <c r="AP258" i="13"/>
  <c r="AO258" i="13"/>
  <c r="AN258" i="13"/>
  <c r="AM258" i="13"/>
  <c r="AL258" i="13"/>
  <c r="AK258" i="13"/>
  <c r="AJ258" i="13"/>
  <c r="AI258" i="13"/>
  <c r="AH258" i="13"/>
  <c r="AG258" i="13"/>
  <c r="AF258" i="13"/>
  <c r="AE258" i="13"/>
  <c r="AD258" i="13"/>
  <c r="AC258" i="13"/>
  <c r="AB258" i="13"/>
  <c r="AA258" i="13"/>
  <c r="Z258" i="13"/>
  <c r="Y258" i="13"/>
  <c r="X258" i="13"/>
  <c r="W258" i="13"/>
  <c r="V258" i="13"/>
  <c r="U258" i="13"/>
  <c r="T258" i="13"/>
  <c r="S258" i="13"/>
  <c r="R258" i="13"/>
  <c r="Q258" i="13"/>
  <c r="P258" i="13"/>
  <c r="O258" i="13"/>
  <c r="N258" i="13"/>
  <c r="M258" i="13"/>
  <c r="L258" i="13"/>
  <c r="K258" i="13"/>
  <c r="J258" i="13"/>
  <c r="I258" i="13"/>
  <c r="H258" i="13"/>
  <c r="E258" i="13"/>
  <c r="D258" i="13"/>
  <c r="C258" i="13"/>
  <c r="BX257" i="13"/>
  <c r="BW257" i="13"/>
  <c r="BV257" i="13"/>
  <c r="BU257" i="13"/>
  <c r="BT257" i="13"/>
  <c r="BS257" i="13"/>
  <c r="BR257" i="13"/>
  <c r="BQ257" i="13"/>
  <c r="BP257" i="13"/>
  <c r="BO257" i="13"/>
  <c r="BN257" i="13"/>
  <c r="BM257" i="13"/>
  <c r="BL257" i="13"/>
  <c r="BK257" i="13"/>
  <c r="BJ257" i="13"/>
  <c r="BI257" i="13"/>
  <c r="BH257" i="13"/>
  <c r="BG257" i="13"/>
  <c r="BF257" i="13"/>
  <c r="BE257" i="13"/>
  <c r="BD257" i="13"/>
  <c r="BC257" i="13"/>
  <c r="BB257" i="13"/>
  <c r="BA257" i="13"/>
  <c r="AZ257" i="13"/>
  <c r="AY257" i="13"/>
  <c r="AX257" i="13"/>
  <c r="AW257" i="13"/>
  <c r="AV257" i="13"/>
  <c r="AU257" i="13"/>
  <c r="AT257" i="13"/>
  <c r="AS257" i="13"/>
  <c r="AR257" i="13"/>
  <c r="AQ257" i="13"/>
  <c r="AP257" i="13"/>
  <c r="AO257" i="13"/>
  <c r="AN257" i="13"/>
  <c r="AM257" i="13"/>
  <c r="AL257" i="13"/>
  <c r="AK257" i="13"/>
  <c r="AJ257" i="13"/>
  <c r="AI257" i="13"/>
  <c r="AH257" i="13"/>
  <c r="AG257" i="13"/>
  <c r="AF257" i="13"/>
  <c r="AE257" i="13"/>
  <c r="AD257" i="13"/>
  <c r="AC257" i="13"/>
  <c r="AB257" i="13"/>
  <c r="AA257" i="13"/>
  <c r="Z257" i="13"/>
  <c r="Y257" i="13"/>
  <c r="X257" i="13"/>
  <c r="W257" i="13"/>
  <c r="V257" i="13"/>
  <c r="U257" i="13"/>
  <c r="T257" i="13"/>
  <c r="S257" i="13"/>
  <c r="R257" i="13"/>
  <c r="Q257" i="13"/>
  <c r="P257" i="13"/>
  <c r="O257" i="13"/>
  <c r="N257" i="13"/>
  <c r="M257" i="13"/>
  <c r="L257" i="13"/>
  <c r="K257" i="13"/>
  <c r="J257" i="13"/>
  <c r="I257" i="13"/>
  <c r="H257" i="13"/>
  <c r="E257" i="13"/>
  <c r="D257" i="13"/>
  <c r="C257" i="13"/>
  <c r="BX256" i="13"/>
  <c r="BW256" i="13"/>
  <c r="BV256" i="13"/>
  <c r="BU256" i="13"/>
  <c r="BT256" i="13"/>
  <c r="BS256" i="13"/>
  <c r="BR256" i="13"/>
  <c r="BQ256" i="13"/>
  <c r="BP256" i="13"/>
  <c r="BO256" i="13"/>
  <c r="BN256" i="13"/>
  <c r="BM256" i="13"/>
  <c r="BL256" i="13"/>
  <c r="BK256" i="13"/>
  <c r="BJ256" i="13"/>
  <c r="BI256" i="13"/>
  <c r="BH256" i="13"/>
  <c r="BG256" i="13"/>
  <c r="BF256" i="13"/>
  <c r="BE256" i="13"/>
  <c r="BD256" i="13"/>
  <c r="BC256" i="13"/>
  <c r="BB256" i="13"/>
  <c r="BA256" i="13"/>
  <c r="AZ256" i="13"/>
  <c r="AY256" i="13"/>
  <c r="AX256" i="13"/>
  <c r="AW256" i="13"/>
  <c r="AV256" i="13"/>
  <c r="AU256" i="13"/>
  <c r="AT256" i="13"/>
  <c r="AS256" i="13"/>
  <c r="AR256" i="13"/>
  <c r="AQ256" i="13"/>
  <c r="AP256" i="13"/>
  <c r="AO256" i="13"/>
  <c r="AN256" i="13"/>
  <c r="AM256" i="13"/>
  <c r="AL256" i="13"/>
  <c r="AK256" i="13"/>
  <c r="AJ256" i="13"/>
  <c r="AI256" i="13"/>
  <c r="AH256" i="13"/>
  <c r="AG256" i="13"/>
  <c r="AF256" i="13"/>
  <c r="AE256" i="13"/>
  <c r="AD256" i="13"/>
  <c r="AC256" i="13"/>
  <c r="AB256" i="13"/>
  <c r="AA256" i="13"/>
  <c r="Z256" i="13"/>
  <c r="Y256" i="13"/>
  <c r="X256" i="13"/>
  <c r="W256" i="13"/>
  <c r="V256" i="13"/>
  <c r="U256" i="13"/>
  <c r="T256" i="13"/>
  <c r="S256" i="13"/>
  <c r="R256" i="13"/>
  <c r="Q256" i="13"/>
  <c r="P256" i="13"/>
  <c r="O256" i="13"/>
  <c r="N256" i="13"/>
  <c r="M256" i="13"/>
  <c r="L256" i="13"/>
  <c r="K256" i="13"/>
  <c r="J256" i="13"/>
  <c r="I256" i="13"/>
  <c r="H256" i="13"/>
  <c r="E256" i="13"/>
  <c r="D256" i="13"/>
  <c r="C256" i="13"/>
  <c r="BX255" i="13"/>
  <c r="BW255" i="13"/>
  <c r="BV255" i="13"/>
  <c r="BU255" i="13"/>
  <c r="BT255" i="13"/>
  <c r="BS255" i="13"/>
  <c r="BR255" i="13"/>
  <c r="BQ255" i="13"/>
  <c r="BP255" i="13"/>
  <c r="BO255" i="13"/>
  <c r="BN255" i="13"/>
  <c r="BM255" i="13"/>
  <c r="BL255" i="13"/>
  <c r="BK255" i="13"/>
  <c r="BJ255" i="13"/>
  <c r="BI255" i="13"/>
  <c r="BH255" i="13"/>
  <c r="BG255" i="13"/>
  <c r="BF255" i="13"/>
  <c r="BE255" i="13"/>
  <c r="BD255" i="13"/>
  <c r="BC255" i="13"/>
  <c r="BB255" i="13"/>
  <c r="BA255" i="13"/>
  <c r="AZ255" i="13"/>
  <c r="AY255" i="13"/>
  <c r="AX255" i="13"/>
  <c r="AW255" i="13"/>
  <c r="AV255" i="13"/>
  <c r="AU255" i="13"/>
  <c r="AT255" i="13"/>
  <c r="AS255" i="13"/>
  <c r="AR255" i="13"/>
  <c r="AQ255" i="13"/>
  <c r="AP255" i="13"/>
  <c r="AO255" i="13"/>
  <c r="AN255" i="13"/>
  <c r="AM255" i="13"/>
  <c r="AL255" i="13"/>
  <c r="AK255" i="13"/>
  <c r="AJ255" i="13"/>
  <c r="AI255" i="13"/>
  <c r="AH255" i="13"/>
  <c r="AG255" i="13"/>
  <c r="AF255" i="13"/>
  <c r="AE255" i="13"/>
  <c r="AD255" i="13"/>
  <c r="AC255" i="13"/>
  <c r="AB255" i="13"/>
  <c r="AA255" i="13"/>
  <c r="Z255" i="13"/>
  <c r="Y255" i="13"/>
  <c r="X255" i="13"/>
  <c r="W255" i="13"/>
  <c r="V255" i="13"/>
  <c r="U255" i="13"/>
  <c r="T255" i="13"/>
  <c r="S255" i="13"/>
  <c r="R255" i="13"/>
  <c r="Q255" i="13"/>
  <c r="P255" i="13"/>
  <c r="O255" i="13"/>
  <c r="N255" i="13"/>
  <c r="M255" i="13"/>
  <c r="L255" i="13"/>
  <c r="K255" i="13"/>
  <c r="J255" i="13"/>
  <c r="I255" i="13"/>
  <c r="H255" i="13"/>
  <c r="E255" i="13"/>
  <c r="D255" i="13"/>
  <c r="C255" i="13"/>
  <c r="BX254" i="13"/>
  <c r="BW254" i="13"/>
  <c r="BV254" i="13"/>
  <c r="BU254" i="13"/>
  <c r="BT254" i="13"/>
  <c r="BS254" i="13"/>
  <c r="BR254" i="13"/>
  <c r="BQ254" i="13"/>
  <c r="BP254" i="13"/>
  <c r="BO254" i="13"/>
  <c r="BN254" i="13"/>
  <c r="BM254" i="13"/>
  <c r="BL254" i="13"/>
  <c r="BK254" i="13"/>
  <c r="BJ254" i="13"/>
  <c r="BI254" i="13"/>
  <c r="BH254" i="13"/>
  <c r="BG254" i="13"/>
  <c r="BF254" i="13"/>
  <c r="BE254" i="13"/>
  <c r="BD254" i="13"/>
  <c r="BC254" i="13"/>
  <c r="BB254" i="13"/>
  <c r="BA254" i="13"/>
  <c r="AZ254" i="13"/>
  <c r="AY254" i="13"/>
  <c r="AX254" i="13"/>
  <c r="AW254" i="13"/>
  <c r="AV254" i="13"/>
  <c r="AU254" i="13"/>
  <c r="AT254" i="13"/>
  <c r="AS254" i="13"/>
  <c r="AR254" i="13"/>
  <c r="AQ254" i="13"/>
  <c r="AP254" i="13"/>
  <c r="AO254" i="13"/>
  <c r="AN254" i="13"/>
  <c r="AM254" i="13"/>
  <c r="AL254" i="13"/>
  <c r="AK254" i="13"/>
  <c r="AJ254" i="13"/>
  <c r="AI254" i="13"/>
  <c r="AH254" i="13"/>
  <c r="AG254" i="13"/>
  <c r="AF254" i="13"/>
  <c r="AE254" i="13"/>
  <c r="AD254" i="13"/>
  <c r="AC254" i="13"/>
  <c r="AB254" i="13"/>
  <c r="AA254" i="13"/>
  <c r="Z254" i="13"/>
  <c r="Y254" i="13"/>
  <c r="X254" i="13"/>
  <c r="W254" i="13"/>
  <c r="V254" i="13"/>
  <c r="U254" i="13"/>
  <c r="T254" i="13"/>
  <c r="S254" i="13"/>
  <c r="R254" i="13"/>
  <c r="Q254" i="13"/>
  <c r="P254" i="13"/>
  <c r="O254" i="13"/>
  <c r="N254" i="13"/>
  <c r="M254" i="13"/>
  <c r="L254" i="13"/>
  <c r="K254" i="13"/>
  <c r="J254" i="13"/>
  <c r="I254" i="13"/>
  <c r="H254" i="13"/>
  <c r="E254" i="13"/>
  <c r="D254" i="13"/>
  <c r="C254" i="13"/>
  <c r="BX253" i="13"/>
  <c r="BW253" i="13"/>
  <c r="BV253" i="13"/>
  <c r="BU253" i="13"/>
  <c r="BT253" i="13"/>
  <c r="BS253" i="13"/>
  <c r="BR253" i="13"/>
  <c r="BQ253" i="13"/>
  <c r="BP253" i="13"/>
  <c r="BO253" i="13"/>
  <c r="BN253" i="13"/>
  <c r="BM253" i="13"/>
  <c r="BL253" i="13"/>
  <c r="BK253" i="13"/>
  <c r="BJ253" i="13"/>
  <c r="BI253" i="13"/>
  <c r="BH253" i="13"/>
  <c r="BG253" i="13"/>
  <c r="BF253" i="13"/>
  <c r="BE253" i="13"/>
  <c r="BD253" i="13"/>
  <c r="BC253" i="13"/>
  <c r="BB253" i="13"/>
  <c r="BA253" i="13"/>
  <c r="AZ253" i="13"/>
  <c r="AY253" i="13"/>
  <c r="AX253" i="13"/>
  <c r="AW253" i="13"/>
  <c r="AV253" i="13"/>
  <c r="AU253" i="13"/>
  <c r="AT253" i="13"/>
  <c r="AS253" i="13"/>
  <c r="AR253" i="13"/>
  <c r="AQ253" i="13"/>
  <c r="AP253" i="13"/>
  <c r="AO253" i="13"/>
  <c r="AN253" i="13"/>
  <c r="AM253" i="13"/>
  <c r="AL253" i="13"/>
  <c r="AK253" i="13"/>
  <c r="AJ253" i="13"/>
  <c r="AI253" i="13"/>
  <c r="AH253" i="13"/>
  <c r="AG253" i="13"/>
  <c r="AF253" i="13"/>
  <c r="AE253" i="13"/>
  <c r="AD253" i="13"/>
  <c r="AC253" i="13"/>
  <c r="AB253" i="13"/>
  <c r="AA253" i="13"/>
  <c r="Z253" i="13"/>
  <c r="Y253" i="13"/>
  <c r="X253" i="13"/>
  <c r="W253" i="13"/>
  <c r="V253" i="13"/>
  <c r="U253" i="13"/>
  <c r="T253" i="13"/>
  <c r="S253" i="13"/>
  <c r="R253" i="13"/>
  <c r="Q253" i="13"/>
  <c r="P253" i="13"/>
  <c r="O253" i="13"/>
  <c r="N253" i="13"/>
  <c r="M253" i="13"/>
  <c r="L253" i="13"/>
  <c r="K253" i="13"/>
  <c r="J253" i="13"/>
  <c r="I253" i="13"/>
  <c r="H253" i="13"/>
  <c r="E253" i="13"/>
  <c r="D253" i="13"/>
  <c r="C253" i="13"/>
  <c r="BX252" i="13"/>
  <c r="BW252" i="13"/>
  <c r="BV252" i="13"/>
  <c r="BU252" i="13"/>
  <c r="BT252" i="13"/>
  <c r="BS252" i="13"/>
  <c r="BR252" i="13"/>
  <c r="BQ252" i="13"/>
  <c r="BP252" i="13"/>
  <c r="BO252" i="13"/>
  <c r="BN252" i="13"/>
  <c r="BM252" i="13"/>
  <c r="BL252" i="13"/>
  <c r="BK252" i="13"/>
  <c r="BJ252" i="13"/>
  <c r="BI252" i="13"/>
  <c r="BH252" i="13"/>
  <c r="BG252" i="13"/>
  <c r="BF252" i="13"/>
  <c r="BE252" i="13"/>
  <c r="BD252" i="13"/>
  <c r="BC252" i="13"/>
  <c r="BB252" i="13"/>
  <c r="BA252" i="13"/>
  <c r="AZ252" i="13"/>
  <c r="AY252" i="13"/>
  <c r="AX252" i="13"/>
  <c r="AW252" i="13"/>
  <c r="AV252" i="13"/>
  <c r="AU252" i="13"/>
  <c r="AT252" i="13"/>
  <c r="AS252" i="13"/>
  <c r="AR252" i="13"/>
  <c r="AQ252" i="13"/>
  <c r="AP252" i="13"/>
  <c r="AO252" i="13"/>
  <c r="AN252" i="13"/>
  <c r="AM252" i="13"/>
  <c r="AL252" i="13"/>
  <c r="AK252" i="13"/>
  <c r="AJ252" i="13"/>
  <c r="AI252" i="13"/>
  <c r="AH252" i="13"/>
  <c r="AG252" i="13"/>
  <c r="AF252" i="13"/>
  <c r="AE252" i="13"/>
  <c r="AD252" i="13"/>
  <c r="AC252" i="13"/>
  <c r="AB252" i="13"/>
  <c r="AA252" i="13"/>
  <c r="Z252" i="13"/>
  <c r="Y252" i="13"/>
  <c r="X252" i="13"/>
  <c r="W252" i="13"/>
  <c r="V252" i="13"/>
  <c r="U252" i="13"/>
  <c r="T252" i="13"/>
  <c r="S252" i="13"/>
  <c r="R252" i="13"/>
  <c r="Q252" i="13"/>
  <c r="P252" i="13"/>
  <c r="O252" i="13"/>
  <c r="N252" i="13"/>
  <c r="M252" i="13"/>
  <c r="L252" i="13"/>
  <c r="K252" i="13"/>
  <c r="J252" i="13"/>
  <c r="I252" i="13"/>
  <c r="H252" i="13"/>
  <c r="E252" i="13"/>
  <c r="D252" i="13"/>
  <c r="C252" i="13"/>
  <c r="E303" i="13"/>
  <c r="B520" i="40"/>
  <c r="B521" i="40" s="1"/>
  <c r="B477" i="40"/>
  <c r="B478" i="40" s="1"/>
  <c r="B434" i="40"/>
  <c r="B435" i="40" s="1"/>
  <c r="B391" i="40"/>
  <c r="B392" i="40" s="1"/>
  <c r="B30" i="16"/>
  <c r="B353" i="40"/>
  <c r="B354" i="40" s="1"/>
  <c r="F323" i="40"/>
  <c r="G323" i="40" s="1"/>
  <c r="H323" i="40" s="1"/>
  <c r="I323" i="40" s="1"/>
  <c r="J323" i="40" s="1"/>
  <c r="K323" i="40" s="1"/>
  <c r="L323" i="40" s="1"/>
  <c r="B315" i="40"/>
  <c r="B316" i="40" s="1"/>
  <c r="B272" i="40"/>
  <c r="B273" i="40" s="1"/>
  <c r="B27" i="16"/>
  <c r="B234" i="40"/>
  <c r="B235" i="40" s="1"/>
  <c r="B191" i="40"/>
  <c r="B192" i="40" s="1"/>
  <c r="F161" i="40"/>
  <c r="B153" i="40"/>
  <c r="B154" i="40" s="1"/>
  <c r="B112" i="40"/>
  <c r="B113" i="40" s="1"/>
  <c r="B23" i="16"/>
  <c r="B76" i="40"/>
  <c r="B77" i="40" s="1"/>
  <c r="B35" i="40"/>
  <c r="B36" i="40" s="1"/>
  <c r="E1" i="40"/>
  <c r="F120" i="40"/>
  <c r="G120" i="40" s="1"/>
  <c r="B520" i="5"/>
  <c r="B477" i="5"/>
  <c r="B434" i="5"/>
  <c r="B391" i="5"/>
  <c r="B353" i="5"/>
  <c r="B315" i="5"/>
  <c r="B272" i="5"/>
  <c r="B234" i="5"/>
  <c r="B191" i="5"/>
  <c r="B153" i="5"/>
  <c r="B112" i="5"/>
  <c r="B76" i="5"/>
  <c r="AM72" i="25" l="1"/>
  <c r="AM70" i="25"/>
  <c r="AM68" i="25"/>
  <c r="AM63" i="25"/>
  <c r="AM64" i="25" s="1"/>
  <c r="AN66" i="25"/>
  <c r="AM65" i="25"/>
  <c r="AO41" i="25"/>
  <c r="AN69" i="25"/>
  <c r="AM73" i="25"/>
  <c r="AN71" i="25"/>
  <c r="AO67" i="25"/>
  <c r="B21" i="16"/>
  <c r="E43" i="40"/>
  <c r="B29" i="16"/>
  <c r="B25" i="16"/>
  <c r="F84" i="40"/>
  <c r="G84" i="40" s="1"/>
  <c r="F242" i="40"/>
  <c r="G242" i="40" s="1"/>
  <c r="F1" i="40"/>
  <c r="H120" i="40"/>
  <c r="F7" i="40"/>
  <c r="G161" i="40"/>
  <c r="M323" i="40"/>
  <c r="F361" i="40"/>
  <c r="B35" i="5"/>
  <c r="AJ188" i="25"/>
  <c r="AI188" i="25"/>
  <c r="AH188" i="25"/>
  <c r="AG188" i="25"/>
  <c r="AF188" i="25"/>
  <c r="AE188" i="25"/>
  <c r="AD188" i="25"/>
  <c r="AC188" i="25"/>
  <c r="AB188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F184" i="25" s="1"/>
  <c r="F189" i="25"/>
  <c r="G189" i="25"/>
  <c r="H189" i="25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AF189" i="25"/>
  <c r="AG189" i="25"/>
  <c r="AH189" i="25"/>
  <c r="AI189" i="25"/>
  <c r="AJ189" i="25"/>
  <c r="AK189" i="25"/>
  <c r="AL189" i="25"/>
  <c r="AM189" i="25"/>
  <c r="AN189" i="25"/>
  <c r="AO189" i="25"/>
  <c r="AP189" i="25"/>
  <c r="AQ189" i="25"/>
  <c r="AR189" i="25"/>
  <c r="AS189" i="25"/>
  <c r="AT189" i="25"/>
  <c r="AU189" i="25"/>
  <c r="AV189" i="25"/>
  <c r="AW189" i="25"/>
  <c r="AX189" i="25"/>
  <c r="AY189" i="25"/>
  <c r="AZ189" i="25"/>
  <c r="BA189" i="25"/>
  <c r="BB189" i="25"/>
  <c r="BC189" i="25"/>
  <c r="BD189" i="25"/>
  <c r="BE189" i="25"/>
  <c r="BF189" i="25"/>
  <c r="BG189" i="25"/>
  <c r="BH189" i="25"/>
  <c r="BI189" i="25"/>
  <c r="BJ189" i="25"/>
  <c r="BK189" i="25"/>
  <c r="BL189" i="25"/>
  <c r="BM189" i="25"/>
  <c r="BN189" i="25"/>
  <c r="BO189" i="25"/>
  <c r="BP189" i="25"/>
  <c r="BQ189" i="25"/>
  <c r="BR189" i="25"/>
  <c r="BS189" i="25"/>
  <c r="BT189" i="25"/>
  <c r="BU189" i="25"/>
  <c r="BV189" i="25"/>
  <c r="BW189" i="25"/>
  <c r="BX189" i="25"/>
  <c r="BX112" i="25"/>
  <c r="BW112" i="25"/>
  <c r="BV112" i="25"/>
  <c r="BU112" i="25"/>
  <c r="BT112" i="25"/>
  <c r="BS112" i="25"/>
  <c r="BR112" i="25"/>
  <c r="BQ112" i="25"/>
  <c r="BP112" i="25"/>
  <c r="BO112" i="25"/>
  <c r="BN112" i="25"/>
  <c r="BM112" i="25"/>
  <c r="BL112" i="25"/>
  <c r="BK112" i="25"/>
  <c r="BJ112" i="25"/>
  <c r="BI112" i="25"/>
  <c r="BH112" i="25"/>
  <c r="BG112" i="25"/>
  <c r="BF112" i="25"/>
  <c r="BE112" i="25"/>
  <c r="BD112" i="25"/>
  <c r="BC112" i="25"/>
  <c r="BB112" i="25"/>
  <c r="BA112" i="25"/>
  <c r="AZ112" i="25"/>
  <c r="AY112" i="25"/>
  <c r="AX112" i="25"/>
  <c r="AW112" i="25"/>
  <c r="AV112" i="25"/>
  <c r="AU112" i="25"/>
  <c r="AT112" i="25"/>
  <c r="AS112" i="25"/>
  <c r="AR112" i="25"/>
  <c r="AQ112" i="25"/>
  <c r="AP112" i="25"/>
  <c r="AO112" i="25"/>
  <c r="AN112" i="25"/>
  <c r="AM112" i="25"/>
  <c r="AL112" i="25"/>
  <c r="AK112" i="25"/>
  <c r="AJ112" i="25"/>
  <c r="AI112" i="25"/>
  <c r="AH112" i="25"/>
  <c r="AG112" i="25"/>
  <c r="AF112" i="25"/>
  <c r="AE112" i="25"/>
  <c r="AD112" i="25"/>
  <c r="AC112" i="25"/>
  <c r="AB112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AJ69" i="25"/>
  <c r="AI69" i="25"/>
  <c r="AH69" i="25"/>
  <c r="AG69" i="25"/>
  <c r="AF69" i="25"/>
  <c r="AE69" i="25"/>
  <c r="AD69" i="25"/>
  <c r="AC69" i="25"/>
  <c r="AB69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O66" i="25" l="1"/>
  <c r="AN70" i="25"/>
  <c r="AN63" i="25"/>
  <c r="AN64" i="25" s="1"/>
  <c r="AN68" i="25"/>
  <c r="AN72" i="25"/>
  <c r="AN65" i="25"/>
  <c r="AO69" i="25"/>
  <c r="AO71" i="25"/>
  <c r="AN73" i="25"/>
  <c r="F43" i="40"/>
  <c r="G43" i="40" s="1"/>
  <c r="H161" i="40"/>
  <c r="H84" i="40"/>
  <c r="G361" i="40"/>
  <c r="I120" i="40"/>
  <c r="N323" i="40"/>
  <c r="G1" i="40"/>
  <c r="H242" i="40"/>
  <c r="G7" i="40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AI10" i="25"/>
  <c r="AJ10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O70" i="25" l="1"/>
  <c r="AO68" i="25"/>
  <c r="AO72" i="25"/>
  <c r="AO63" i="25"/>
  <c r="AO64" i="25" s="1"/>
  <c r="AO65" i="25"/>
  <c r="AO73" i="25"/>
  <c r="O323" i="40"/>
  <c r="I161" i="40"/>
  <c r="I84" i="40"/>
  <c r="J120" i="40"/>
  <c r="H43" i="40"/>
  <c r="I242" i="40"/>
  <c r="H1" i="40"/>
  <c r="H7" i="40"/>
  <c r="H361" i="40"/>
  <c r="H62" i="36"/>
  <c r="I361" i="40" l="1"/>
  <c r="J242" i="40"/>
  <c r="I43" i="40"/>
  <c r="I7" i="40"/>
  <c r="J84" i="40"/>
  <c r="K120" i="40"/>
  <c r="J161" i="40"/>
  <c r="I1" i="40"/>
  <c r="P323" i="40"/>
  <c r="H31" i="36"/>
  <c r="H30" i="36"/>
  <c r="H29" i="36"/>
  <c r="O36" i="36"/>
  <c r="N36" i="36"/>
  <c r="M36" i="36"/>
  <c r="L36" i="36"/>
  <c r="K36" i="36"/>
  <c r="J36" i="36"/>
  <c r="I36" i="36"/>
  <c r="H59" i="36"/>
  <c r="H58" i="36"/>
  <c r="H57" i="36"/>
  <c r="H56" i="36"/>
  <c r="H55" i="36"/>
  <c r="H54" i="36"/>
  <c r="H53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H40" i="36"/>
  <c r="H39" i="36"/>
  <c r="H38" i="36"/>
  <c r="H37" i="36"/>
  <c r="R36" i="36"/>
  <c r="Q36" i="36"/>
  <c r="P36" i="36"/>
  <c r="H24" i="36"/>
  <c r="H23" i="36"/>
  <c r="H22" i="36"/>
  <c r="H21" i="36"/>
  <c r="H20" i="36"/>
  <c r="H7" i="36"/>
  <c r="H6" i="36"/>
  <c r="H5" i="36"/>
  <c r="I3" i="36"/>
  <c r="H4" i="36"/>
  <c r="B351" i="25"/>
  <c r="B336" i="25"/>
  <c r="B321" i="25"/>
  <c r="B314" i="25"/>
  <c r="B273" i="25"/>
  <c r="B219" i="25"/>
  <c r="B205" i="25"/>
  <c r="B157" i="25"/>
  <c r="B143" i="25"/>
  <c r="B127" i="25"/>
  <c r="B86" i="25"/>
  <c r="B38" i="25"/>
  <c r="B27" i="25"/>
  <c r="B3" i="25"/>
  <c r="Q323" i="40" l="1"/>
  <c r="J43" i="40"/>
  <c r="K84" i="40"/>
  <c r="K242" i="40"/>
  <c r="J361" i="40"/>
  <c r="K161" i="40"/>
  <c r="J7" i="40"/>
  <c r="J1" i="40"/>
  <c r="L120" i="40"/>
  <c r="F7" i="4"/>
  <c r="F63" i="25"/>
  <c r="F199" i="40" l="1"/>
  <c r="F280" i="40"/>
  <c r="F399" i="40"/>
  <c r="L242" i="40"/>
  <c r="R323" i="40"/>
  <c r="K43" i="40"/>
  <c r="K7" i="40"/>
  <c r="L84" i="40"/>
  <c r="K1" i="40"/>
  <c r="M120" i="40"/>
  <c r="L161" i="40"/>
  <c r="K361" i="40"/>
  <c r="BX354" i="25"/>
  <c r="BW354" i="25"/>
  <c r="BV354" i="25"/>
  <c r="BU354" i="25"/>
  <c r="BT354" i="25"/>
  <c r="BS354" i="25"/>
  <c r="BR354" i="25"/>
  <c r="BQ354" i="25"/>
  <c r="BP354" i="25"/>
  <c r="BO354" i="25"/>
  <c r="BN354" i="25"/>
  <c r="BM354" i="25"/>
  <c r="BL354" i="25"/>
  <c r="BK354" i="25"/>
  <c r="BJ354" i="25"/>
  <c r="BI354" i="25"/>
  <c r="BH354" i="25"/>
  <c r="BG354" i="25"/>
  <c r="BF354" i="25"/>
  <c r="BE354" i="25"/>
  <c r="BD354" i="25"/>
  <c r="BC354" i="25"/>
  <c r="BB354" i="25"/>
  <c r="BA354" i="25"/>
  <c r="AZ354" i="25"/>
  <c r="AY354" i="25"/>
  <c r="AX354" i="25"/>
  <c r="AW354" i="25"/>
  <c r="AV354" i="25"/>
  <c r="AU354" i="25"/>
  <c r="AT354" i="25"/>
  <c r="AS354" i="25"/>
  <c r="AR354" i="25"/>
  <c r="AQ354" i="25"/>
  <c r="AP354" i="25"/>
  <c r="AO354" i="25"/>
  <c r="AN354" i="25"/>
  <c r="AM354" i="25"/>
  <c r="AL354" i="25"/>
  <c r="AK354" i="25"/>
  <c r="AJ354" i="25"/>
  <c r="AI354" i="25"/>
  <c r="AH354" i="25"/>
  <c r="AG354" i="25"/>
  <c r="AF354" i="25"/>
  <c r="AE354" i="25"/>
  <c r="AD354" i="25"/>
  <c r="AC354" i="25"/>
  <c r="AB354" i="25"/>
  <c r="AA354" i="25"/>
  <c r="Z354" i="25"/>
  <c r="Y354" i="25"/>
  <c r="X354" i="25"/>
  <c r="W354" i="25"/>
  <c r="V354" i="25"/>
  <c r="U354" i="25"/>
  <c r="T354" i="25"/>
  <c r="S354" i="25"/>
  <c r="R354" i="25"/>
  <c r="Q354" i="25"/>
  <c r="P354" i="25"/>
  <c r="O354" i="25"/>
  <c r="N354" i="25"/>
  <c r="M354" i="25"/>
  <c r="L354" i="25"/>
  <c r="K354" i="25"/>
  <c r="J354" i="25"/>
  <c r="I354" i="25"/>
  <c r="I46" i="25" s="1"/>
  <c r="J46" i="25" s="1"/>
  <c r="AE46" i="10"/>
  <c r="AE47" i="10" s="1"/>
  <c r="AE48" i="10" s="1"/>
  <c r="AE49" i="10" s="1"/>
  <c r="AE50" i="10" s="1"/>
  <c r="AE51" i="10" s="1"/>
  <c r="AE52" i="10" s="1"/>
  <c r="AE53" i="10" s="1"/>
  <c r="D31" i="1"/>
  <c r="K46" i="25" l="1"/>
  <c r="L46" i="25" s="1"/>
  <c r="M46" i="25" s="1"/>
  <c r="N46" i="25" s="1"/>
  <c r="O46" i="25" s="1"/>
  <c r="P46" i="25" s="1"/>
  <c r="Q46" i="25" s="1"/>
  <c r="R46" i="25" s="1"/>
  <c r="S46" i="25" s="1"/>
  <c r="T46" i="25" s="1"/>
  <c r="U46" i="25" s="1"/>
  <c r="V46" i="25" s="1"/>
  <c r="W46" i="25" s="1"/>
  <c r="X46" i="25" s="1"/>
  <c r="Y46" i="25" s="1"/>
  <c r="Z46" i="25" s="1"/>
  <c r="AA46" i="25" s="1"/>
  <c r="AB46" i="25" s="1"/>
  <c r="AC46" i="25" s="1"/>
  <c r="AD46" i="25" s="1"/>
  <c r="AE46" i="25" s="1"/>
  <c r="AF46" i="25" s="1"/>
  <c r="AG46" i="25" s="1"/>
  <c r="AH46" i="25" s="1"/>
  <c r="AI46" i="25" s="1"/>
  <c r="AJ46" i="25" s="1"/>
  <c r="G280" i="40"/>
  <c r="G399" i="40"/>
  <c r="G199" i="40"/>
  <c r="F485" i="40"/>
  <c r="F442" i="40"/>
  <c r="L7" i="40"/>
  <c r="S323" i="40"/>
  <c r="M242" i="40"/>
  <c r="M84" i="40"/>
  <c r="L1" i="40"/>
  <c r="L43" i="40"/>
  <c r="M161" i="40"/>
  <c r="L361" i="40"/>
  <c r="N120" i="40"/>
  <c r="BX353" i="13"/>
  <c r="BW353" i="13"/>
  <c r="BV353" i="13"/>
  <c r="BU353" i="13"/>
  <c r="BT353" i="13"/>
  <c r="BS353" i="13"/>
  <c r="BR353" i="13"/>
  <c r="BQ353" i="13"/>
  <c r="BP353" i="13"/>
  <c r="BO353" i="13"/>
  <c r="BN353" i="13"/>
  <c r="BM353" i="13"/>
  <c r="BL353" i="13"/>
  <c r="BK353" i="13"/>
  <c r="BJ353" i="13"/>
  <c r="BI353" i="13"/>
  <c r="BH353" i="13"/>
  <c r="BG353" i="13"/>
  <c r="BF353" i="13"/>
  <c r="BE353" i="13"/>
  <c r="BD353" i="13"/>
  <c r="BC353" i="13"/>
  <c r="BB353" i="13"/>
  <c r="BA353" i="13"/>
  <c r="AZ353" i="13"/>
  <c r="AY353" i="13"/>
  <c r="AX353" i="13"/>
  <c r="AW353" i="13"/>
  <c r="AV353" i="13"/>
  <c r="AU353" i="13"/>
  <c r="AT353" i="13"/>
  <c r="AS353" i="13"/>
  <c r="AR353" i="13"/>
  <c r="AQ353" i="13"/>
  <c r="AP353" i="13"/>
  <c r="AO353" i="13"/>
  <c r="AN353" i="13"/>
  <c r="AM353" i="13"/>
  <c r="AL353" i="13"/>
  <c r="AK353" i="13"/>
  <c r="AJ353" i="13"/>
  <c r="AI353" i="13"/>
  <c r="AH353" i="13"/>
  <c r="AG353" i="13"/>
  <c r="AF353" i="13"/>
  <c r="AE353" i="13"/>
  <c r="AD353" i="13"/>
  <c r="AC353" i="13"/>
  <c r="AB353" i="13"/>
  <c r="AA353" i="13"/>
  <c r="Z353" i="13"/>
  <c r="Y353" i="13"/>
  <c r="X353" i="13"/>
  <c r="W353" i="13"/>
  <c r="V353" i="13"/>
  <c r="U353" i="13"/>
  <c r="T353" i="13"/>
  <c r="S353" i="13"/>
  <c r="R353" i="13"/>
  <c r="Q353" i="13"/>
  <c r="P353" i="13"/>
  <c r="O353" i="13"/>
  <c r="N353" i="13"/>
  <c r="M353" i="13"/>
  <c r="L353" i="13"/>
  <c r="K353" i="13"/>
  <c r="J353" i="13"/>
  <c r="I353" i="13"/>
  <c r="H353" i="13"/>
  <c r="G353" i="13"/>
  <c r="F353" i="13"/>
  <c r="BX352" i="13"/>
  <c r="BW352" i="13"/>
  <c r="BV352" i="13"/>
  <c r="BU352" i="13"/>
  <c r="BT352" i="13"/>
  <c r="BS352" i="13"/>
  <c r="BR352" i="13"/>
  <c r="BQ352" i="13"/>
  <c r="BP352" i="13"/>
  <c r="BO352" i="13"/>
  <c r="BN352" i="13"/>
  <c r="BM352" i="13"/>
  <c r="BL352" i="13"/>
  <c r="BK352" i="13"/>
  <c r="BJ352" i="13"/>
  <c r="BI352" i="13"/>
  <c r="BH352" i="13"/>
  <c r="BG352" i="13"/>
  <c r="BF352" i="13"/>
  <c r="BE352" i="13"/>
  <c r="BD352" i="13"/>
  <c r="BC352" i="13"/>
  <c r="BB352" i="13"/>
  <c r="BA352" i="13"/>
  <c r="AZ352" i="13"/>
  <c r="AY352" i="13"/>
  <c r="AX352" i="13"/>
  <c r="AW352" i="13"/>
  <c r="AV352" i="13"/>
  <c r="AU352" i="13"/>
  <c r="AT352" i="13"/>
  <c r="AS352" i="13"/>
  <c r="AR352" i="13"/>
  <c r="AQ352" i="13"/>
  <c r="AP352" i="13"/>
  <c r="AO352" i="13"/>
  <c r="AN352" i="13"/>
  <c r="AM352" i="13"/>
  <c r="AL352" i="13"/>
  <c r="AK352" i="13"/>
  <c r="AJ352" i="13"/>
  <c r="AI352" i="13"/>
  <c r="AH352" i="13"/>
  <c r="AG352" i="13"/>
  <c r="AF352" i="13"/>
  <c r="AE352" i="13"/>
  <c r="AD352" i="13"/>
  <c r="AC352" i="13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BX351" i="13"/>
  <c r="BW351" i="13"/>
  <c r="BV351" i="13"/>
  <c r="BU351" i="13"/>
  <c r="BT351" i="13"/>
  <c r="BS351" i="13"/>
  <c r="BR351" i="13"/>
  <c r="BQ351" i="13"/>
  <c r="BP351" i="13"/>
  <c r="BO351" i="13"/>
  <c r="BN351" i="13"/>
  <c r="BM351" i="13"/>
  <c r="BL351" i="13"/>
  <c r="BK351" i="13"/>
  <c r="BJ351" i="13"/>
  <c r="BI351" i="13"/>
  <c r="BH351" i="13"/>
  <c r="BG351" i="13"/>
  <c r="BF351" i="13"/>
  <c r="BE351" i="13"/>
  <c r="BD351" i="13"/>
  <c r="BC351" i="13"/>
  <c r="BB351" i="13"/>
  <c r="BA351" i="13"/>
  <c r="AZ351" i="13"/>
  <c r="AY351" i="13"/>
  <c r="AX351" i="13"/>
  <c r="AW351" i="13"/>
  <c r="AV351" i="13"/>
  <c r="AU351" i="13"/>
  <c r="AT351" i="13"/>
  <c r="AS351" i="13"/>
  <c r="AR351" i="13"/>
  <c r="AQ351" i="13"/>
  <c r="AP351" i="13"/>
  <c r="AO351" i="13"/>
  <c r="AN351" i="13"/>
  <c r="AM351" i="13"/>
  <c r="AL351" i="13"/>
  <c r="AK351" i="13"/>
  <c r="AJ351" i="13"/>
  <c r="AI351" i="13"/>
  <c r="AH351" i="13"/>
  <c r="AG351" i="13"/>
  <c r="AF351" i="13"/>
  <c r="AE351" i="13"/>
  <c r="AD351" i="13"/>
  <c r="AC351" i="13"/>
  <c r="AB351" i="13"/>
  <c r="AA351" i="13"/>
  <c r="Z351" i="13"/>
  <c r="Y351" i="13"/>
  <c r="X351" i="13"/>
  <c r="W351" i="13"/>
  <c r="V351" i="13"/>
  <c r="U351" i="13"/>
  <c r="T351" i="13"/>
  <c r="S351" i="13"/>
  <c r="R351" i="13"/>
  <c r="Q351" i="13"/>
  <c r="P351" i="13"/>
  <c r="O351" i="13"/>
  <c r="N351" i="13"/>
  <c r="M351" i="13"/>
  <c r="L351" i="13"/>
  <c r="K351" i="13"/>
  <c r="J351" i="13"/>
  <c r="I351" i="13"/>
  <c r="H351" i="13"/>
  <c r="G351" i="13"/>
  <c r="F351" i="13"/>
  <c r="BX350" i="13"/>
  <c r="BW350" i="13"/>
  <c r="BV350" i="13"/>
  <c r="BU350" i="13"/>
  <c r="BT350" i="13"/>
  <c r="BS350" i="13"/>
  <c r="BR350" i="13"/>
  <c r="BQ350" i="13"/>
  <c r="BP350" i="13"/>
  <c r="BO350" i="13"/>
  <c r="BN350" i="13"/>
  <c r="BM350" i="13"/>
  <c r="BL350" i="13"/>
  <c r="BK350" i="13"/>
  <c r="BJ350" i="13"/>
  <c r="BI350" i="13"/>
  <c r="BH350" i="13"/>
  <c r="BG350" i="13"/>
  <c r="BF350" i="13"/>
  <c r="BE350" i="13"/>
  <c r="BD350" i="13"/>
  <c r="BC350" i="13"/>
  <c r="BB350" i="13"/>
  <c r="BA350" i="13"/>
  <c r="AZ350" i="13"/>
  <c r="AY350" i="13"/>
  <c r="AX350" i="13"/>
  <c r="AW350" i="13"/>
  <c r="AV350" i="13"/>
  <c r="AU350" i="13"/>
  <c r="AT350" i="13"/>
  <c r="AS350" i="13"/>
  <c r="AR350" i="13"/>
  <c r="AQ350" i="13"/>
  <c r="AP350" i="13"/>
  <c r="AO350" i="13"/>
  <c r="AN350" i="13"/>
  <c r="AM350" i="13"/>
  <c r="AL350" i="13"/>
  <c r="AK350" i="13"/>
  <c r="AJ350" i="13"/>
  <c r="AI350" i="13"/>
  <c r="AH350" i="13"/>
  <c r="AG350" i="13"/>
  <c r="AF350" i="13"/>
  <c r="AE350" i="13"/>
  <c r="AD350" i="13"/>
  <c r="AC350" i="13"/>
  <c r="AB350" i="13"/>
  <c r="AA350" i="13"/>
  <c r="Z350" i="13"/>
  <c r="Y350" i="13"/>
  <c r="X350" i="13"/>
  <c r="W350" i="13"/>
  <c r="V350" i="13"/>
  <c r="U350" i="13"/>
  <c r="T350" i="13"/>
  <c r="S350" i="13"/>
  <c r="R350" i="13"/>
  <c r="Q350" i="13"/>
  <c r="P350" i="13"/>
  <c r="O350" i="13"/>
  <c r="N350" i="13"/>
  <c r="M350" i="13"/>
  <c r="L350" i="13"/>
  <c r="K350" i="13"/>
  <c r="J350" i="13"/>
  <c r="I350" i="13"/>
  <c r="H350" i="13"/>
  <c r="G350" i="13"/>
  <c r="F350" i="13"/>
  <c r="BX349" i="13"/>
  <c r="BW349" i="13"/>
  <c r="BV349" i="13"/>
  <c r="BU349" i="13"/>
  <c r="BT349" i="13"/>
  <c r="BS349" i="13"/>
  <c r="BR349" i="13"/>
  <c r="BQ349" i="13"/>
  <c r="BP349" i="13"/>
  <c r="BO349" i="13"/>
  <c r="BN349" i="13"/>
  <c r="BM349" i="13"/>
  <c r="BL349" i="13"/>
  <c r="BK349" i="13"/>
  <c r="BJ349" i="13"/>
  <c r="BI349" i="13"/>
  <c r="BH349" i="13"/>
  <c r="BG349" i="13"/>
  <c r="BF349" i="13"/>
  <c r="BE349" i="13"/>
  <c r="BD349" i="13"/>
  <c r="BC349" i="13"/>
  <c r="BB349" i="13"/>
  <c r="BA349" i="13"/>
  <c r="AZ349" i="13"/>
  <c r="AY349" i="13"/>
  <c r="AX349" i="13"/>
  <c r="AW349" i="13"/>
  <c r="AV349" i="13"/>
  <c r="AU349" i="13"/>
  <c r="AT349" i="13"/>
  <c r="AS349" i="13"/>
  <c r="AR349" i="13"/>
  <c r="AQ349" i="13"/>
  <c r="AP349" i="13"/>
  <c r="AO349" i="13"/>
  <c r="AN349" i="13"/>
  <c r="AM349" i="13"/>
  <c r="AL349" i="13"/>
  <c r="AK349" i="13"/>
  <c r="AJ349" i="13"/>
  <c r="AI349" i="13"/>
  <c r="AH349" i="13"/>
  <c r="AG349" i="13"/>
  <c r="AF349" i="13"/>
  <c r="AE349" i="13"/>
  <c r="AD349" i="13"/>
  <c r="AC349" i="13"/>
  <c r="AB349" i="13"/>
  <c r="AA349" i="13"/>
  <c r="Z349" i="13"/>
  <c r="Y349" i="13"/>
  <c r="X349" i="13"/>
  <c r="W349" i="13"/>
  <c r="V349" i="13"/>
  <c r="U349" i="13"/>
  <c r="T349" i="13"/>
  <c r="S349" i="13"/>
  <c r="R349" i="13"/>
  <c r="Q349" i="13"/>
  <c r="P349" i="13"/>
  <c r="O349" i="13"/>
  <c r="N349" i="13"/>
  <c r="M349" i="13"/>
  <c r="L349" i="13"/>
  <c r="K349" i="13"/>
  <c r="J349" i="13"/>
  <c r="I349" i="13"/>
  <c r="H349" i="13"/>
  <c r="G349" i="13"/>
  <c r="F349" i="13"/>
  <c r="BX348" i="13"/>
  <c r="BW348" i="13"/>
  <c r="BV348" i="13"/>
  <c r="BU348" i="13"/>
  <c r="BT348" i="13"/>
  <c r="BS348" i="13"/>
  <c r="BR348" i="13"/>
  <c r="BQ348" i="13"/>
  <c r="BP348" i="13"/>
  <c r="BO348" i="13"/>
  <c r="BN348" i="13"/>
  <c r="BM348" i="13"/>
  <c r="BL348" i="13"/>
  <c r="BK348" i="13"/>
  <c r="BJ348" i="13"/>
  <c r="BI348" i="13"/>
  <c r="BH348" i="13"/>
  <c r="BG348" i="13"/>
  <c r="BF348" i="13"/>
  <c r="BE348" i="13"/>
  <c r="BD348" i="13"/>
  <c r="BC348" i="13"/>
  <c r="BB348" i="13"/>
  <c r="BA348" i="13"/>
  <c r="AZ348" i="13"/>
  <c r="AY348" i="13"/>
  <c r="AX348" i="13"/>
  <c r="AW348" i="13"/>
  <c r="AV348" i="13"/>
  <c r="AU348" i="13"/>
  <c r="AT348" i="13"/>
  <c r="AS348" i="13"/>
  <c r="AR348" i="13"/>
  <c r="AQ348" i="13"/>
  <c r="AP348" i="13"/>
  <c r="AO348" i="13"/>
  <c r="AN348" i="13"/>
  <c r="AM348" i="13"/>
  <c r="AL348" i="13"/>
  <c r="AK348" i="13"/>
  <c r="AJ348" i="13"/>
  <c r="AI348" i="13"/>
  <c r="AH348" i="13"/>
  <c r="AG348" i="13"/>
  <c r="AF348" i="13"/>
  <c r="AE348" i="13"/>
  <c r="AD348" i="13"/>
  <c r="AC348" i="13"/>
  <c r="AB348" i="13"/>
  <c r="AA348" i="13"/>
  <c r="Z348" i="13"/>
  <c r="Y348" i="13"/>
  <c r="X348" i="13"/>
  <c r="W348" i="13"/>
  <c r="V348" i="13"/>
  <c r="U348" i="13"/>
  <c r="T348" i="13"/>
  <c r="S348" i="13"/>
  <c r="R348" i="13"/>
  <c r="Q348" i="13"/>
  <c r="P348" i="13"/>
  <c r="O348" i="13"/>
  <c r="N348" i="13"/>
  <c r="M348" i="13"/>
  <c r="L348" i="13"/>
  <c r="K348" i="13"/>
  <c r="J348" i="13"/>
  <c r="I348" i="13"/>
  <c r="H348" i="13"/>
  <c r="G348" i="13"/>
  <c r="F348" i="13"/>
  <c r="BX347" i="13"/>
  <c r="BW347" i="13"/>
  <c r="BV347" i="13"/>
  <c r="BU347" i="13"/>
  <c r="BT347" i="13"/>
  <c r="BS347" i="13"/>
  <c r="BR347" i="13"/>
  <c r="BQ347" i="13"/>
  <c r="BP347" i="13"/>
  <c r="BO347" i="13"/>
  <c r="BN347" i="13"/>
  <c r="BM347" i="13"/>
  <c r="BL347" i="13"/>
  <c r="BK347" i="13"/>
  <c r="BJ347" i="13"/>
  <c r="BI347" i="13"/>
  <c r="BH347" i="13"/>
  <c r="BG347" i="13"/>
  <c r="BF347" i="13"/>
  <c r="BE347" i="13"/>
  <c r="BD347" i="13"/>
  <c r="BC347" i="13"/>
  <c r="BB347" i="13"/>
  <c r="BA347" i="13"/>
  <c r="AZ347" i="13"/>
  <c r="AY347" i="13"/>
  <c r="AX347" i="13"/>
  <c r="AW347" i="13"/>
  <c r="AV347" i="13"/>
  <c r="AU347" i="13"/>
  <c r="AT347" i="13"/>
  <c r="AS347" i="13"/>
  <c r="AR347" i="13"/>
  <c r="AQ347" i="13"/>
  <c r="AP347" i="13"/>
  <c r="AO347" i="13"/>
  <c r="AN347" i="13"/>
  <c r="AM347" i="13"/>
  <c r="AL347" i="13"/>
  <c r="AK347" i="13"/>
  <c r="AJ347" i="13"/>
  <c r="AI347" i="13"/>
  <c r="AH347" i="13"/>
  <c r="AG347" i="13"/>
  <c r="AF347" i="13"/>
  <c r="AE347" i="13"/>
  <c r="AD347" i="13"/>
  <c r="AC347" i="13"/>
  <c r="AB347" i="13"/>
  <c r="AA347" i="13"/>
  <c r="Z347" i="13"/>
  <c r="Y347" i="13"/>
  <c r="X347" i="13"/>
  <c r="W347" i="13"/>
  <c r="V347" i="13"/>
  <c r="U347" i="13"/>
  <c r="T347" i="13"/>
  <c r="S347" i="13"/>
  <c r="R347" i="13"/>
  <c r="Q347" i="13"/>
  <c r="P347" i="13"/>
  <c r="O347" i="13"/>
  <c r="N347" i="13"/>
  <c r="M347" i="13"/>
  <c r="L347" i="13"/>
  <c r="K347" i="13"/>
  <c r="J347" i="13"/>
  <c r="I347" i="13"/>
  <c r="H347" i="13"/>
  <c r="G347" i="13"/>
  <c r="F347" i="13"/>
  <c r="BX346" i="13"/>
  <c r="BW346" i="13"/>
  <c r="BV346" i="13"/>
  <c r="BU346" i="13"/>
  <c r="BT346" i="13"/>
  <c r="BS346" i="13"/>
  <c r="BR346" i="13"/>
  <c r="BQ346" i="13"/>
  <c r="BP346" i="13"/>
  <c r="BO346" i="13"/>
  <c r="BN346" i="13"/>
  <c r="BM346" i="13"/>
  <c r="BL346" i="13"/>
  <c r="BK346" i="13"/>
  <c r="BJ346" i="13"/>
  <c r="BI346" i="13"/>
  <c r="BH346" i="13"/>
  <c r="BG346" i="13"/>
  <c r="BF346" i="13"/>
  <c r="BE346" i="13"/>
  <c r="BD346" i="13"/>
  <c r="BC346" i="13"/>
  <c r="BB346" i="13"/>
  <c r="BA346" i="13"/>
  <c r="AZ346" i="13"/>
  <c r="AY346" i="13"/>
  <c r="AX346" i="13"/>
  <c r="AW346" i="13"/>
  <c r="AV346" i="13"/>
  <c r="AU346" i="13"/>
  <c r="AT346" i="13"/>
  <c r="AS346" i="13"/>
  <c r="AR346" i="13"/>
  <c r="AQ346" i="13"/>
  <c r="AP346" i="13"/>
  <c r="AO346" i="13"/>
  <c r="AN346" i="13"/>
  <c r="AM346" i="13"/>
  <c r="AL346" i="13"/>
  <c r="AK346" i="13"/>
  <c r="AJ346" i="13"/>
  <c r="AI346" i="13"/>
  <c r="AH346" i="13"/>
  <c r="AG346" i="13"/>
  <c r="AF346" i="13"/>
  <c r="AE346" i="13"/>
  <c r="AD346" i="13"/>
  <c r="AC346" i="13"/>
  <c r="AB346" i="13"/>
  <c r="AA346" i="13"/>
  <c r="Z346" i="13"/>
  <c r="Y346" i="13"/>
  <c r="X346" i="13"/>
  <c r="W346" i="13"/>
  <c r="V346" i="13"/>
  <c r="U346" i="13"/>
  <c r="T346" i="13"/>
  <c r="S346" i="13"/>
  <c r="R346" i="13"/>
  <c r="Q346" i="13"/>
  <c r="P346" i="13"/>
  <c r="O346" i="13"/>
  <c r="N346" i="13"/>
  <c r="M346" i="13"/>
  <c r="L346" i="13"/>
  <c r="K346" i="13"/>
  <c r="J346" i="13"/>
  <c r="I346" i="13"/>
  <c r="H346" i="13"/>
  <c r="G346" i="13"/>
  <c r="F346" i="13"/>
  <c r="BX345" i="13"/>
  <c r="BW345" i="13"/>
  <c r="BV345" i="13"/>
  <c r="BU345" i="13"/>
  <c r="BT345" i="13"/>
  <c r="BS345" i="13"/>
  <c r="BR345" i="13"/>
  <c r="BQ345" i="13"/>
  <c r="BP345" i="13"/>
  <c r="BO345" i="13"/>
  <c r="BN345" i="13"/>
  <c r="BM345" i="13"/>
  <c r="BL345" i="13"/>
  <c r="BK345" i="13"/>
  <c r="BJ345" i="13"/>
  <c r="BI345" i="13"/>
  <c r="BH345" i="13"/>
  <c r="BG345" i="13"/>
  <c r="BF345" i="13"/>
  <c r="BE345" i="13"/>
  <c r="BD345" i="13"/>
  <c r="BC345" i="13"/>
  <c r="BB345" i="13"/>
  <c r="BA345" i="13"/>
  <c r="AZ345" i="13"/>
  <c r="AY345" i="13"/>
  <c r="AX345" i="13"/>
  <c r="AW345" i="13"/>
  <c r="AV345" i="13"/>
  <c r="AU345" i="13"/>
  <c r="AT345" i="13"/>
  <c r="AS345" i="13"/>
  <c r="AR345" i="13"/>
  <c r="AQ345" i="13"/>
  <c r="AP345" i="13"/>
  <c r="AO345" i="13"/>
  <c r="AN345" i="13"/>
  <c r="AM345" i="13"/>
  <c r="AL345" i="13"/>
  <c r="AK345" i="13"/>
  <c r="AJ345" i="13"/>
  <c r="AI345" i="13"/>
  <c r="AH345" i="13"/>
  <c r="AG345" i="13"/>
  <c r="AF345" i="13"/>
  <c r="AE345" i="13"/>
  <c r="AD345" i="13"/>
  <c r="AC345" i="13"/>
  <c r="AB345" i="13"/>
  <c r="AA345" i="13"/>
  <c r="Z345" i="13"/>
  <c r="Y345" i="13"/>
  <c r="X345" i="13"/>
  <c r="W345" i="13"/>
  <c r="V345" i="13"/>
  <c r="U345" i="13"/>
  <c r="T345" i="13"/>
  <c r="S345" i="13"/>
  <c r="R345" i="13"/>
  <c r="Q345" i="13"/>
  <c r="P345" i="13"/>
  <c r="O345" i="13"/>
  <c r="N345" i="13"/>
  <c r="M345" i="13"/>
  <c r="L345" i="13"/>
  <c r="K345" i="13"/>
  <c r="J345" i="13"/>
  <c r="I345" i="13"/>
  <c r="H345" i="13"/>
  <c r="G345" i="13"/>
  <c r="F345" i="13"/>
  <c r="BX344" i="13"/>
  <c r="BW344" i="13"/>
  <c r="BV344" i="13"/>
  <c r="BU344" i="13"/>
  <c r="BT344" i="13"/>
  <c r="BS344" i="13"/>
  <c r="BR344" i="13"/>
  <c r="BQ344" i="13"/>
  <c r="BP344" i="13"/>
  <c r="BO344" i="13"/>
  <c r="BN344" i="13"/>
  <c r="BM344" i="13"/>
  <c r="BL344" i="13"/>
  <c r="BK344" i="13"/>
  <c r="BJ344" i="13"/>
  <c r="BI344" i="13"/>
  <c r="BH344" i="13"/>
  <c r="BG344" i="13"/>
  <c r="BF344" i="13"/>
  <c r="BE344" i="13"/>
  <c r="BD344" i="13"/>
  <c r="BC344" i="13"/>
  <c r="BB344" i="13"/>
  <c r="BA344" i="13"/>
  <c r="AZ344" i="13"/>
  <c r="AY344" i="13"/>
  <c r="AX344" i="13"/>
  <c r="AW344" i="13"/>
  <c r="AV344" i="13"/>
  <c r="AU344" i="13"/>
  <c r="AT344" i="13"/>
  <c r="AS344" i="13"/>
  <c r="AR344" i="13"/>
  <c r="AQ344" i="13"/>
  <c r="AP344" i="13"/>
  <c r="AO344" i="13"/>
  <c r="AN344" i="13"/>
  <c r="AM344" i="13"/>
  <c r="AL344" i="13"/>
  <c r="AK344" i="13"/>
  <c r="AJ344" i="13"/>
  <c r="AI344" i="13"/>
  <c r="AH344" i="13"/>
  <c r="AG344" i="13"/>
  <c r="AF344" i="13"/>
  <c r="AE344" i="13"/>
  <c r="AD344" i="13"/>
  <c r="AC344" i="13"/>
  <c r="AB344" i="13"/>
  <c r="AA344" i="13"/>
  <c r="Z344" i="13"/>
  <c r="Y344" i="13"/>
  <c r="X344" i="13"/>
  <c r="W344" i="13"/>
  <c r="V344" i="13"/>
  <c r="U344" i="13"/>
  <c r="T344" i="13"/>
  <c r="S344" i="13"/>
  <c r="R344" i="13"/>
  <c r="Q344" i="13"/>
  <c r="P344" i="13"/>
  <c r="O344" i="13"/>
  <c r="N344" i="13"/>
  <c r="M344" i="13"/>
  <c r="L344" i="13"/>
  <c r="K344" i="13"/>
  <c r="J344" i="13"/>
  <c r="I344" i="13"/>
  <c r="H344" i="13"/>
  <c r="G344" i="13"/>
  <c r="F344" i="13"/>
  <c r="BX343" i="13"/>
  <c r="BW343" i="13"/>
  <c r="BV343" i="13"/>
  <c r="BU343" i="13"/>
  <c r="BT343" i="13"/>
  <c r="BS343" i="13"/>
  <c r="BR343" i="13"/>
  <c r="BQ343" i="13"/>
  <c r="BP343" i="13"/>
  <c r="BO343" i="13"/>
  <c r="BN343" i="13"/>
  <c r="BM343" i="13"/>
  <c r="BL343" i="13"/>
  <c r="BK343" i="13"/>
  <c r="BJ343" i="13"/>
  <c r="BI343" i="13"/>
  <c r="BH343" i="13"/>
  <c r="BG343" i="13"/>
  <c r="BF343" i="13"/>
  <c r="BE343" i="13"/>
  <c r="BD343" i="13"/>
  <c r="BC343" i="13"/>
  <c r="BB343" i="13"/>
  <c r="BA343" i="13"/>
  <c r="AZ343" i="13"/>
  <c r="AY343" i="13"/>
  <c r="AX343" i="13"/>
  <c r="AW343" i="13"/>
  <c r="AV343" i="13"/>
  <c r="AU343" i="13"/>
  <c r="AT343" i="13"/>
  <c r="AS343" i="13"/>
  <c r="AR343" i="13"/>
  <c r="AQ343" i="13"/>
  <c r="AP343" i="13"/>
  <c r="AO343" i="13"/>
  <c r="AN343" i="13"/>
  <c r="AM343" i="13"/>
  <c r="AL343" i="13"/>
  <c r="AK343" i="13"/>
  <c r="AJ343" i="13"/>
  <c r="AI343" i="13"/>
  <c r="AH343" i="13"/>
  <c r="AG343" i="13"/>
  <c r="AF343" i="13"/>
  <c r="AE343" i="13"/>
  <c r="AD343" i="13"/>
  <c r="AC343" i="13"/>
  <c r="AB343" i="13"/>
  <c r="AA343" i="13"/>
  <c r="Z343" i="13"/>
  <c r="Y343" i="13"/>
  <c r="X343" i="13"/>
  <c r="W343" i="13"/>
  <c r="V343" i="13"/>
  <c r="U343" i="13"/>
  <c r="T343" i="13"/>
  <c r="S343" i="13"/>
  <c r="R343" i="13"/>
  <c r="Q343" i="13"/>
  <c r="P343" i="13"/>
  <c r="O343" i="13"/>
  <c r="N343" i="13"/>
  <c r="M343" i="13"/>
  <c r="L343" i="13"/>
  <c r="K343" i="13"/>
  <c r="J343" i="13"/>
  <c r="I343" i="13"/>
  <c r="H343" i="13"/>
  <c r="G343" i="13"/>
  <c r="F343" i="13"/>
  <c r="BX342" i="13"/>
  <c r="BW342" i="13"/>
  <c r="BV342" i="13"/>
  <c r="BU342" i="13"/>
  <c r="BT342" i="13"/>
  <c r="BS342" i="13"/>
  <c r="BR342" i="13"/>
  <c r="BQ342" i="13"/>
  <c r="BP342" i="13"/>
  <c r="BO342" i="13"/>
  <c r="BN342" i="13"/>
  <c r="BM342" i="13"/>
  <c r="BL342" i="13"/>
  <c r="BK342" i="13"/>
  <c r="BJ342" i="13"/>
  <c r="BI342" i="13"/>
  <c r="BH342" i="13"/>
  <c r="BG342" i="13"/>
  <c r="BF342" i="13"/>
  <c r="BE342" i="13"/>
  <c r="BD342" i="13"/>
  <c r="BC342" i="13"/>
  <c r="BB342" i="13"/>
  <c r="BA342" i="13"/>
  <c r="AZ342" i="13"/>
  <c r="AY342" i="13"/>
  <c r="AX342" i="13"/>
  <c r="AW342" i="13"/>
  <c r="AV342" i="13"/>
  <c r="AU342" i="13"/>
  <c r="AT342" i="13"/>
  <c r="AS342" i="13"/>
  <c r="AR342" i="13"/>
  <c r="AQ342" i="13"/>
  <c r="AP342" i="13"/>
  <c r="AO342" i="13"/>
  <c r="AN342" i="13"/>
  <c r="AM342" i="13"/>
  <c r="AL342" i="13"/>
  <c r="AK342" i="13"/>
  <c r="AJ342" i="13"/>
  <c r="AI342" i="13"/>
  <c r="AH342" i="13"/>
  <c r="AG342" i="13"/>
  <c r="AF342" i="13"/>
  <c r="AE342" i="13"/>
  <c r="AD342" i="13"/>
  <c r="AC342" i="13"/>
  <c r="AB342" i="13"/>
  <c r="AA342" i="13"/>
  <c r="Z342" i="13"/>
  <c r="Y342" i="13"/>
  <c r="X342" i="13"/>
  <c r="W342" i="13"/>
  <c r="V342" i="13"/>
  <c r="U342" i="13"/>
  <c r="T342" i="13"/>
  <c r="S342" i="13"/>
  <c r="R342" i="13"/>
  <c r="Q342" i="13"/>
  <c r="P342" i="13"/>
  <c r="O342" i="13"/>
  <c r="N342" i="13"/>
  <c r="M342" i="13"/>
  <c r="L342" i="13"/>
  <c r="K342" i="13"/>
  <c r="J342" i="13"/>
  <c r="I342" i="13"/>
  <c r="H342" i="13"/>
  <c r="G342" i="13"/>
  <c r="F342" i="13"/>
  <c r="BX341" i="13"/>
  <c r="BW341" i="13"/>
  <c r="BV341" i="13"/>
  <c r="BU341" i="13"/>
  <c r="BT341" i="13"/>
  <c r="BS341" i="13"/>
  <c r="BR341" i="13"/>
  <c r="BQ341" i="13"/>
  <c r="BP341" i="13"/>
  <c r="BO341" i="13"/>
  <c r="BN341" i="13"/>
  <c r="BM341" i="13"/>
  <c r="BL341" i="13"/>
  <c r="BK341" i="13"/>
  <c r="BJ341" i="13"/>
  <c r="BI341" i="13"/>
  <c r="BH341" i="13"/>
  <c r="BG341" i="13"/>
  <c r="BF341" i="13"/>
  <c r="BE341" i="13"/>
  <c r="BD341" i="13"/>
  <c r="BC341" i="13"/>
  <c r="BB341" i="13"/>
  <c r="BA341" i="13"/>
  <c r="AZ341" i="13"/>
  <c r="AY341" i="13"/>
  <c r="AX341" i="13"/>
  <c r="AW341" i="13"/>
  <c r="AV341" i="13"/>
  <c r="AU341" i="13"/>
  <c r="AT341" i="13"/>
  <c r="AS341" i="13"/>
  <c r="AR341" i="13"/>
  <c r="AQ341" i="13"/>
  <c r="AP341" i="13"/>
  <c r="AO341" i="13"/>
  <c r="AN341" i="13"/>
  <c r="AM341" i="13"/>
  <c r="AL341" i="13"/>
  <c r="AK341" i="13"/>
  <c r="AJ341" i="13"/>
  <c r="AI341" i="13"/>
  <c r="AH341" i="13"/>
  <c r="AG341" i="13"/>
  <c r="AF341" i="13"/>
  <c r="AE341" i="13"/>
  <c r="AD341" i="13"/>
  <c r="AC341" i="13"/>
  <c r="AB341" i="13"/>
  <c r="AA341" i="13"/>
  <c r="Z341" i="13"/>
  <c r="Y341" i="13"/>
  <c r="X341" i="13"/>
  <c r="W341" i="13"/>
  <c r="V341" i="13"/>
  <c r="U34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AF159" i="13"/>
  <c r="AG159" i="13" s="1"/>
  <c r="AH159" i="13" s="1"/>
  <c r="AI159" i="13" s="1"/>
  <c r="AJ159" i="13" s="1"/>
  <c r="AK159" i="13" s="1"/>
  <c r="AL159" i="13" s="1"/>
  <c r="AM159" i="13" s="1"/>
  <c r="AN159" i="13" s="1"/>
  <c r="AO159" i="13" s="1"/>
  <c r="AP159" i="13" s="1"/>
  <c r="AQ159" i="13" s="1"/>
  <c r="AR159" i="13" s="1"/>
  <c r="AS159" i="13" s="1"/>
  <c r="AT159" i="13" s="1"/>
  <c r="AU159" i="13" s="1"/>
  <c r="AV159" i="13" s="1"/>
  <c r="AW159" i="13" s="1"/>
  <c r="AX159" i="13" s="1"/>
  <c r="AY159" i="13" s="1"/>
  <c r="AZ159" i="13" s="1"/>
  <c r="BA159" i="13" s="1"/>
  <c r="BB159" i="13" s="1"/>
  <c r="BC159" i="13" s="1"/>
  <c r="BD159" i="13" s="1"/>
  <c r="BE159" i="13" s="1"/>
  <c r="BF159" i="13" s="1"/>
  <c r="BG159" i="13" s="1"/>
  <c r="BH159" i="13" s="1"/>
  <c r="BI159" i="13" s="1"/>
  <c r="BJ159" i="13" s="1"/>
  <c r="BK159" i="13" s="1"/>
  <c r="BL159" i="13" s="1"/>
  <c r="BM159" i="13" s="1"/>
  <c r="BN159" i="13" s="1"/>
  <c r="BO159" i="13" s="1"/>
  <c r="BP159" i="13" s="1"/>
  <c r="BQ159" i="13" s="1"/>
  <c r="BR159" i="13" s="1"/>
  <c r="BS159" i="13" s="1"/>
  <c r="BT159" i="13" s="1"/>
  <c r="BU159" i="13" s="1"/>
  <c r="BV159" i="13" s="1"/>
  <c r="BW159" i="13" s="1"/>
  <c r="BX159" i="13" s="1"/>
  <c r="AF158" i="13"/>
  <c r="AG158" i="13" s="1"/>
  <c r="AH158" i="13" s="1"/>
  <c r="AI158" i="13" s="1"/>
  <c r="AJ158" i="13" s="1"/>
  <c r="AK158" i="13" s="1"/>
  <c r="AL158" i="13" s="1"/>
  <c r="AM158" i="13" s="1"/>
  <c r="AN158" i="13" s="1"/>
  <c r="AO158" i="13" s="1"/>
  <c r="AP158" i="13" s="1"/>
  <c r="AQ158" i="13" s="1"/>
  <c r="AR158" i="13" s="1"/>
  <c r="AS158" i="13" s="1"/>
  <c r="AT158" i="13" s="1"/>
  <c r="AU158" i="13" s="1"/>
  <c r="AV158" i="13" s="1"/>
  <c r="AW158" i="13" s="1"/>
  <c r="AX158" i="13" s="1"/>
  <c r="AY158" i="13" s="1"/>
  <c r="AZ158" i="13" s="1"/>
  <c r="BA158" i="13" s="1"/>
  <c r="BB158" i="13" s="1"/>
  <c r="BC158" i="13" s="1"/>
  <c r="BD158" i="13" s="1"/>
  <c r="BE158" i="13" s="1"/>
  <c r="BF158" i="13" s="1"/>
  <c r="BG158" i="13" s="1"/>
  <c r="BH158" i="13" s="1"/>
  <c r="BI158" i="13" s="1"/>
  <c r="BJ158" i="13" s="1"/>
  <c r="BK158" i="13" s="1"/>
  <c r="BL158" i="13" s="1"/>
  <c r="BM158" i="13" s="1"/>
  <c r="BN158" i="13" s="1"/>
  <c r="BO158" i="13" s="1"/>
  <c r="BP158" i="13" s="1"/>
  <c r="BQ158" i="13" s="1"/>
  <c r="BR158" i="13" s="1"/>
  <c r="BS158" i="13" s="1"/>
  <c r="BT158" i="13" s="1"/>
  <c r="BU158" i="13" s="1"/>
  <c r="BV158" i="13" s="1"/>
  <c r="BW158" i="13" s="1"/>
  <c r="BX158" i="13" s="1"/>
  <c r="AF157" i="13"/>
  <c r="AG157" i="13" s="1"/>
  <c r="AH157" i="13" s="1"/>
  <c r="AI157" i="13" s="1"/>
  <c r="AJ157" i="13" s="1"/>
  <c r="AK157" i="13" s="1"/>
  <c r="AL157" i="13" s="1"/>
  <c r="AM157" i="13" s="1"/>
  <c r="AN157" i="13" s="1"/>
  <c r="AO157" i="13" s="1"/>
  <c r="AP157" i="13" s="1"/>
  <c r="AQ157" i="13" s="1"/>
  <c r="AR157" i="13" s="1"/>
  <c r="AS157" i="13" s="1"/>
  <c r="AT157" i="13" s="1"/>
  <c r="AU157" i="13" s="1"/>
  <c r="AV157" i="13" s="1"/>
  <c r="AW157" i="13" s="1"/>
  <c r="AX157" i="13" s="1"/>
  <c r="AY157" i="13" s="1"/>
  <c r="AZ157" i="13" s="1"/>
  <c r="BA157" i="13" s="1"/>
  <c r="BB157" i="13" s="1"/>
  <c r="BC157" i="13" s="1"/>
  <c r="BD157" i="13" s="1"/>
  <c r="BE157" i="13" s="1"/>
  <c r="BF157" i="13" s="1"/>
  <c r="BG157" i="13" s="1"/>
  <c r="BH157" i="13" s="1"/>
  <c r="BI157" i="13" s="1"/>
  <c r="BJ157" i="13" s="1"/>
  <c r="BK157" i="13" s="1"/>
  <c r="BL157" i="13" s="1"/>
  <c r="BM157" i="13" s="1"/>
  <c r="BN157" i="13" s="1"/>
  <c r="BO157" i="13" s="1"/>
  <c r="BP157" i="13" s="1"/>
  <c r="BQ157" i="13" s="1"/>
  <c r="BR157" i="13" s="1"/>
  <c r="BS157" i="13" s="1"/>
  <c r="BT157" i="13" s="1"/>
  <c r="BU157" i="13" s="1"/>
  <c r="BV157" i="13" s="1"/>
  <c r="BW157" i="13" s="1"/>
  <c r="BX157" i="13" s="1"/>
  <c r="AF156" i="13"/>
  <c r="AG156" i="13" s="1"/>
  <c r="AH156" i="13" s="1"/>
  <c r="AI156" i="13" s="1"/>
  <c r="AJ156" i="13" s="1"/>
  <c r="AK156" i="13" s="1"/>
  <c r="AL156" i="13" s="1"/>
  <c r="AM156" i="13" s="1"/>
  <c r="AN156" i="13" s="1"/>
  <c r="AO156" i="13" s="1"/>
  <c r="AP156" i="13" s="1"/>
  <c r="AQ156" i="13" s="1"/>
  <c r="AR156" i="13" s="1"/>
  <c r="AS156" i="13" s="1"/>
  <c r="AT156" i="13" s="1"/>
  <c r="AU156" i="13" s="1"/>
  <c r="AV156" i="13" s="1"/>
  <c r="AW156" i="13" s="1"/>
  <c r="AX156" i="13" s="1"/>
  <c r="AY156" i="13" s="1"/>
  <c r="AZ156" i="13" s="1"/>
  <c r="BA156" i="13" s="1"/>
  <c r="BB156" i="13" s="1"/>
  <c r="BC156" i="13" s="1"/>
  <c r="BD156" i="13" s="1"/>
  <c r="BE156" i="13" s="1"/>
  <c r="BF156" i="13" s="1"/>
  <c r="BG156" i="13" s="1"/>
  <c r="BH156" i="13" s="1"/>
  <c r="BI156" i="13" s="1"/>
  <c r="BJ156" i="13" s="1"/>
  <c r="BK156" i="13" s="1"/>
  <c r="BL156" i="13" s="1"/>
  <c r="BM156" i="13" s="1"/>
  <c r="BN156" i="13" s="1"/>
  <c r="BO156" i="13" s="1"/>
  <c r="BP156" i="13" s="1"/>
  <c r="BQ156" i="13" s="1"/>
  <c r="BR156" i="13" s="1"/>
  <c r="BS156" i="13" s="1"/>
  <c r="BT156" i="13" s="1"/>
  <c r="BU156" i="13" s="1"/>
  <c r="BV156" i="13" s="1"/>
  <c r="BW156" i="13" s="1"/>
  <c r="BX156" i="13" s="1"/>
  <c r="AF155" i="13"/>
  <c r="AG155" i="13" s="1"/>
  <c r="AH155" i="13" s="1"/>
  <c r="AI155" i="13" s="1"/>
  <c r="AJ155" i="13" s="1"/>
  <c r="AK155" i="13" s="1"/>
  <c r="AL155" i="13" s="1"/>
  <c r="AM155" i="13" s="1"/>
  <c r="AN155" i="13" s="1"/>
  <c r="AO155" i="13" s="1"/>
  <c r="AP155" i="13" s="1"/>
  <c r="AQ155" i="13" s="1"/>
  <c r="AR155" i="13" s="1"/>
  <c r="AS155" i="13" s="1"/>
  <c r="AT155" i="13" s="1"/>
  <c r="AU155" i="13" s="1"/>
  <c r="AV155" i="13" s="1"/>
  <c r="AW155" i="13" s="1"/>
  <c r="AX155" i="13" s="1"/>
  <c r="AY155" i="13" s="1"/>
  <c r="AZ155" i="13" s="1"/>
  <c r="BA155" i="13" s="1"/>
  <c r="BB155" i="13" s="1"/>
  <c r="BC155" i="13" s="1"/>
  <c r="BD155" i="13" s="1"/>
  <c r="BE155" i="13" s="1"/>
  <c r="BF155" i="13" s="1"/>
  <c r="BG155" i="13" s="1"/>
  <c r="BH155" i="13" s="1"/>
  <c r="BI155" i="13" s="1"/>
  <c r="BJ155" i="13" s="1"/>
  <c r="BK155" i="13" s="1"/>
  <c r="BL155" i="13" s="1"/>
  <c r="BM155" i="13" s="1"/>
  <c r="BN155" i="13" s="1"/>
  <c r="BO155" i="13" s="1"/>
  <c r="BP155" i="13" s="1"/>
  <c r="BQ155" i="13" s="1"/>
  <c r="BR155" i="13" s="1"/>
  <c r="BS155" i="13" s="1"/>
  <c r="BT155" i="13" s="1"/>
  <c r="BU155" i="13" s="1"/>
  <c r="BV155" i="13" s="1"/>
  <c r="BW155" i="13" s="1"/>
  <c r="BX155" i="13" s="1"/>
  <c r="AF154" i="13"/>
  <c r="AG154" i="13" s="1"/>
  <c r="AH154" i="13" s="1"/>
  <c r="AI154" i="13" s="1"/>
  <c r="AJ154" i="13" s="1"/>
  <c r="AK154" i="13" s="1"/>
  <c r="AL154" i="13" s="1"/>
  <c r="AM154" i="13" s="1"/>
  <c r="AN154" i="13" s="1"/>
  <c r="AO154" i="13" s="1"/>
  <c r="AP154" i="13" s="1"/>
  <c r="AQ154" i="13" s="1"/>
  <c r="AR154" i="13" s="1"/>
  <c r="AS154" i="13" s="1"/>
  <c r="AT154" i="13" s="1"/>
  <c r="AU154" i="13" s="1"/>
  <c r="AV154" i="13" s="1"/>
  <c r="AW154" i="13" s="1"/>
  <c r="AX154" i="13" s="1"/>
  <c r="AY154" i="13" s="1"/>
  <c r="AZ154" i="13" s="1"/>
  <c r="BA154" i="13" s="1"/>
  <c r="BB154" i="13" s="1"/>
  <c r="BC154" i="13" s="1"/>
  <c r="BD154" i="13" s="1"/>
  <c r="BE154" i="13" s="1"/>
  <c r="BF154" i="13" s="1"/>
  <c r="BG154" i="13" s="1"/>
  <c r="BH154" i="13" s="1"/>
  <c r="BI154" i="13" s="1"/>
  <c r="BJ154" i="13" s="1"/>
  <c r="BK154" i="13" s="1"/>
  <c r="BL154" i="13" s="1"/>
  <c r="BM154" i="13" s="1"/>
  <c r="BN154" i="13" s="1"/>
  <c r="BO154" i="13" s="1"/>
  <c r="BP154" i="13" s="1"/>
  <c r="BQ154" i="13" s="1"/>
  <c r="BR154" i="13" s="1"/>
  <c r="BS154" i="13" s="1"/>
  <c r="BT154" i="13" s="1"/>
  <c r="BU154" i="13" s="1"/>
  <c r="BV154" i="13" s="1"/>
  <c r="BW154" i="13" s="1"/>
  <c r="BX154" i="13" s="1"/>
  <c r="AF153" i="13"/>
  <c r="AG153" i="13" s="1"/>
  <c r="AH153" i="13" s="1"/>
  <c r="AI153" i="13" s="1"/>
  <c r="AJ153" i="13" s="1"/>
  <c r="AK153" i="13" s="1"/>
  <c r="AL153" i="13" s="1"/>
  <c r="AM153" i="13" s="1"/>
  <c r="AN153" i="13" s="1"/>
  <c r="AO153" i="13" s="1"/>
  <c r="AP153" i="13" s="1"/>
  <c r="AQ153" i="13" s="1"/>
  <c r="AR153" i="13" s="1"/>
  <c r="AS153" i="13" s="1"/>
  <c r="AT153" i="13" s="1"/>
  <c r="AU153" i="13" s="1"/>
  <c r="AV153" i="13" s="1"/>
  <c r="AW153" i="13" s="1"/>
  <c r="AX153" i="13" s="1"/>
  <c r="AY153" i="13" s="1"/>
  <c r="AZ153" i="13" s="1"/>
  <c r="BA153" i="13" s="1"/>
  <c r="BB153" i="13" s="1"/>
  <c r="BC153" i="13" s="1"/>
  <c r="BD153" i="13" s="1"/>
  <c r="BE153" i="13" s="1"/>
  <c r="BF153" i="13" s="1"/>
  <c r="BG153" i="13" s="1"/>
  <c r="BH153" i="13" s="1"/>
  <c r="BI153" i="13" s="1"/>
  <c r="BJ153" i="13" s="1"/>
  <c r="BK153" i="13" s="1"/>
  <c r="BL153" i="13" s="1"/>
  <c r="BM153" i="13" s="1"/>
  <c r="BN153" i="13" s="1"/>
  <c r="BO153" i="13" s="1"/>
  <c r="BP153" i="13" s="1"/>
  <c r="BQ153" i="13" s="1"/>
  <c r="BR153" i="13" s="1"/>
  <c r="BS153" i="13" s="1"/>
  <c r="BT153" i="13" s="1"/>
  <c r="BU153" i="13" s="1"/>
  <c r="BV153" i="13" s="1"/>
  <c r="BW153" i="13" s="1"/>
  <c r="BX153" i="13" s="1"/>
  <c r="AF152" i="13"/>
  <c r="AG152" i="13" s="1"/>
  <c r="AH152" i="13" s="1"/>
  <c r="AI152" i="13" s="1"/>
  <c r="AJ152" i="13" s="1"/>
  <c r="AK152" i="13" s="1"/>
  <c r="AL152" i="13" s="1"/>
  <c r="AM152" i="13" s="1"/>
  <c r="AN152" i="13" s="1"/>
  <c r="AO152" i="13" s="1"/>
  <c r="AP152" i="13" s="1"/>
  <c r="AQ152" i="13" s="1"/>
  <c r="AR152" i="13" s="1"/>
  <c r="AS152" i="13" s="1"/>
  <c r="AT152" i="13" s="1"/>
  <c r="AU152" i="13" s="1"/>
  <c r="AV152" i="13" s="1"/>
  <c r="AW152" i="13" s="1"/>
  <c r="AX152" i="13" s="1"/>
  <c r="AY152" i="13" s="1"/>
  <c r="AZ152" i="13" s="1"/>
  <c r="BA152" i="13" s="1"/>
  <c r="BB152" i="13" s="1"/>
  <c r="BC152" i="13" s="1"/>
  <c r="BD152" i="13" s="1"/>
  <c r="BE152" i="13" s="1"/>
  <c r="BF152" i="13" s="1"/>
  <c r="BG152" i="13" s="1"/>
  <c r="BH152" i="13" s="1"/>
  <c r="BI152" i="13" s="1"/>
  <c r="BJ152" i="13" s="1"/>
  <c r="BK152" i="13" s="1"/>
  <c r="BL152" i="13" s="1"/>
  <c r="BM152" i="13" s="1"/>
  <c r="BN152" i="13" s="1"/>
  <c r="BO152" i="13" s="1"/>
  <c r="BP152" i="13" s="1"/>
  <c r="BQ152" i="13" s="1"/>
  <c r="BR152" i="13" s="1"/>
  <c r="BS152" i="13" s="1"/>
  <c r="BT152" i="13" s="1"/>
  <c r="BU152" i="13" s="1"/>
  <c r="BV152" i="13" s="1"/>
  <c r="BW152" i="13" s="1"/>
  <c r="BX152" i="13" s="1"/>
  <c r="AF151" i="13"/>
  <c r="AG151" i="13" s="1"/>
  <c r="AH151" i="13" s="1"/>
  <c r="AI151" i="13" s="1"/>
  <c r="AJ151" i="13" s="1"/>
  <c r="AK151" i="13" s="1"/>
  <c r="AL151" i="13" s="1"/>
  <c r="AM151" i="13" s="1"/>
  <c r="AN151" i="13" s="1"/>
  <c r="AO151" i="13" s="1"/>
  <c r="AP151" i="13" s="1"/>
  <c r="AQ151" i="13" s="1"/>
  <c r="AR151" i="13" s="1"/>
  <c r="AS151" i="13" s="1"/>
  <c r="AT151" i="13" s="1"/>
  <c r="AU151" i="13" s="1"/>
  <c r="AV151" i="13" s="1"/>
  <c r="AW151" i="13" s="1"/>
  <c r="AX151" i="13" s="1"/>
  <c r="AY151" i="13" s="1"/>
  <c r="AZ151" i="13" s="1"/>
  <c r="BA151" i="13" s="1"/>
  <c r="BB151" i="13" s="1"/>
  <c r="BC151" i="13" s="1"/>
  <c r="BD151" i="13" s="1"/>
  <c r="BE151" i="13" s="1"/>
  <c r="BF151" i="13" s="1"/>
  <c r="BG151" i="13" s="1"/>
  <c r="BH151" i="13" s="1"/>
  <c r="BI151" i="13" s="1"/>
  <c r="BJ151" i="13" s="1"/>
  <c r="BK151" i="13" s="1"/>
  <c r="BL151" i="13" s="1"/>
  <c r="BM151" i="13" s="1"/>
  <c r="BN151" i="13" s="1"/>
  <c r="BO151" i="13" s="1"/>
  <c r="BP151" i="13" s="1"/>
  <c r="BQ151" i="13" s="1"/>
  <c r="BR151" i="13" s="1"/>
  <c r="BS151" i="13" s="1"/>
  <c r="BT151" i="13" s="1"/>
  <c r="BU151" i="13" s="1"/>
  <c r="BV151" i="13" s="1"/>
  <c r="BW151" i="13" s="1"/>
  <c r="BX151" i="13" s="1"/>
  <c r="AF150" i="13"/>
  <c r="AG150" i="13" s="1"/>
  <c r="AH150" i="13" s="1"/>
  <c r="AI150" i="13" s="1"/>
  <c r="AJ150" i="13" s="1"/>
  <c r="AK150" i="13" s="1"/>
  <c r="AL150" i="13" s="1"/>
  <c r="AM150" i="13" s="1"/>
  <c r="AN150" i="13" s="1"/>
  <c r="AO150" i="13" s="1"/>
  <c r="AP150" i="13" s="1"/>
  <c r="AQ150" i="13" s="1"/>
  <c r="AR150" i="13" s="1"/>
  <c r="AS150" i="13" s="1"/>
  <c r="AT150" i="13" s="1"/>
  <c r="AU150" i="13" s="1"/>
  <c r="AV150" i="13" s="1"/>
  <c r="AW150" i="13" s="1"/>
  <c r="AX150" i="13" s="1"/>
  <c r="AY150" i="13" s="1"/>
  <c r="AZ150" i="13" s="1"/>
  <c r="BA150" i="13" s="1"/>
  <c r="BB150" i="13" s="1"/>
  <c r="BC150" i="13" s="1"/>
  <c r="BD150" i="13" s="1"/>
  <c r="BE150" i="13" s="1"/>
  <c r="BF150" i="13" s="1"/>
  <c r="BG150" i="13" s="1"/>
  <c r="BH150" i="13" s="1"/>
  <c r="BI150" i="13" s="1"/>
  <c r="BJ150" i="13" s="1"/>
  <c r="BK150" i="13" s="1"/>
  <c r="BL150" i="13" s="1"/>
  <c r="BM150" i="13" s="1"/>
  <c r="BN150" i="13" s="1"/>
  <c r="BO150" i="13" s="1"/>
  <c r="BP150" i="13" s="1"/>
  <c r="BQ150" i="13" s="1"/>
  <c r="BR150" i="13" s="1"/>
  <c r="BS150" i="13" s="1"/>
  <c r="BT150" i="13" s="1"/>
  <c r="BU150" i="13" s="1"/>
  <c r="BV150" i="13" s="1"/>
  <c r="BW150" i="13" s="1"/>
  <c r="BX150" i="13" s="1"/>
  <c r="AF149" i="13"/>
  <c r="AG149" i="13" s="1"/>
  <c r="AH149" i="13" s="1"/>
  <c r="AI149" i="13" s="1"/>
  <c r="AJ149" i="13" s="1"/>
  <c r="AK149" i="13" s="1"/>
  <c r="AL149" i="13" s="1"/>
  <c r="AM149" i="13" s="1"/>
  <c r="AN149" i="13" s="1"/>
  <c r="AO149" i="13" s="1"/>
  <c r="AP149" i="13" s="1"/>
  <c r="AQ149" i="13" s="1"/>
  <c r="AR149" i="13" s="1"/>
  <c r="AS149" i="13" s="1"/>
  <c r="AT149" i="13" s="1"/>
  <c r="AU149" i="13" s="1"/>
  <c r="AV149" i="13" s="1"/>
  <c r="AW149" i="13" s="1"/>
  <c r="AX149" i="13" s="1"/>
  <c r="AY149" i="13" s="1"/>
  <c r="AZ149" i="13" s="1"/>
  <c r="BA149" i="13" s="1"/>
  <c r="BB149" i="13" s="1"/>
  <c r="BC149" i="13" s="1"/>
  <c r="BD149" i="13" s="1"/>
  <c r="BE149" i="13" s="1"/>
  <c r="BF149" i="13" s="1"/>
  <c r="BG149" i="13" s="1"/>
  <c r="BH149" i="13" s="1"/>
  <c r="BI149" i="13" s="1"/>
  <c r="BJ149" i="13" s="1"/>
  <c r="BK149" i="13" s="1"/>
  <c r="BL149" i="13" s="1"/>
  <c r="BM149" i="13" s="1"/>
  <c r="BN149" i="13" s="1"/>
  <c r="BO149" i="13" s="1"/>
  <c r="BP149" i="13" s="1"/>
  <c r="BQ149" i="13" s="1"/>
  <c r="BR149" i="13" s="1"/>
  <c r="BS149" i="13" s="1"/>
  <c r="BT149" i="13" s="1"/>
  <c r="BU149" i="13" s="1"/>
  <c r="BV149" i="13" s="1"/>
  <c r="BW149" i="13" s="1"/>
  <c r="BX149" i="13" s="1"/>
  <c r="AF148" i="13"/>
  <c r="AG148" i="13" s="1"/>
  <c r="AH148" i="13" s="1"/>
  <c r="AI148" i="13" s="1"/>
  <c r="AJ148" i="13" s="1"/>
  <c r="AK148" i="13" s="1"/>
  <c r="AL148" i="13" s="1"/>
  <c r="AM148" i="13" s="1"/>
  <c r="AN148" i="13" s="1"/>
  <c r="AO148" i="13" s="1"/>
  <c r="AP148" i="13" s="1"/>
  <c r="AQ148" i="13" s="1"/>
  <c r="AR148" i="13" s="1"/>
  <c r="AS148" i="13" s="1"/>
  <c r="AT148" i="13" s="1"/>
  <c r="AU148" i="13" s="1"/>
  <c r="AV148" i="13" s="1"/>
  <c r="AW148" i="13" s="1"/>
  <c r="AX148" i="13" s="1"/>
  <c r="AY148" i="13" s="1"/>
  <c r="AZ148" i="13" s="1"/>
  <c r="BA148" i="13" s="1"/>
  <c r="BB148" i="13" s="1"/>
  <c r="BC148" i="13" s="1"/>
  <c r="BD148" i="13" s="1"/>
  <c r="BE148" i="13" s="1"/>
  <c r="BF148" i="13" s="1"/>
  <c r="BG148" i="13" s="1"/>
  <c r="BH148" i="13" s="1"/>
  <c r="BI148" i="13" s="1"/>
  <c r="BJ148" i="13" s="1"/>
  <c r="BK148" i="13" s="1"/>
  <c r="BL148" i="13" s="1"/>
  <c r="BM148" i="13" s="1"/>
  <c r="BN148" i="13" s="1"/>
  <c r="BO148" i="13" s="1"/>
  <c r="BP148" i="13" s="1"/>
  <c r="BQ148" i="13" s="1"/>
  <c r="BR148" i="13" s="1"/>
  <c r="BS148" i="13" s="1"/>
  <c r="BT148" i="13" s="1"/>
  <c r="BU148" i="13" s="1"/>
  <c r="BV148" i="13" s="1"/>
  <c r="BW148" i="13" s="1"/>
  <c r="BX148" i="13" s="1"/>
  <c r="G442" i="40" l="1"/>
  <c r="G485" i="40"/>
  <c r="H199" i="40"/>
  <c r="H399" i="40"/>
  <c r="H280" i="40"/>
  <c r="M361" i="40"/>
  <c r="N84" i="40"/>
  <c r="O120" i="40"/>
  <c r="N242" i="40"/>
  <c r="M7" i="40"/>
  <c r="M1" i="40"/>
  <c r="T323" i="40"/>
  <c r="N161" i="40"/>
  <c r="M43" i="40"/>
  <c r="E120" i="5"/>
  <c r="E43" i="5"/>
  <c r="G81" i="16"/>
  <c r="AA48" i="21"/>
  <c r="AA36" i="35" s="1"/>
  <c r="Z48" i="21"/>
  <c r="Z36" i="35" s="1"/>
  <c r="Y48" i="21"/>
  <c r="Y36" i="35" s="1"/>
  <c r="X48" i="21"/>
  <c r="X36" i="35" s="1"/>
  <c r="W48" i="21"/>
  <c r="W36" i="35" s="1"/>
  <c r="V48" i="21"/>
  <c r="V36" i="35" s="1"/>
  <c r="U48" i="21"/>
  <c r="U36" i="35" s="1"/>
  <c r="T48" i="21"/>
  <c r="T36" i="35" s="1"/>
  <c r="S48" i="21"/>
  <c r="S36" i="35" s="1"/>
  <c r="R48" i="21"/>
  <c r="R36" i="35" s="1"/>
  <c r="Q48" i="21"/>
  <c r="Q36" i="35" s="1"/>
  <c r="P48" i="21"/>
  <c r="P36" i="35" s="1"/>
  <c r="O48" i="21"/>
  <c r="O36" i="35" s="1"/>
  <c r="N48" i="21"/>
  <c r="N36" i="35" s="1"/>
  <c r="M48" i="21"/>
  <c r="M36" i="35" s="1"/>
  <c r="L48" i="21"/>
  <c r="L36" i="35" s="1"/>
  <c r="K48" i="21"/>
  <c r="K36" i="35" s="1"/>
  <c r="J48" i="21"/>
  <c r="J36" i="35" s="1"/>
  <c r="I48" i="21"/>
  <c r="I36" i="35" s="1"/>
  <c r="H48" i="21"/>
  <c r="H36" i="35" s="1"/>
  <c r="G48" i="21"/>
  <c r="G36" i="35" s="1"/>
  <c r="F48" i="21"/>
  <c r="F36" i="35" s="1"/>
  <c r="AA23" i="21"/>
  <c r="AA24" i="35" s="1"/>
  <c r="Z23" i="21"/>
  <c r="Z24" i="35" s="1"/>
  <c r="Y23" i="21"/>
  <c r="Y24" i="35" s="1"/>
  <c r="X23" i="21"/>
  <c r="X24" i="35" s="1"/>
  <c r="W23" i="21"/>
  <c r="W24" i="35" s="1"/>
  <c r="V23" i="21"/>
  <c r="V24" i="35" s="1"/>
  <c r="U23" i="21"/>
  <c r="U24" i="35" s="1"/>
  <c r="T23" i="21"/>
  <c r="T24" i="35" s="1"/>
  <c r="S23" i="21"/>
  <c r="S24" i="35" s="1"/>
  <c r="R23" i="21"/>
  <c r="R24" i="35" s="1"/>
  <c r="Q23" i="21"/>
  <c r="Q24" i="35" s="1"/>
  <c r="P23" i="21"/>
  <c r="P24" i="35" s="1"/>
  <c r="O23" i="21"/>
  <c r="O24" i="35" s="1"/>
  <c r="N23" i="21"/>
  <c r="N24" i="35" s="1"/>
  <c r="M23" i="21"/>
  <c r="M24" i="35" s="1"/>
  <c r="L23" i="21"/>
  <c r="L24" i="35" s="1"/>
  <c r="K23" i="21"/>
  <c r="K24" i="35" s="1"/>
  <c r="J23" i="21"/>
  <c r="J24" i="35" s="1"/>
  <c r="I23" i="21"/>
  <c r="I24" i="35" s="1"/>
  <c r="H23" i="21"/>
  <c r="H24" i="35" s="1"/>
  <c r="G23" i="21"/>
  <c r="G24" i="35" s="1"/>
  <c r="F23" i="21"/>
  <c r="F24" i="35" s="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AA20" i="21"/>
  <c r="AA19" i="35" s="1"/>
  <c r="Z20" i="21"/>
  <c r="Z19" i="35" s="1"/>
  <c r="Y20" i="21"/>
  <c r="Y19" i="35" s="1"/>
  <c r="X20" i="21"/>
  <c r="X19" i="35" s="1"/>
  <c r="W20" i="21"/>
  <c r="W19" i="35" s="1"/>
  <c r="V20" i="21"/>
  <c r="V19" i="35" s="1"/>
  <c r="U20" i="21"/>
  <c r="U19" i="35" s="1"/>
  <c r="T20" i="21"/>
  <c r="T19" i="35" s="1"/>
  <c r="S20" i="21"/>
  <c r="S19" i="35" s="1"/>
  <c r="R20" i="21"/>
  <c r="R19" i="35" s="1"/>
  <c r="Q20" i="21"/>
  <c r="Q19" i="35" s="1"/>
  <c r="D95" i="36" s="1"/>
  <c r="D96" i="36" s="1"/>
  <c r="P20" i="21"/>
  <c r="P19" i="35" s="1"/>
  <c r="O20" i="21"/>
  <c r="O19" i="35" s="1"/>
  <c r="N20" i="21"/>
  <c r="N19" i="35" s="1"/>
  <c r="M20" i="21"/>
  <c r="M19" i="35" s="1"/>
  <c r="L20" i="21"/>
  <c r="L19" i="35" s="1"/>
  <c r="K20" i="21"/>
  <c r="K19" i="35" s="1"/>
  <c r="J20" i="21"/>
  <c r="J19" i="35" s="1"/>
  <c r="I20" i="21"/>
  <c r="I19" i="35" s="1"/>
  <c r="H20" i="21"/>
  <c r="H19" i="35" s="1"/>
  <c r="G20" i="21"/>
  <c r="G19" i="35" s="1"/>
  <c r="F20" i="21"/>
  <c r="F19" i="35" s="1"/>
  <c r="C95" i="36" s="1"/>
  <c r="C96" i="36" s="1"/>
  <c r="AA18" i="21"/>
  <c r="AA17" i="35" s="1"/>
  <c r="Z18" i="21"/>
  <c r="Z17" i="35" s="1"/>
  <c r="Y18" i="21"/>
  <c r="Y17" i="35" s="1"/>
  <c r="X18" i="21"/>
  <c r="X17" i="35" s="1"/>
  <c r="W18" i="21"/>
  <c r="W17" i="35" s="1"/>
  <c r="V18" i="21"/>
  <c r="V17" i="35" s="1"/>
  <c r="U18" i="21"/>
  <c r="U17" i="35" s="1"/>
  <c r="T18" i="21"/>
  <c r="T17" i="35" s="1"/>
  <c r="S18" i="21"/>
  <c r="S17" i="35" s="1"/>
  <c r="R18" i="21"/>
  <c r="R17" i="35" s="1"/>
  <c r="Q18" i="21"/>
  <c r="Q17" i="35" s="1"/>
  <c r="D93" i="36" s="1"/>
  <c r="D94" i="36" s="1"/>
  <c r="P18" i="21"/>
  <c r="P17" i="35" s="1"/>
  <c r="O18" i="21"/>
  <c r="O17" i="35" s="1"/>
  <c r="N18" i="21"/>
  <c r="N17" i="35" s="1"/>
  <c r="M18" i="21"/>
  <c r="M17" i="35" s="1"/>
  <c r="L18" i="21"/>
  <c r="L17" i="35" s="1"/>
  <c r="K18" i="21"/>
  <c r="K17" i="35" s="1"/>
  <c r="J18" i="21"/>
  <c r="J17" i="35" s="1"/>
  <c r="I18" i="21"/>
  <c r="I17" i="35" s="1"/>
  <c r="H18" i="21"/>
  <c r="H17" i="35" s="1"/>
  <c r="G18" i="21"/>
  <c r="G17" i="35" s="1"/>
  <c r="F18" i="21"/>
  <c r="F17" i="35" s="1"/>
  <c r="C93" i="36" s="1"/>
  <c r="C94" i="36" s="1"/>
  <c r="AA16" i="21"/>
  <c r="AA15" i="35" s="1"/>
  <c r="Z16" i="21"/>
  <c r="Z15" i="35" s="1"/>
  <c r="Y16" i="21"/>
  <c r="Y15" i="35" s="1"/>
  <c r="X16" i="21"/>
  <c r="X15" i="35" s="1"/>
  <c r="W16" i="21"/>
  <c r="W15" i="35" s="1"/>
  <c r="V16" i="21"/>
  <c r="V15" i="35" s="1"/>
  <c r="U16" i="21"/>
  <c r="U15" i="35" s="1"/>
  <c r="T16" i="21"/>
  <c r="T15" i="35" s="1"/>
  <c r="S16" i="21"/>
  <c r="S15" i="35" s="1"/>
  <c r="R16" i="21"/>
  <c r="R15" i="35" s="1"/>
  <c r="Q16" i="21"/>
  <c r="Q15" i="35" s="1"/>
  <c r="D89" i="36" s="1"/>
  <c r="D90" i="36" s="1"/>
  <c r="P16" i="21"/>
  <c r="P15" i="35" s="1"/>
  <c r="O16" i="21"/>
  <c r="O15" i="35" s="1"/>
  <c r="N16" i="21"/>
  <c r="N15" i="35" s="1"/>
  <c r="M16" i="21"/>
  <c r="M15" i="35" s="1"/>
  <c r="L16" i="21"/>
  <c r="L15" i="35" s="1"/>
  <c r="K16" i="21"/>
  <c r="K15" i="35" s="1"/>
  <c r="J16" i="21"/>
  <c r="J15" i="35" s="1"/>
  <c r="I16" i="21"/>
  <c r="I15" i="35" s="1"/>
  <c r="H16" i="21"/>
  <c r="H15" i="35" s="1"/>
  <c r="G16" i="21"/>
  <c r="G15" i="35" s="1"/>
  <c r="F16" i="21"/>
  <c r="F15" i="35" s="1"/>
  <c r="C89" i="36" s="1"/>
  <c r="C90" i="36" s="1"/>
  <c r="AA14" i="21"/>
  <c r="AA13" i="35" s="1"/>
  <c r="Z14" i="21"/>
  <c r="Z13" i="35" s="1"/>
  <c r="Y14" i="21"/>
  <c r="Y13" i="35" s="1"/>
  <c r="X14" i="21"/>
  <c r="X13" i="35" s="1"/>
  <c r="W14" i="21"/>
  <c r="W13" i="35" s="1"/>
  <c r="V14" i="21"/>
  <c r="V13" i="35" s="1"/>
  <c r="U14" i="21"/>
  <c r="U13" i="35" s="1"/>
  <c r="T14" i="21"/>
  <c r="T13" i="35" s="1"/>
  <c r="S14" i="21"/>
  <c r="S13" i="35" s="1"/>
  <c r="R14" i="21"/>
  <c r="R13" i="35" s="1"/>
  <c r="Q14" i="21"/>
  <c r="Q13" i="35" s="1"/>
  <c r="D91" i="36" s="1"/>
  <c r="D92" i="36" s="1"/>
  <c r="P14" i="21"/>
  <c r="P13" i="35" s="1"/>
  <c r="O14" i="21"/>
  <c r="O13" i="35" s="1"/>
  <c r="N14" i="21"/>
  <c r="N13" i="35" s="1"/>
  <c r="M14" i="21"/>
  <c r="M13" i="35" s="1"/>
  <c r="L14" i="21"/>
  <c r="L13" i="35" s="1"/>
  <c r="K14" i="21"/>
  <c r="K13" i="35" s="1"/>
  <c r="J14" i="21"/>
  <c r="J13" i="35" s="1"/>
  <c r="I14" i="21"/>
  <c r="I13" i="35" s="1"/>
  <c r="H14" i="21"/>
  <c r="H13" i="35" s="1"/>
  <c r="G14" i="21"/>
  <c r="G13" i="35" s="1"/>
  <c r="F14" i="21"/>
  <c r="F13" i="35" s="1"/>
  <c r="C91" i="36" s="1"/>
  <c r="C92" i="36" s="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AA9" i="21"/>
  <c r="AA8" i="35" s="1"/>
  <c r="Z9" i="21"/>
  <c r="Z8" i="35" s="1"/>
  <c r="Y9" i="21"/>
  <c r="Y8" i="35" s="1"/>
  <c r="X9" i="21"/>
  <c r="X8" i="35" s="1"/>
  <c r="W9" i="21"/>
  <c r="W8" i="35" s="1"/>
  <c r="V9" i="21"/>
  <c r="V8" i="35" s="1"/>
  <c r="U9" i="21"/>
  <c r="U8" i="35" s="1"/>
  <c r="T9" i="21"/>
  <c r="T8" i="35" s="1"/>
  <c r="S9" i="21"/>
  <c r="S8" i="35" s="1"/>
  <c r="R9" i="21"/>
  <c r="R8" i="35" s="1"/>
  <c r="Q9" i="21"/>
  <c r="Q8" i="35" s="1"/>
  <c r="P9" i="21"/>
  <c r="P8" i="35" s="1"/>
  <c r="O9" i="21"/>
  <c r="O8" i="35" s="1"/>
  <c r="N9" i="21"/>
  <c r="N8" i="35" s="1"/>
  <c r="M9" i="21"/>
  <c r="M8" i="35" s="1"/>
  <c r="L9" i="21"/>
  <c r="L8" i="35" s="1"/>
  <c r="K9" i="21"/>
  <c r="K8" i="35" s="1"/>
  <c r="J9" i="21"/>
  <c r="J8" i="35" s="1"/>
  <c r="I9" i="21"/>
  <c r="I8" i="35" s="1"/>
  <c r="H9" i="21"/>
  <c r="H8" i="35" s="1"/>
  <c r="G9" i="21"/>
  <c r="G8" i="35" s="1"/>
  <c r="F9" i="21"/>
  <c r="F8" i="35" s="1"/>
  <c r="AY59" i="21"/>
  <c r="AZ45" i="35" s="1"/>
  <c r="AX59" i="21"/>
  <c r="AY45" i="35" s="1"/>
  <c r="AW59" i="21"/>
  <c r="AX45" i="35" s="1"/>
  <c r="AV59" i="21"/>
  <c r="AW45" i="35" s="1"/>
  <c r="AU59" i="21"/>
  <c r="AV45" i="35" s="1"/>
  <c r="AT59" i="21"/>
  <c r="AU45" i="35" s="1"/>
  <c r="AS59" i="21"/>
  <c r="AT45" i="35" s="1"/>
  <c r="AR59" i="21"/>
  <c r="AS45" i="35" s="1"/>
  <c r="AQ59" i="21"/>
  <c r="AR45" i="35" s="1"/>
  <c r="AP59" i="21"/>
  <c r="AQ45" i="35" s="1"/>
  <c r="AO59" i="21"/>
  <c r="AP45" i="35" s="1"/>
  <c r="AN59" i="21"/>
  <c r="AO45" i="35" s="1"/>
  <c r="AM59" i="21"/>
  <c r="AN45" i="35" s="1"/>
  <c r="AL59" i="21"/>
  <c r="AM45" i="35" s="1"/>
  <c r="AK59" i="21"/>
  <c r="AL45" i="35" s="1"/>
  <c r="AJ59" i="21"/>
  <c r="AK45" i="35" s="1"/>
  <c r="AI59" i="21"/>
  <c r="AJ45" i="35" s="1"/>
  <c r="AH59" i="21"/>
  <c r="AI45" i="35" s="1"/>
  <c r="AG59" i="21"/>
  <c r="AH45" i="35" s="1"/>
  <c r="AF59" i="21"/>
  <c r="AG45" i="35" s="1"/>
  <c r="AE59" i="21"/>
  <c r="AF45" i="35" s="1"/>
  <c r="AD59" i="21"/>
  <c r="AE45" i="35" s="1"/>
  <c r="AY58" i="21"/>
  <c r="AZ44" i="35" s="1"/>
  <c r="AX58" i="21"/>
  <c r="AY44" i="35" s="1"/>
  <c r="AW58" i="21"/>
  <c r="AX44" i="35" s="1"/>
  <c r="AV58" i="21"/>
  <c r="AW44" i="35" s="1"/>
  <c r="AU58" i="21"/>
  <c r="AV44" i="35" s="1"/>
  <c r="AT58" i="21"/>
  <c r="AU44" i="35" s="1"/>
  <c r="AS58" i="21"/>
  <c r="AT44" i="35" s="1"/>
  <c r="AR58" i="21"/>
  <c r="AS44" i="35" s="1"/>
  <c r="AQ58" i="21"/>
  <c r="AR44" i="35" s="1"/>
  <c r="AP58" i="21"/>
  <c r="AQ44" i="35" s="1"/>
  <c r="AO58" i="21"/>
  <c r="AP44" i="35" s="1"/>
  <c r="AN58" i="21"/>
  <c r="AO44" i="35" s="1"/>
  <c r="AM58" i="21"/>
  <c r="AN44" i="35" s="1"/>
  <c r="AL58" i="21"/>
  <c r="AM44" i="35" s="1"/>
  <c r="AK58" i="21"/>
  <c r="AL44" i="35" s="1"/>
  <c r="AJ58" i="21"/>
  <c r="AK44" i="35" s="1"/>
  <c r="AI58" i="21"/>
  <c r="AJ44" i="35" s="1"/>
  <c r="AH58" i="21"/>
  <c r="AI44" i="35" s="1"/>
  <c r="AG58" i="21"/>
  <c r="AH44" i="35" s="1"/>
  <c r="AF58" i="21"/>
  <c r="AG44" i="35" s="1"/>
  <c r="AE58" i="21"/>
  <c r="AF44" i="35" s="1"/>
  <c r="AD58" i="21"/>
  <c r="AE44" i="35" s="1"/>
  <c r="AY57" i="21"/>
  <c r="AZ43" i="35" s="1"/>
  <c r="AX57" i="21"/>
  <c r="AY43" i="35" s="1"/>
  <c r="AW57" i="21"/>
  <c r="AX43" i="35" s="1"/>
  <c r="AV57" i="21"/>
  <c r="AW43" i="35" s="1"/>
  <c r="AU57" i="21"/>
  <c r="AV43" i="35" s="1"/>
  <c r="AT57" i="21"/>
  <c r="AU43" i="35" s="1"/>
  <c r="AS57" i="21"/>
  <c r="AT43" i="35" s="1"/>
  <c r="AR57" i="21"/>
  <c r="AS43" i="35" s="1"/>
  <c r="AQ57" i="21"/>
  <c r="AR43" i="35" s="1"/>
  <c r="AP57" i="21"/>
  <c r="AQ43" i="35" s="1"/>
  <c r="AO57" i="21"/>
  <c r="AP43" i="35" s="1"/>
  <c r="AN57" i="21"/>
  <c r="AO43" i="35" s="1"/>
  <c r="AM57" i="21"/>
  <c r="AN43" i="35" s="1"/>
  <c r="AL57" i="21"/>
  <c r="AM43" i="35" s="1"/>
  <c r="AK57" i="21"/>
  <c r="AL43" i="35" s="1"/>
  <c r="AJ57" i="21"/>
  <c r="AK43" i="35" s="1"/>
  <c r="AI57" i="21"/>
  <c r="AJ43" i="35" s="1"/>
  <c r="AH57" i="21"/>
  <c r="AI43" i="35" s="1"/>
  <c r="AG57" i="21"/>
  <c r="AH43" i="35" s="1"/>
  <c r="AF57" i="21"/>
  <c r="AG43" i="35" s="1"/>
  <c r="AE57" i="21"/>
  <c r="AF43" i="35" s="1"/>
  <c r="AD57" i="21"/>
  <c r="AE43" i="35" s="1"/>
  <c r="AY56" i="21"/>
  <c r="AZ42" i="35" s="1"/>
  <c r="AX56" i="21"/>
  <c r="AY42" i="35" s="1"/>
  <c r="AW56" i="21"/>
  <c r="AX42" i="35" s="1"/>
  <c r="AV56" i="21"/>
  <c r="AW42" i="35" s="1"/>
  <c r="AU56" i="21"/>
  <c r="AV42" i="35" s="1"/>
  <c r="AT56" i="21"/>
  <c r="AU42" i="35" s="1"/>
  <c r="AS56" i="21"/>
  <c r="AT42" i="35" s="1"/>
  <c r="AR56" i="21"/>
  <c r="AS42" i="35" s="1"/>
  <c r="AQ56" i="21"/>
  <c r="AR42" i="35" s="1"/>
  <c r="AP56" i="21"/>
  <c r="AQ42" i="35" s="1"/>
  <c r="AO56" i="21"/>
  <c r="AP42" i="35" s="1"/>
  <c r="AN56" i="21"/>
  <c r="AO42" i="35" s="1"/>
  <c r="AM56" i="21"/>
  <c r="AN42" i="35" s="1"/>
  <c r="AL56" i="21"/>
  <c r="AM42" i="35" s="1"/>
  <c r="AK56" i="21"/>
  <c r="AL42" i="35" s="1"/>
  <c r="AJ56" i="21"/>
  <c r="AK42" i="35" s="1"/>
  <c r="AI56" i="21"/>
  <c r="AJ42" i="35" s="1"/>
  <c r="AH56" i="21"/>
  <c r="AI42" i="35" s="1"/>
  <c r="AG56" i="21"/>
  <c r="AH42" i="35" s="1"/>
  <c r="AF56" i="21"/>
  <c r="AG42" i="35" s="1"/>
  <c r="AE56" i="21"/>
  <c r="AF42" i="35" s="1"/>
  <c r="AD56" i="21"/>
  <c r="AE42" i="35" s="1"/>
  <c r="AY55" i="21"/>
  <c r="AZ41" i="35" s="1"/>
  <c r="AX55" i="21"/>
  <c r="AY41" i="35" s="1"/>
  <c r="AW55" i="21"/>
  <c r="AX41" i="35" s="1"/>
  <c r="AV55" i="21"/>
  <c r="AW41" i="35" s="1"/>
  <c r="AU55" i="21"/>
  <c r="AV41" i="35" s="1"/>
  <c r="AT55" i="21"/>
  <c r="AU41" i="35" s="1"/>
  <c r="AS55" i="21"/>
  <c r="AT41" i="35" s="1"/>
  <c r="AR55" i="21"/>
  <c r="AS41" i="35" s="1"/>
  <c r="AQ55" i="21"/>
  <c r="AR41" i="35" s="1"/>
  <c r="AP55" i="21"/>
  <c r="AQ41" i="35" s="1"/>
  <c r="AO55" i="21"/>
  <c r="AP41" i="35" s="1"/>
  <c r="AN55" i="21"/>
  <c r="AO41" i="35" s="1"/>
  <c r="AM55" i="21"/>
  <c r="AN41" i="35" s="1"/>
  <c r="AL55" i="21"/>
  <c r="AM41" i="35" s="1"/>
  <c r="AK55" i="21"/>
  <c r="AL41" i="35" s="1"/>
  <c r="AJ55" i="21"/>
  <c r="AK41" i="35" s="1"/>
  <c r="AI55" i="21"/>
  <c r="AJ41" i="35" s="1"/>
  <c r="AH55" i="21"/>
  <c r="AI41" i="35" s="1"/>
  <c r="AG55" i="21"/>
  <c r="AH41" i="35" s="1"/>
  <c r="AF55" i="21"/>
  <c r="AG41" i="35" s="1"/>
  <c r="AE55" i="21"/>
  <c r="AF41" i="35" s="1"/>
  <c r="AD55" i="21"/>
  <c r="AE41" i="35" s="1"/>
  <c r="AY54" i="21"/>
  <c r="AZ40" i="35" s="1"/>
  <c r="AX54" i="21"/>
  <c r="AY40" i="35" s="1"/>
  <c r="AW54" i="21"/>
  <c r="AX40" i="35" s="1"/>
  <c r="AV54" i="21"/>
  <c r="AW40" i="35" s="1"/>
  <c r="AU54" i="21"/>
  <c r="AV40" i="35" s="1"/>
  <c r="AT54" i="21"/>
  <c r="AU40" i="35" s="1"/>
  <c r="AS54" i="21"/>
  <c r="AT40" i="35" s="1"/>
  <c r="AR54" i="21"/>
  <c r="AS40" i="35" s="1"/>
  <c r="AQ54" i="21"/>
  <c r="AR40" i="35" s="1"/>
  <c r="AP54" i="21"/>
  <c r="AQ40" i="35" s="1"/>
  <c r="AO54" i="21"/>
  <c r="AP40" i="35" s="1"/>
  <c r="AN54" i="21"/>
  <c r="AO40" i="35" s="1"/>
  <c r="AM54" i="21"/>
  <c r="AN40" i="35" s="1"/>
  <c r="AL54" i="21"/>
  <c r="AM40" i="35" s="1"/>
  <c r="AK54" i="21"/>
  <c r="AL40" i="35" s="1"/>
  <c r="AJ54" i="21"/>
  <c r="AK40" i="35" s="1"/>
  <c r="AI54" i="21"/>
  <c r="AJ40" i="35" s="1"/>
  <c r="AH54" i="21"/>
  <c r="AI40" i="35" s="1"/>
  <c r="AG54" i="21"/>
  <c r="AH40" i="35" s="1"/>
  <c r="AF54" i="21"/>
  <c r="AG40" i="35" s="1"/>
  <c r="AE54" i="21"/>
  <c r="AF40" i="35" s="1"/>
  <c r="AD54" i="21"/>
  <c r="AE40" i="35" s="1"/>
  <c r="AY53" i="21"/>
  <c r="AZ39" i="35" s="1"/>
  <c r="AX53" i="21"/>
  <c r="AY39" i="35" s="1"/>
  <c r="AW53" i="21"/>
  <c r="AX39" i="35" s="1"/>
  <c r="AV53" i="21"/>
  <c r="AW39" i="35" s="1"/>
  <c r="AU53" i="21"/>
  <c r="AV39" i="35" s="1"/>
  <c r="AT53" i="21"/>
  <c r="AU39" i="35" s="1"/>
  <c r="AS53" i="21"/>
  <c r="AT39" i="35" s="1"/>
  <c r="AR53" i="21"/>
  <c r="AS39" i="35" s="1"/>
  <c r="AQ53" i="21"/>
  <c r="AR39" i="35" s="1"/>
  <c r="AP53" i="21"/>
  <c r="AQ39" i="35" s="1"/>
  <c r="AO53" i="21"/>
  <c r="AP39" i="35" s="1"/>
  <c r="AN53" i="21"/>
  <c r="AO39" i="35" s="1"/>
  <c r="AM53" i="21"/>
  <c r="AN39" i="35" s="1"/>
  <c r="AL53" i="21"/>
  <c r="AM39" i="35" s="1"/>
  <c r="AK53" i="21"/>
  <c r="AL39" i="35" s="1"/>
  <c r="AJ53" i="21"/>
  <c r="AK39" i="35" s="1"/>
  <c r="AI53" i="21"/>
  <c r="AJ39" i="35" s="1"/>
  <c r="AH53" i="21"/>
  <c r="AI39" i="35" s="1"/>
  <c r="AG53" i="21"/>
  <c r="AH39" i="35" s="1"/>
  <c r="AF53" i="21"/>
  <c r="AG39" i="35" s="1"/>
  <c r="AE53" i="21"/>
  <c r="AF39" i="35" s="1"/>
  <c r="AD53" i="21"/>
  <c r="AE39" i="35" s="1"/>
  <c r="AY52" i="21"/>
  <c r="AZ38" i="35" s="1"/>
  <c r="AX52" i="21"/>
  <c r="AY38" i="35" s="1"/>
  <c r="AW52" i="21"/>
  <c r="AX38" i="35" s="1"/>
  <c r="AV52" i="21"/>
  <c r="AW38" i="35" s="1"/>
  <c r="AU52" i="21"/>
  <c r="AV38" i="35" s="1"/>
  <c r="AT52" i="21"/>
  <c r="AU38" i="35" s="1"/>
  <c r="AS52" i="21"/>
  <c r="AT38" i="35" s="1"/>
  <c r="AR52" i="21"/>
  <c r="AS38" i="35" s="1"/>
  <c r="AQ52" i="21"/>
  <c r="AR38" i="35" s="1"/>
  <c r="AP52" i="21"/>
  <c r="AQ38" i="35" s="1"/>
  <c r="AO52" i="21"/>
  <c r="AP38" i="35" s="1"/>
  <c r="AN52" i="21"/>
  <c r="AO38" i="35" s="1"/>
  <c r="AM52" i="21"/>
  <c r="AN38" i="35" s="1"/>
  <c r="AL52" i="21"/>
  <c r="AM38" i="35" s="1"/>
  <c r="AK52" i="21"/>
  <c r="AL38" i="35" s="1"/>
  <c r="AJ52" i="21"/>
  <c r="AK38" i="35" s="1"/>
  <c r="AI52" i="21"/>
  <c r="AJ38" i="35" s="1"/>
  <c r="AH52" i="21"/>
  <c r="AI38" i="35" s="1"/>
  <c r="AG52" i="21"/>
  <c r="AH38" i="35" s="1"/>
  <c r="AF52" i="21"/>
  <c r="AG38" i="35" s="1"/>
  <c r="AE52" i="21"/>
  <c r="AF38" i="35" s="1"/>
  <c r="AD52" i="21"/>
  <c r="AE38" i="35" s="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Y47" i="21"/>
  <c r="AZ35" i="35" s="1"/>
  <c r="AX47" i="21"/>
  <c r="AY35" i="35" s="1"/>
  <c r="AW47" i="21"/>
  <c r="AX35" i="35" s="1"/>
  <c r="AV47" i="21"/>
  <c r="AW35" i="35" s="1"/>
  <c r="AU47" i="21"/>
  <c r="AV35" i="35" s="1"/>
  <c r="AT47" i="21"/>
  <c r="AU35" i="35" s="1"/>
  <c r="AS47" i="21"/>
  <c r="AT35" i="35" s="1"/>
  <c r="AR47" i="21"/>
  <c r="AS35" i="35" s="1"/>
  <c r="AQ47" i="21"/>
  <c r="AR35" i="35" s="1"/>
  <c r="AP47" i="21"/>
  <c r="AQ35" i="35" s="1"/>
  <c r="AO47" i="21"/>
  <c r="AP35" i="35" s="1"/>
  <c r="AN47" i="21"/>
  <c r="AO35" i="35" s="1"/>
  <c r="AM47" i="21"/>
  <c r="AN35" i="35" s="1"/>
  <c r="AL47" i="21"/>
  <c r="AM35" i="35" s="1"/>
  <c r="AK47" i="21"/>
  <c r="AL35" i="35" s="1"/>
  <c r="AJ47" i="21"/>
  <c r="AK35" i="35" s="1"/>
  <c r="AI47" i="21"/>
  <c r="AJ35" i="35" s="1"/>
  <c r="AH47" i="21"/>
  <c r="AI35" i="35" s="1"/>
  <c r="AG47" i="21"/>
  <c r="AH35" i="35" s="1"/>
  <c r="AF47" i="21"/>
  <c r="AG35" i="35" s="1"/>
  <c r="AE47" i="21"/>
  <c r="AF35" i="35" s="1"/>
  <c r="AD47" i="21"/>
  <c r="AE35" i="35" s="1"/>
  <c r="AY46" i="21"/>
  <c r="AZ34" i="35" s="1"/>
  <c r="AX46" i="21"/>
  <c r="AY34" i="35" s="1"/>
  <c r="AW46" i="21"/>
  <c r="AX34" i="35" s="1"/>
  <c r="AV46" i="21"/>
  <c r="AW34" i="35" s="1"/>
  <c r="AU46" i="21"/>
  <c r="AV34" i="35" s="1"/>
  <c r="AT46" i="21"/>
  <c r="AU34" i="35" s="1"/>
  <c r="AS46" i="21"/>
  <c r="AT34" i="35" s="1"/>
  <c r="AR46" i="21"/>
  <c r="AS34" i="35" s="1"/>
  <c r="AQ46" i="21"/>
  <c r="AR34" i="35" s="1"/>
  <c r="AP46" i="21"/>
  <c r="AQ34" i="35" s="1"/>
  <c r="AO46" i="21"/>
  <c r="AP34" i="35" s="1"/>
  <c r="AN46" i="21"/>
  <c r="AO34" i="35" s="1"/>
  <c r="AM46" i="21"/>
  <c r="AN34" i="35" s="1"/>
  <c r="AL46" i="21"/>
  <c r="AM34" i="35" s="1"/>
  <c r="AK46" i="21"/>
  <c r="AL34" i="35" s="1"/>
  <c r="AJ46" i="21"/>
  <c r="AK34" i="35" s="1"/>
  <c r="AI46" i="21"/>
  <c r="AJ34" i="35" s="1"/>
  <c r="AH46" i="21"/>
  <c r="AI34" i="35" s="1"/>
  <c r="AG46" i="21"/>
  <c r="AH34" i="35" s="1"/>
  <c r="AF46" i="21"/>
  <c r="AG34" i="35" s="1"/>
  <c r="AE46" i="21"/>
  <c r="AF34" i="35" s="1"/>
  <c r="AD46" i="21"/>
  <c r="AE34" i="35" s="1"/>
  <c r="AY45" i="21"/>
  <c r="AZ33" i="35" s="1"/>
  <c r="AX45" i="21"/>
  <c r="AY33" i="35" s="1"/>
  <c r="AW45" i="21"/>
  <c r="AX33" i="35" s="1"/>
  <c r="AV45" i="21"/>
  <c r="AW33" i="35" s="1"/>
  <c r="AU45" i="21"/>
  <c r="AV33" i="35" s="1"/>
  <c r="AT45" i="21"/>
  <c r="AU33" i="35" s="1"/>
  <c r="AS45" i="21"/>
  <c r="AT33" i="35" s="1"/>
  <c r="AR45" i="21"/>
  <c r="AS33" i="35" s="1"/>
  <c r="AQ45" i="21"/>
  <c r="AR33" i="35" s="1"/>
  <c r="AP45" i="21"/>
  <c r="AQ33" i="35" s="1"/>
  <c r="AO45" i="21"/>
  <c r="AP33" i="35" s="1"/>
  <c r="AN45" i="21"/>
  <c r="AO33" i="35" s="1"/>
  <c r="AM45" i="21"/>
  <c r="AN33" i="35" s="1"/>
  <c r="AL45" i="21"/>
  <c r="AM33" i="35" s="1"/>
  <c r="AK45" i="21"/>
  <c r="AL33" i="35" s="1"/>
  <c r="AJ45" i="21"/>
  <c r="AK33" i="35" s="1"/>
  <c r="AI45" i="21"/>
  <c r="AJ33" i="35" s="1"/>
  <c r="AH45" i="21"/>
  <c r="AI33" i="35" s="1"/>
  <c r="AG45" i="21"/>
  <c r="AH33" i="35" s="1"/>
  <c r="AF45" i="21"/>
  <c r="AG33" i="35" s="1"/>
  <c r="AE45" i="21"/>
  <c r="AF33" i="35" s="1"/>
  <c r="AD45" i="21"/>
  <c r="AE33" i="35" s="1"/>
  <c r="AY44" i="21"/>
  <c r="AZ32" i="35" s="1"/>
  <c r="AX44" i="21"/>
  <c r="AY32" i="35" s="1"/>
  <c r="AW44" i="21"/>
  <c r="AX32" i="35" s="1"/>
  <c r="AV44" i="21"/>
  <c r="AW32" i="35" s="1"/>
  <c r="AU44" i="21"/>
  <c r="AV32" i="35" s="1"/>
  <c r="AT44" i="21"/>
  <c r="AU32" i="35" s="1"/>
  <c r="AS44" i="21"/>
  <c r="AT32" i="35" s="1"/>
  <c r="AR44" i="21"/>
  <c r="AS32" i="35" s="1"/>
  <c r="AQ44" i="21"/>
  <c r="AR32" i="35" s="1"/>
  <c r="AP44" i="21"/>
  <c r="AQ32" i="35" s="1"/>
  <c r="AO44" i="21"/>
  <c r="AP32" i="35" s="1"/>
  <c r="AN44" i="21"/>
  <c r="AO32" i="35" s="1"/>
  <c r="AM44" i="21"/>
  <c r="AN32" i="35" s="1"/>
  <c r="AL44" i="21"/>
  <c r="AM32" i="35" s="1"/>
  <c r="AK44" i="21"/>
  <c r="AL32" i="35" s="1"/>
  <c r="AJ44" i="21"/>
  <c r="AK32" i="35" s="1"/>
  <c r="AI44" i="21"/>
  <c r="AJ32" i="35" s="1"/>
  <c r="AH44" i="21"/>
  <c r="AI32" i="35" s="1"/>
  <c r="AG44" i="21"/>
  <c r="AH32" i="35" s="1"/>
  <c r="AF44" i="21"/>
  <c r="AG32" i="35" s="1"/>
  <c r="AE44" i="21"/>
  <c r="AF32" i="35" s="1"/>
  <c r="AD44" i="21"/>
  <c r="AE32" i="35" s="1"/>
  <c r="AY43" i="21"/>
  <c r="AZ31" i="35" s="1"/>
  <c r="AX43" i="21"/>
  <c r="AY31" i="35" s="1"/>
  <c r="AW43" i="21"/>
  <c r="AX31" i="35" s="1"/>
  <c r="AV43" i="21"/>
  <c r="AW31" i="35" s="1"/>
  <c r="AU43" i="21"/>
  <c r="AV31" i="35" s="1"/>
  <c r="AT43" i="21"/>
  <c r="AU31" i="35" s="1"/>
  <c r="AS43" i="21"/>
  <c r="AT31" i="35" s="1"/>
  <c r="AR43" i="21"/>
  <c r="AS31" i="35" s="1"/>
  <c r="AQ43" i="21"/>
  <c r="AR31" i="35" s="1"/>
  <c r="AP43" i="21"/>
  <c r="AQ31" i="35" s="1"/>
  <c r="AO43" i="21"/>
  <c r="AP31" i="35" s="1"/>
  <c r="AN43" i="21"/>
  <c r="AO31" i="35" s="1"/>
  <c r="AM43" i="21"/>
  <c r="AN31" i="35" s="1"/>
  <c r="AL43" i="21"/>
  <c r="AM31" i="35" s="1"/>
  <c r="AK43" i="21"/>
  <c r="AL31" i="35" s="1"/>
  <c r="AJ43" i="21"/>
  <c r="AK31" i="35" s="1"/>
  <c r="AI43" i="21"/>
  <c r="AJ31" i="35" s="1"/>
  <c r="AH43" i="21"/>
  <c r="AI31" i="35" s="1"/>
  <c r="AG43" i="21"/>
  <c r="AH31" i="35" s="1"/>
  <c r="AF43" i="21"/>
  <c r="AG31" i="35" s="1"/>
  <c r="AE43" i="21"/>
  <c r="AF31" i="35" s="1"/>
  <c r="AD43" i="21"/>
  <c r="AE31" i="35" s="1"/>
  <c r="AY42" i="21"/>
  <c r="AZ30" i="35" s="1"/>
  <c r="AX42" i="21"/>
  <c r="AY30" i="35" s="1"/>
  <c r="AW42" i="21"/>
  <c r="AX30" i="35" s="1"/>
  <c r="AV42" i="21"/>
  <c r="AW30" i="35" s="1"/>
  <c r="AU42" i="21"/>
  <c r="AV30" i="35" s="1"/>
  <c r="AT42" i="21"/>
  <c r="AU30" i="35" s="1"/>
  <c r="AS42" i="21"/>
  <c r="AT30" i="35" s="1"/>
  <c r="AR42" i="21"/>
  <c r="AS30" i="35" s="1"/>
  <c r="AQ42" i="21"/>
  <c r="AR30" i="35" s="1"/>
  <c r="AP42" i="21"/>
  <c r="AQ30" i="35" s="1"/>
  <c r="AO42" i="21"/>
  <c r="AP30" i="35" s="1"/>
  <c r="AN42" i="21"/>
  <c r="AO30" i="35" s="1"/>
  <c r="AM42" i="21"/>
  <c r="AN30" i="35" s="1"/>
  <c r="AL42" i="21"/>
  <c r="AM30" i="35" s="1"/>
  <c r="AK42" i="21"/>
  <c r="AL30" i="35" s="1"/>
  <c r="AJ42" i="21"/>
  <c r="AK30" i="35" s="1"/>
  <c r="AI42" i="21"/>
  <c r="AJ30" i="35" s="1"/>
  <c r="AH42" i="21"/>
  <c r="AI30" i="35" s="1"/>
  <c r="AG42" i="21"/>
  <c r="AH30" i="35" s="1"/>
  <c r="AF42" i="21"/>
  <c r="AG30" i="35" s="1"/>
  <c r="AE42" i="21"/>
  <c r="AF30" i="35" s="1"/>
  <c r="AD42" i="21"/>
  <c r="AE30" i="35" s="1"/>
  <c r="AY41" i="21"/>
  <c r="AZ29" i="35" s="1"/>
  <c r="AX41" i="21"/>
  <c r="AY29" i="35" s="1"/>
  <c r="AW41" i="21"/>
  <c r="AX29" i="35" s="1"/>
  <c r="AV41" i="21"/>
  <c r="AW29" i="35" s="1"/>
  <c r="AU41" i="21"/>
  <c r="AV29" i="35" s="1"/>
  <c r="AT41" i="21"/>
  <c r="AU29" i="35" s="1"/>
  <c r="AS41" i="21"/>
  <c r="AT29" i="35" s="1"/>
  <c r="AR41" i="21"/>
  <c r="AS29" i="35" s="1"/>
  <c r="AQ41" i="21"/>
  <c r="AR29" i="35" s="1"/>
  <c r="AP41" i="21"/>
  <c r="AQ29" i="35" s="1"/>
  <c r="AO41" i="21"/>
  <c r="AP29" i="35" s="1"/>
  <c r="F98" i="36" s="1"/>
  <c r="AN41" i="21"/>
  <c r="AO29" i="35" s="1"/>
  <c r="AM41" i="21"/>
  <c r="AN29" i="35" s="1"/>
  <c r="AL41" i="21"/>
  <c r="AM29" i="35" s="1"/>
  <c r="AK41" i="21"/>
  <c r="AL29" i="35" s="1"/>
  <c r="AJ41" i="21"/>
  <c r="AK29" i="35" s="1"/>
  <c r="AI41" i="21"/>
  <c r="AJ29" i="35" s="1"/>
  <c r="AH41" i="21"/>
  <c r="AI29" i="35" s="1"/>
  <c r="AG41" i="21"/>
  <c r="AH29" i="35" s="1"/>
  <c r="AF41" i="21"/>
  <c r="AG29" i="35" s="1"/>
  <c r="AE41" i="21"/>
  <c r="AF29" i="35" s="1"/>
  <c r="AD41" i="21"/>
  <c r="AE29" i="35" s="1"/>
  <c r="E98" i="36" s="1"/>
  <c r="AY40" i="21"/>
  <c r="AZ28" i="35" s="1"/>
  <c r="AX40" i="21"/>
  <c r="AY28" i="35" s="1"/>
  <c r="AW40" i="21"/>
  <c r="AX28" i="35" s="1"/>
  <c r="AV40" i="21"/>
  <c r="AW28" i="35" s="1"/>
  <c r="AU40" i="21"/>
  <c r="AV28" i="35" s="1"/>
  <c r="AT40" i="21"/>
  <c r="AU28" i="35" s="1"/>
  <c r="AS40" i="21"/>
  <c r="AT28" i="35" s="1"/>
  <c r="AR40" i="21"/>
  <c r="AS28" i="35" s="1"/>
  <c r="AQ40" i="21"/>
  <c r="AR28" i="35" s="1"/>
  <c r="AP40" i="21"/>
  <c r="AQ28" i="35" s="1"/>
  <c r="AO40" i="21"/>
  <c r="AP28" i="35" s="1"/>
  <c r="F97" i="36" s="1"/>
  <c r="AN40" i="21"/>
  <c r="AO28" i="35" s="1"/>
  <c r="AM40" i="21"/>
  <c r="AN28" i="35" s="1"/>
  <c r="AL40" i="21"/>
  <c r="AM28" i="35" s="1"/>
  <c r="AK40" i="21"/>
  <c r="AL28" i="35" s="1"/>
  <c r="AJ40" i="21"/>
  <c r="AK28" i="35" s="1"/>
  <c r="AI40" i="21"/>
  <c r="AJ28" i="35" s="1"/>
  <c r="AH40" i="21"/>
  <c r="AI28" i="35" s="1"/>
  <c r="AG40" i="21"/>
  <c r="AH28" i="35" s="1"/>
  <c r="AF40" i="21"/>
  <c r="AG28" i="35" s="1"/>
  <c r="AE40" i="21"/>
  <c r="AF28" i="35" s="1"/>
  <c r="AD40" i="21"/>
  <c r="AE28" i="35" s="1"/>
  <c r="E97" i="36" s="1"/>
  <c r="AY8" i="21"/>
  <c r="AZ7" i="35" s="1"/>
  <c r="AX8" i="21"/>
  <c r="AY7" i="35" s="1"/>
  <c r="AW8" i="21"/>
  <c r="AX7" i="35" s="1"/>
  <c r="AV8" i="21"/>
  <c r="AW7" i="35" s="1"/>
  <c r="AU8" i="21"/>
  <c r="AV7" i="35" s="1"/>
  <c r="AT8" i="21"/>
  <c r="AU7" i="35" s="1"/>
  <c r="AS8" i="21"/>
  <c r="AT7" i="35" s="1"/>
  <c r="AR8" i="21"/>
  <c r="AS7" i="35" s="1"/>
  <c r="AQ8" i="21"/>
  <c r="AR7" i="35" s="1"/>
  <c r="AP8" i="21"/>
  <c r="AQ7" i="35" s="1"/>
  <c r="AO8" i="21"/>
  <c r="AP7" i="35" s="1"/>
  <c r="AN8" i="21"/>
  <c r="AO7" i="35" s="1"/>
  <c r="AM8" i="21"/>
  <c r="AN7" i="35" s="1"/>
  <c r="AL8" i="21"/>
  <c r="AM7" i="35" s="1"/>
  <c r="AK8" i="21"/>
  <c r="AL7" i="35" s="1"/>
  <c r="AJ8" i="21"/>
  <c r="AK7" i="35" s="1"/>
  <c r="AI8" i="21"/>
  <c r="AJ7" i="35" s="1"/>
  <c r="AH8" i="21"/>
  <c r="AI7" i="35" s="1"/>
  <c r="AG8" i="21"/>
  <c r="AH7" i="35" s="1"/>
  <c r="AF8" i="21"/>
  <c r="AG7" i="35" s="1"/>
  <c r="AE8" i="21"/>
  <c r="AF7" i="35" s="1"/>
  <c r="AD8" i="21"/>
  <c r="AE7" i="35" s="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Y6" i="21"/>
  <c r="AZ6" i="35" s="1"/>
  <c r="AX6" i="21"/>
  <c r="AY6" i="35" s="1"/>
  <c r="AW6" i="21"/>
  <c r="AX6" i="35" s="1"/>
  <c r="AV6" i="21"/>
  <c r="AW6" i="35" s="1"/>
  <c r="AU6" i="21"/>
  <c r="AV6" i="35" s="1"/>
  <c r="AT6" i="21"/>
  <c r="AU6" i="35" s="1"/>
  <c r="AS6" i="21"/>
  <c r="AT6" i="35" s="1"/>
  <c r="AR6" i="21"/>
  <c r="AS6" i="35" s="1"/>
  <c r="AQ6" i="21"/>
  <c r="AR6" i="35" s="1"/>
  <c r="AP6" i="21"/>
  <c r="AQ6" i="35" s="1"/>
  <c r="AO6" i="21"/>
  <c r="AP6" i="35" s="1"/>
  <c r="AN6" i="21"/>
  <c r="AO6" i="35" s="1"/>
  <c r="AM6" i="21"/>
  <c r="AN6" i="35" s="1"/>
  <c r="AL6" i="21"/>
  <c r="AM6" i="35" s="1"/>
  <c r="AK6" i="21"/>
  <c r="AL6" i="35" s="1"/>
  <c r="AJ6" i="21"/>
  <c r="AK6" i="35" s="1"/>
  <c r="AI6" i="21"/>
  <c r="AJ6" i="35" s="1"/>
  <c r="AH6" i="21"/>
  <c r="AI6" i="35" s="1"/>
  <c r="AG6" i="21"/>
  <c r="AH6" i="35" s="1"/>
  <c r="AF6" i="21"/>
  <c r="AG6" i="35" s="1"/>
  <c r="AE6" i="21"/>
  <c r="AF6" i="35" s="1"/>
  <c r="AD6" i="21"/>
  <c r="AE6" i="35" s="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Y4" i="21"/>
  <c r="AZ5" i="35" s="1"/>
  <c r="AX4" i="21"/>
  <c r="AY5" i="35" s="1"/>
  <c r="AW4" i="21"/>
  <c r="AX5" i="35" s="1"/>
  <c r="AV4" i="21"/>
  <c r="AW5" i="35" s="1"/>
  <c r="AU4" i="21"/>
  <c r="AV5" i="35" s="1"/>
  <c r="AT4" i="21"/>
  <c r="AU5" i="35" s="1"/>
  <c r="AS4" i="21"/>
  <c r="AT5" i="35" s="1"/>
  <c r="AR4" i="21"/>
  <c r="AS5" i="35" s="1"/>
  <c r="AQ4" i="21"/>
  <c r="AR5" i="35" s="1"/>
  <c r="AP4" i="21"/>
  <c r="AQ5" i="35" s="1"/>
  <c r="AO4" i="21"/>
  <c r="AP5" i="35" s="1"/>
  <c r="AN4" i="21"/>
  <c r="AO5" i="35" s="1"/>
  <c r="AM4" i="21"/>
  <c r="AN5" i="35" s="1"/>
  <c r="AL4" i="21"/>
  <c r="AM5" i="35" s="1"/>
  <c r="AK4" i="21"/>
  <c r="AL5" i="35" s="1"/>
  <c r="AJ4" i="21"/>
  <c r="AK5" i="35" s="1"/>
  <c r="AI4" i="21"/>
  <c r="AJ5" i="35" s="1"/>
  <c r="AH4" i="21"/>
  <c r="AI5" i="35" s="1"/>
  <c r="AG4" i="21"/>
  <c r="AH5" i="35" s="1"/>
  <c r="AF4" i="21"/>
  <c r="AG5" i="35" s="1"/>
  <c r="AE4" i="21"/>
  <c r="AF5" i="35" s="1"/>
  <c r="AD4" i="21"/>
  <c r="AE5" i="35" s="1"/>
  <c r="B43" i="16"/>
  <c r="B47" i="16"/>
  <c r="E81" i="16"/>
  <c r="E83" i="16"/>
  <c r="E85" i="16"/>
  <c r="E87" i="16"/>
  <c r="E90" i="16"/>
  <c r="E91" i="16"/>
  <c r="E92" i="16"/>
  <c r="B55" i="16"/>
  <c r="F2" i="22"/>
  <c r="AH24" i="36" l="1"/>
  <c r="AA21" i="35"/>
  <c r="Z21" i="35"/>
  <c r="AG24" i="36"/>
  <c r="AF24" i="36"/>
  <c r="Y21" i="35"/>
  <c r="AE24" i="36"/>
  <c r="X21" i="35"/>
  <c r="AD24" i="36"/>
  <c r="W21" i="35"/>
  <c r="V21" i="35"/>
  <c r="AC24" i="36"/>
  <c r="AB24" i="36"/>
  <c r="U21" i="35"/>
  <c r="AA24" i="36"/>
  <c r="T21" i="35"/>
  <c r="S21" i="35"/>
  <c r="Z24" i="36"/>
  <c r="Y24" i="36"/>
  <c r="R21" i="35"/>
  <c r="X24" i="36"/>
  <c r="Q21" i="35"/>
  <c r="W24" i="36"/>
  <c r="P21" i="35"/>
  <c r="V24" i="36"/>
  <c r="O21" i="35"/>
  <c r="U24" i="36"/>
  <c r="N21" i="35"/>
  <c r="T24" i="36"/>
  <c r="M21" i="35"/>
  <c r="S24" i="36"/>
  <c r="L21" i="35"/>
  <c r="K21" i="35"/>
  <c r="R24" i="36"/>
  <c r="Q24" i="36"/>
  <c r="J21" i="35"/>
  <c r="P24" i="36"/>
  <c r="I21" i="35"/>
  <c r="O24" i="36"/>
  <c r="H21" i="35"/>
  <c r="G21" i="35"/>
  <c r="N24" i="36"/>
  <c r="M24" i="36"/>
  <c r="F21" i="35"/>
  <c r="AP37" i="35"/>
  <c r="C64" i="36"/>
  <c r="AQ37" i="35"/>
  <c r="Y62" i="36"/>
  <c r="AR37" i="35"/>
  <c r="Z62" i="36"/>
  <c r="AS37" i="35"/>
  <c r="AA62" i="36"/>
  <c r="AT37" i="35"/>
  <c r="AB62" i="36"/>
  <c r="AE37" i="35"/>
  <c r="M62" i="36"/>
  <c r="AU37" i="35"/>
  <c r="C65" i="36"/>
  <c r="AF37" i="35"/>
  <c r="C62" i="36"/>
  <c r="AV37" i="35"/>
  <c r="AD62" i="36"/>
  <c r="AG37" i="35"/>
  <c r="O62" i="36"/>
  <c r="AW37" i="35"/>
  <c r="AE62" i="36"/>
  <c r="AH37" i="35"/>
  <c r="P62" i="36"/>
  <c r="AX37" i="35"/>
  <c r="AF62" i="36"/>
  <c r="AI37" i="35"/>
  <c r="Q62" i="36"/>
  <c r="AY37" i="35"/>
  <c r="AG62" i="36"/>
  <c r="AJ37" i="35"/>
  <c r="R62" i="36"/>
  <c r="AZ37" i="35"/>
  <c r="C66" i="36"/>
  <c r="AL37" i="35"/>
  <c r="T62" i="36"/>
  <c r="AK37" i="35"/>
  <c r="C63" i="36"/>
  <c r="AM37" i="35"/>
  <c r="U62" i="36"/>
  <c r="AN37" i="35"/>
  <c r="V62" i="36"/>
  <c r="AO37" i="35"/>
  <c r="W62" i="36"/>
  <c r="I280" i="40"/>
  <c r="I399" i="40"/>
  <c r="I199" i="40"/>
  <c r="H485" i="40"/>
  <c r="H442" i="40"/>
  <c r="N7" i="40"/>
  <c r="O161" i="40"/>
  <c r="O242" i="40"/>
  <c r="N43" i="40"/>
  <c r="N1" i="40"/>
  <c r="U323" i="40"/>
  <c r="P120" i="40"/>
  <c r="O84" i="40"/>
  <c r="N361" i="40"/>
  <c r="J11" i="35"/>
  <c r="Q22" i="36"/>
  <c r="G9" i="35"/>
  <c r="G47" i="35" s="1"/>
  <c r="D20" i="36"/>
  <c r="K11" i="35"/>
  <c r="R22" i="36"/>
  <c r="I9" i="35"/>
  <c r="I47" i="35" s="1"/>
  <c r="P20" i="36"/>
  <c r="S10" i="35"/>
  <c r="Z21" i="36"/>
  <c r="G12" i="35"/>
  <c r="F20" i="36"/>
  <c r="I49" i="35"/>
  <c r="J9" i="35"/>
  <c r="J48" i="35" s="1"/>
  <c r="Q20" i="36"/>
  <c r="T10" i="35"/>
  <c r="AA21" i="36"/>
  <c r="N11" i="35"/>
  <c r="U22" i="36"/>
  <c r="X12" i="35"/>
  <c r="AE23" i="36"/>
  <c r="J23" i="35"/>
  <c r="Z23" i="35"/>
  <c r="K9" i="35"/>
  <c r="K48" i="35" s="1"/>
  <c r="R20" i="36"/>
  <c r="AA9" i="35"/>
  <c r="AA47" i="35" s="1"/>
  <c r="D24" i="36"/>
  <c r="U10" i="35"/>
  <c r="AB21" i="36"/>
  <c r="O11" i="35"/>
  <c r="V22" i="36"/>
  <c r="I12" i="35"/>
  <c r="P23" i="36"/>
  <c r="Y12" i="35"/>
  <c r="AF23" i="36"/>
  <c r="K49" i="35"/>
  <c r="AA23" i="35"/>
  <c r="L9" i="35"/>
  <c r="L47" i="35" s="1"/>
  <c r="D21" i="36"/>
  <c r="F10" i="35"/>
  <c r="M21" i="36"/>
  <c r="V10" i="35"/>
  <c r="AC21" i="36"/>
  <c r="P11" i="35"/>
  <c r="W22" i="36"/>
  <c r="J12" i="35"/>
  <c r="Q23" i="36"/>
  <c r="Z12" i="35"/>
  <c r="AG23" i="36"/>
  <c r="L23" i="35"/>
  <c r="V9" i="35"/>
  <c r="V47" i="35" s="1"/>
  <c r="D23" i="36"/>
  <c r="T12" i="35"/>
  <c r="AA23" i="36"/>
  <c r="F22" i="35"/>
  <c r="W22" i="35"/>
  <c r="M9" i="35"/>
  <c r="M48" i="35" s="1"/>
  <c r="T20" i="36"/>
  <c r="W10" i="35"/>
  <c r="AD21" i="36"/>
  <c r="K12" i="35"/>
  <c r="R23" i="36"/>
  <c r="AA12" i="35"/>
  <c r="F24" i="36"/>
  <c r="H10" i="35"/>
  <c r="O21" i="36"/>
  <c r="R11" i="35"/>
  <c r="Y22" i="36"/>
  <c r="L12" i="35"/>
  <c r="F21" i="36"/>
  <c r="N22" i="35"/>
  <c r="O9" i="35"/>
  <c r="O48" i="35" s="1"/>
  <c r="V20" i="36"/>
  <c r="I10" i="35"/>
  <c r="P21" i="36"/>
  <c r="Y10" i="35"/>
  <c r="AF21" i="36"/>
  <c r="S11" i="35"/>
  <c r="Z22" i="36"/>
  <c r="M12" i="35"/>
  <c r="T23" i="36"/>
  <c r="O23" i="35"/>
  <c r="P9" i="35"/>
  <c r="P47" i="35" s="1"/>
  <c r="W20" i="36"/>
  <c r="J10" i="35"/>
  <c r="Q21" i="36"/>
  <c r="Z10" i="35"/>
  <c r="AG21" i="36"/>
  <c r="T11" i="35"/>
  <c r="AA22" i="36"/>
  <c r="N12" i="35"/>
  <c r="U23" i="36"/>
  <c r="P23" i="35"/>
  <c r="S12" i="35"/>
  <c r="Z23" i="36"/>
  <c r="U22" i="35"/>
  <c r="F9" i="35"/>
  <c r="F47" i="35" s="1"/>
  <c r="M20" i="36"/>
  <c r="Z11" i="35"/>
  <c r="AG22" i="36"/>
  <c r="G10" i="35"/>
  <c r="N21" i="36"/>
  <c r="Q11" i="35"/>
  <c r="E22" i="36"/>
  <c r="M49" i="35"/>
  <c r="N9" i="35"/>
  <c r="N48" i="35" s="1"/>
  <c r="U20" i="36"/>
  <c r="Q9" i="35"/>
  <c r="Q48" i="35" s="1"/>
  <c r="D22" i="36"/>
  <c r="U11" i="35"/>
  <c r="AB22" i="36"/>
  <c r="R9" i="35"/>
  <c r="R47" i="35" s="1"/>
  <c r="Y20" i="36"/>
  <c r="P10" i="35"/>
  <c r="W21" i="36"/>
  <c r="W9" i="35"/>
  <c r="W47" i="35" s="1"/>
  <c r="AD20" i="36"/>
  <c r="AA11" i="35"/>
  <c r="E24" i="36"/>
  <c r="X10" i="35"/>
  <c r="AE21" i="36"/>
  <c r="K10" i="35"/>
  <c r="R21" i="36"/>
  <c r="AA10" i="35"/>
  <c r="AH21" i="36"/>
  <c r="O12" i="35"/>
  <c r="V23" i="36"/>
  <c r="Q49" i="35"/>
  <c r="L10" i="35"/>
  <c r="S21" i="36"/>
  <c r="F11" i="35"/>
  <c r="M22" i="36"/>
  <c r="V11" i="35"/>
  <c r="E23" i="36"/>
  <c r="P12" i="35"/>
  <c r="W23" i="36"/>
  <c r="R23" i="35"/>
  <c r="S9" i="35"/>
  <c r="S48" i="35" s="1"/>
  <c r="Z20" i="36"/>
  <c r="M10" i="35"/>
  <c r="T21" i="36"/>
  <c r="G11" i="35"/>
  <c r="E20" i="36"/>
  <c r="W11" i="35"/>
  <c r="AD22" i="36"/>
  <c r="Q12" i="35"/>
  <c r="F22" i="36"/>
  <c r="S23" i="35"/>
  <c r="T9" i="35"/>
  <c r="T48" i="35" s="1"/>
  <c r="AA20" i="36"/>
  <c r="N10" i="35"/>
  <c r="U21" i="36"/>
  <c r="H11" i="35"/>
  <c r="O22" i="36"/>
  <c r="X11" i="35"/>
  <c r="AE22" i="36"/>
  <c r="R12" i="35"/>
  <c r="Y23" i="36"/>
  <c r="T49" i="35"/>
  <c r="I11" i="35"/>
  <c r="P22" i="36"/>
  <c r="O10" i="35"/>
  <c r="V21" i="36"/>
  <c r="U9" i="35"/>
  <c r="U47" i="35" s="1"/>
  <c r="AB20" i="36"/>
  <c r="Y11" i="35"/>
  <c r="AF22" i="36"/>
  <c r="V22" i="35"/>
  <c r="Q10" i="35"/>
  <c r="X21" i="36"/>
  <c r="U12" i="35"/>
  <c r="AB23" i="36"/>
  <c r="G49" i="35"/>
  <c r="H9" i="35"/>
  <c r="H48" i="35" s="1"/>
  <c r="O20" i="36"/>
  <c r="X9" i="35"/>
  <c r="X47" i="35" s="1"/>
  <c r="AE20" i="36"/>
  <c r="R10" i="35"/>
  <c r="Y21" i="36"/>
  <c r="L11" i="35"/>
  <c r="E21" i="36"/>
  <c r="F12" i="35"/>
  <c r="M23" i="36"/>
  <c r="V12" i="35"/>
  <c r="F23" i="36"/>
  <c r="H49" i="35"/>
  <c r="X22" i="35"/>
  <c r="Y9" i="35"/>
  <c r="Y48" i="35" s="1"/>
  <c r="AF20" i="36"/>
  <c r="M11" i="35"/>
  <c r="T22" i="36"/>
  <c r="W12" i="35"/>
  <c r="AD23" i="36"/>
  <c r="Y49" i="35"/>
  <c r="Z9" i="35"/>
  <c r="Z48" i="35" s="1"/>
  <c r="AG20" i="36"/>
  <c r="H12" i="35"/>
  <c r="O23" i="36"/>
  <c r="AA49" i="35"/>
  <c r="AA22" i="35"/>
  <c r="W49" i="35"/>
  <c r="R22" i="35"/>
  <c r="P49" i="35"/>
  <c r="P22" i="35"/>
  <c r="L22" i="35"/>
  <c r="K23" i="35"/>
  <c r="J49" i="35"/>
  <c r="E47" i="26"/>
  <c r="F47" i="26" s="1"/>
  <c r="G47" i="26" s="1"/>
  <c r="H47" i="26" s="1"/>
  <c r="I47" i="26" s="1"/>
  <c r="J47" i="26" s="1"/>
  <c r="K47" i="26" s="1"/>
  <c r="L47" i="26" s="1"/>
  <c r="M47" i="26" s="1"/>
  <c r="N47" i="26" s="1"/>
  <c r="O47" i="26" s="1"/>
  <c r="P47" i="26" s="1"/>
  <c r="Q47" i="26" s="1"/>
  <c r="R47" i="26" s="1"/>
  <c r="S47" i="26" s="1"/>
  <c r="T47" i="26" s="1"/>
  <c r="U47" i="26" s="1"/>
  <c r="V47" i="26" s="1"/>
  <c r="W47" i="26" s="1"/>
  <c r="X47" i="26" s="1"/>
  <c r="D340" i="13"/>
  <c r="B340" i="13" s="1"/>
  <c r="D325" i="13"/>
  <c r="B325" i="13" s="1"/>
  <c r="D318" i="13"/>
  <c r="B318" i="13" s="1"/>
  <c r="D277" i="13"/>
  <c r="B277" i="13" s="1"/>
  <c r="D223" i="13"/>
  <c r="B223" i="13" s="1"/>
  <c r="D209" i="13"/>
  <c r="B209" i="13" s="1"/>
  <c r="D161" i="13"/>
  <c r="B161" i="13" s="1"/>
  <c r="D147" i="13"/>
  <c r="B147" i="13" s="1"/>
  <c r="D131" i="13"/>
  <c r="B131" i="13" s="1"/>
  <c r="D90" i="13"/>
  <c r="B90" i="13" s="1"/>
  <c r="D42" i="13"/>
  <c r="B42" i="13" s="1"/>
  <c r="D31" i="13"/>
  <c r="B31" i="13" s="1"/>
  <c r="D7" i="13"/>
  <c r="B7" i="13" s="1"/>
  <c r="E353" i="13"/>
  <c r="D353" i="13"/>
  <c r="C353" i="13"/>
  <c r="E352" i="13"/>
  <c r="D352" i="13"/>
  <c r="C352" i="13"/>
  <c r="E351" i="13"/>
  <c r="D351" i="13"/>
  <c r="C351" i="13"/>
  <c r="E350" i="13"/>
  <c r="D350" i="13"/>
  <c r="C350" i="13"/>
  <c r="E349" i="13"/>
  <c r="D349" i="13"/>
  <c r="C349" i="13"/>
  <c r="E348" i="13"/>
  <c r="D348" i="13"/>
  <c r="C348" i="13"/>
  <c r="E347" i="13"/>
  <c r="D347" i="13"/>
  <c r="C347" i="13"/>
  <c r="E346" i="13"/>
  <c r="D346" i="13"/>
  <c r="C346" i="13"/>
  <c r="E345" i="13"/>
  <c r="D345" i="13"/>
  <c r="C345" i="13"/>
  <c r="E344" i="13"/>
  <c r="D344" i="13"/>
  <c r="C344" i="13"/>
  <c r="E343" i="13"/>
  <c r="D343" i="13"/>
  <c r="C343" i="13"/>
  <c r="E342" i="13"/>
  <c r="D342" i="13"/>
  <c r="C342" i="13"/>
  <c r="E341" i="13"/>
  <c r="D341" i="13"/>
  <c r="C341" i="13"/>
  <c r="E338" i="13"/>
  <c r="D338" i="13"/>
  <c r="C338" i="13"/>
  <c r="E337" i="13"/>
  <c r="D337" i="13"/>
  <c r="C337" i="13"/>
  <c r="E336" i="13"/>
  <c r="D336" i="13"/>
  <c r="C336" i="13"/>
  <c r="E335" i="13"/>
  <c r="D335" i="13"/>
  <c r="C335" i="13"/>
  <c r="E334" i="13"/>
  <c r="D334" i="13"/>
  <c r="C334" i="13"/>
  <c r="E333" i="13"/>
  <c r="D333" i="13"/>
  <c r="C333" i="13"/>
  <c r="E332" i="13"/>
  <c r="D332" i="13"/>
  <c r="C332" i="13"/>
  <c r="E331" i="13"/>
  <c r="D331" i="13"/>
  <c r="C331" i="13"/>
  <c r="E330" i="13"/>
  <c r="D330" i="13"/>
  <c r="C330" i="13"/>
  <c r="E329" i="13"/>
  <c r="D329" i="13"/>
  <c r="C329" i="13"/>
  <c r="E328" i="13"/>
  <c r="D328" i="13"/>
  <c r="C328" i="13"/>
  <c r="E327" i="13"/>
  <c r="D327" i="13"/>
  <c r="C327" i="13"/>
  <c r="E326" i="13"/>
  <c r="D326" i="13"/>
  <c r="C326" i="13"/>
  <c r="E323" i="13"/>
  <c r="D323" i="13"/>
  <c r="C323" i="13"/>
  <c r="E322" i="13"/>
  <c r="D322" i="13"/>
  <c r="C322" i="13"/>
  <c r="E321" i="13"/>
  <c r="D321" i="13"/>
  <c r="C321" i="13"/>
  <c r="E320" i="13"/>
  <c r="D320" i="13"/>
  <c r="C320" i="13"/>
  <c r="E319" i="13"/>
  <c r="D319" i="13"/>
  <c r="C319" i="13"/>
  <c r="E316" i="13"/>
  <c r="D316" i="13"/>
  <c r="C316" i="13"/>
  <c r="E315" i="13"/>
  <c r="D315" i="13"/>
  <c r="C315" i="13"/>
  <c r="E314" i="13"/>
  <c r="D314" i="13"/>
  <c r="C314" i="13"/>
  <c r="E313" i="13"/>
  <c r="D313" i="13"/>
  <c r="C313" i="13"/>
  <c r="E312" i="13"/>
  <c r="D312" i="13"/>
  <c r="C312" i="13"/>
  <c r="E311" i="13"/>
  <c r="D311" i="13"/>
  <c r="C311" i="13"/>
  <c r="E310" i="13"/>
  <c r="D310" i="13"/>
  <c r="C310" i="13"/>
  <c r="E309" i="13"/>
  <c r="D309" i="13"/>
  <c r="C309" i="13"/>
  <c r="E308" i="13"/>
  <c r="D308" i="13"/>
  <c r="C308" i="13"/>
  <c r="E307" i="13"/>
  <c r="D307" i="13"/>
  <c r="C307" i="13"/>
  <c r="E306" i="13"/>
  <c r="D306" i="13"/>
  <c r="C306" i="13"/>
  <c r="E305" i="13"/>
  <c r="D305" i="13"/>
  <c r="C305" i="13"/>
  <c r="E304" i="13"/>
  <c r="D304" i="13"/>
  <c r="C304" i="13"/>
  <c r="D303" i="13"/>
  <c r="C303" i="13"/>
  <c r="E302" i="13"/>
  <c r="D302" i="13"/>
  <c r="C302" i="13"/>
  <c r="E301" i="13"/>
  <c r="D301" i="13"/>
  <c r="C301" i="13"/>
  <c r="E300" i="13"/>
  <c r="D300" i="13"/>
  <c r="C300" i="13"/>
  <c r="E299" i="13"/>
  <c r="D299" i="13"/>
  <c r="C299" i="13"/>
  <c r="E298" i="13"/>
  <c r="D298" i="13"/>
  <c r="C298" i="13"/>
  <c r="E297" i="13"/>
  <c r="D297" i="13"/>
  <c r="C297" i="13"/>
  <c r="E296" i="13"/>
  <c r="D296" i="13"/>
  <c r="C296" i="13"/>
  <c r="E295" i="13"/>
  <c r="D295" i="13"/>
  <c r="C295" i="13"/>
  <c r="E294" i="13"/>
  <c r="D294" i="13"/>
  <c r="C294" i="13"/>
  <c r="E293" i="13"/>
  <c r="D293" i="13"/>
  <c r="C293" i="13"/>
  <c r="E292" i="13"/>
  <c r="D292" i="13"/>
  <c r="C292" i="13"/>
  <c r="E291" i="13"/>
  <c r="D291" i="13"/>
  <c r="C291" i="13"/>
  <c r="E290" i="13"/>
  <c r="D290" i="13"/>
  <c r="C290" i="13"/>
  <c r="E289" i="13"/>
  <c r="D289" i="13"/>
  <c r="C289" i="13"/>
  <c r="E288" i="13"/>
  <c r="D288" i="13"/>
  <c r="C288" i="13"/>
  <c r="E287" i="13"/>
  <c r="D287" i="13"/>
  <c r="C287" i="13"/>
  <c r="E286" i="13"/>
  <c r="D286" i="13"/>
  <c r="C286" i="13"/>
  <c r="E285" i="13"/>
  <c r="D285" i="13"/>
  <c r="C285" i="13"/>
  <c r="E284" i="13"/>
  <c r="D284" i="13"/>
  <c r="C284" i="13"/>
  <c r="E283" i="13"/>
  <c r="D283" i="13"/>
  <c r="C283" i="13"/>
  <c r="E282" i="13"/>
  <c r="D282" i="13"/>
  <c r="C282" i="13"/>
  <c r="E281" i="13"/>
  <c r="D281" i="13"/>
  <c r="C281" i="13"/>
  <c r="E280" i="13"/>
  <c r="D280" i="13"/>
  <c r="C280" i="13"/>
  <c r="E279" i="13"/>
  <c r="D279" i="13"/>
  <c r="C279" i="13"/>
  <c r="E278" i="13"/>
  <c r="D278" i="13"/>
  <c r="C278" i="13"/>
  <c r="E275" i="13"/>
  <c r="D275" i="13"/>
  <c r="C275" i="13"/>
  <c r="E274" i="13"/>
  <c r="D274" i="13"/>
  <c r="C274" i="13"/>
  <c r="E273" i="13"/>
  <c r="D273" i="13"/>
  <c r="C273" i="13"/>
  <c r="E272" i="13"/>
  <c r="D272" i="13"/>
  <c r="C272" i="13"/>
  <c r="E271" i="13"/>
  <c r="D271" i="13"/>
  <c r="C271" i="13"/>
  <c r="E270" i="13"/>
  <c r="D270" i="13"/>
  <c r="C270" i="13"/>
  <c r="E269" i="13"/>
  <c r="D269" i="13"/>
  <c r="C269" i="13"/>
  <c r="E268" i="13"/>
  <c r="D268" i="13"/>
  <c r="C268" i="13"/>
  <c r="E267" i="13"/>
  <c r="D267" i="13"/>
  <c r="C267" i="13"/>
  <c r="E266" i="13"/>
  <c r="D266" i="13"/>
  <c r="C266" i="13"/>
  <c r="E265" i="13"/>
  <c r="D265" i="13"/>
  <c r="C265" i="13"/>
  <c r="E251" i="13"/>
  <c r="D251" i="13"/>
  <c r="C251" i="13"/>
  <c r="E250" i="13"/>
  <c r="D250" i="13"/>
  <c r="C250" i="13"/>
  <c r="E249" i="13"/>
  <c r="D249" i="13"/>
  <c r="C249" i="13"/>
  <c r="E248" i="13"/>
  <c r="D248" i="13"/>
  <c r="C248" i="13"/>
  <c r="E247" i="13"/>
  <c r="D247" i="13"/>
  <c r="C247" i="13"/>
  <c r="E246" i="13"/>
  <c r="D246" i="13"/>
  <c r="C246" i="13"/>
  <c r="E245" i="13"/>
  <c r="D245" i="13"/>
  <c r="C245" i="13"/>
  <c r="E244" i="13"/>
  <c r="D244" i="13"/>
  <c r="C244" i="13"/>
  <c r="E243" i="13"/>
  <c r="D243" i="13"/>
  <c r="C243" i="13"/>
  <c r="E242" i="13"/>
  <c r="D242" i="13"/>
  <c r="C242" i="13"/>
  <c r="E241" i="13"/>
  <c r="D241" i="13"/>
  <c r="C241" i="13"/>
  <c r="E240" i="13"/>
  <c r="D240" i="13"/>
  <c r="C240" i="13"/>
  <c r="E239" i="13"/>
  <c r="D239" i="13"/>
  <c r="C239" i="13"/>
  <c r="E238" i="13"/>
  <c r="D238" i="13"/>
  <c r="C238" i="13"/>
  <c r="E237" i="13"/>
  <c r="D237" i="13"/>
  <c r="C237" i="13"/>
  <c r="E236" i="13"/>
  <c r="D236" i="13"/>
  <c r="C236" i="13"/>
  <c r="E235" i="13"/>
  <c r="D235" i="13"/>
  <c r="C235" i="13"/>
  <c r="E234" i="13"/>
  <c r="D234" i="13"/>
  <c r="C234" i="13"/>
  <c r="E233" i="13"/>
  <c r="D233" i="13"/>
  <c r="C233" i="13"/>
  <c r="E232" i="13"/>
  <c r="D232" i="13"/>
  <c r="C232" i="13"/>
  <c r="E231" i="13"/>
  <c r="D231" i="13"/>
  <c r="C231" i="13"/>
  <c r="E230" i="13"/>
  <c r="D230" i="13"/>
  <c r="C230" i="13"/>
  <c r="E229" i="13"/>
  <c r="D229" i="13"/>
  <c r="C229" i="13"/>
  <c r="E228" i="13"/>
  <c r="D228" i="13"/>
  <c r="C228" i="13"/>
  <c r="E227" i="13"/>
  <c r="D227" i="13"/>
  <c r="C227" i="13"/>
  <c r="E226" i="13"/>
  <c r="D226" i="13"/>
  <c r="C226" i="13"/>
  <c r="E225" i="13"/>
  <c r="D225" i="13"/>
  <c r="C225" i="13"/>
  <c r="E224" i="13"/>
  <c r="D224" i="13"/>
  <c r="C224" i="13"/>
  <c r="E221" i="13"/>
  <c r="D221" i="13"/>
  <c r="C221" i="13"/>
  <c r="E220" i="13"/>
  <c r="D220" i="13"/>
  <c r="C220" i="13"/>
  <c r="E219" i="13"/>
  <c r="D219" i="13"/>
  <c r="C219" i="13"/>
  <c r="E218" i="13"/>
  <c r="D218" i="13"/>
  <c r="C218" i="13"/>
  <c r="E217" i="13"/>
  <c r="D217" i="13"/>
  <c r="C217" i="13"/>
  <c r="E216" i="13"/>
  <c r="D216" i="13"/>
  <c r="C216" i="13"/>
  <c r="E215" i="13"/>
  <c r="D215" i="13"/>
  <c r="C215" i="13"/>
  <c r="E214" i="13"/>
  <c r="D214" i="13"/>
  <c r="C214" i="13"/>
  <c r="E213" i="13"/>
  <c r="D213" i="13"/>
  <c r="C213" i="13"/>
  <c r="E212" i="13"/>
  <c r="D212" i="13"/>
  <c r="C212" i="13"/>
  <c r="E211" i="13"/>
  <c r="D211" i="13"/>
  <c r="C211" i="13"/>
  <c r="E210" i="13"/>
  <c r="D210" i="13"/>
  <c r="C210" i="13"/>
  <c r="E207" i="13"/>
  <c r="D207" i="13"/>
  <c r="C207" i="13"/>
  <c r="E206" i="13"/>
  <c r="D206" i="13"/>
  <c r="C206" i="13"/>
  <c r="E205" i="13"/>
  <c r="D205" i="13"/>
  <c r="C205" i="13"/>
  <c r="E204" i="13"/>
  <c r="D204" i="13"/>
  <c r="C204" i="13"/>
  <c r="E203" i="13"/>
  <c r="D203" i="13"/>
  <c r="C203" i="13"/>
  <c r="E202" i="13"/>
  <c r="D202" i="13"/>
  <c r="C202" i="13"/>
  <c r="E201" i="13"/>
  <c r="D201" i="13"/>
  <c r="C201" i="13"/>
  <c r="E200" i="13"/>
  <c r="H15" i="36" s="1"/>
  <c r="D200" i="13"/>
  <c r="C200" i="13"/>
  <c r="E199" i="13"/>
  <c r="H14" i="36" s="1"/>
  <c r="D199" i="13"/>
  <c r="C199" i="13"/>
  <c r="E198" i="13"/>
  <c r="H13" i="36" s="1"/>
  <c r="D198" i="13"/>
  <c r="E197" i="13"/>
  <c r="H12" i="36" s="1"/>
  <c r="D197" i="13"/>
  <c r="C197" i="13"/>
  <c r="E196" i="13"/>
  <c r="D196" i="13"/>
  <c r="E195" i="13"/>
  <c r="D195" i="13"/>
  <c r="E194" i="13"/>
  <c r="D194" i="13"/>
  <c r="C194" i="13"/>
  <c r="E193" i="13"/>
  <c r="D193" i="13"/>
  <c r="E192" i="13"/>
  <c r="D192" i="13"/>
  <c r="C192" i="13"/>
  <c r="E191" i="13"/>
  <c r="D191" i="13"/>
  <c r="E190" i="13"/>
  <c r="D190" i="13"/>
  <c r="C190" i="13"/>
  <c r="E189" i="13"/>
  <c r="H16" i="36" s="1"/>
  <c r="D189" i="13"/>
  <c r="C189" i="13"/>
  <c r="E188" i="13"/>
  <c r="D188" i="13"/>
  <c r="C188" i="13"/>
  <c r="E187" i="13"/>
  <c r="D187" i="13"/>
  <c r="E186" i="13"/>
  <c r="D186" i="13"/>
  <c r="C186" i="13"/>
  <c r="E185" i="13"/>
  <c r="D185" i="13"/>
  <c r="C185" i="13"/>
  <c r="E184" i="13"/>
  <c r="D184" i="13"/>
  <c r="E183" i="13"/>
  <c r="D183" i="13"/>
  <c r="C183" i="13"/>
  <c r="E182" i="13"/>
  <c r="D182" i="13"/>
  <c r="E181" i="13"/>
  <c r="D181" i="13"/>
  <c r="E180" i="13"/>
  <c r="D180" i="13"/>
  <c r="E179" i="13"/>
  <c r="D179" i="13"/>
  <c r="C179" i="13"/>
  <c r="E178" i="13"/>
  <c r="D178" i="13"/>
  <c r="E177" i="13"/>
  <c r="D177" i="13"/>
  <c r="C177" i="13"/>
  <c r="E176" i="13"/>
  <c r="D176" i="13"/>
  <c r="C176" i="13"/>
  <c r="E175" i="13"/>
  <c r="D175" i="13"/>
  <c r="C175" i="13"/>
  <c r="E174" i="13"/>
  <c r="D174" i="13"/>
  <c r="C174" i="13"/>
  <c r="E173" i="13"/>
  <c r="D173" i="13"/>
  <c r="C173" i="13"/>
  <c r="E172" i="13"/>
  <c r="D172" i="13"/>
  <c r="C172" i="13"/>
  <c r="E171" i="13"/>
  <c r="D171" i="13"/>
  <c r="C171" i="13"/>
  <c r="E170" i="13"/>
  <c r="D170" i="13"/>
  <c r="C170" i="13"/>
  <c r="E169" i="13"/>
  <c r="D169" i="13"/>
  <c r="C169" i="13"/>
  <c r="E168" i="13"/>
  <c r="D168" i="13"/>
  <c r="C168" i="13"/>
  <c r="E167" i="13"/>
  <c r="D167" i="13"/>
  <c r="C167" i="13"/>
  <c r="E166" i="13"/>
  <c r="D166" i="13"/>
  <c r="C166" i="13"/>
  <c r="E165" i="13"/>
  <c r="D165" i="13"/>
  <c r="C165" i="13"/>
  <c r="E164" i="13"/>
  <c r="D164" i="13"/>
  <c r="C164" i="13"/>
  <c r="E163" i="13"/>
  <c r="D163" i="13"/>
  <c r="C163" i="13"/>
  <c r="E162" i="13"/>
  <c r="D162" i="13"/>
  <c r="C162" i="13"/>
  <c r="E159" i="13"/>
  <c r="D159" i="13"/>
  <c r="E158" i="13"/>
  <c r="D158" i="13"/>
  <c r="E157" i="13"/>
  <c r="D157" i="13"/>
  <c r="E156" i="13"/>
  <c r="D156" i="13"/>
  <c r="E155" i="13"/>
  <c r="D155" i="13"/>
  <c r="E154" i="13"/>
  <c r="D154" i="13"/>
  <c r="E153" i="13"/>
  <c r="D153" i="13"/>
  <c r="E152" i="13"/>
  <c r="D152" i="13"/>
  <c r="E151" i="13"/>
  <c r="D151" i="13"/>
  <c r="E150" i="13"/>
  <c r="D150" i="13"/>
  <c r="E149" i="13"/>
  <c r="D149" i="13"/>
  <c r="E148" i="13"/>
  <c r="D148" i="13"/>
  <c r="E145" i="13"/>
  <c r="D145" i="13"/>
  <c r="C145" i="13"/>
  <c r="E144" i="13"/>
  <c r="D144" i="13"/>
  <c r="C144" i="13"/>
  <c r="E143" i="13"/>
  <c r="D143" i="13"/>
  <c r="C143" i="13"/>
  <c r="E142" i="13"/>
  <c r="D142" i="13"/>
  <c r="C142" i="13"/>
  <c r="E141" i="13"/>
  <c r="D141" i="13"/>
  <c r="C141" i="13"/>
  <c r="E140" i="13"/>
  <c r="D140" i="13"/>
  <c r="C140" i="13"/>
  <c r="E139" i="13"/>
  <c r="D139" i="13"/>
  <c r="C139" i="13"/>
  <c r="E138" i="13"/>
  <c r="D138" i="13"/>
  <c r="C138" i="13"/>
  <c r="E137" i="13"/>
  <c r="D137" i="13"/>
  <c r="C137" i="13"/>
  <c r="E136" i="13"/>
  <c r="D136" i="13"/>
  <c r="C136" i="13"/>
  <c r="E135" i="13"/>
  <c r="D135" i="13"/>
  <c r="C135" i="13"/>
  <c r="E134" i="13"/>
  <c r="D134" i="13"/>
  <c r="C134" i="13"/>
  <c r="E133" i="13"/>
  <c r="D133" i="13"/>
  <c r="C133" i="13"/>
  <c r="E132" i="13"/>
  <c r="D132" i="13"/>
  <c r="C132" i="13"/>
  <c r="E129" i="13"/>
  <c r="D129" i="13"/>
  <c r="C129" i="13"/>
  <c r="E128" i="13"/>
  <c r="D128" i="13"/>
  <c r="C128" i="13"/>
  <c r="E127" i="13"/>
  <c r="D127" i="13"/>
  <c r="C127" i="13"/>
  <c r="E126" i="13"/>
  <c r="D126" i="13"/>
  <c r="C126" i="13"/>
  <c r="E125" i="13"/>
  <c r="D125" i="13"/>
  <c r="C125" i="13"/>
  <c r="E124" i="13"/>
  <c r="D124" i="13"/>
  <c r="C124" i="13"/>
  <c r="E123" i="13"/>
  <c r="D123" i="13"/>
  <c r="C123" i="13"/>
  <c r="E122" i="13"/>
  <c r="D122" i="13"/>
  <c r="C122" i="13"/>
  <c r="E121" i="13"/>
  <c r="D121" i="13"/>
  <c r="C121" i="13"/>
  <c r="E120" i="13"/>
  <c r="D120" i="13"/>
  <c r="C120" i="13"/>
  <c r="E119" i="13"/>
  <c r="D119" i="13"/>
  <c r="C119" i="13"/>
  <c r="E118" i="13"/>
  <c r="D118" i="13"/>
  <c r="C118" i="13"/>
  <c r="E117" i="13"/>
  <c r="D117" i="13"/>
  <c r="C117" i="13"/>
  <c r="E116" i="13"/>
  <c r="D116" i="13"/>
  <c r="C116" i="13"/>
  <c r="E115" i="13"/>
  <c r="D115" i="13"/>
  <c r="C115" i="13"/>
  <c r="E114" i="13"/>
  <c r="D114" i="13"/>
  <c r="C114" i="13"/>
  <c r="E113" i="13"/>
  <c r="D113" i="13"/>
  <c r="C113" i="13"/>
  <c r="E112" i="13"/>
  <c r="D112" i="13"/>
  <c r="C112" i="13"/>
  <c r="E111" i="13"/>
  <c r="D111" i="13"/>
  <c r="C111" i="13"/>
  <c r="E110" i="13"/>
  <c r="D110" i="13"/>
  <c r="C110" i="13"/>
  <c r="E109" i="13"/>
  <c r="D109" i="13"/>
  <c r="C109" i="13"/>
  <c r="E108" i="13"/>
  <c r="D108" i="13"/>
  <c r="C108" i="13"/>
  <c r="E107" i="13"/>
  <c r="D107" i="13"/>
  <c r="C107" i="13"/>
  <c r="E106" i="13"/>
  <c r="D106" i="13"/>
  <c r="C106" i="13"/>
  <c r="E105" i="13"/>
  <c r="D105" i="13"/>
  <c r="C105" i="13"/>
  <c r="E104" i="13"/>
  <c r="D104" i="13"/>
  <c r="C104" i="13"/>
  <c r="E103" i="13"/>
  <c r="D103" i="13"/>
  <c r="C103" i="13"/>
  <c r="E102" i="13"/>
  <c r="D102" i="13"/>
  <c r="C102" i="13"/>
  <c r="E101" i="13"/>
  <c r="D101" i="13"/>
  <c r="C101" i="13"/>
  <c r="E100" i="13"/>
  <c r="D100" i="13"/>
  <c r="C100" i="13"/>
  <c r="E99" i="13"/>
  <c r="D99" i="13"/>
  <c r="C99" i="13"/>
  <c r="E98" i="13"/>
  <c r="D98" i="13"/>
  <c r="C98" i="13"/>
  <c r="E97" i="13"/>
  <c r="D97" i="13"/>
  <c r="C97" i="13"/>
  <c r="E96" i="13"/>
  <c r="D96" i="13"/>
  <c r="C96" i="13"/>
  <c r="E95" i="13"/>
  <c r="D95" i="13"/>
  <c r="C95" i="13"/>
  <c r="E94" i="13"/>
  <c r="D94" i="13"/>
  <c r="C94" i="13"/>
  <c r="E93" i="13"/>
  <c r="D93" i="13"/>
  <c r="C93" i="13"/>
  <c r="E92" i="13"/>
  <c r="D92" i="13"/>
  <c r="C92" i="13"/>
  <c r="E91" i="13"/>
  <c r="D91" i="13"/>
  <c r="C91" i="13"/>
  <c r="E88" i="13"/>
  <c r="D88" i="13"/>
  <c r="C88" i="13"/>
  <c r="E87" i="13"/>
  <c r="D87" i="13"/>
  <c r="C87" i="13"/>
  <c r="E86" i="13"/>
  <c r="D86" i="13"/>
  <c r="C86" i="13"/>
  <c r="E85" i="13"/>
  <c r="D85" i="13"/>
  <c r="C85" i="13"/>
  <c r="E84" i="13"/>
  <c r="D84" i="13"/>
  <c r="C84" i="13"/>
  <c r="E83" i="13"/>
  <c r="D83" i="13"/>
  <c r="C83" i="13"/>
  <c r="E82" i="13"/>
  <c r="D82" i="13"/>
  <c r="C82" i="13"/>
  <c r="E81" i="13"/>
  <c r="D81" i="13"/>
  <c r="C81" i="13"/>
  <c r="E80" i="13"/>
  <c r="D80" i="13"/>
  <c r="C80" i="13"/>
  <c r="E79" i="13"/>
  <c r="D79" i="13"/>
  <c r="C79" i="13"/>
  <c r="E78" i="13"/>
  <c r="D78" i="13"/>
  <c r="C78" i="13"/>
  <c r="E77" i="13"/>
  <c r="D77" i="13"/>
  <c r="C77" i="13"/>
  <c r="E76" i="13"/>
  <c r="D76" i="13"/>
  <c r="C76" i="13"/>
  <c r="E75" i="13"/>
  <c r="D75" i="13"/>
  <c r="C75" i="13"/>
  <c r="E74" i="13"/>
  <c r="D74" i="13"/>
  <c r="C74" i="13"/>
  <c r="E73" i="13"/>
  <c r="D73" i="13"/>
  <c r="C73" i="13"/>
  <c r="E72" i="13"/>
  <c r="D72" i="13"/>
  <c r="C72" i="13"/>
  <c r="E71" i="13"/>
  <c r="D71" i="13"/>
  <c r="C71" i="13"/>
  <c r="E70" i="13"/>
  <c r="D70" i="13"/>
  <c r="C70" i="13"/>
  <c r="E69" i="13"/>
  <c r="D69" i="13"/>
  <c r="C69" i="13"/>
  <c r="E68" i="13"/>
  <c r="D68" i="13"/>
  <c r="C68" i="13"/>
  <c r="E67" i="13"/>
  <c r="D67" i="13"/>
  <c r="C67" i="13"/>
  <c r="E66" i="13"/>
  <c r="D66" i="13"/>
  <c r="C66" i="13"/>
  <c r="E65" i="13"/>
  <c r="D65" i="13"/>
  <c r="C65" i="13"/>
  <c r="E64" i="13"/>
  <c r="D64" i="13"/>
  <c r="C64" i="13"/>
  <c r="E63" i="13"/>
  <c r="D63" i="13"/>
  <c r="C63" i="13"/>
  <c r="E62" i="13"/>
  <c r="D62" i="13"/>
  <c r="C62" i="13"/>
  <c r="E61" i="13"/>
  <c r="D61" i="13"/>
  <c r="C61" i="13"/>
  <c r="E60" i="13"/>
  <c r="D60" i="13"/>
  <c r="C60" i="13"/>
  <c r="E59" i="13"/>
  <c r="D59" i="13"/>
  <c r="C59" i="13"/>
  <c r="E58" i="13"/>
  <c r="D58" i="13"/>
  <c r="C58" i="13"/>
  <c r="E57" i="13"/>
  <c r="D57" i="13"/>
  <c r="C57" i="13"/>
  <c r="E56" i="13"/>
  <c r="D56" i="13"/>
  <c r="C56" i="13"/>
  <c r="E55" i="13"/>
  <c r="D55" i="13"/>
  <c r="C55" i="13"/>
  <c r="E54" i="13"/>
  <c r="D54" i="13"/>
  <c r="C54" i="13"/>
  <c r="E53" i="13"/>
  <c r="D53" i="13"/>
  <c r="C53" i="13"/>
  <c r="E52" i="13"/>
  <c r="D52" i="13"/>
  <c r="C52" i="13"/>
  <c r="E51" i="13"/>
  <c r="D51" i="13"/>
  <c r="C51" i="13"/>
  <c r="E50" i="13"/>
  <c r="D50" i="13"/>
  <c r="C50" i="13"/>
  <c r="E49" i="13"/>
  <c r="D49" i="13"/>
  <c r="C49" i="13"/>
  <c r="E48" i="13"/>
  <c r="D48" i="13"/>
  <c r="C48" i="13"/>
  <c r="E47" i="13"/>
  <c r="D47" i="13"/>
  <c r="C47" i="13"/>
  <c r="E46" i="13"/>
  <c r="D46" i="13"/>
  <c r="C46" i="13"/>
  <c r="E45" i="13"/>
  <c r="D45" i="13"/>
  <c r="C45" i="13"/>
  <c r="E44" i="13"/>
  <c r="D44" i="13"/>
  <c r="C44" i="13"/>
  <c r="E43" i="13"/>
  <c r="D43" i="13"/>
  <c r="C43" i="13"/>
  <c r="E40" i="13"/>
  <c r="D40" i="13"/>
  <c r="C40" i="13"/>
  <c r="E39" i="13"/>
  <c r="D39" i="13"/>
  <c r="C39" i="13"/>
  <c r="E38" i="13"/>
  <c r="D38" i="13"/>
  <c r="C38" i="13"/>
  <c r="E37" i="13"/>
  <c r="D37" i="13"/>
  <c r="C37" i="13"/>
  <c r="E36" i="13"/>
  <c r="D36" i="13"/>
  <c r="C36" i="13"/>
  <c r="E35" i="13"/>
  <c r="D35" i="13"/>
  <c r="C35" i="13"/>
  <c r="E34" i="13"/>
  <c r="D34" i="13"/>
  <c r="C34" i="13"/>
  <c r="E33" i="13"/>
  <c r="D33" i="13"/>
  <c r="C33" i="13"/>
  <c r="E32" i="13"/>
  <c r="D32" i="13"/>
  <c r="C32" i="13"/>
  <c r="E29" i="13"/>
  <c r="D29" i="13"/>
  <c r="C29" i="13"/>
  <c r="E28" i="13"/>
  <c r="D28" i="13"/>
  <c r="C28" i="13"/>
  <c r="E27" i="13"/>
  <c r="D27" i="13"/>
  <c r="C27" i="13"/>
  <c r="E26" i="13"/>
  <c r="D26" i="13"/>
  <c r="C26" i="13"/>
  <c r="E25" i="13"/>
  <c r="D25" i="13"/>
  <c r="C25" i="13"/>
  <c r="E24" i="13"/>
  <c r="D24" i="13"/>
  <c r="C24" i="13"/>
  <c r="E23" i="13"/>
  <c r="D23" i="13"/>
  <c r="C23" i="13"/>
  <c r="E22" i="13"/>
  <c r="D22" i="13"/>
  <c r="C22" i="13"/>
  <c r="E21" i="13"/>
  <c r="D21" i="13"/>
  <c r="C21" i="13"/>
  <c r="E20" i="13"/>
  <c r="D20" i="13"/>
  <c r="C20" i="13"/>
  <c r="E19" i="13"/>
  <c r="D19" i="13"/>
  <c r="C19" i="13"/>
  <c r="E18" i="13"/>
  <c r="D18" i="13"/>
  <c r="C18" i="13"/>
  <c r="E17" i="13"/>
  <c r="D17" i="13"/>
  <c r="C17" i="13"/>
  <c r="E16" i="13"/>
  <c r="D16" i="13"/>
  <c r="C16" i="13"/>
  <c r="E15" i="13"/>
  <c r="D15" i="13"/>
  <c r="C15" i="13"/>
  <c r="E14" i="13"/>
  <c r="D14" i="13"/>
  <c r="C14" i="13"/>
  <c r="E13" i="13"/>
  <c r="D13" i="13"/>
  <c r="C13" i="13"/>
  <c r="E12" i="13"/>
  <c r="D12" i="13"/>
  <c r="C12" i="13"/>
  <c r="E11" i="13"/>
  <c r="D11" i="13"/>
  <c r="C11" i="13"/>
  <c r="E10" i="13"/>
  <c r="D10" i="13"/>
  <c r="C10" i="13"/>
  <c r="E9" i="13"/>
  <c r="D9" i="13"/>
  <c r="C9" i="13"/>
  <c r="D8" i="13"/>
  <c r="C8" i="13"/>
  <c r="E8" i="13"/>
  <c r="AC40" i="21"/>
  <c r="AD28" i="35" s="1"/>
  <c r="AC41" i="21"/>
  <c r="AD29" i="35" s="1"/>
  <c r="AC42" i="21"/>
  <c r="AD30" i="35" s="1"/>
  <c r="AC43" i="21"/>
  <c r="AD31" i="35" s="1"/>
  <c r="AC44" i="21"/>
  <c r="AD32" i="35" s="1"/>
  <c r="AC45" i="21"/>
  <c r="AD33" i="35" s="1"/>
  <c r="AC46" i="21"/>
  <c r="AD34" i="35" s="1"/>
  <c r="AC47" i="21"/>
  <c r="AD35" i="35" s="1"/>
  <c r="I48" i="35" l="1"/>
  <c r="T22" i="35"/>
  <c r="G23" i="35"/>
  <c r="N49" i="35"/>
  <c r="K47" i="35"/>
  <c r="AA48" i="35"/>
  <c r="L48" i="35"/>
  <c r="M22" i="35"/>
  <c r="O49" i="35"/>
  <c r="O22" i="35"/>
  <c r="U23" i="35"/>
  <c r="U49" i="35"/>
  <c r="R49" i="35"/>
  <c r="M47" i="35"/>
  <c r="J22" i="35"/>
  <c r="N47" i="35"/>
  <c r="V49" i="35"/>
  <c r="V48" i="35"/>
  <c r="K22" i="35"/>
  <c r="Y23" i="35"/>
  <c r="Z49" i="35"/>
  <c r="Z47" i="35"/>
  <c r="L49" i="35"/>
  <c r="Q47" i="35"/>
  <c r="F44" i="40"/>
  <c r="G44" i="40" s="1"/>
  <c r="H44" i="40" s="1"/>
  <c r="I44" i="40" s="1"/>
  <c r="J44" i="40" s="1"/>
  <c r="K44" i="40" s="1"/>
  <c r="L44" i="40" s="1"/>
  <c r="M44" i="40" s="1"/>
  <c r="N44" i="40" s="1"/>
  <c r="O44" i="40" s="1"/>
  <c r="P44" i="40" s="1"/>
  <c r="Q44" i="40" s="1"/>
  <c r="R44" i="40" s="1"/>
  <c r="S44" i="40" s="1"/>
  <c r="T44" i="40" s="1"/>
  <c r="U44" i="40" s="1"/>
  <c r="V44" i="40" s="1"/>
  <c r="W44" i="40" s="1"/>
  <c r="X44" i="40" s="1"/>
  <c r="B22" i="16"/>
  <c r="F48" i="35"/>
  <c r="S49" i="35"/>
  <c r="X49" i="35"/>
  <c r="G22" i="35"/>
  <c r="T23" i="35"/>
  <c r="X48" i="35"/>
  <c r="H23" i="35"/>
  <c r="T47" i="35"/>
  <c r="Y22" i="35"/>
  <c r="H22" i="35"/>
  <c r="Y47" i="35"/>
  <c r="H47" i="35"/>
  <c r="P48" i="35"/>
  <c r="U48" i="35"/>
  <c r="Q22" i="35"/>
  <c r="W23" i="35"/>
  <c r="J47" i="35"/>
  <c r="N23" i="35"/>
  <c r="X23" i="35"/>
  <c r="F49" i="35"/>
  <c r="S22" i="35"/>
  <c r="I442" i="40"/>
  <c r="I485" i="40"/>
  <c r="J199" i="40"/>
  <c r="J399" i="40"/>
  <c r="J280" i="40"/>
  <c r="O43" i="40"/>
  <c r="P242" i="40"/>
  <c r="P161" i="40"/>
  <c r="O361" i="40"/>
  <c r="Q120" i="40"/>
  <c r="V323" i="40"/>
  <c r="O7" i="40"/>
  <c r="P84" i="40"/>
  <c r="O1" i="40"/>
  <c r="I22" i="35"/>
  <c r="R48" i="35"/>
  <c r="F23" i="35"/>
  <c r="I23" i="35"/>
  <c r="O47" i="35"/>
  <c r="V23" i="35"/>
  <c r="M23" i="35"/>
  <c r="S47" i="35"/>
  <c r="Z22" i="35"/>
  <c r="G48" i="35"/>
  <c r="Q23" i="35"/>
  <c r="W48" i="35"/>
  <c r="AJ15" i="13"/>
  <c r="AI15" i="13"/>
  <c r="AH15" i="13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AK7" i="25"/>
  <c r="AL7" i="25" s="1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3" i="1"/>
  <c r="E11" i="1"/>
  <c r="K280" i="40" l="1"/>
  <c r="K399" i="40"/>
  <c r="K199" i="40"/>
  <c r="J485" i="40"/>
  <c r="J442" i="40"/>
  <c r="P43" i="40"/>
  <c r="Q84" i="40"/>
  <c r="P7" i="40"/>
  <c r="Q242" i="40"/>
  <c r="Q161" i="40"/>
  <c r="P361" i="40"/>
  <c r="W323" i="40"/>
  <c r="R120" i="40"/>
  <c r="P1" i="40"/>
  <c r="AK11" i="13"/>
  <c r="AM7" i="25"/>
  <c r="AL11" i="13"/>
  <c r="K442" i="40" l="1"/>
  <c r="K485" i="40"/>
  <c r="L199" i="40"/>
  <c r="L399" i="40"/>
  <c r="L280" i="40"/>
  <c r="R242" i="40"/>
  <c r="Q7" i="40"/>
  <c r="Q361" i="40"/>
  <c r="Q43" i="40"/>
  <c r="X323" i="40"/>
  <c r="S120" i="40"/>
  <c r="R84" i="40"/>
  <c r="Q1" i="40"/>
  <c r="R161" i="40"/>
  <c r="AN7" i="25"/>
  <c r="AM11" i="13"/>
  <c r="M280" i="40" l="1"/>
  <c r="M399" i="40"/>
  <c r="M199" i="40"/>
  <c r="L485" i="40"/>
  <c r="L442" i="40"/>
  <c r="R1" i="40"/>
  <c r="R43" i="40"/>
  <c r="S84" i="40"/>
  <c r="S161" i="40"/>
  <c r="T120" i="40"/>
  <c r="R7" i="40"/>
  <c r="R361" i="40"/>
  <c r="S242" i="40"/>
  <c r="AO7" i="25"/>
  <c r="AN11" i="13"/>
  <c r="M442" i="40" l="1"/>
  <c r="M485" i="40"/>
  <c r="N199" i="40"/>
  <c r="N399" i="40"/>
  <c r="N280" i="40"/>
  <c r="S43" i="40"/>
  <c r="S361" i="40"/>
  <c r="T242" i="40"/>
  <c r="S1" i="40"/>
  <c r="T161" i="40"/>
  <c r="S7" i="40"/>
  <c r="T84" i="40"/>
  <c r="U120" i="40"/>
  <c r="AP7" i="25"/>
  <c r="AO11" i="13"/>
  <c r="O280" i="40" l="1"/>
  <c r="O399" i="40"/>
  <c r="O199" i="40"/>
  <c r="N485" i="40"/>
  <c r="N442" i="40"/>
  <c r="U84" i="40"/>
  <c r="T7" i="40"/>
  <c r="U161" i="40"/>
  <c r="U242" i="40"/>
  <c r="T361" i="40"/>
  <c r="T1" i="40"/>
  <c r="T43" i="40"/>
  <c r="V120" i="40"/>
  <c r="AQ7" i="25"/>
  <c r="AP11" i="13"/>
  <c r="O442" i="40" l="1"/>
  <c r="O485" i="40"/>
  <c r="P199" i="40"/>
  <c r="P399" i="40"/>
  <c r="P280" i="40"/>
  <c r="U361" i="40"/>
  <c r="V242" i="40"/>
  <c r="V84" i="40"/>
  <c r="U1" i="40"/>
  <c r="V161" i="40"/>
  <c r="U7" i="40"/>
  <c r="U43" i="40"/>
  <c r="W120" i="40"/>
  <c r="AR7" i="25"/>
  <c r="AQ11" i="13"/>
  <c r="Q280" i="40" l="1"/>
  <c r="Q399" i="40"/>
  <c r="Q199" i="40"/>
  <c r="P485" i="40"/>
  <c r="P442" i="40"/>
  <c r="W242" i="40"/>
  <c r="V1" i="40"/>
  <c r="V7" i="40"/>
  <c r="X120" i="40"/>
  <c r="V361" i="40"/>
  <c r="V43" i="40"/>
  <c r="W161" i="40"/>
  <c r="W84" i="40"/>
  <c r="AR11" i="13"/>
  <c r="AS7" i="25"/>
  <c r="Q442" i="40" l="1"/>
  <c r="Q485" i="40"/>
  <c r="R199" i="40"/>
  <c r="R399" i="40"/>
  <c r="R280" i="40"/>
  <c r="W43" i="40"/>
  <c r="X161" i="40"/>
  <c r="W361" i="40"/>
  <c r="X242" i="40"/>
  <c r="X84" i="40"/>
  <c r="W7" i="40"/>
  <c r="W1" i="40"/>
  <c r="AS11" i="13"/>
  <c r="AT7" i="25"/>
  <c r="S280" i="40" l="1"/>
  <c r="S399" i="40"/>
  <c r="S199" i="40"/>
  <c r="R485" i="40"/>
  <c r="R442" i="40"/>
  <c r="X361" i="40"/>
  <c r="X43" i="40"/>
  <c r="X7" i="40"/>
  <c r="X1" i="40"/>
  <c r="AT11" i="13"/>
  <c r="AU7" i="25"/>
  <c r="S442" i="40" l="1"/>
  <c r="S485" i="40"/>
  <c r="T199" i="40"/>
  <c r="T399" i="40"/>
  <c r="T280" i="40"/>
  <c r="Y1" i="40"/>
  <c r="AU11" i="13"/>
  <c r="AV7" i="25"/>
  <c r="U280" i="40" l="1"/>
  <c r="U399" i="40"/>
  <c r="U199" i="40"/>
  <c r="T485" i="40"/>
  <c r="T442" i="40"/>
  <c r="AV11" i="13"/>
  <c r="AW7" i="25"/>
  <c r="U485" i="40" l="1"/>
  <c r="U442" i="40"/>
  <c r="V399" i="40"/>
  <c r="V280" i="40"/>
  <c r="V199" i="40"/>
  <c r="AW11" i="13"/>
  <c r="AX7" i="25"/>
  <c r="W399" i="40" l="1"/>
  <c r="W199" i="40"/>
  <c r="V442" i="40"/>
  <c r="W280" i="40"/>
  <c r="V485" i="40"/>
  <c r="AX11" i="13"/>
  <c r="AY7" i="25"/>
  <c r="W485" i="40" l="1"/>
  <c r="X280" i="40"/>
  <c r="W442" i="40"/>
  <c r="X199" i="40"/>
  <c r="X399" i="40"/>
  <c r="AZ7" i="25"/>
  <c r="AY11" i="13"/>
  <c r="X442" i="40" l="1"/>
  <c r="X485" i="40"/>
  <c r="BA7" i="25"/>
  <c r="AZ11" i="13"/>
  <c r="BB7" i="25" l="1"/>
  <c r="BA11" i="13"/>
  <c r="BC7" i="25" l="1"/>
  <c r="BB11" i="13"/>
  <c r="BD7" i="25" l="1"/>
  <c r="BC11" i="13"/>
  <c r="BE7" i="25" l="1"/>
  <c r="BD11" i="13"/>
  <c r="BF7" i="25" l="1"/>
  <c r="BE11" i="13"/>
  <c r="BG7" i="25" l="1"/>
  <c r="BF11" i="13"/>
  <c r="BG11" i="13" l="1"/>
  <c r="BH7" i="25"/>
  <c r="BH11" i="13" l="1"/>
  <c r="BI7" i="25"/>
  <c r="BJ7" i="25" l="1"/>
  <c r="BI11" i="13"/>
  <c r="BJ11" i="13" l="1"/>
  <c r="BK7" i="25"/>
  <c r="BK11" i="13" l="1"/>
  <c r="BL7" i="25"/>
  <c r="BL11" i="13" l="1"/>
  <c r="BM7" i="25"/>
  <c r="BM11" i="13" l="1"/>
  <c r="BN7" i="25"/>
  <c r="BN11" i="13" l="1"/>
  <c r="BO7" i="25"/>
  <c r="BP7" i="25" l="1"/>
  <c r="BO11" i="13"/>
  <c r="BQ7" i="25" l="1"/>
  <c r="BP11" i="13"/>
  <c r="BR7" i="25" l="1"/>
  <c r="BQ11" i="13"/>
  <c r="BS7" i="25" l="1"/>
  <c r="BR11" i="13"/>
  <c r="BT7" i="25" l="1"/>
  <c r="BS11" i="13"/>
  <c r="BU7" i="25" l="1"/>
  <c r="BT11" i="13"/>
  <c r="BV7" i="25" l="1"/>
  <c r="BU11" i="13"/>
  <c r="BV11" i="13" l="1"/>
  <c r="BW7" i="25"/>
  <c r="BW11" i="13" l="1"/>
  <c r="BX7" i="25"/>
  <c r="BX11" i="13" s="1"/>
  <c r="G83" i="25" l="1"/>
  <c r="H83" i="25" s="1"/>
  <c r="I83" i="25" s="1"/>
  <c r="G45" i="25"/>
  <c r="H45" i="25" s="1"/>
  <c r="I45" i="25" s="1"/>
  <c r="G44" i="25"/>
  <c r="H44" i="25" s="1"/>
  <c r="I44" i="25" s="1"/>
  <c r="J83" i="25" l="1"/>
  <c r="J44" i="25"/>
  <c r="J45" i="25"/>
  <c r="BX275" i="13"/>
  <c r="BW275" i="13"/>
  <c r="BV275" i="13"/>
  <c r="BU275" i="13"/>
  <c r="BT275" i="13"/>
  <c r="BS275" i="13"/>
  <c r="BR275" i="13"/>
  <c r="BQ275" i="13"/>
  <c r="BP275" i="13"/>
  <c r="BO275" i="13"/>
  <c r="BN275" i="13"/>
  <c r="BM275" i="13"/>
  <c r="BL275" i="13"/>
  <c r="BK275" i="13"/>
  <c r="BJ275" i="13"/>
  <c r="BI275" i="13"/>
  <c r="BH275" i="13"/>
  <c r="BG275" i="13"/>
  <c r="BF275" i="13"/>
  <c r="BE275" i="13"/>
  <c r="BD275" i="13"/>
  <c r="BC275" i="13"/>
  <c r="BB275" i="13"/>
  <c r="BA275" i="13"/>
  <c r="AZ275" i="13"/>
  <c r="AY275" i="13"/>
  <c r="AX275" i="13"/>
  <c r="AW275" i="13"/>
  <c r="AV275" i="13"/>
  <c r="AU275" i="13"/>
  <c r="AT275" i="13"/>
  <c r="AS275" i="13"/>
  <c r="AR275" i="13"/>
  <c r="AQ275" i="13"/>
  <c r="AP275" i="13"/>
  <c r="AO275" i="13"/>
  <c r="AN275" i="13"/>
  <c r="AM275" i="13"/>
  <c r="AL275" i="13"/>
  <c r="AK275" i="13"/>
  <c r="AJ275" i="13"/>
  <c r="AI275" i="13"/>
  <c r="AH275" i="13"/>
  <c r="AG275" i="13"/>
  <c r="AF275" i="13"/>
  <c r="AE275" i="13"/>
  <c r="AD275" i="13"/>
  <c r="AC275" i="13"/>
  <c r="AB275" i="13"/>
  <c r="AA275" i="13"/>
  <c r="Z275" i="13"/>
  <c r="Y275" i="13"/>
  <c r="X275" i="13"/>
  <c r="W275" i="13"/>
  <c r="V275" i="13"/>
  <c r="U275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BX274" i="13"/>
  <c r="BW274" i="13"/>
  <c r="BV274" i="13"/>
  <c r="BU274" i="13"/>
  <c r="BT274" i="13"/>
  <c r="BS274" i="13"/>
  <c r="BR274" i="13"/>
  <c r="BQ274" i="13"/>
  <c r="BP274" i="13"/>
  <c r="BO274" i="13"/>
  <c r="BN274" i="13"/>
  <c r="BM274" i="13"/>
  <c r="BL274" i="13"/>
  <c r="BK274" i="13"/>
  <c r="BJ274" i="13"/>
  <c r="BI274" i="13"/>
  <c r="BH274" i="13"/>
  <c r="BG274" i="13"/>
  <c r="BF274" i="13"/>
  <c r="BE274" i="13"/>
  <c r="BD274" i="13"/>
  <c r="BC274" i="13"/>
  <c r="BB274" i="13"/>
  <c r="BA274" i="13"/>
  <c r="AZ274" i="13"/>
  <c r="AY274" i="13"/>
  <c r="AX274" i="13"/>
  <c r="AW274" i="13"/>
  <c r="AV274" i="13"/>
  <c r="AU274" i="13"/>
  <c r="AT274" i="13"/>
  <c r="AS274" i="13"/>
  <c r="AR274" i="13"/>
  <c r="AQ274" i="13"/>
  <c r="AP274" i="13"/>
  <c r="AO274" i="13"/>
  <c r="AN274" i="13"/>
  <c r="AM274" i="13"/>
  <c r="AL274" i="13"/>
  <c r="AK274" i="13"/>
  <c r="AJ274" i="13"/>
  <c r="AI274" i="13"/>
  <c r="AH274" i="13"/>
  <c r="AG274" i="13"/>
  <c r="AF274" i="13"/>
  <c r="AE274" i="13"/>
  <c r="AD274" i="13"/>
  <c r="AC274" i="13"/>
  <c r="AB274" i="13"/>
  <c r="AA274" i="13"/>
  <c r="Z274" i="13"/>
  <c r="Y274" i="13"/>
  <c r="X274" i="13"/>
  <c r="W274" i="13"/>
  <c r="V274" i="13"/>
  <c r="U274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BX273" i="13"/>
  <c r="BW273" i="13"/>
  <c r="BV273" i="13"/>
  <c r="BU273" i="13"/>
  <c r="BT273" i="13"/>
  <c r="BS273" i="13"/>
  <c r="BR273" i="13"/>
  <c r="BQ273" i="13"/>
  <c r="BP273" i="13"/>
  <c r="BO273" i="13"/>
  <c r="BN273" i="13"/>
  <c r="BM273" i="13"/>
  <c r="BL273" i="13"/>
  <c r="BK273" i="13"/>
  <c r="BJ273" i="13"/>
  <c r="BI273" i="13"/>
  <c r="BH273" i="13"/>
  <c r="BG273" i="13"/>
  <c r="BF273" i="13"/>
  <c r="BE273" i="13"/>
  <c r="BD273" i="13"/>
  <c r="BC273" i="13"/>
  <c r="BB273" i="13"/>
  <c r="BA273" i="13"/>
  <c r="AZ273" i="13"/>
  <c r="AY273" i="13"/>
  <c r="AX273" i="13"/>
  <c r="AW273" i="13"/>
  <c r="AV273" i="13"/>
  <c r="AU273" i="13"/>
  <c r="AT273" i="13"/>
  <c r="AS273" i="13"/>
  <c r="AR273" i="13"/>
  <c r="AQ273" i="13"/>
  <c r="AP273" i="13"/>
  <c r="AO273" i="13"/>
  <c r="AN273" i="13"/>
  <c r="AM273" i="13"/>
  <c r="AL273" i="13"/>
  <c r="AK273" i="13"/>
  <c r="AJ273" i="13"/>
  <c r="AI273" i="13"/>
  <c r="AH273" i="13"/>
  <c r="AG273" i="13"/>
  <c r="AF273" i="13"/>
  <c r="AE273" i="13"/>
  <c r="AD273" i="13"/>
  <c r="AC273" i="13"/>
  <c r="AB273" i="13"/>
  <c r="AA273" i="13"/>
  <c r="Z273" i="13"/>
  <c r="Y273" i="13"/>
  <c r="X273" i="13"/>
  <c r="W273" i="13"/>
  <c r="V273" i="13"/>
  <c r="U273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BX272" i="13"/>
  <c r="BW272" i="13"/>
  <c r="BV272" i="13"/>
  <c r="BU272" i="13"/>
  <c r="BT272" i="13"/>
  <c r="BS272" i="13"/>
  <c r="BR272" i="13"/>
  <c r="BQ272" i="13"/>
  <c r="BP272" i="13"/>
  <c r="BO272" i="13"/>
  <c r="BN272" i="13"/>
  <c r="BM272" i="13"/>
  <c r="BL272" i="13"/>
  <c r="BK272" i="13"/>
  <c r="BJ272" i="13"/>
  <c r="BI272" i="13"/>
  <c r="BH272" i="13"/>
  <c r="BG272" i="13"/>
  <c r="BF272" i="13"/>
  <c r="BE272" i="13"/>
  <c r="BD272" i="13"/>
  <c r="BC272" i="13"/>
  <c r="BB272" i="13"/>
  <c r="BA272" i="13"/>
  <c r="AZ272" i="13"/>
  <c r="AY272" i="13"/>
  <c r="AX272" i="13"/>
  <c r="AW272" i="13"/>
  <c r="AV272" i="13"/>
  <c r="AU272" i="13"/>
  <c r="AT272" i="13"/>
  <c r="AS272" i="13"/>
  <c r="AR272" i="13"/>
  <c r="AQ272" i="13"/>
  <c r="AP272" i="13"/>
  <c r="AO272" i="13"/>
  <c r="AN272" i="13"/>
  <c r="AM272" i="13"/>
  <c r="AL272" i="13"/>
  <c r="AK272" i="13"/>
  <c r="AJ272" i="13"/>
  <c r="AI272" i="13"/>
  <c r="AH272" i="13"/>
  <c r="AG272" i="13"/>
  <c r="AF272" i="13"/>
  <c r="AE272" i="13"/>
  <c r="AD272" i="13"/>
  <c r="AC272" i="13"/>
  <c r="AB272" i="13"/>
  <c r="AA272" i="13"/>
  <c r="Z272" i="13"/>
  <c r="Y272" i="13"/>
  <c r="X272" i="13"/>
  <c r="W272" i="13"/>
  <c r="V272" i="13"/>
  <c r="U272" i="13"/>
  <c r="T272" i="13"/>
  <c r="S272" i="13"/>
  <c r="R272" i="13"/>
  <c r="Q272" i="13"/>
  <c r="P272" i="13"/>
  <c r="O272" i="13"/>
  <c r="N272" i="13"/>
  <c r="M272" i="13"/>
  <c r="L272" i="13"/>
  <c r="K272" i="13"/>
  <c r="J272" i="13"/>
  <c r="I272" i="13"/>
  <c r="H272" i="13"/>
  <c r="BX271" i="13"/>
  <c r="BW271" i="13"/>
  <c r="BV271" i="13"/>
  <c r="BU271" i="13"/>
  <c r="BT271" i="13"/>
  <c r="BS271" i="13"/>
  <c r="BR271" i="13"/>
  <c r="BQ271" i="13"/>
  <c r="BP271" i="13"/>
  <c r="BO271" i="13"/>
  <c r="BN271" i="13"/>
  <c r="BM271" i="13"/>
  <c r="BL271" i="13"/>
  <c r="BK271" i="13"/>
  <c r="BJ271" i="13"/>
  <c r="BI271" i="13"/>
  <c r="BH271" i="13"/>
  <c r="BG271" i="13"/>
  <c r="BF271" i="13"/>
  <c r="BE271" i="13"/>
  <c r="BD271" i="13"/>
  <c r="BC271" i="13"/>
  <c r="BB271" i="13"/>
  <c r="BA271" i="13"/>
  <c r="AZ271" i="13"/>
  <c r="AY271" i="13"/>
  <c r="AX271" i="13"/>
  <c r="AW271" i="13"/>
  <c r="AV271" i="13"/>
  <c r="AU271" i="13"/>
  <c r="AT271" i="13"/>
  <c r="AS271" i="13"/>
  <c r="AR271" i="13"/>
  <c r="AQ271" i="13"/>
  <c r="AP271" i="13"/>
  <c r="AO271" i="13"/>
  <c r="AN271" i="13"/>
  <c r="AM271" i="13"/>
  <c r="AL271" i="13"/>
  <c r="AK271" i="13"/>
  <c r="AJ271" i="13"/>
  <c r="AI271" i="13"/>
  <c r="AH271" i="13"/>
  <c r="AG271" i="13"/>
  <c r="AF271" i="13"/>
  <c r="AE271" i="13"/>
  <c r="AD271" i="13"/>
  <c r="AC271" i="13"/>
  <c r="AB271" i="13"/>
  <c r="AA271" i="13"/>
  <c r="Z271" i="13"/>
  <c r="Y271" i="13"/>
  <c r="X271" i="13"/>
  <c r="W271" i="13"/>
  <c r="V271" i="13"/>
  <c r="U271" i="13"/>
  <c r="T271" i="13"/>
  <c r="S271" i="13"/>
  <c r="R271" i="13"/>
  <c r="Q271" i="13"/>
  <c r="P271" i="13"/>
  <c r="O271" i="13"/>
  <c r="N271" i="13"/>
  <c r="M271" i="13"/>
  <c r="L271" i="13"/>
  <c r="K271" i="13"/>
  <c r="J271" i="13"/>
  <c r="I271" i="13"/>
  <c r="H271" i="13"/>
  <c r="BX238" i="13"/>
  <c r="BW238" i="13"/>
  <c r="BV238" i="13"/>
  <c r="BU238" i="13"/>
  <c r="BT238" i="13"/>
  <c r="BS238" i="13"/>
  <c r="BR238" i="13"/>
  <c r="BQ238" i="13"/>
  <c r="BP238" i="13"/>
  <c r="BO238" i="13"/>
  <c r="BN238" i="13"/>
  <c r="BM238" i="13"/>
  <c r="BL238" i="13"/>
  <c r="BK238" i="13"/>
  <c r="BJ238" i="13"/>
  <c r="BI238" i="13"/>
  <c r="BH238" i="13"/>
  <c r="BG238" i="13"/>
  <c r="BF238" i="13"/>
  <c r="BE238" i="13"/>
  <c r="BD238" i="13"/>
  <c r="BC238" i="13"/>
  <c r="BB238" i="13"/>
  <c r="BA238" i="13"/>
  <c r="AZ238" i="13"/>
  <c r="AY238" i="13"/>
  <c r="AX238" i="13"/>
  <c r="AW238" i="13"/>
  <c r="AV238" i="13"/>
  <c r="AU238" i="13"/>
  <c r="AT238" i="13"/>
  <c r="AS238" i="13"/>
  <c r="AR238" i="13"/>
  <c r="AQ238" i="13"/>
  <c r="AP238" i="13"/>
  <c r="AO238" i="13"/>
  <c r="AN238" i="13"/>
  <c r="AM238" i="13"/>
  <c r="AL238" i="13"/>
  <c r="AK238" i="13"/>
  <c r="AJ238" i="13"/>
  <c r="AI238" i="13"/>
  <c r="AH238" i="13"/>
  <c r="AG238" i="13"/>
  <c r="AF238" i="13"/>
  <c r="AE238" i="13"/>
  <c r="AD238" i="13"/>
  <c r="AC238" i="13"/>
  <c r="AB238" i="13"/>
  <c r="AA238" i="13"/>
  <c r="Z238" i="13"/>
  <c r="Y238" i="13"/>
  <c r="X238" i="13"/>
  <c r="W238" i="13"/>
  <c r="V238" i="13"/>
  <c r="U238" i="13"/>
  <c r="T238" i="13"/>
  <c r="S238" i="13"/>
  <c r="R238" i="13"/>
  <c r="Q238" i="13"/>
  <c r="P238" i="13"/>
  <c r="O238" i="13"/>
  <c r="N238" i="13"/>
  <c r="M238" i="13"/>
  <c r="L238" i="13"/>
  <c r="K238" i="13"/>
  <c r="J238" i="13"/>
  <c r="I238" i="13"/>
  <c r="H238" i="13"/>
  <c r="BX237" i="13"/>
  <c r="BW237" i="13"/>
  <c r="BV237" i="13"/>
  <c r="BU237" i="13"/>
  <c r="BT237" i="13"/>
  <c r="BS237" i="13"/>
  <c r="BR237" i="13"/>
  <c r="BQ237" i="13"/>
  <c r="BP237" i="13"/>
  <c r="BO237" i="13"/>
  <c r="BN237" i="13"/>
  <c r="BM237" i="13"/>
  <c r="BL237" i="13"/>
  <c r="BK237" i="13"/>
  <c r="BJ237" i="13"/>
  <c r="BI237" i="13"/>
  <c r="BH237" i="13"/>
  <c r="BG237" i="13"/>
  <c r="BF237" i="13"/>
  <c r="BE237" i="13"/>
  <c r="BD237" i="13"/>
  <c r="BC237" i="13"/>
  <c r="BB237" i="13"/>
  <c r="BA237" i="13"/>
  <c r="AZ237" i="13"/>
  <c r="AY237" i="13"/>
  <c r="AX237" i="13"/>
  <c r="AW237" i="13"/>
  <c r="AV237" i="13"/>
  <c r="AU237" i="13"/>
  <c r="AT237" i="13"/>
  <c r="AS237" i="13"/>
  <c r="AR237" i="13"/>
  <c r="AQ237" i="13"/>
  <c r="AP237" i="13"/>
  <c r="AO237" i="13"/>
  <c r="AN237" i="13"/>
  <c r="AM237" i="13"/>
  <c r="AL237" i="13"/>
  <c r="AK237" i="13"/>
  <c r="AJ237" i="13"/>
  <c r="AI237" i="13"/>
  <c r="AH237" i="13"/>
  <c r="AG237" i="13"/>
  <c r="AF237" i="13"/>
  <c r="AE237" i="13"/>
  <c r="AD237" i="13"/>
  <c r="AC237" i="13"/>
  <c r="AB237" i="13"/>
  <c r="AA237" i="13"/>
  <c r="Z237" i="13"/>
  <c r="Y237" i="13"/>
  <c r="X237" i="13"/>
  <c r="W237" i="13"/>
  <c r="V237" i="13"/>
  <c r="U237" i="13"/>
  <c r="T237" i="13"/>
  <c r="S237" i="13"/>
  <c r="R237" i="13"/>
  <c r="Q237" i="13"/>
  <c r="P237" i="13"/>
  <c r="O237" i="13"/>
  <c r="N237" i="13"/>
  <c r="M237" i="13"/>
  <c r="L237" i="13"/>
  <c r="K237" i="13"/>
  <c r="J237" i="13"/>
  <c r="I237" i="13"/>
  <c r="H237" i="13"/>
  <c r="BX236" i="13"/>
  <c r="BW236" i="13"/>
  <c r="BV236" i="13"/>
  <c r="BU236" i="13"/>
  <c r="BT236" i="13"/>
  <c r="BS236" i="13"/>
  <c r="BR236" i="13"/>
  <c r="BQ236" i="13"/>
  <c r="BP236" i="13"/>
  <c r="BO236" i="13"/>
  <c r="BN236" i="13"/>
  <c r="BM236" i="13"/>
  <c r="BL236" i="13"/>
  <c r="BK236" i="13"/>
  <c r="BJ236" i="13"/>
  <c r="BI236" i="13"/>
  <c r="BH236" i="13"/>
  <c r="BG236" i="13"/>
  <c r="BF236" i="13"/>
  <c r="BE236" i="13"/>
  <c r="BD236" i="13"/>
  <c r="BC236" i="13"/>
  <c r="BB236" i="13"/>
  <c r="BA236" i="13"/>
  <c r="AZ236" i="13"/>
  <c r="AY236" i="13"/>
  <c r="AX236" i="13"/>
  <c r="AW236" i="13"/>
  <c r="AV236" i="13"/>
  <c r="AU236" i="13"/>
  <c r="AT236" i="13"/>
  <c r="AS236" i="13"/>
  <c r="AR236" i="13"/>
  <c r="AQ236" i="13"/>
  <c r="AP236" i="13"/>
  <c r="AO236" i="13"/>
  <c r="AN236" i="13"/>
  <c r="AM236" i="13"/>
  <c r="AL236" i="13"/>
  <c r="AK236" i="13"/>
  <c r="AJ236" i="13"/>
  <c r="AI236" i="13"/>
  <c r="AH236" i="13"/>
  <c r="AG236" i="13"/>
  <c r="AF236" i="13"/>
  <c r="AE236" i="13"/>
  <c r="AD236" i="13"/>
  <c r="AC236" i="13"/>
  <c r="AB236" i="13"/>
  <c r="AA236" i="13"/>
  <c r="Z236" i="13"/>
  <c r="Y236" i="13"/>
  <c r="X236" i="13"/>
  <c r="W236" i="13"/>
  <c r="V236" i="13"/>
  <c r="U236" i="13"/>
  <c r="T236" i="13"/>
  <c r="S236" i="13"/>
  <c r="R236" i="13"/>
  <c r="Q236" i="13"/>
  <c r="P236" i="13"/>
  <c r="O236" i="13"/>
  <c r="N236" i="13"/>
  <c r="M236" i="13"/>
  <c r="L236" i="13"/>
  <c r="K236" i="13"/>
  <c r="J236" i="13"/>
  <c r="I236" i="13"/>
  <c r="H236" i="13"/>
  <c r="BX235" i="13"/>
  <c r="BW235" i="13"/>
  <c r="BV235" i="13"/>
  <c r="BU235" i="13"/>
  <c r="BT235" i="13"/>
  <c r="BS235" i="13"/>
  <c r="BR235" i="13"/>
  <c r="BQ235" i="13"/>
  <c r="BP235" i="13"/>
  <c r="BO235" i="13"/>
  <c r="BN235" i="13"/>
  <c r="BM235" i="13"/>
  <c r="BL235" i="13"/>
  <c r="BK235" i="13"/>
  <c r="BJ235" i="13"/>
  <c r="BI235" i="13"/>
  <c r="BH235" i="13"/>
  <c r="BG235" i="13"/>
  <c r="BF235" i="13"/>
  <c r="BE235" i="13"/>
  <c r="BD235" i="13"/>
  <c r="BC235" i="13"/>
  <c r="BB235" i="13"/>
  <c r="BA235" i="13"/>
  <c r="AZ235" i="13"/>
  <c r="AY235" i="13"/>
  <c r="AX235" i="13"/>
  <c r="AW235" i="13"/>
  <c r="AV235" i="13"/>
  <c r="AU235" i="13"/>
  <c r="AT235" i="13"/>
  <c r="AS235" i="13"/>
  <c r="AR235" i="13"/>
  <c r="AQ235" i="13"/>
  <c r="AP235" i="13"/>
  <c r="AO235" i="13"/>
  <c r="AN235" i="13"/>
  <c r="AM235" i="13"/>
  <c r="AL235" i="13"/>
  <c r="AK235" i="13"/>
  <c r="AJ235" i="13"/>
  <c r="AI235" i="13"/>
  <c r="AH235" i="13"/>
  <c r="AG235" i="13"/>
  <c r="AF235" i="13"/>
  <c r="AE235" i="13"/>
  <c r="AD235" i="13"/>
  <c r="AC235" i="13"/>
  <c r="AB235" i="13"/>
  <c r="AA235" i="13"/>
  <c r="Z235" i="13"/>
  <c r="Y235" i="13"/>
  <c r="X235" i="13"/>
  <c r="W235" i="13"/>
  <c r="V235" i="13"/>
  <c r="U235" i="13"/>
  <c r="T235" i="13"/>
  <c r="S235" i="13"/>
  <c r="R235" i="13"/>
  <c r="Q235" i="13"/>
  <c r="P235" i="13"/>
  <c r="O235" i="13"/>
  <c r="N235" i="13"/>
  <c r="M235" i="13"/>
  <c r="L235" i="13"/>
  <c r="K235" i="13"/>
  <c r="J235" i="13"/>
  <c r="I235" i="13"/>
  <c r="H235" i="13"/>
  <c r="BX234" i="13"/>
  <c r="BW234" i="13"/>
  <c r="BV234" i="13"/>
  <c r="BU234" i="13"/>
  <c r="BT234" i="13"/>
  <c r="BS234" i="13"/>
  <c r="BR234" i="13"/>
  <c r="BQ234" i="13"/>
  <c r="BP234" i="13"/>
  <c r="BO234" i="13"/>
  <c r="BN234" i="13"/>
  <c r="BM234" i="13"/>
  <c r="BL234" i="13"/>
  <c r="BK234" i="13"/>
  <c r="BJ234" i="13"/>
  <c r="BI234" i="13"/>
  <c r="BH234" i="13"/>
  <c r="BG234" i="13"/>
  <c r="BF234" i="13"/>
  <c r="BE234" i="13"/>
  <c r="BD234" i="13"/>
  <c r="BC234" i="13"/>
  <c r="BB234" i="13"/>
  <c r="BA234" i="13"/>
  <c r="AZ234" i="13"/>
  <c r="AY234" i="13"/>
  <c r="AX234" i="13"/>
  <c r="AW234" i="13"/>
  <c r="AV234" i="13"/>
  <c r="AU234" i="13"/>
  <c r="AT234" i="13"/>
  <c r="AS234" i="13"/>
  <c r="AR234" i="13"/>
  <c r="AQ234" i="13"/>
  <c r="AP234" i="13"/>
  <c r="AO234" i="13"/>
  <c r="AN234" i="13"/>
  <c r="AM234" i="13"/>
  <c r="AL234" i="13"/>
  <c r="AK234" i="13"/>
  <c r="AJ234" i="13"/>
  <c r="AI234" i="13"/>
  <c r="AH234" i="13"/>
  <c r="AG234" i="13"/>
  <c r="AF234" i="13"/>
  <c r="AE234" i="13"/>
  <c r="AD234" i="13"/>
  <c r="AC234" i="13"/>
  <c r="AB234" i="13"/>
  <c r="AA234" i="13"/>
  <c r="Z234" i="13"/>
  <c r="Y234" i="13"/>
  <c r="X234" i="13"/>
  <c r="W234" i="13"/>
  <c r="V234" i="13"/>
  <c r="U234" i="13"/>
  <c r="T234" i="13"/>
  <c r="S234" i="13"/>
  <c r="R234" i="13"/>
  <c r="Q234" i="13"/>
  <c r="P234" i="13"/>
  <c r="O234" i="13"/>
  <c r="N234" i="13"/>
  <c r="M234" i="13"/>
  <c r="L234" i="13"/>
  <c r="K234" i="13"/>
  <c r="J234" i="13"/>
  <c r="I234" i="13"/>
  <c r="H234" i="13"/>
  <c r="BX233" i="13"/>
  <c r="BW233" i="13"/>
  <c r="BV233" i="13"/>
  <c r="BU233" i="13"/>
  <c r="BT233" i="13"/>
  <c r="BS233" i="13"/>
  <c r="BR233" i="13"/>
  <c r="BQ233" i="13"/>
  <c r="BP233" i="13"/>
  <c r="BO233" i="13"/>
  <c r="BN233" i="13"/>
  <c r="BM233" i="13"/>
  <c r="BL233" i="13"/>
  <c r="BK233" i="13"/>
  <c r="BJ233" i="13"/>
  <c r="BI233" i="13"/>
  <c r="BH233" i="13"/>
  <c r="BG233" i="13"/>
  <c r="BF233" i="13"/>
  <c r="BE233" i="13"/>
  <c r="BD233" i="13"/>
  <c r="BC233" i="13"/>
  <c r="BB233" i="13"/>
  <c r="BA233" i="13"/>
  <c r="AZ233" i="13"/>
  <c r="AY233" i="13"/>
  <c r="AX233" i="13"/>
  <c r="AW233" i="13"/>
  <c r="AV233" i="13"/>
  <c r="AU233" i="13"/>
  <c r="AT233" i="13"/>
  <c r="AS233" i="13"/>
  <c r="AR233" i="13"/>
  <c r="AQ233" i="13"/>
  <c r="AP233" i="13"/>
  <c r="AO233" i="13"/>
  <c r="AN233" i="13"/>
  <c r="AM233" i="13"/>
  <c r="AL233" i="13"/>
  <c r="AK233" i="13"/>
  <c r="AJ233" i="13"/>
  <c r="AI233" i="13"/>
  <c r="AH233" i="13"/>
  <c r="AG233" i="13"/>
  <c r="AF233" i="13"/>
  <c r="AE233" i="13"/>
  <c r="AD233" i="13"/>
  <c r="AC233" i="13"/>
  <c r="AB233" i="13"/>
  <c r="AA233" i="13"/>
  <c r="Z233" i="13"/>
  <c r="Y233" i="13"/>
  <c r="X233" i="13"/>
  <c r="W233" i="13"/>
  <c r="V233" i="13"/>
  <c r="U233" i="13"/>
  <c r="T233" i="13"/>
  <c r="S233" i="13"/>
  <c r="R233" i="13"/>
  <c r="Q233" i="13"/>
  <c r="P233" i="13"/>
  <c r="O233" i="13"/>
  <c r="N233" i="13"/>
  <c r="M233" i="13"/>
  <c r="L233" i="13"/>
  <c r="K233" i="13"/>
  <c r="J233" i="13"/>
  <c r="I233" i="13"/>
  <c r="H233" i="13"/>
  <c r="BX232" i="13"/>
  <c r="BW232" i="13"/>
  <c r="BV232" i="13"/>
  <c r="BU232" i="13"/>
  <c r="BT232" i="13"/>
  <c r="BS232" i="13"/>
  <c r="BR232" i="13"/>
  <c r="BQ232" i="13"/>
  <c r="BP232" i="13"/>
  <c r="BO232" i="13"/>
  <c r="BN232" i="13"/>
  <c r="BM232" i="13"/>
  <c r="BL232" i="13"/>
  <c r="BK232" i="13"/>
  <c r="BJ232" i="13"/>
  <c r="BI232" i="13"/>
  <c r="BH232" i="13"/>
  <c r="BG232" i="13"/>
  <c r="BF232" i="13"/>
  <c r="BE232" i="13"/>
  <c r="BD232" i="13"/>
  <c r="BC232" i="13"/>
  <c r="BB232" i="13"/>
  <c r="BA232" i="13"/>
  <c r="AZ232" i="13"/>
  <c r="AY232" i="13"/>
  <c r="AX232" i="13"/>
  <c r="AW232" i="13"/>
  <c r="AV232" i="13"/>
  <c r="AU232" i="13"/>
  <c r="AT232" i="13"/>
  <c r="AS232" i="13"/>
  <c r="AR232" i="13"/>
  <c r="AQ232" i="13"/>
  <c r="AP232" i="13"/>
  <c r="AO232" i="13"/>
  <c r="AN232" i="13"/>
  <c r="AM232" i="13"/>
  <c r="AL232" i="13"/>
  <c r="AK232" i="13"/>
  <c r="AJ232" i="13"/>
  <c r="AI232" i="13"/>
  <c r="AH232" i="13"/>
  <c r="AG232" i="13"/>
  <c r="AF232" i="13"/>
  <c r="AE232" i="13"/>
  <c r="AD232" i="13"/>
  <c r="AC232" i="13"/>
  <c r="AB232" i="13"/>
  <c r="AA232" i="13"/>
  <c r="Z232" i="13"/>
  <c r="Y232" i="13"/>
  <c r="X232" i="13"/>
  <c r="W232" i="13"/>
  <c r="V232" i="13"/>
  <c r="U232" i="13"/>
  <c r="T232" i="13"/>
  <c r="S232" i="13"/>
  <c r="R232" i="13"/>
  <c r="Q232" i="13"/>
  <c r="P232" i="13"/>
  <c r="O232" i="13"/>
  <c r="N232" i="13"/>
  <c r="M232" i="13"/>
  <c r="L232" i="13"/>
  <c r="K232" i="13"/>
  <c r="J232" i="13"/>
  <c r="I232" i="13"/>
  <c r="H232" i="13"/>
  <c r="BX231" i="13"/>
  <c r="BW231" i="13"/>
  <c r="BV231" i="13"/>
  <c r="BU231" i="13"/>
  <c r="BT231" i="13"/>
  <c r="BS231" i="13"/>
  <c r="BR231" i="13"/>
  <c r="BQ231" i="13"/>
  <c r="BP231" i="13"/>
  <c r="BO231" i="13"/>
  <c r="BN231" i="13"/>
  <c r="BM231" i="13"/>
  <c r="BL231" i="13"/>
  <c r="BK231" i="13"/>
  <c r="BJ231" i="13"/>
  <c r="BI231" i="13"/>
  <c r="BH231" i="13"/>
  <c r="BG231" i="13"/>
  <c r="BF231" i="13"/>
  <c r="BE231" i="13"/>
  <c r="BD231" i="13"/>
  <c r="BC231" i="13"/>
  <c r="BB231" i="13"/>
  <c r="BA231" i="13"/>
  <c r="AZ231" i="13"/>
  <c r="AY231" i="13"/>
  <c r="AX231" i="13"/>
  <c r="AW231" i="13"/>
  <c r="AV231" i="13"/>
  <c r="AU231" i="13"/>
  <c r="AT231" i="13"/>
  <c r="AS231" i="13"/>
  <c r="AR231" i="13"/>
  <c r="AQ231" i="13"/>
  <c r="AP231" i="13"/>
  <c r="AO231" i="13"/>
  <c r="AN231" i="13"/>
  <c r="AM231" i="13"/>
  <c r="AL231" i="13"/>
  <c r="AK231" i="13"/>
  <c r="AJ231" i="13"/>
  <c r="AI231" i="13"/>
  <c r="AH231" i="13"/>
  <c r="AG231" i="13"/>
  <c r="AF231" i="13"/>
  <c r="AE231" i="13"/>
  <c r="AD231" i="13"/>
  <c r="AC231" i="13"/>
  <c r="AB231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BX230" i="13"/>
  <c r="BW230" i="13"/>
  <c r="BV230" i="13"/>
  <c r="BU230" i="13"/>
  <c r="BT230" i="13"/>
  <c r="BS230" i="13"/>
  <c r="BR230" i="13"/>
  <c r="BQ230" i="13"/>
  <c r="BP230" i="13"/>
  <c r="BO230" i="13"/>
  <c r="BN230" i="13"/>
  <c r="BM230" i="13"/>
  <c r="BL230" i="13"/>
  <c r="BK230" i="13"/>
  <c r="BJ230" i="13"/>
  <c r="BI230" i="13"/>
  <c r="BH230" i="13"/>
  <c r="BG230" i="13"/>
  <c r="BF230" i="13"/>
  <c r="BE230" i="13"/>
  <c r="BD230" i="13"/>
  <c r="BC230" i="13"/>
  <c r="BB230" i="13"/>
  <c r="BA230" i="13"/>
  <c r="AZ230" i="13"/>
  <c r="AY230" i="13"/>
  <c r="AX230" i="13"/>
  <c r="AW230" i="13"/>
  <c r="AV230" i="13"/>
  <c r="AU230" i="13"/>
  <c r="AT230" i="13"/>
  <c r="AS230" i="13"/>
  <c r="AR230" i="13"/>
  <c r="AQ230" i="13"/>
  <c r="AP230" i="13"/>
  <c r="AO230" i="13"/>
  <c r="AN230" i="13"/>
  <c r="AM230" i="13"/>
  <c r="AL230" i="13"/>
  <c r="AK230" i="13"/>
  <c r="AJ230" i="13"/>
  <c r="AI230" i="13"/>
  <c r="AH230" i="13"/>
  <c r="AG230" i="13"/>
  <c r="AF230" i="13"/>
  <c r="AE230" i="13"/>
  <c r="AD230" i="13"/>
  <c r="AC230" i="13"/>
  <c r="AB230" i="13"/>
  <c r="AA230" i="13"/>
  <c r="Z230" i="13"/>
  <c r="Y230" i="13"/>
  <c r="X230" i="13"/>
  <c r="W230" i="13"/>
  <c r="V230" i="13"/>
  <c r="U230" i="13"/>
  <c r="T230" i="13"/>
  <c r="S230" i="13"/>
  <c r="R230" i="13"/>
  <c r="Q230" i="13"/>
  <c r="P230" i="13"/>
  <c r="O230" i="13"/>
  <c r="N230" i="13"/>
  <c r="M230" i="13"/>
  <c r="L230" i="13"/>
  <c r="K230" i="13"/>
  <c r="J230" i="13"/>
  <c r="I230" i="13"/>
  <c r="H230" i="13"/>
  <c r="BX229" i="13"/>
  <c r="BW229" i="13"/>
  <c r="BV229" i="13"/>
  <c r="BU229" i="13"/>
  <c r="BT229" i="13"/>
  <c r="BS229" i="13"/>
  <c r="BR229" i="13"/>
  <c r="BQ229" i="13"/>
  <c r="BP229" i="13"/>
  <c r="BO229" i="13"/>
  <c r="BN229" i="13"/>
  <c r="BM229" i="13"/>
  <c r="BL229" i="13"/>
  <c r="BK229" i="13"/>
  <c r="BJ229" i="13"/>
  <c r="BI229" i="13"/>
  <c r="BH229" i="13"/>
  <c r="BG229" i="13"/>
  <c r="BF229" i="13"/>
  <c r="BE229" i="13"/>
  <c r="BD229" i="13"/>
  <c r="BC229" i="13"/>
  <c r="BB229" i="13"/>
  <c r="BA229" i="13"/>
  <c r="AZ229" i="13"/>
  <c r="AY229" i="13"/>
  <c r="AX229" i="13"/>
  <c r="AW229" i="13"/>
  <c r="AV229" i="13"/>
  <c r="AU229" i="13"/>
  <c r="AT229" i="13"/>
  <c r="AS229" i="13"/>
  <c r="AR229" i="13"/>
  <c r="AQ229" i="13"/>
  <c r="AP229" i="13"/>
  <c r="AO229" i="13"/>
  <c r="AN229" i="13"/>
  <c r="AM229" i="13"/>
  <c r="AL229" i="13"/>
  <c r="AK229" i="13"/>
  <c r="AJ229" i="13"/>
  <c r="AI229" i="13"/>
  <c r="AH229" i="13"/>
  <c r="AG229" i="13"/>
  <c r="AF229" i="13"/>
  <c r="AE229" i="13"/>
  <c r="AD229" i="13"/>
  <c r="AC229" i="13"/>
  <c r="AB229" i="13"/>
  <c r="AA229" i="13"/>
  <c r="Z229" i="13"/>
  <c r="Y229" i="13"/>
  <c r="X229" i="13"/>
  <c r="W229" i="13"/>
  <c r="V229" i="13"/>
  <c r="U229" i="13"/>
  <c r="T229" i="13"/>
  <c r="S229" i="13"/>
  <c r="R229" i="13"/>
  <c r="Q229" i="13"/>
  <c r="P229" i="13"/>
  <c r="O229" i="13"/>
  <c r="N229" i="13"/>
  <c r="M229" i="13"/>
  <c r="L229" i="13"/>
  <c r="K229" i="13"/>
  <c r="J229" i="13"/>
  <c r="I229" i="13"/>
  <c r="H229" i="13"/>
  <c r="BX228" i="13"/>
  <c r="BW228" i="13"/>
  <c r="BV228" i="13"/>
  <c r="BU228" i="13"/>
  <c r="BT228" i="13"/>
  <c r="BS228" i="13"/>
  <c r="BR228" i="13"/>
  <c r="BQ228" i="13"/>
  <c r="BP228" i="13"/>
  <c r="BO228" i="13"/>
  <c r="BN228" i="13"/>
  <c r="BM228" i="13"/>
  <c r="BL228" i="13"/>
  <c r="BK228" i="13"/>
  <c r="BJ228" i="13"/>
  <c r="BI228" i="13"/>
  <c r="BH228" i="13"/>
  <c r="BG228" i="13"/>
  <c r="BF228" i="13"/>
  <c r="BE228" i="13"/>
  <c r="BD228" i="13"/>
  <c r="BC228" i="13"/>
  <c r="BB228" i="13"/>
  <c r="BA228" i="13"/>
  <c r="AZ228" i="13"/>
  <c r="AY228" i="13"/>
  <c r="AX228" i="13"/>
  <c r="AW228" i="13"/>
  <c r="AV228" i="13"/>
  <c r="AU228" i="13"/>
  <c r="AT228" i="13"/>
  <c r="AS228" i="13"/>
  <c r="AR228" i="13"/>
  <c r="AQ228" i="13"/>
  <c r="AP228" i="13"/>
  <c r="AO228" i="13"/>
  <c r="AN228" i="13"/>
  <c r="AM228" i="13"/>
  <c r="AL228" i="13"/>
  <c r="AK228" i="13"/>
  <c r="AJ228" i="13"/>
  <c r="AI228" i="13"/>
  <c r="AH228" i="13"/>
  <c r="AG228" i="13"/>
  <c r="AF228" i="13"/>
  <c r="AE228" i="13"/>
  <c r="AD228" i="13"/>
  <c r="AC228" i="13"/>
  <c r="AB228" i="13"/>
  <c r="AA228" i="13"/>
  <c r="Z228" i="13"/>
  <c r="Y228" i="13"/>
  <c r="X228" i="13"/>
  <c r="W228" i="13"/>
  <c r="V228" i="13"/>
  <c r="U228" i="13"/>
  <c r="T228" i="13"/>
  <c r="S228" i="13"/>
  <c r="R228" i="13"/>
  <c r="Q228" i="13"/>
  <c r="P228" i="13"/>
  <c r="O228" i="13"/>
  <c r="N228" i="13"/>
  <c r="M228" i="13"/>
  <c r="L228" i="13"/>
  <c r="K228" i="13"/>
  <c r="J228" i="13"/>
  <c r="I228" i="13"/>
  <c r="H228" i="13"/>
  <c r="BX227" i="13"/>
  <c r="BW227" i="13"/>
  <c r="BV227" i="13"/>
  <c r="BU227" i="13"/>
  <c r="BT227" i="13"/>
  <c r="BS227" i="13"/>
  <c r="BR227" i="13"/>
  <c r="BQ227" i="13"/>
  <c r="BP227" i="13"/>
  <c r="BO227" i="13"/>
  <c r="BN227" i="13"/>
  <c r="BM227" i="13"/>
  <c r="BL227" i="13"/>
  <c r="BK227" i="13"/>
  <c r="BJ227" i="13"/>
  <c r="BI227" i="13"/>
  <c r="BH227" i="13"/>
  <c r="BG227" i="13"/>
  <c r="BF227" i="13"/>
  <c r="BE227" i="13"/>
  <c r="BD227" i="13"/>
  <c r="BC227" i="13"/>
  <c r="BB227" i="13"/>
  <c r="BA227" i="13"/>
  <c r="AZ227" i="13"/>
  <c r="AY227" i="13"/>
  <c r="AX227" i="13"/>
  <c r="AW227" i="13"/>
  <c r="AV227" i="13"/>
  <c r="AU227" i="13"/>
  <c r="AT227" i="13"/>
  <c r="AS227" i="13"/>
  <c r="AR227" i="13"/>
  <c r="AQ227" i="13"/>
  <c r="AP227" i="13"/>
  <c r="AO227" i="13"/>
  <c r="AN227" i="13"/>
  <c r="AM227" i="13"/>
  <c r="AL227" i="13"/>
  <c r="AK227" i="13"/>
  <c r="AJ227" i="13"/>
  <c r="AI227" i="13"/>
  <c r="AH227" i="13"/>
  <c r="AG227" i="13"/>
  <c r="AF227" i="13"/>
  <c r="AE227" i="13"/>
  <c r="AD227" i="13"/>
  <c r="AC227" i="13"/>
  <c r="AB227" i="13"/>
  <c r="AA227" i="13"/>
  <c r="Z227" i="13"/>
  <c r="Y227" i="13"/>
  <c r="X227" i="13"/>
  <c r="W227" i="13"/>
  <c r="V227" i="13"/>
  <c r="U227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BX226" i="13"/>
  <c r="BW226" i="13"/>
  <c r="BV226" i="13"/>
  <c r="BU226" i="13"/>
  <c r="BT226" i="13"/>
  <c r="BS226" i="13"/>
  <c r="BR226" i="13"/>
  <c r="BQ226" i="13"/>
  <c r="BP226" i="13"/>
  <c r="BO226" i="13"/>
  <c r="BN226" i="13"/>
  <c r="BM226" i="13"/>
  <c r="BL226" i="13"/>
  <c r="BK226" i="13"/>
  <c r="BJ226" i="13"/>
  <c r="BI226" i="13"/>
  <c r="BH226" i="13"/>
  <c r="BG226" i="13"/>
  <c r="BF226" i="13"/>
  <c r="BE226" i="13"/>
  <c r="BD226" i="13"/>
  <c r="BC226" i="13"/>
  <c r="BB226" i="13"/>
  <c r="BA226" i="13"/>
  <c r="AZ226" i="13"/>
  <c r="AY226" i="13"/>
  <c r="AX226" i="13"/>
  <c r="AW226" i="13"/>
  <c r="AV226" i="13"/>
  <c r="AU226" i="13"/>
  <c r="AT226" i="13"/>
  <c r="AS226" i="13"/>
  <c r="AR226" i="13"/>
  <c r="AQ226" i="13"/>
  <c r="AP226" i="13"/>
  <c r="AO226" i="13"/>
  <c r="AN226" i="13"/>
  <c r="AM226" i="13"/>
  <c r="AL226" i="13"/>
  <c r="AK226" i="13"/>
  <c r="AJ226" i="13"/>
  <c r="AI226" i="13"/>
  <c r="AH226" i="13"/>
  <c r="AG226" i="13"/>
  <c r="AF226" i="13"/>
  <c r="AE226" i="13"/>
  <c r="AD226" i="13"/>
  <c r="AC226" i="13"/>
  <c r="AB226" i="13"/>
  <c r="AA226" i="13"/>
  <c r="Z226" i="13"/>
  <c r="Y226" i="13"/>
  <c r="X226" i="13"/>
  <c r="W226" i="13"/>
  <c r="V226" i="13"/>
  <c r="U226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BX225" i="13"/>
  <c r="BW225" i="13"/>
  <c r="BV225" i="13"/>
  <c r="BU225" i="13"/>
  <c r="BT225" i="13"/>
  <c r="BS225" i="13"/>
  <c r="BR225" i="13"/>
  <c r="BQ225" i="13"/>
  <c r="BP225" i="13"/>
  <c r="BO225" i="13"/>
  <c r="BN225" i="13"/>
  <c r="BM225" i="13"/>
  <c r="BL225" i="13"/>
  <c r="BK225" i="13"/>
  <c r="BJ225" i="13"/>
  <c r="BI225" i="13"/>
  <c r="BH225" i="13"/>
  <c r="BG225" i="13"/>
  <c r="BF225" i="13"/>
  <c r="BE225" i="13"/>
  <c r="BD225" i="13"/>
  <c r="BC225" i="13"/>
  <c r="BB225" i="13"/>
  <c r="BA225" i="13"/>
  <c r="AZ225" i="13"/>
  <c r="AY225" i="13"/>
  <c r="AX225" i="13"/>
  <c r="AW225" i="13"/>
  <c r="AV225" i="13"/>
  <c r="AU225" i="13"/>
  <c r="AT225" i="13"/>
  <c r="AS225" i="13"/>
  <c r="AR225" i="13"/>
  <c r="AQ225" i="13"/>
  <c r="AP225" i="13"/>
  <c r="AO225" i="13"/>
  <c r="AN225" i="13"/>
  <c r="AM225" i="13"/>
  <c r="AL225" i="13"/>
  <c r="AK225" i="13"/>
  <c r="AJ225" i="13"/>
  <c r="AI225" i="13"/>
  <c r="AH225" i="13"/>
  <c r="AG225" i="13"/>
  <c r="AF225" i="13"/>
  <c r="AE225" i="13"/>
  <c r="AD225" i="13"/>
  <c r="AC225" i="13"/>
  <c r="AB225" i="13"/>
  <c r="AA225" i="13"/>
  <c r="Z225" i="13"/>
  <c r="Y225" i="13"/>
  <c r="X225" i="13"/>
  <c r="W225" i="13"/>
  <c r="V225" i="13"/>
  <c r="U225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BX224" i="13"/>
  <c r="BW224" i="13"/>
  <c r="BV224" i="13"/>
  <c r="BU224" i="13"/>
  <c r="BT224" i="13"/>
  <c r="BS224" i="13"/>
  <c r="BR224" i="13"/>
  <c r="BQ224" i="13"/>
  <c r="BP224" i="13"/>
  <c r="BO224" i="13"/>
  <c r="BN224" i="13"/>
  <c r="BM224" i="13"/>
  <c r="BL224" i="13"/>
  <c r="BK224" i="13"/>
  <c r="BJ224" i="13"/>
  <c r="BI224" i="13"/>
  <c r="BH224" i="13"/>
  <c r="BG224" i="13"/>
  <c r="BF224" i="13"/>
  <c r="BE224" i="13"/>
  <c r="BD224" i="13"/>
  <c r="BC224" i="13"/>
  <c r="BB224" i="13"/>
  <c r="BA224" i="13"/>
  <c r="AZ224" i="13"/>
  <c r="AY224" i="13"/>
  <c r="AX224" i="13"/>
  <c r="AW224" i="13"/>
  <c r="AV224" i="13"/>
  <c r="AU224" i="13"/>
  <c r="AT224" i="13"/>
  <c r="AS224" i="13"/>
  <c r="AR224" i="13"/>
  <c r="AQ224" i="13"/>
  <c r="AP224" i="13"/>
  <c r="AO224" i="13"/>
  <c r="AN224" i="13"/>
  <c r="AM224" i="13"/>
  <c r="AL224" i="13"/>
  <c r="AK224" i="13"/>
  <c r="AJ224" i="13"/>
  <c r="AI224" i="13"/>
  <c r="AH224" i="13"/>
  <c r="AG224" i="13"/>
  <c r="AF224" i="13"/>
  <c r="AE224" i="13"/>
  <c r="AD224" i="13"/>
  <c r="AC224" i="13"/>
  <c r="AB224" i="13"/>
  <c r="AA224" i="13"/>
  <c r="Z224" i="13"/>
  <c r="Y224" i="13"/>
  <c r="X224" i="13"/>
  <c r="W224" i="13"/>
  <c r="V224" i="13"/>
  <c r="U224" i="13"/>
  <c r="T224" i="13"/>
  <c r="S224" i="13"/>
  <c r="R224" i="13"/>
  <c r="Q224" i="13"/>
  <c r="P224" i="13"/>
  <c r="O224" i="13"/>
  <c r="N224" i="13"/>
  <c r="M224" i="13"/>
  <c r="L224" i="13"/>
  <c r="K224" i="13"/>
  <c r="J224" i="13"/>
  <c r="I224" i="13"/>
  <c r="H224" i="13"/>
  <c r="K45" i="25" l="1"/>
  <c r="K44" i="25"/>
  <c r="L44" i="25" s="1"/>
  <c r="K83" i="25"/>
  <c r="B70" i="16"/>
  <c r="B77" i="26"/>
  <c r="B78" i="26" s="1"/>
  <c r="F46" i="26"/>
  <c r="G46" i="26" s="1"/>
  <c r="H46" i="26" s="1"/>
  <c r="I46" i="26" s="1"/>
  <c r="J46" i="26" s="1"/>
  <c r="K46" i="26" s="1"/>
  <c r="L46" i="26" s="1"/>
  <c r="M46" i="26" s="1"/>
  <c r="N46" i="26" s="1"/>
  <c r="O46" i="26" s="1"/>
  <c r="P46" i="26" s="1"/>
  <c r="Q46" i="26" s="1"/>
  <c r="R46" i="26" s="1"/>
  <c r="S46" i="26" s="1"/>
  <c r="T46" i="26" s="1"/>
  <c r="U46" i="26" s="1"/>
  <c r="V46" i="26" s="1"/>
  <c r="W46" i="26" s="1"/>
  <c r="X46" i="26" s="1"/>
  <c r="B38" i="26"/>
  <c r="B39" i="26" s="1"/>
  <c r="F8" i="26"/>
  <c r="G8" i="26" s="1"/>
  <c r="H8" i="26" s="1"/>
  <c r="I8" i="26" s="1"/>
  <c r="J8" i="26" s="1"/>
  <c r="K8" i="26" s="1"/>
  <c r="L8" i="26" s="1"/>
  <c r="M8" i="26" s="1"/>
  <c r="N8" i="26" s="1"/>
  <c r="O8" i="26" s="1"/>
  <c r="P8" i="26" s="1"/>
  <c r="Q8" i="26" s="1"/>
  <c r="R8" i="26" s="1"/>
  <c r="S8" i="26" s="1"/>
  <c r="T8" i="26" s="1"/>
  <c r="U8" i="26" s="1"/>
  <c r="V8" i="26" s="1"/>
  <c r="W8" i="26" s="1"/>
  <c r="X8" i="26" s="1"/>
  <c r="F7" i="26"/>
  <c r="G7" i="26" s="1"/>
  <c r="H7" i="26" s="1"/>
  <c r="I7" i="26" s="1"/>
  <c r="J7" i="26" s="1"/>
  <c r="K7" i="26" s="1"/>
  <c r="L7" i="26" s="1"/>
  <c r="M7" i="26" s="1"/>
  <c r="N7" i="26" s="1"/>
  <c r="O7" i="26" s="1"/>
  <c r="P7" i="26" s="1"/>
  <c r="Q7" i="26" s="1"/>
  <c r="R7" i="26" s="1"/>
  <c r="S7" i="26" s="1"/>
  <c r="T7" i="26" s="1"/>
  <c r="U7" i="26" s="1"/>
  <c r="V7" i="26" s="1"/>
  <c r="W7" i="26" s="1"/>
  <c r="X7" i="26" s="1"/>
  <c r="E1" i="26"/>
  <c r="L83" i="25" l="1"/>
  <c r="L45" i="25"/>
  <c r="F1" i="26"/>
  <c r="F45" i="13"/>
  <c r="M45" i="25" l="1"/>
  <c r="M44" i="25"/>
  <c r="M83" i="25"/>
  <c r="G1" i="26"/>
  <c r="N83" i="25" l="1"/>
  <c r="N44" i="25"/>
  <c r="N45" i="25"/>
  <c r="H1" i="26"/>
  <c r="O45" i="25" l="1"/>
  <c r="O44" i="25"/>
  <c r="O83" i="25"/>
  <c r="I1" i="26"/>
  <c r="P83" i="25" l="1"/>
  <c r="P44" i="25"/>
  <c r="P45" i="25"/>
  <c r="J1" i="26"/>
  <c r="Q45" i="25" l="1"/>
  <c r="Q44" i="25"/>
  <c r="Q83" i="25"/>
  <c r="K1" i="26"/>
  <c r="R83" i="25" l="1"/>
  <c r="R44" i="25"/>
  <c r="R45" i="25"/>
  <c r="L1" i="26"/>
  <c r="S45" i="25" l="1"/>
  <c r="S44" i="25"/>
  <c r="S83" i="25"/>
  <c r="M1" i="26"/>
  <c r="T83" i="25" l="1"/>
  <c r="T44" i="25"/>
  <c r="T45" i="25"/>
  <c r="N1" i="26"/>
  <c r="U45" i="25" l="1"/>
  <c r="U44" i="25"/>
  <c r="U83" i="25"/>
  <c r="O1" i="26"/>
  <c r="V83" i="25" l="1"/>
  <c r="V44" i="25"/>
  <c r="V45" i="25"/>
  <c r="P1" i="26"/>
  <c r="W45" i="25" l="1"/>
  <c r="W44" i="25"/>
  <c r="W83" i="25"/>
  <c r="Q1" i="26"/>
  <c r="X83" i="25" l="1"/>
  <c r="X44" i="25"/>
  <c r="X45" i="25"/>
  <c r="R1" i="26"/>
  <c r="Y45" i="25" l="1"/>
  <c r="Y44" i="25"/>
  <c r="Y83" i="25"/>
  <c r="S1" i="26"/>
  <c r="Z83" i="25" l="1"/>
  <c r="Z44" i="25"/>
  <c r="Z45" i="25"/>
  <c r="T1" i="26"/>
  <c r="AA45" i="25" l="1"/>
  <c r="AA44" i="25"/>
  <c r="AA83" i="25"/>
  <c r="U1" i="26"/>
  <c r="AB83" i="25" l="1"/>
  <c r="AB44" i="25"/>
  <c r="AB45" i="25"/>
  <c r="V1" i="26"/>
  <c r="AC45" i="25" l="1"/>
  <c r="AC44" i="25"/>
  <c r="AC83" i="25"/>
  <c r="W1" i="26"/>
  <c r="AD83" i="25" l="1"/>
  <c r="AD44" i="25"/>
  <c r="AD45" i="25"/>
  <c r="X1" i="26"/>
  <c r="AE45" i="25" l="1"/>
  <c r="AE44" i="25"/>
  <c r="AE83" i="25"/>
  <c r="Y1" i="26"/>
  <c r="AF83" i="25" l="1"/>
  <c r="AG83" i="25" s="1"/>
  <c r="AH83" i="25" s="1"/>
  <c r="AI83" i="25" s="1"/>
  <c r="AJ83" i="25" s="1"/>
  <c r="AF44" i="25"/>
  <c r="AG44" i="25" s="1"/>
  <c r="AH44" i="25" s="1"/>
  <c r="AI44" i="25" s="1"/>
  <c r="AJ44" i="25" s="1"/>
  <c r="AF45" i="25"/>
  <c r="AG45" i="25" s="1"/>
  <c r="AH45" i="25" s="1"/>
  <c r="AI45" i="25" s="1"/>
  <c r="AJ45" i="25" s="1"/>
  <c r="M16" i="13"/>
  <c r="L13" i="13"/>
  <c r="L14" i="13" s="1"/>
  <c r="K13" i="13"/>
  <c r="K14" i="13" s="1"/>
  <c r="J13" i="13"/>
  <c r="J14" i="13" s="1"/>
  <c r="I13" i="13"/>
  <c r="I14" i="13" s="1"/>
  <c r="H13" i="13"/>
  <c r="H14" i="13" s="1"/>
  <c r="G13" i="13"/>
  <c r="G14" i="13" s="1"/>
  <c r="F13" i="13"/>
  <c r="F14" i="13" s="1"/>
  <c r="L12" i="13"/>
  <c r="K12" i="13"/>
  <c r="J12" i="13"/>
  <c r="I12" i="13"/>
  <c r="H12" i="13"/>
  <c r="G12" i="13"/>
  <c r="F12" i="13"/>
  <c r="L16" i="13"/>
  <c r="K16" i="13"/>
  <c r="J16" i="13"/>
  <c r="I16" i="13"/>
  <c r="H16" i="13"/>
  <c r="G16" i="13"/>
  <c r="F16" i="13"/>
  <c r="BX12" i="13"/>
  <c r="P12" i="13" l="1"/>
  <c r="Q12" i="13"/>
  <c r="M12" i="13"/>
  <c r="BL12" i="13"/>
  <c r="X13" i="13"/>
  <c r="X14" i="13" s="1"/>
  <c r="AN13" i="13"/>
  <c r="AN14" i="13" s="1"/>
  <c r="BD13" i="13"/>
  <c r="BD14" i="13" s="1"/>
  <c r="BT13" i="13"/>
  <c r="BT14" i="13" s="1"/>
  <c r="BM12" i="13"/>
  <c r="Y13" i="13"/>
  <c r="Y14" i="13" s="1"/>
  <c r="AO13" i="13"/>
  <c r="AO14" i="13" s="1"/>
  <c r="BE13" i="13"/>
  <c r="BE14" i="13" s="1"/>
  <c r="BU13" i="13"/>
  <c r="BU14" i="13" s="1"/>
  <c r="BN12" i="13"/>
  <c r="Z13" i="13"/>
  <c r="Z14" i="13" s="1"/>
  <c r="AP13" i="13"/>
  <c r="AP14" i="13" s="1"/>
  <c r="BF13" i="13"/>
  <c r="BF14" i="13" s="1"/>
  <c r="BV13" i="13"/>
  <c r="BV14" i="13" s="1"/>
  <c r="AV12" i="13"/>
  <c r="S12" i="13"/>
  <c r="AI12" i="13"/>
  <c r="AY12" i="13"/>
  <c r="BO12" i="13"/>
  <c r="AA13" i="13"/>
  <c r="AA14" i="13" s="1"/>
  <c r="AQ13" i="13"/>
  <c r="AQ14" i="13" s="1"/>
  <c r="BG13" i="13"/>
  <c r="BG14" i="13" s="1"/>
  <c r="BW13" i="13"/>
  <c r="BW14" i="13" s="1"/>
  <c r="AJ12" i="13"/>
  <c r="AB13" i="13"/>
  <c r="AB14" i="13" s="1"/>
  <c r="AR13" i="13"/>
  <c r="AR14" i="13" s="1"/>
  <c r="BH13" i="13"/>
  <c r="BH14" i="13" s="1"/>
  <c r="BX13" i="13"/>
  <c r="BX14" i="13" s="1"/>
  <c r="AF12" i="13"/>
  <c r="AZ12" i="13"/>
  <c r="U12" i="13"/>
  <c r="AK12" i="13"/>
  <c r="BA12" i="13"/>
  <c r="BQ12" i="13"/>
  <c r="M13" i="13"/>
  <c r="M14" i="13" s="1"/>
  <c r="AC13" i="13"/>
  <c r="AC14" i="13" s="1"/>
  <c r="AS13" i="13"/>
  <c r="AS14" i="13" s="1"/>
  <c r="BI13" i="13"/>
  <c r="BI14" i="13" s="1"/>
  <c r="BP12" i="13"/>
  <c r="V12" i="13"/>
  <c r="AL12" i="13"/>
  <c r="BB12" i="13"/>
  <c r="BR12" i="13"/>
  <c r="N13" i="13"/>
  <c r="N14" i="13" s="1"/>
  <c r="AD13" i="13"/>
  <c r="AD14" i="13" s="1"/>
  <c r="AT13" i="13"/>
  <c r="AT14" i="13" s="1"/>
  <c r="BJ13" i="13"/>
  <c r="BJ14" i="13" s="1"/>
  <c r="W12" i="13"/>
  <c r="AM12" i="13"/>
  <c r="BC12" i="13"/>
  <c r="BS12" i="13"/>
  <c r="O13" i="13"/>
  <c r="O14" i="13" s="1"/>
  <c r="AE13" i="13"/>
  <c r="AE14" i="13" s="1"/>
  <c r="AU13" i="13"/>
  <c r="AU14" i="13" s="1"/>
  <c r="BK13" i="13"/>
  <c r="BK14" i="13" s="1"/>
  <c r="AG12" i="13"/>
  <c r="X12" i="13"/>
  <c r="AN12" i="13"/>
  <c r="BD12" i="13"/>
  <c r="BT12" i="13"/>
  <c r="P13" i="13"/>
  <c r="P14" i="13" s="1"/>
  <c r="AF13" i="13"/>
  <c r="AF14" i="13" s="1"/>
  <c r="AV13" i="13"/>
  <c r="AV14" i="13" s="1"/>
  <c r="BL13" i="13"/>
  <c r="BL14" i="13" s="1"/>
  <c r="R12" i="13"/>
  <c r="T12" i="13"/>
  <c r="Y12" i="13"/>
  <c r="AO12" i="13"/>
  <c r="BE12" i="13"/>
  <c r="BU12" i="13"/>
  <c r="Q13" i="13"/>
  <c r="Q14" i="13" s="1"/>
  <c r="AG13" i="13"/>
  <c r="AG14" i="13" s="1"/>
  <c r="AW13" i="13"/>
  <c r="AW14" i="13" s="1"/>
  <c r="BM13" i="13"/>
  <c r="BM14" i="13" s="1"/>
  <c r="AW12" i="13"/>
  <c r="Z12" i="13"/>
  <c r="AP12" i="13"/>
  <c r="BF12" i="13"/>
  <c r="BV12" i="13"/>
  <c r="R13" i="13"/>
  <c r="R14" i="13" s="1"/>
  <c r="AH13" i="13"/>
  <c r="AH14" i="13" s="1"/>
  <c r="AX13" i="13"/>
  <c r="AX14" i="13" s="1"/>
  <c r="BN13" i="13"/>
  <c r="BN14" i="13" s="1"/>
  <c r="AA12" i="13"/>
  <c r="AQ12" i="13"/>
  <c r="BG12" i="13"/>
  <c r="BW12" i="13"/>
  <c r="S13" i="13"/>
  <c r="S14" i="13" s="1"/>
  <c r="AI13" i="13"/>
  <c r="AI14" i="13" s="1"/>
  <c r="AY13" i="13"/>
  <c r="AY14" i="13" s="1"/>
  <c r="BO13" i="13"/>
  <c r="BO14" i="13" s="1"/>
  <c r="AX12" i="13"/>
  <c r="AB12" i="13"/>
  <c r="AR12" i="13"/>
  <c r="BH12" i="13"/>
  <c r="T13" i="13"/>
  <c r="T14" i="13" s="1"/>
  <c r="AJ13" i="13"/>
  <c r="AJ14" i="13" s="1"/>
  <c r="AZ13" i="13"/>
  <c r="AZ14" i="13" s="1"/>
  <c r="BP13" i="13"/>
  <c r="BP14" i="13" s="1"/>
  <c r="AC12" i="13"/>
  <c r="AS12" i="13"/>
  <c r="BI12" i="13"/>
  <c r="U13" i="13"/>
  <c r="U14" i="13" s="1"/>
  <c r="AK13" i="13"/>
  <c r="AK14" i="13" s="1"/>
  <c r="BA13" i="13"/>
  <c r="BA14" i="13" s="1"/>
  <c r="BQ13" i="13"/>
  <c r="BQ14" i="13" s="1"/>
  <c r="N12" i="13"/>
  <c r="AD12" i="13"/>
  <c r="AT12" i="13"/>
  <c r="BJ12" i="13"/>
  <c r="V13" i="13"/>
  <c r="V14" i="13" s="1"/>
  <c r="AL13" i="13"/>
  <c r="AL14" i="13" s="1"/>
  <c r="BB13" i="13"/>
  <c r="BB14" i="13" s="1"/>
  <c r="BR13" i="13"/>
  <c r="BR14" i="13" s="1"/>
  <c r="AH12" i="13"/>
  <c r="O12" i="13"/>
  <c r="AE12" i="13"/>
  <c r="AU12" i="13"/>
  <c r="BK12" i="13"/>
  <c r="W13" i="13"/>
  <c r="W14" i="13" s="1"/>
  <c r="AM13" i="13"/>
  <c r="AM14" i="13" s="1"/>
  <c r="BC13" i="13"/>
  <c r="BC14" i="13" s="1"/>
  <c r="BS13" i="13"/>
  <c r="BS14" i="13" s="1"/>
  <c r="N16" i="13" l="1"/>
  <c r="O16" i="13" l="1"/>
  <c r="P16" i="13" l="1"/>
  <c r="Q16" i="13" l="1"/>
  <c r="R16" i="13" l="1"/>
  <c r="S16" i="13" l="1"/>
  <c r="T16" i="13" l="1"/>
  <c r="U16" i="13" l="1"/>
  <c r="V16" i="13" l="1"/>
  <c r="W16" i="13" l="1"/>
  <c r="X16" i="13" l="1"/>
  <c r="Y16" i="13" l="1"/>
  <c r="Z16" i="13" l="1"/>
  <c r="AA16" i="13" l="1"/>
  <c r="AB16" i="13" l="1"/>
  <c r="AC16" i="13" l="1"/>
  <c r="AD16" i="13" l="1"/>
  <c r="AE16" i="13" l="1"/>
  <c r="AF16" i="13" l="1"/>
  <c r="AG16" i="13" l="1"/>
  <c r="AH16" i="13" l="1"/>
  <c r="AI16" i="13" l="1"/>
  <c r="AJ16" i="13" l="1"/>
  <c r="H128" i="13" l="1"/>
  <c r="H125" i="25"/>
  <c r="M22" i="25" l="1"/>
  <c r="N22" i="25" s="1"/>
  <c r="O22" i="25" s="1"/>
  <c r="P22" i="25" s="1"/>
  <c r="Q22" i="25" s="1"/>
  <c r="R22" i="25" s="1"/>
  <c r="S22" i="25" s="1"/>
  <c r="T22" i="25" s="1"/>
  <c r="U22" i="25" s="1"/>
  <c r="V22" i="25" s="1"/>
  <c r="W22" i="25" s="1"/>
  <c r="X22" i="25" s="1"/>
  <c r="Y22" i="25" s="1"/>
  <c r="Z22" i="25" s="1"/>
  <c r="AA22" i="25" s="1"/>
  <c r="AB22" i="25" s="1"/>
  <c r="AC22" i="25" s="1"/>
  <c r="AD22" i="25" s="1"/>
  <c r="AE22" i="25" s="1"/>
  <c r="AF22" i="25" s="1"/>
  <c r="AG22" i="25" s="1"/>
  <c r="AH22" i="25" s="1"/>
  <c r="AI22" i="25" s="1"/>
  <c r="AJ22" i="25" s="1"/>
  <c r="AK22" i="25" s="1"/>
  <c r="AL22" i="25" s="1"/>
  <c r="AM22" i="25" s="1"/>
  <c r="AN22" i="25" s="1"/>
  <c r="AO22" i="25" s="1"/>
  <c r="AP22" i="25" s="1"/>
  <c r="AQ22" i="25" s="1"/>
  <c r="AR22" i="25" s="1"/>
  <c r="AS22" i="25" s="1"/>
  <c r="AT22" i="25" s="1"/>
  <c r="AU22" i="25" s="1"/>
  <c r="AV22" i="25" s="1"/>
  <c r="AW22" i="25" s="1"/>
  <c r="AX22" i="25" s="1"/>
  <c r="AY22" i="25" s="1"/>
  <c r="AZ22" i="25" s="1"/>
  <c r="BA22" i="25" s="1"/>
  <c r="BB22" i="25" s="1"/>
  <c r="BC22" i="25" s="1"/>
  <c r="BD22" i="25" s="1"/>
  <c r="BE22" i="25" s="1"/>
  <c r="BF22" i="25" s="1"/>
  <c r="BG22" i="25" s="1"/>
  <c r="BH22" i="25" s="1"/>
  <c r="BI22" i="25" s="1"/>
  <c r="BJ22" i="25" s="1"/>
  <c r="BK22" i="25" s="1"/>
  <c r="BL22" i="25" s="1"/>
  <c r="BM22" i="25" s="1"/>
  <c r="BN22" i="25" s="1"/>
  <c r="BO22" i="25" s="1"/>
  <c r="BP22" i="25" s="1"/>
  <c r="BQ22" i="25" s="1"/>
  <c r="BR22" i="25" s="1"/>
  <c r="BS22" i="25" s="1"/>
  <c r="BT22" i="25" s="1"/>
  <c r="BU22" i="25" s="1"/>
  <c r="BV22" i="25" s="1"/>
  <c r="BW22" i="25" s="1"/>
  <c r="BX22" i="25" s="1"/>
  <c r="BX144" i="13"/>
  <c r="BW144" i="13"/>
  <c r="BV144" i="13"/>
  <c r="BU144" i="13"/>
  <c r="BT144" i="13"/>
  <c r="BS144" i="13"/>
  <c r="BR144" i="13"/>
  <c r="BQ144" i="13"/>
  <c r="BP144" i="13"/>
  <c r="BO144" i="13"/>
  <c r="BN144" i="13"/>
  <c r="BM144" i="13"/>
  <c r="BL144" i="13"/>
  <c r="BK144" i="13"/>
  <c r="BJ144" i="13"/>
  <c r="BI144" i="13"/>
  <c r="BH144" i="13"/>
  <c r="BG144" i="13"/>
  <c r="BF144" i="13"/>
  <c r="BE144" i="13"/>
  <c r="BD144" i="13"/>
  <c r="BC144" i="13"/>
  <c r="BB144" i="13"/>
  <c r="BA144" i="13"/>
  <c r="AZ144" i="13"/>
  <c r="AY144" i="13"/>
  <c r="AX144" i="13"/>
  <c r="AW144" i="13"/>
  <c r="AV144" i="13"/>
  <c r="AU144" i="13"/>
  <c r="AT144" i="13"/>
  <c r="AS144" i="13"/>
  <c r="AR144" i="13"/>
  <c r="AQ144" i="13"/>
  <c r="AP144" i="13"/>
  <c r="AO144" i="13"/>
  <c r="AN144" i="13"/>
  <c r="AM144" i="13"/>
  <c r="AL144" i="13"/>
  <c r="AK144" i="13"/>
  <c r="AJ144" i="13"/>
  <c r="AI144" i="13"/>
  <c r="AH144" i="13"/>
  <c r="AG144" i="13"/>
  <c r="AF144" i="13"/>
  <c r="AE144" i="13"/>
  <c r="AD144" i="13"/>
  <c r="AC144" i="13"/>
  <c r="AB144" i="13"/>
  <c r="AA144" i="13"/>
  <c r="Z144" i="13"/>
  <c r="Y144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BX138" i="13"/>
  <c r="BW138" i="13"/>
  <c r="BV138" i="13"/>
  <c r="BU138" i="13"/>
  <c r="BT138" i="13"/>
  <c r="BS138" i="13"/>
  <c r="BR138" i="13"/>
  <c r="BQ138" i="13"/>
  <c r="BP138" i="13"/>
  <c r="BO138" i="13"/>
  <c r="BN138" i="13"/>
  <c r="BM138" i="13"/>
  <c r="BL138" i="13"/>
  <c r="BK138" i="13"/>
  <c r="BJ138" i="13"/>
  <c r="BI138" i="13"/>
  <c r="BH138" i="13"/>
  <c r="BG138" i="13"/>
  <c r="BF138" i="13"/>
  <c r="BE138" i="13"/>
  <c r="BD138" i="13"/>
  <c r="BC138" i="13"/>
  <c r="BB138" i="13"/>
  <c r="BA138" i="13"/>
  <c r="AZ138" i="13"/>
  <c r="AY138" i="13"/>
  <c r="AX138" i="13"/>
  <c r="AW138" i="13"/>
  <c r="AV138" i="13"/>
  <c r="AU138" i="13"/>
  <c r="AT138" i="13"/>
  <c r="AS138" i="13"/>
  <c r="AR138" i="13"/>
  <c r="AQ138" i="13"/>
  <c r="AP138" i="13"/>
  <c r="AO138" i="13"/>
  <c r="AN138" i="13"/>
  <c r="AM138" i="13"/>
  <c r="AL138" i="13"/>
  <c r="AK138" i="13"/>
  <c r="AJ138" i="13"/>
  <c r="AI138" i="13"/>
  <c r="AH138" i="13"/>
  <c r="AG138" i="13"/>
  <c r="AF138" i="13"/>
  <c r="AE138" i="13"/>
  <c r="AD138" i="13"/>
  <c r="AC138" i="13"/>
  <c r="AB138" i="13"/>
  <c r="AA138" i="13"/>
  <c r="Z138" i="13"/>
  <c r="Y138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BX136" i="13"/>
  <c r="BW136" i="13"/>
  <c r="BV136" i="13"/>
  <c r="BU136" i="13"/>
  <c r="BT136" i="13"/>
  <c r="BS136" i="13"/>
  <c r="BR136" i="13"/>
  <c r="BQ136" i="13"/>
  <c r="BP136" i="13"/>
  <c r="BO136" i="13"/>
  <c r="BN136" i="13"/>
  <c r="BM136" i="13"/>
  <c r="BL136" i="13"/>
  <c r="BK136" i="13"/>
  <c r="BJ136" i="13"/>
  <c r="BI136" i="13"/>
  <c r="BH136" i="13"/>
  <c r="BG136" i="13"/>
  <c r="BF136" i="13"/>
  <c r="BE136" i="13"/>
  <c r="BD136" i="13"/>
  <c r="BC136" i="13"/>
  <c r="BB136" i="13"/>
  <c r="BA136" i="13"/>
  <c r="AZ136" i="13"/>
  <c r="AY136" i="13"/>
  <c r="AX136" i="13"/>
  <c r="AW136" i="13"/>
  <c r="AV136" i="13"/>
  <c r="AU136" i="13"/>
  <c r="AT136" i="13"/>
  <c r="AS136" i="13"/>
  <c r="AR136" i="13"/>
  <c r="AQ136" i="13"/>
  <c r="AP136" i="13"/>
  <c r="AO136" i="13"/>
  <c r="AN136" i="13"/>
  <c r="AM136" i="13"/>
  <c r="AL136" i="13"/>
  <c r="AK136" i="13"/>
  <c r="AJ136" i="13"/>
  <c r="AI136" i="13"/>
  <c r="AH136" i="13"/>
  <c r="AG136" i="13"/>
  <c r="AF136" i="13"/>
  <c r="AE136" i="13"/>
  <c r="AD136" i="13"/>
  <c r="AC136" i="13"/>
  <c r="AB136" i="13"/>
  <c r="AA136" i="13"/>
  <c r="Z136" i="13"/>
  <c r="Y136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BX134" i="13"/>
  <c r="BW134" i="13"/>
  <c r="BV134" i="13"/>
  <c r="BU134" i="13"/>
  <c r="BT134" i="13"/>
  <c r="BS134" i="13"/>
  <c r="BR134" i="13"/>
  <c r="BQ134" i="13"/>
  <c r="BP134" i="13"/>
  <c r="BO134" i="13"/>
  <c r="BN134" i="13"/>
  <c r="BM134" i="13"/>
  <c r="BL134" i="13"/>
  <c r="BK134" i="13"/>
  <c r="BJ134" i="13"/>
  <c r="BI134" i="13"/>
  <c r="BH134" i="13"/>
  <c r="BG134" i="13"/>
  <c r="BF134" i="13"/>
  <c r="BE134" i="13"/>
  <c r="BD134" i="13"/>
  <c r="BC134" i="13"/>
  <c r="BB134" i="13"/>
  <c r="BA134" i="13"/>
  <c r="AZ134" i="13"/>
  <c r="AY134" i="13"/>
  <c r="AX134" i="13"/>
  <c r="AW134" i="13"/>
  <c r="AV134" i="13"/>
  <c r="AU134" i="13"/>
  <c r="AT134" i="13"/>
  <c r="AS134" i="13"/>
  <c r="AR134" i="13"/>
  <c r="AQ134" i="13"/>
  <c r="AP134" i="13"/>
  <c r="AO134" i="13"/>
  <c r="AN134" i="13"/>
  <c r="AM134" i="13"/>
  <c r="AL134" i="13"/>
  <c r="AK134" i="13"/>
  <c r="AJ134" i="13"/>
  <c r="AI134" i="13"/>
  <c r="AH134" i="13"/>
  <c r="AG134" i="13"/>
  <c r="AF134" i="13"/>
  <c r="AE134" i="13"/>
  <c r="AD134" i="13"/>
  <c r="AC134" i="13"/>
  <c r="AB134" i="13"/>
  <c r="AA134" i="13"/>
  <c r="Z134" i="13"/>
  <c r="Y134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AF141" i="13"/>
  <c r="AG141" i="13" s="1"/>
  <c r="AH141" i="13" s="1"/>
  <c r="AI141" i="13" s="1"/>
  <c r="AJ141" i="13" s="1"/>
  <c r="AK141" i="13" s="1"/>
  <c r="AL141" i="13" s="1"/>
  <c r="AM141" i="13" s="1"/>
  <c r="AN141" i="13" s="1"/>
  <c r="AO141" i="13" s="1"/>
  <c r="AP141" i="13" s="1"/>
  <c r="AQ141" i="13" s="1"/>
  <c r="AR141" i="13" s="1"/>
  <c r="AS141" i="13" s="1"/>
  <c r="AT141" i="13" s="1"/>
  <c r="AU141" i="13" s="1"/>
  <c r="AV141" i="13" s="1"/>
  <c r="AW141" i="13" s="1"/>
  <c r="AX141" i="13" s="1"/>
  <c r="AY141" i="13" s="1"/>
  <c r="AZ141" i="13" s="1"/>
  <c r="BA141" i="13" s="1"/>
  <c r="BB141" i="13" s="1"/>
  <c r="BC141" i="13" s="1"/>
  <c r="BD141" i="13" s="1"/>
  <c r="BE141" i="13" s="1"/>
  <c r="BF141" i="13" s="1"/>
  <c r="BG141" i="13" s="1"/>
  <c r="BH141" i="13" s="1"/>
  <c r="BI141" i="13" s="1"/>
  <c r="BJ141" i="13" s="1"/>
  <c r="BK141" i="13" s="1"/>
  <c r="BL141" i="13" s="1"/>
  <c r="BM141" i="13" s="1"/>
  <c r="BN141" i="13" s="1"/>
  <c r="BO141" i="13" s="1"/>
  <c r="BP141" i="13" s="1"/>
  <c r="BQ141" i="13" s="1"/>
  <c r="BR141" i="13" s="1"/>
  <c r="BS141" i="13" s="1"/>
  <c r="BT141" i="13" s="1"/>
  <c r="BU141" i="13" s="1"/>
  <c r="BV141" i="13" s="1"/>
  <c r="BW141" i="13" s="1"/>
  <c r="BX141" i="13" s="1"/>
  <c r="G12" i="25"/>
  <c r="M16" i="25"/>
  <c r="N16" i="25" s="1"/>
  <c r="O16" i="25" s="1"/>
  <c r="P16" i="25" s="1"/>
  <c r="Q16" i="25" s="1"/>
  <c r="R16" i="25" s="1"/>
  <c r="S16" i="25" s="1"/>
  <c r="T16" i="25" s="1"/>
  <c r="U16" i="25" s="1"/>
  <c r="V16" i="25" s="1"/>
  <c r="W16" i="25" s="1"/>
  <c r="X16" i="25" s="1"/>
  <c r="Y16" i="25" s="1"/>
  <c r="Z16" i="25" s="1"/>
  <c r="AA16" i="25" s="1"/>
  <c r="AB16" i="25" s="1"/>
  <c r="AC16" i="25" s="1"/>
  <c r="AD16" i="25" s="1"/>
  <c r="AE16" i="25" s="1"/>
  <c r="AF16" i="25" s="1"/>
  <c r="AG16" i="25" s="1"/>
  <c r="AH16" i="25" s="1"/>
  <c r="AI16" i="25" s="1"/>
  <c r="AJ16" i="25" s="1"/>
  <c r="AK16" i="25" s="1"/>
  <c r="AL16" i="25" s="1"/>
  <c r="AM16" i="25" s="1"/>
  <c r="AN16" i="25" s="1"/>
  <c r="AO16" i="25" s="1"/>
  <c r="AP16" i="25" s="1"/>
  <c r="AQ16" i="25" s="1"/>
  <c r="AR16" i="25" s="1"/>
  <c r="AS16" i="25" s="1"/>
  <c r="AT16" i="25" s="1"/>
  <c r="AU16" i="25" s="1"/>
  <c r="AV16" i="25" s="1"/>
  <c r="AW16" i="25" s="1"/>
  <c r="AX16" i="25" s="1"/>
  <c r="AY16" i="25" s="1"/>
  <c r="AZ16" i="25" s="1"/>
  <c r="BA16" i="25" s="1"/>
  <c r="BB16" i="25" s="1"/>
  <c r="BC16" i="25" s="1"/>
  <c r="BD16" i="25" s="1"/>
  <c r="BE16" i="25" s="1"/>
  <c r="BF16" i="25" s="1"/>
  <c r="BG16" i="25" s="1"/>
  <c r="BH16" i="25" s="1"/>
  <c r="BI16" i="25" s="1"/>
  <c r="BJ16" i="25" s="1"/>
  <c r="BK16" i="25" s="1"/>
  <c r="BL16" i="25" s="1"/>
  <c r="BM16" i="25" s="1"/>
  <c r="BN16" i="25" s="1"/>
  <c r="BO16" i="25" s="1"/>
  <c r="BP16" i="25" s="1"/>
  <c r="BQ16" i="25" s="1"/>
  <c r="BR16" i="25" s="1"/>
  <c r="BS16" i="25" s="1"/>
  <c r="BT16" i="25" s="1"/>
  <c r="BU16" i="25" s="1"/>
  <c r="BV16" i="25" s="1"/>
  <c r="BW16" i="25" s="1"/>
  <c r="BX16" i="25" s="1"/>
  <c r="M15" i="25"/>
  <c r="N15" i="25" s="1"/>
  <c r="O15" i="25" s="1"/>
  <c r="P15" i="25" s="1"/>
  <c r="Q15" i="25" s="1"/>
  <c r="R15" i="25" s="1"/>
  <c r="S15" i="25" s="1"/>
  <c r="T15" i="25" s="1"/>
  <c r="U15" i="25" s="1"/>
  <c r="V15" i="25" s="1"/>
  <c r="W15" i="25" s="1"/>
  <c r="X15" i="25" s="1"/>
  <c r="Y15" i="25" s="1"/>
  <c r="Z15" i="25" s="1"/>
  <c r="AA15" i="25" s="1"/>
  <c r="AB15" i="25" s="1"/>
  <c r="AC15" i="25" s="1"/>
  <c r="AD15" i="25" s="1"/>
  <c r="AE15" i="25" s="1"/>
  <c r="AF15" i="25" s="1"/>
  <c r="AG15" i="25" s="1"/>
  <c r="AH15" i="25" s="1"/>
  <c r="AI15" i="25" s="1"/>
  <c r="AJ15" i="25" s="1"/>
  <c r="AK15" i="25" s="1"/>
  <c r="AL15" i="25" s="1"/>
  <c r="AM15" i="25" s="1"/>
  <c r="AN15" i="25" s="1"/>
  <c r="AO15" i="25" s="1"/>
  <c r="AP15" i="25" s="1"/>
  <c r="AQ15" i="25" s="1"/>
  <c r="AR15" i="25" s="1"/>
  <c r="AS15" i="25" s="1"/>
  <c r="AT15" i="25" s="1"/>
  <c r="AU15" i="25" s="1"/>
  <c r="AV15" i="25" s="1"/>
  <c r="AW15" i="25" s="1"/>
  <c r="AX15" i="25" s="1"/>
  <c r="AY15" i="25" s="1"/>
  <c r="AZ15" i="25" s="1"/>
  <c r="BA15" i="25" s="1"/>
  <c r="BB15" i="25" s="1"/>
  <c r="BC15" i="25" s="1"/>
  <c r="BD15" i="25" s="1"/>
  <c r="BE15" i="25" s="1"/>
  <c r="BF15" i="25" s="1"/>
  <c r="BG15" i="25" s="1"/>
  <c r="BH15" i="25" s="1"/>
  <c r="BI15" i="25" s="1"/>
  <c r="BJ15" i="25" s="1"/>
  <c r="BK15" i="25" s="1"/>
  <c r="BL15" i="25" s="1"/>
  <c r="BM15" i="25" s="1"/>
  <c r="BN15" i="25" s="1"/>
  <c r="BO15" i="25" s="1"/>
  <c r="BP15" i="25" s="1"/>
  <c r="BQ15" i="25" s="1"/>
  <c r="BR15" i="25" s="1"/>
  <c r="BS15" i="25" s="1"/>
  <c r="BT15" i="25" s="1"/>
  <c r="BU15" i="25" s="1"/>
  <c r="BV15" i="25" s="1"/>
  <c r="BW15" i="25" s="1"/>
  <c r="BX15" i="25" s="1"/>
  <c r="G20" i="25"/>
  <c r="H20" i="25" s="1"/>
  <c r="I20" i="25" s="1"/>
  <c r="J20" i="25" s="1"/>
  <c r="K20" i="25" s="1"/>
  <c r="L20" i="25" s="1"/>
  <c r="M20" i="25" s="1"/>
  <c r="N20" i="25" s="1"/>
  <c r="O20" i="25" s="1"/>
  <c r="P20" i="25" s="1"/>
  <c r="Q20" i="25" s="1"/>
  <c r="R20" i="25" s="1"/>
  <c r="S20" i="25" s="1"/>
  <c r="T20" i="25" s="1"/>
  <c r="U20" i="25" s="1"/>
  <c r="V20" i="25" s="1"/>
  <c r="W20" i="25" s="1"/>
  <c r="X20" i="25" s="1"/>
  <c r="Y20" i="25" s="1"/>
  <c r="Z20" i="25" s="1"/>
  <c r="AA20" i="25" s="1"/>
  <c r="AB20" i="25" s="1"/>
  <c r="AC20" i="25" s="1"/>
  <c r="AD20" i="25" s="1"/>
  <c r="AE20" i="25" s="1"/>
  <c r="AF20" i="25" s="1"/>
  <c r="AG20" i="25" s="1"/>
  <c r="AH20" i="25" s="1"/>
  <c r="AI20" i="25" s="1"/>
  <c r="AJ20" i="25" s="1"/>
  <c r="AK20" i="25" s="1"/>
  <c r="AL20" i="25" s="1"/>
  <c r="AM20" i="25" s="1"/>
  <c r="AN20" i="25" s="1"/>
  <c r="AO20" i="25" s="1"/>
  <c r="AP20" i="25" s="1"/>
  <c r="AQ20" i="25" s="1"/>
  <c r="AR20" i="25" s="1"/>
  <c r="AS20" i="25" s="1"/>
  <c r="AT20" i="25" s="1"/>
  <c r="AU20" i="25" s="1"/>
  <c r="AV20" i="25" s="1"/>
  <c r="AW20" i="25" s="1"/>
  <c r="AX20" i="25" s="1"/>
  <c r="AY20" i="25" s="1"/>
  <c r="AZ20" i="25" s="1"/>
  <c r="BA20" i="25" s="1"/>
  <c r="BB20" i="25" s="1"/>
  <c r="BC20" i="25" s="1"/>
  <c r="BD20" i="25" s="1"/>
  <c r="BE20" i="25" s="1"/>
  <c r="BF20" i="25" s="1"/>
  <c r="BG20" i="25" s="1"/>
  <c r="BH20" i="25" s="1"/>
  <c r="BI20" i="25" s="1"/>
  <c r="BJ20" i="25" s="1"/>
  <c r="BK20" i="25" s="1"/>
  <c r="BL20" i="25" s="1"/>
  <c r="BM20" i="25" s="1"/>
  <c r="BN20" i="25" s="1"/>
  <c r="BO20" i="25" s="1"/>
  <c r="BP20" i="25" s="1"/>
  <c r="BQ20" i="25" s="1"/>
  <c r="BR20" i="25" s="1"/>
  <c r="BS20" i="25" s="1"/>
  <c r="BT20" i="25" s="1"/>
  <c r="BU20" i="25" s="1"/>
  <c r="BV20" i="25" s="1"/>
  <c r="BW20" i="25" s="1"/>
  <c r="BX20" i="25" s="1"/>
  <c r="AK11" i="25"/>
  <c r="AL11" i="25" l="1"/>
  <c r="AK15" i="13"/>
  <c r="AK16" i="13" s="1"/>
  <c r="M21" i="25"/>
  <c r="AM11" i="25" l="1"/>
  <c r="AL15" i="13"/>
  <c r="AL16" i="13" s="1"/>
  <c r="N21" i="25"/>
  <c r="AN11" i="25" l="1"/>
  <c r="AM15" i="13"/>
  <c r="AM16" i="13" s="1"/>
  <c r="O21" i="25"/>
  <c r="AO11" i="25" l="1"/>
  <c r="AN15" i="13"/>
  <c r="AN16" i="13" s="1"/>
  <c r="P21" i="25"/>
  <c r="AP11" i="25" l="1"/>
  <c r="AO15" i="13"/>
  <c r="AO16" i="13" s="1"/>
  <c r="Q21" i="25"/>
  <c r="AQ11" i="25" l="1"/>
  <c r="AP15" i="13"/>
  <c r="AP16" i="13" s="1"/>
  <c r="R21" i="25"/>
  <c r="AR11" i="25" l="1"/>
  <c r="AQ15" i="13"/>
  <c r="AQ16" i="13" s="1"/>
  <c r="S21" i="25"/>
  <c r="AS11" i="25" l="1"/>
  <c r="AR15" i="13"/>
  <c r="AR16" i="13" s="1"/>
  <c r="T21" i="25"/>
  <c r="AT11" i="25" l="1"/>
  <c r="AS15" i="13"/>
  <c r="AS16" i="13" s="1"/>
  <c r="U21" i="25"/>
  <c r="AU11" i="25" l="1"/>
  <c r="AT15" i="13"/>
  <c r="AT16" i="13" s="1"/>
  <c r="V21" i="25"/>
  <c r="AV11" i="25" l="1"/>
  <c r="AU15" i="13"/>
  <c r="AU16" i="13" s="1"/>
  <c r="W21" i="25"/>
  <c r="AW11" i="25" l="1"/>
  <c r="AV15" i="13"/>
  <c r="AV16" i="13" s="1"/>
  <c r="X21" i="25"/>
  <c r="AX11" i="25" l="1"/>
  <c r="AW15" i="13"/>
  <c r="AW16" i="13" s="1"/>
  <c r="Y21" i="25"/>
  <c r="AY11" i="25" l="1"/>
  <c r="AX15" i="13"/>
  <c r="AX16" i="13" s="1"/>
  <c r="Z21" i="25"/>
  <c r="AZ11" i="25" l="1"/>
  <c r="AY15" i="13"/>
  <c r="AY16" i="13" s="1"/>
  <c r="AA21" i="25"/>
  <c r="BA11" i="25" l="1"/>
  <c r="AZ15" i="13"/>
  <c r="AZ16" i="13" s="1"/>
  <c r="AB21" i="25"/>
  <c r="BB11" i="25" l="1"/>
  <c r="BA15" i="13"/>
  <c r="BA16" i="13" s="1"/>
  <c r="AC21" i="25"/>
  <c r="BC11" i="25" l="1"/>
  <c r="BB15" i="13"/>
  <c r="BB16" i="13" s="1"/>
  <c r="AD21" i="25"/>
  <c r="BD11" i="25" l="1"/>
  <c r="BC15" i="13"/>
  <c r="BC16" i="13" s="1"/>
  <c r="AE21" i="25"/>
  <c r="BE11" i="25" l="1"/>
  <c r="BD15" i="13"/>
  <c r="BD16" i="13" s="1"/>
  <c r="AF21" i="25"/>
  <c r="BF11" i="25" l="1"/>
  <c r="BE15" i="13"/>
  <c r="BE16" i="13" s="1"/>
  <c r="AG21" i="25"/>
  <c r="BG11" i="25" l="1"/>
  <c r="BF15" i="13"/>
  <c r="BF16" i="13" s="1"/>
  <c r="AH21" i="25"/>
  <c r="BH11" i="25" l="1"/>
  <c r="BG15" i="13"/>
  <c r="BG16" i="13" s="1"/>
  <c r="AI21" i="25"/>
  <c r="BI11" i="25" l="1"/>
  <c r="BH15" i="13"/>
  <c r="BH16" i="13" s="1"/>
  <c r="AJ21" i="25"/>
  <c r="BJ11" i="25" l="1"/>
  <c r="BI15" i="13"/>
  <c r="BI16" i="13" s="1"/>
  <c r="AK21" i="25"/>
  <c r="BK11" i="25" l="1"/>
  <c r="BJ15" i="13"/>
  <c r="BJ16" i="13" s="1"/>
  <c r="AL21" i="25"/>
  <c r="BL11" i="25" l="1"/>
  <c r="BK15" i="13"/>
  <c r="BK16" i="13" s="1"/>
  <c r="AM21" i="25"/>
  <c r="BM11" i="25" l="1"/>
  <c r="BL15" i="13"/>
  <c r="BL16" i="13" s="1"/>
  <c r="AN21" i="25"/>
  <c r="BN11" i="25" l="1"/>
  <c r="BM15" i="13"/>
  <c r="BM16" i="13" s="1"/>
  <c r="AO21" i="25"/>
  <c r="BO11" i="25" l="1"/>
  <c r="BN15" i="13"/>
  <c r="BN16" i="13" s="1"/>
  <c r="AP21" i="25"/>
  <c r="BP11" i="25" l="1"/>
  <c r="BO15" i="13"/>
  <c r="BO16" i="13" s="1"/>
  <c r="AQ21" i="25"/>
  <c r="BQ11" i="25" l="1"/>
  <c r="BP15" i="13"/>
  <c r="BP16" i="13" s="1"/>
  <c r="AR21" i="25"/>
  <c r="BR11" i="25" l="1"/>
  <c r="BQ15" i="13"/>
  <c r="BQ16" i="13" s="1"/>
  <c r="AS21" i="25"/>
  <c r="BS11" i="25" l="1"/>
  <c r="BR15" i="13"/>
  <c r="BR16" i="13" s="1"/>
  <c r="AT21" i="25"/>
  <c r="BT11" i="25" l="1"/>
  <c r="BS15" i="13"/>
  <c r="BS16" i="13" s="1"/>
  <c r="AU21" i="25"/>
  <c r="BU11" i="25" l="1"/>
  <c r="BT15" i="13"/>
  <c r="BT16" i="13" s="1"/>
  <c r="AV21" i="25"/>
  <c r="BV11" i="25" l="1"/>
  <c r="BU15" i="13"/>
  <c r="BU16" i="13" s="1"/>
  <c r="AW21" i="25"/>
  <c r="BW11" i="25" l="1"/>
  <c r="BV15" i="13"/>
  <c r="BV16" i="13" s="1"/>
  <c r="AX21" i="25"/>
  <c r="BX11" i="25" l="1"/>
  <c r="BX15" i="13" s="1"/>
  <c r="BX16" i="13" s="1"/>
  <c r="BW15" i="13"/>
  <c r="BW16" i="13" s="1"/>
  <c r="AY21" i="25"/>
  <c r="AZ21" i="25" l="1"/>
  <c r="BA21" i="25" l="1"/>
  <c r="BB21" i="25" l="1"/>
  <c r="BC21" i="25" l="1"/>
  <c r="BD21" i="25" l="1"/>
  <c r="BE21" i="25" l="1"/>
  <c r="BF21" i="25" l="1"/>
  <c r="BG21" i="25" l="1"/>
  <c r="BH21" i="25" l="1"/>
  <c r="BI21" i="25" l="1"/>
  <c r="BJ21" i="25" l="1"/>
  <c r="BK21" i="25" l="1"/>
  <c r="BL21" i="25" l="1"/>
  <c r="BM21" i="25" l="1"/>
  <c r="BN21" i="25" l="1"/>
  <c r="BO21" i="25" l="1"/>
  <c r="BP21" i="25" l="1"/>
  <c r="BQ21" i="25" l="1"/>
  <c r="BR21" i="25" l="1"/>
  <c r="BS21" i="25" l="1"/>
  <c r="BT21" i="25" l="1"/>
  <c r="BU21" i="25" l="1"/>
  <c r="BV21" i="25" l="1"/>
  <c r="BX21" i="25" l="1"/>
  <c r="BW21" i="25"/>
  <c r="H207" i="13" l="1"/>
  <c r="H205" i="13"/>
  <c r="H204" i="13"/>
  <c r="H203" i="13"/>
  <c r="H176" i="13"/>
  <c r="H175" i="13"/>
  <c r="H174" i="13"/>
  <c r="H170" i="13"/>
  <c r="H169" i="13"/>
  <c r="H127" i="13"/>
  <c r="H126" i="13"/>
  <c r="H125" i="13"/>
  <c r="H105" i="13"/>
  <c r="H104" i="13"/>
  <c r="H103" i="13"/>
  <c r="H99" i="13"/>
  <c r="H86" i="13"/>
  <c r="H85" i="13"/>
  <c r="H84" i="13"/>
  <c r="H57" i="13"/>
  <c r="H56" i="13"/>
  <c r="H55" i="13"/>
  <c r="H51" i="13"/>
  <c r="H50" i="13"/>
  <c r="BX338" i="13"/>
  <c r="BW338" i="13"/>
  <c r="BV338" i="13"/>
  <c r="BU338" i="13"/>
  <c r="BT338" i="13"/>
  <c r="BS338" i="13"/>
  <c r="BR338" i="13"/>
  <c r="BQ338" i="13"/>
  <c r="BP338" i="13"/>
  <c r="BO338" i="13"/>
  <c r="BN338" i="13"/>
  <c r="BM338" i="13"/>
  <c r="BL338" i="13"/>
  <c r="BK338" i="13"/>
  <c r="BJ338" i="13"/>
  <c r="BI338" i="13"/>
  <c r="BH338" i="13"/>
  <c r="BG338" i="13"/>
  <c r="BF338" i="13"/>
  <c r="BE338" i="13"/>
  <c r="BD338" i="13"/>
  <c r="BC338" i="13"/>
  <c r="BB338" i="13"/>
  <c r="BA338" i="13"/>
  <c r="AZ338" i="13"/>
  <c r="AY338" i="13"/>
  <c r="AX338" i="13"/>
  <c r="AW338" i="13"/>
  <c r="AV338" i="13"/>
  <c r="AU338" i="13"/>
  <c r="AT338" i="13"/>
  <c r="AS338" i="13"/>
  <c r="AR338" i="13"/>
  <c r="AQ338" i="13"/>
  <c r="AP338" i="13"/>
  <c r="AO338" i="13"/>
  <c r="AN338" i="13"/>
  <c r="AM338" i="13"/>
  <c r="AL338" i="13"/>
  <c r="AK338" i="13"/>
  <c r="AJ338" i="13"/>
  <c r="AI338" i="13"/>
  <c r="AH338" i="13"/>
  <c r="AG338" i="13"/>
  <c r="AF338" i="13"/>
  <c r="AE338" i="13"/>
  <c r="AD338" i="13"/>
  <c r="AC338" i="13"/>
  <c r="AB338" i="13"/>
  <c r="AA338" i="13"/>
  <c r="Z338" i="13"/>
  <c r="Y338" i="13"/>
  <c r="X338" i="13"/>
  <c r="W338" i="13"/>
  <c r="V338" i="13"/>
  <c r="U338" i="13"/>
  <c r="T338" i="13"/>
  <c r="S338" i="13"/>
  <c r="R338" i="13"/>
  <c r="Q338" i="13"/>
  <c r="P338" i="13"/>
  <c r="O338" i="13"/>
  <c r="N338" i="13"/>
  <c r="M338" i="13"/>
  <c r="L338" i="13"/>
  <c r="K338" i="13"/>
  <c r="J338" i="13"/>
  <c r="I338" i="13"/>
  <c r="H338" i="13"/>
  <c r="G338" i="13"/>
  <c r="F338" i="13"/>
  <c r="BX337" i="13"/>
  <c r="BW337" i="13"/>
  <c r="BV337" i="13"/>
  <c r="BU337" i="13"/>
  <c r="BT337" i="13"/>
  <c r="BS337" i="13"/>
  <c r="BR337" i="13"/>
  <c r="BQ337" i="13"/>
  <c r="BP337" i="13"/>
  <c r="BO337" i="13"/>
  <c r="BN337" i="13"/>
  <c r="BM337" i="13"/>
  <c r="BL337" i="13"/>
  <c r="BK337" i="13"/>
  <c r="BJ337" i="13"/>
  <c r="BI337" i="13"/>
  <c r="BH337" i="13"/>
  <c r="BG337" i="13"/>
  <c r="BF337" i="13"/>
  <c r="BE337" i="13"/>
  <c r="BD337" i="13"/>
  <c r="BC337" i="13"/>
  <c r="BB337" i="13"/>
  <c r="BA337" i="13"/>
  <c r="AZ337" i="13"/>
  <c r="AY337" i="13"/>
  <c r="AX337" i="13"/>
  <c r="AW337" i="13"/>
  <c r="AV337" i="13"/>
  <c r="AU337" i="13"/>
  <c r="AT337" i="13"/>
  <c r="AS337" i="13"/>
  <c r="AR337" i="13"/>
  <c r="AQ337" i="13"/>
  <c r="AP337" i="13"/>
  <c r="AO337" i="13"/>
  <c r="AN337" i="13"/>
  <c r="AM337" i="13"/>
  <c r="AL337" i="13"/>
  <c r="AK337" i="13"/>
  <c r="AJ337" i="13"/>
  <c r="AI337" i="13"/>
  <c r="AH337" i="13"/>
  <c r="AG337" i="13"/>
  <c r="AF337" i="13"/>
  <c r="AE337" i="13"/>
  <c r="AD337" i="13"/>
  <c r="AC337" i="13"/>
  <c r="AB337" i="13"/>
  <c r="AA337" i="13"/>
  <c r="Z337" i="13"/>
  <c r="Y337" i="13"/>
  <c r="X337" i="13"/>
  <c r="W337" i="13"/>
  <c r="V337" i="13"/>
  <c r="U337" i="13"/>
  <c r="T337" i="13"/>
  <c r="S337" i="13"/>
  <c r="R337" i="13"/>
  <c r="Q337" i="13"/>
  <c r="P337" i="13"/>
  <c r="O337" i="13"/>
  <c r="N337" i="13"/>
  <c r="M337" i="13"/>
  <c r="L337" i="13"/>
  <c r="K337" i="13"/>
  <c r="J337" i="13"/>
  <c r="I337" i="13"/>
  <c r="H337" i="13"/>
  <c r="G337" i="13"/>
  <c r="F337" i="13"/>
  <c r="BX336" i="13"/>
  <c r="BW336" i="13"/>
  <c r="BV336" i="13"/>
  <c r="BU336" i="13"/>
  <c r="BT336" i="13"/>
  <c r="BS336" i="13"/>
  <c r="BR336" i="13"/>
  <c r="BQ336" i="13"/>
  <c r="BP336" i="13"/>
  <c r="BO336" i="13"/>
  <c r="BN336" i="13"/>
  <c r="BM336" i="13"/>
  <c r="BL336" i="13"/>
  <c r="BK336" i="13"/>
  <c r="BJ336" i="13"/>
  <c r="BI336" i="13"/>
  <c r="BH336" i="13"/>
  <c r="BG336" i="13"/>
  <c r="BF336" i="13"/>
  <c r="BE336" i="13"/>
  <c r="BD336" i="13"/>
  <c r="BC336" i="13"/>
  <c r="BB336" i="13"/>
  <c r="BA336" i="13"/>
  <c r="AZ336" i="13"/>
  <c r="AY336" i="13"/>
  <c r="AX336" i="13"/>
  <c r="AW336" i="13"/>
  <c r="AV336" i="13"/>
  <c r="AU336" i="13"/>
  <c r="AT336" i="13"/>
  <c r="AS336" i="13"/>
  <c r="AR336" i="13"/>
  <c r="AQ336" i="13"/>
  <c r="AP336" i="13"/>
  <c r="AO336" i="13"/>
  <c r="AN336" i="13"/>
  <c r="AM336" i="13"/>
  <c r="AL336" i="13"/>
  <c r="AK336" i="13"/>
  <c r="AJ336" i="13"/>
  <c r="AI336" i="13"/>
  <c r="AH336" i="13"/>
  <c r="AG336" i="13"/>
  <c r="AF336" i="13"/>
  <c r="AE336" i="13"/>
  <c r="AD336" i="13"/>
  <c r="AC336" i="13"/>
  <c r="AB336" i="13"/>
  <c r="AA336" i="13"/>
  <c r="Z336" i="13"/>
  <c r="Y336" i="13"/>
  <c r="X336" i="13"/>
  <c r="W336" i="13"/>
  <c r="V336" i="13"/>
  <c r="U336" i="13"/>
  <c r="T336" i="13"/>
  <c r="S336" i="13"/>
  <c r="R336" i="13"/>
  <c r="Q336" i="13"/>
  <c r="P336" i="13"/>
  <c r="O336" i="13"/>
  <c r="N336" i="13"/>
  <c r="M336" i="13"/>
  <c r="L336" i="13"/>
  <c r="K336" i="13"/>
  <c r="J336" i="13"/>
  <c r="I336" i="13"/>
  <c r="H336" i="13"/>
  <c r="G336" i="13"/>
  <c r="F336" i="13"/>
  <c r="BX335" i="13"/>
  <c r="BW335" i="13"/>
  <c r="BV335" i="13"/>
  <c r="BU335" i="13"/>
  <c r="BT335" i="13"/>
  <c r="BS335" i="13"/>
  <c r="BR335" i="13"/>
  <c r="BQ335" i="13"/>
  <c r="BP335" i="13"/>
  <c r="BO335" i="13"/>
  <c r="BN335" i="13"/>
  <c r="BM335" i="13"/>
  <c r="BL335" i="13"/>
  <c r="BK335" i="13"/>
  <c r="BJ335" i="13"/>
  <c r="BI335" i="13"/>
  <c r="BH335" i="13"/>
  <c r="BG335" i="13"/>
  <c r="BF335" i="13"/>
  <c r="BE335" i="13"/>
  <c r="BD335" i="13"/>
  <c r="BC335" i="13"/>
  <c r="BB335" i="13"/>
  <c r="BA335" i="13"/>
  <c r="AZ335" i="13"/>
  <c r="AY335" i="13"/>
  <c r="AX335" i="13"/>
  <c r="AW335" i="13"/>
  <c r="AV335" i="13"/>
  <c r="AU335" i="13"/>
  <c r="AT335" i="13"/>
  <c r="AS335" i="13"/>
  <c r="AR335" i="13"/>
  <c r="AQ335" i="13"/>
  <c r="AP335" i="13"/>
  <c r="AO335" i="13"/>
  <c r="AN335" i="13"/>
  <c r="AM335" i="13"/>
  <c r="AL335" i="13"/>
  <c r="AK335" i="13"/>
  <c r="AJ335" i="13"/>
  <c r="AI335" i="13"/>
  <c r="AH335" i="13"/>
  <c r="AG335" i="13"/>
  <c r="AF335" i="13"/>
  <c r="AE335" i="13"/>
  <c r="AD335" i="13"/>
  <c r="AC335" i="13"/>
  <c r="AB335" i="13"/>
  <c r="AA335" i="13"/>
  <c r="Z335" i="13"/>
  <c r="Y335" i="13"/>
  <c r="X335" i="13"/>
  <c r="W335" i="13"/>
  <c r="V335" i="13"/>
  <c r="U335" i="13"/>
  <c r="T335" i="13"/>
  <c r="S335" i="13"/>
  <c r="R335" i="13"/>
  <c r="Q335" i="13"/>
  <c r="P335" i="13"/>
  <c r="O335" i="13"/>
  <c r="N335" i="13"/>
  <c r="M335" i="13"/>
  <c r="L335" i="13"/>
  <c r="K335" i="13"/>
  <c r="J335" i="13"/>
  <c r="I335" i="13"/>
  <c r="H335" i="13"/>
  <c r="G335" i="13"/>
  <c r="F335" i="13"/>
  <c r="BX334" i="13"/>
  <c r="BW334" i="13"/>
  <c r="BV334" i="13"/>
  <c r="BU334" i="13"/>
  <c r="BT334" i="13"/>
  <c r="BS334" i="13"/>
  <c r="BR334" i="13"/>
  <c r="BQ334" i="13"/>
  <c r="BP334" i="13"/>
  <c r="BO334" i="13"/>
  <c r="BN334" i="13"/>
  <c r="BM334" i="13"/>
  <c r="BL334" i="13"/>
  <c r="BK334" i="13"/>
  <c r="BJ334" i="13"/>
  <c r="BI334" i="13"/>
  <c r="BH334" i="13"/>
  <c r="BG334" i="13"/>
  <c r="BF334" i="13"/>
  <c r="BE334" i="13"/>
  <c r="BD334" i="13"/>
  <c r="BC334" i="13"/>
  <c r="BB334" i="13"/>
  <c r="BA334" i="13"/>
  <c r="AZ334" i="13"/>
  <c r="AY334" i="13"/>
  <c r="AX334" i="13"/>
  <c r="AW334" i="13"/>
  <c r="AV334" i="13"/>
  <c r="AU334" i="13"/>
  <c r="AT334" i="13"/>
  <c r="AS334" i="13"/>
  <c r="AR334" i="13"/>
  <c r="AQ334" i="13"/>
  <c r="AP334" i="13"/>
  <c r="AO334" i="13"/>
  <c r="AN334" i="13"/>
  <c r="AM334" i="13"/>
  <c r="AL334" i="13"/>
  <c r="AK334" i="13"/>
  <c r="AJ334" i="13"/>
  <c r="AI334" i="13"/>
  <c r="AH334" i="13"/>
  <c r="AG334" i="13"/>
  <c r="AF334" i="13"/>
  <c r="AE334" i="13"/>
  <c r="AD334" i="13"/>
  <c r="AC334" i="13"/>
  <c r="AB334" i="13"/>
  <c r="AA334" i="13"/>
  <c r="Z334" i="13"/>
  <c r="Y334" i="13"/>
  <c r="X334" i="13"/>
  <c r="W334" i="13"/>
  <c r="V334" i="13"/>
  <c r="U334" i="13"/>
  <c r="T334" i="13"/>
  <c r="S334" i="13"/>
  <c r="R334" i="13"/>
  <c r="Q334" i="13"/>
  <c r="P334" i="13"/>
  <c r="O334" i="13"/>
  <c r="N334" i="13"/>
  <c r="M334" i="13"/>
  <c r="L334" i="13"/>
  <c r="K334" i="13"/>
  <c r="J334" i="13"/>
  <c r="I334" i="13"/>
  <c r="H334" i="13"/>
  <c r="G334" i="13"/>
  <c r="F334" i="13"/>
  <c r="BX333" i="13"/>
  <c r="BW333" i="13"/>
  <c r="BV333" i="13"/>
  <c r="BU333" i="13"/>
  <c r="BT333" i="13"/>
  <c r="BS333" i="13"/>
  <c r="BR333" i="13"/>
  <c r="BQ333" i="13"/>
  <c r="BP333" i="13"/>
  <c r="BO333" i="13"/>
  <c r="BN333" i="13"/>
  <c r="BM333" i="13"/>
  <c r="BL333" i="13"/>
  <c r="BK333" i="13"/>
  <c r="BJ333" i="13"/>
  <c r="BI333" i="13"/>
  <c r="BH333" i="13"/>
  <c r="BG333" i="13"/>
  <c r="BF333" i="13"/>
  <c r="BE333" i="13"/>
  <c r="BD333" i="13"/>
  <c r="BC333" i="13"/>
  <c r="BB333" i="13"/>
  <c r="BA333" i="13"/>
  <c r="AZ333" i="13"/>
  <c r="AY333" i="13"/>
  <c r="AX333" i="13"/>
  <c r="AW333" i="13"/>
  <c r="AV333" i="13"/>
  <c r="AU333" i="13"/>
  <c r="AT333" i="13"/>
  <c r="AS333" i="13"/>
  <c r="AR333" i="13"/>
  <c r="AQ333" i="13"/>
  <c r="AP333" i="13"/>
  <c r="AO333" i="13"/>
  <c r="AN333" i="13"/>
  <c r="AM333" i="13"/>
  <c r="AL333" i="13"/>
  <c r="AK333" i="13"/>
  <c r="AJ333" i="13"/>
  <c r="AI333" i="13"/>
  <c r="AH333" i="13"/>
  <c r="AG333" i="13"/>
  <c r="AF333" i="13"/>
  <c r="AE333" i="13"/>
  <c r="AD333" i="13"/>
  <c r="AC333" i="13"/>
  <c r="AB333" i="13"/>
  <c r="AA333" i="13"/>
  <c r="Z333" i="13"/>
  <c r="Y333" i="13"/>
  <c r="X333" i="13"/>
  <c r="W333" i="13"/>
  <c r="V333" i="13"/>
  <c r="U333" i="13"/>
  <c r="T333" i="13"/>
  <c r="S333" i="13"/>
  <c r="R333" i="13"/>
  <c r="Q333" i="13"/>
  <c r="P333" i="13"/>
  <c r="O333" i="13"/>
  <c r="N333" i="13"/>
  <c r="M333" i="13"/>
  <c r="L333" i="13"/>
  <c r="K333" i="13"/>
  <c r="J333" i="13"/>
  <c r="I333" i="13"/>
  <c r="H333" i="13"/>
  <c r="G333" i="13"/>
  <c r="F333" i="13"/>
  <c r="BX332" i="13"/>
  <c r="BW332" i="13"/>
  <c r="BV332" i="13"/>
  <c r="BU332" i="13"/>
  <c r="BT332" i="13"/>
  <c r="BS332" i="13"/>
  <c r="BR332" i="13"/>
  <c r="BQ332" i="13"/>
  <c r="BP332" i="13"/>
  <c r="BO332" i="13"/>
  <c r="BN332" i="13"/>
  <c r="BM332" i="13"/>
  <c r="BL332" i="13"/>
  <c r="BK332" i="13"/>
  <c r="BJ332" i="13"/>
  <c r="BI332" i="13"/>
  <c r="BH332" i="13"/>
  <c r="BG332" i="13"/>
  <c r="BF332" i="13"/>
  <c r="BE332" i="13"/>
  <c r="BD332" i="13"/>
  <c r="BC332" i="13"/>
  <c r="BB332" i="13"/>
  <c r="BA332" i="13"/>
  <c r="AZ332" i="13"/>
  <c r="AY332" i="13"/>
  <c r="AX332" i="13"/>
  <c r="AW332" i="13"/>
  <c r="AV332" i="13"/>
  <c r="AU332" i="13"/>
  <c r="AT332" i="13"/>
  <c r="AS332" i="13"/>
  <c r="AR332" i="13"/>
  <c r="AQ332" i="13"/>
  <c r="AP332" i="13"/>
  <c r="AO332" i="13"/>
  <c r="AN332" i="13"/>
  <c r="AM332" i="13"/>
  <c r="AL332" i="13"/>
  <c r="AK332" i="13"/>
  <c r="AJ332" i="13"/>
  <c r="AI332" i="13"/>
  <c r="AH332" i="13"/>
  <c r="AG332" i="13"/>
  <c r="AF332" i="13"/>
  <c r="AE332" i="13"/>
  <c r="AD332" i="13"/>
  <c r="AC332" i="13"/>
  <c r="AB332" i="13"/>
  <c r="AA332" i="13"/>
  <c r="Z332" i="13"/>
  <c r="Y332" i="13"/>
  <c r="X332" i="13"/>
  <c r="W332" i="13"/>
  <c r="V332" i="13"/>
  <c r="U332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BX331" i="13"/>
  <c r="BW331" i="13"/>
  <c r="BV331" i="13"/>
  <c r="BU331" i="13"/>
  <c r="BT331" i="13"/>
  <c r="BS331" i="13"/>
  <c r="BR331" i="13"/>
  <c r="BQ331" i="13"/>
  <c r="BP331" i="13"/>
  <c r="BO331" i="13"/>
  <c r="BN331" i="13"/>
  <c r="BM331" i="13"/>
  <c r="BL331" i="13"/>
  <c r="BK331" i="13"/>
  <c r="BJ331" i="13"/>
  <c r="BI331" i="13"/>
  <c r="BH331" i="13"/>
  <c r="BG331" i="13"/>
  <c r="BF331" i="13"/>
  <c r="BE331" i="13"/>
  <c r="BD331" i="13"/>
  <c r="BC331" i="13"/>
  <c r="BB331" i="13"/>
  <c r="BA331" i="13"/>
  <c r="AZ331" i="13"/>
  <c r="AY331" i="13"/>
  <c r="AX331" i="13"/>
  <c r="AW331" i="13"/>
  <c r="AV331" i="13"/>
  <c r="AU331" i="13"/>
  <c r="AT331" i="13"/>
  <c r="AS331" i="13"/>
  <c r="AR331" i="13"/>
  <c r="AQ331" i="13"/>
  <c r="AP331" i="13"/>
  <c r="AO331" i="13"/>
  <c r="AN331" i="13"/>
  <c r="AM331" i="13"/>
  <c r="AL331" i="13"/>
  <c r="AK331" i="13"/>
  <c r="AJ331" i="13"/>
  <c r="AI331" i="13"/>
  <c r="AH331" i="13"/>
  <c r="AG331" i="13"/>
  <c r="AF331" i="13"/>
  <c r="AE331" i="13"/>
  <c r="AD331" i="13"/>
  <c r="AC331" i="13"/>
  <c r="AB331" i="13"/>
  <c r="AA331" i="13"/>
  <c r="Z331" i="13"/>
  <c r="Y331" i="13"/>
  <c r="X331" i="13"/>
  <c r="W331" i="13"/>
  <c r="V331" i="13"/>
  <c r="U331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BX330" i="13"/>
  <c r="BW330" i="13"/>
  <c r="BV330" i="13"/>
  <c r="BU330" i="13"/>
  <c r="BT330" i="13"/>
  <c r="BS330" i="13"/>
  <c r="BR330" i="13"/>
  <c r="BQ330" i="13"/>
  <c r="BP330" i="13"/>
  <c r="BO330" i="13"/>
  <c r="BN330" i="13"/>
  <c r="BM330" i="13"/>
  <c r="BL330" i="13"/>
  <c r="BK330" i="13"/>
  <c r="BJ330" i="13"/>
  <c r="BI330" i="13"/>
  <c r="BH330" i="13"/>
  <c r="BG330" i="13"/>
  <c r="BF330" i="13"/>
  <c r="BE330" i="13"/>
  <c r="BD330" i="13"/>
  <c r="BC330" i="13"/>
  <c r="BB330" i="13"/>
  <c r="BA330" i="13"/>
  <c r="AZ330" i="13"/>
  <c r="AY330" i="13"/>
  <c r="AX330" i="13"/>
  <c r="AW330" i="13"/>
  <c r="AV330" i="13"/>
  <c r="AU330" i="13"/>
  <c r="AT330" i="13"/>
  <c r="AS330" i="13"/>
  <c r="AR330" i="13"/>
  <c r="AQ330" i="13"/>
  <c r="AP330" i="13"/>
  <c r="AO330" i="13"/>
  <c r="AN330" i="13"/>
  <c r="AM330" i="13"/>
  <c r="AL330" i="13"/>
  <c r="AK330" i="13"/>
  <c r="AJ330" i="13"/>
  <c r="AI330" i="13"/>
  <c r="AH330" i="13"/>
  <c r="AG330" i="13"/>
  <c r="AF330" i="13"/>
  <c r="AE330" i="13"/>
  <c r="AD330" i="13"/>
  <c r="AC330" i="13"/>
  <c r="AB330" i="13"/>
  <c r="AA330" i="13"/>
  <c r="Z330" i="13"/>
  <c r="Y330" i="13"/>
  <c r="X330" i="13"/>
  <c r="W330" i="13"/>
  <c r="V330" i="13"/>
  <c r="U330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BX329" i="13"/>
  <c r="BW329" i="13"/>
  <c r="BV329" i="13"/>
  <c r="BU329" i="13"/>
  <c r="BT329" i="13"/>
  <c r="BS329" i="13"/>
  <c r="BR329" i="13"/>
  <c r="BQ329" i="13"/>
  <c r="BP329" i="13"/>
  <c r="BO329" i="13"/>
  <c r="BN329" i="13"/>
  <c r="BM329" i="13"/>
  <c r="BL329" i="13"/>
  <c r="BK329" i="13"/>
  <c r="BJ329" i="13"/>
  <c r="BI329" i="13"/>
  <c r="BH329" i="13"/>
  <c r="BG329" i="13"/>
  <c r="BF329" i="13"/>
  <c r="BE329" i="13"/>
  <c r="BD329" i="13"/>
  <c r="BC329" i="13"/>
  <c r="BB329" i="13"/>
  <c r="BA329" i="13"/>
  <c r="AZ329" i="13"/>
  <c r="AY329" i="13"/>
  <c r="AX329" i="13"/>
  <c r="AW329" i="13"/>
  <c r="AV329" i="13"/>
  <c r="AU329" i="13"/>
  <c r="AT329" i="13"/>
  <c r="AS329" i="13"/>
  <c r="AR329" i="13"/>
  <c r="AQ329" i="13"/>
  <c r="AP329" i="13"/>
  <c r="AO329" i="13"/>
  <c r="AN329" i="13"/>
  <c r="AM329" i="13"/>
  <c r="AL329" i="13"/>
  <c r="AK329" i="13"/>
  <c r="AJ329" i="13"/>
  <c r="AI329" i="13"/>
  <c r="AH329" i="13"/>
  <c r="AG329" i="13"/>
  <c r="AF329" i="13"/>
  <c r="AE329" i="13"/>
  <c r="AD329" i="13"/>
  <c r="AC329" i="13"/>
  <c r="AB329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BX328" i="13"/>
  <c r="BW328" i="13"/>
  <c r="BV328" i="13"/>
  <c r="BU328" i="13"/>
  <c r="BT328" i="13"/>
  <c r="BS328" i="13"/>
  <c r="BR328" i="13"/>
  <c r="BQ328" i="13"/>
  <c r="BP328" i="13"/>
  <c r="BO328" i="13"/>
  <c r="BN328" i="13"/>
  <c r="BM328" i="13"/>
  <c r="BL328" i="13"/>
  <c r="BK328" i="13"/>
  <c r="BJ328" i="13"/>
  <c r="BI328" i="13"/>
  <c r="BH328" i="13"/>
  <c r="BG328" i="13"/>
  <c r="BF328" i="13"/>
  <c r="BE328" i="13"/>
  <c r="BD328" i="13"/>
  <c r="BC328" i="13"/>
  <c r="BB328" i="13"/>
  <c r="BA328" i="13"/>
  <c r="AZ328" i="13"/>
  <c r="AY328" i="13"/>
  <c r="AX328" i="13"/>
  <c r="AW328" i="13"/>
  <c r="AV328" i="13"/>
  <c r="AU328" i="13"/>
  <c r="AT328" i="13"/>
  <c r="AS328" i="13"/>
  <c r="AR328" i="13"/>
  <c r="AQ328" i="13"/>
  <c r="AP328" i="13"/>
  <c r="AO328" i="13"/>
  <c r="AN328" i="13"/>
  <c r="AM328" i="13"/>
  <c r="AL328" i="13"/>
  <c r="AK328" i="13"/>
  <c r="AJ328" i="13"/>
  <c r="AI328" i="13"/>
  <c r="AH328" i="13"/>
  <c r="AG328" i="13"/>
  <c r="AF328" i="13"/>
  <c r="AE328" i="13"/>
  <c r="AD328" i="13"/>
  <c r="AC328" i="13"/>
  <c r="AB328" i="13"/>
  <c r="AA328" i="13"/>
  <c r="Z328" i="13"/>
  <c r="Y328" i="13"/>
  <c r="X328" i="13"/>
  <c r="W328" i="13"/>
  <c r="V328" i="13"/>
  <c r="U328" i="13"/>
  <c r="T328" i="13"/>
  <c r="S328" i="13"/>
  <c r="R328" i="13"/>
  <c r="Q328" i="13"/>
  <c r="P328" i="13"/>
  <c r="O328" i="13"/>
  <c r="N328" i="13"/>
  <c r="M328" i="13"/>
  <c r="L328" i="13"/>
  <c r="K328" i="13"/>
  <c r="J328" i="13"/>
  <c r="I328" i="13"/>
  <c r="H328" i="13"/>
  <c r="G328" i="13"/>
  <c r="F328" i="13"/>
  <c r="BX327" i="13"/>
  <c r="BW327" i="13"/>
  <c r="BV327" i="13"/>
  <c r="BU327" i="13"/>
  <c r="BT327" i="13"/>
  <c r="BS327" i="13"/>
  <c r="BR327" i="13"/>
  <c r="BQ327" i="13"/>
  <c r="BP327" i="13"/>
  <c r="BO327" i="13"/>
  <c r="BN327" i="13"/>
  <c r="BM327" i="13"/>
  <c r="BL327" i="13"/>
  <c r="BK327" i="13"/>
  <c r="BJ327" i="13"/>
  <c r="BI327" i="13"/>
  <c r="BH327" i="13"/>
  <c r="BG327" i="13"/>
  <c r="BF327" i="13"/>
  <c r="BE327" i="13"/>
  <c r="BD327" i="13"/>
  <c r="BC327" i="13"/>
  <c r="BB327" i="13"/>
  <c r="BA327" i="13"/>
  <c r="AZ327" i="13"/>
  <c r="AY327" i="13"/>
  <c r="AX327" i="13"/>
  <c r="AW327" i="13"/>
  <c r="AV327" i="13"/>
  <c r="AU327" i="13"/>
  <c r="AT327" i="13"/>
  <c r="AS327" i="13"/>
  <c r="AR327" i="13"/>
  <c r="AQ327" i="13"/>
  <c r="AP327" i="13"/>
  <c r="AO327" i="13"/>
  <c r="AN327" i="13"/>
  <c r="AM327" i="13"/>
  <c r="AL327" i="13"/>
  <c r="AK327" i="13"/>
  <c r="AJ327" i="13"/>
  <c r="AI327" i="13"/>
  <c r="AH327" i="13"/>
  <c r="AG327" i="13"/>
  <c r="AF327" i="13"/>
  <c r="AE327" i="13"/>
  <c r="AD327" i="13"/>
  <c r="AC327" i="13"/>
  <c r="AB327" i="13"/>
  <c r="AA327" i="13"/>
  <c r="Z327" i="13"/>
  <c r="Y327" i="13"/>
  <c r="X327" i="13"/>
  <c r="W327" i="13"/>
  <c r="V327" i="13"/>
  <c r="U327" i="13"/>
  <c r="T327" i="13"/>
  <c r="S327" i="13"/>
  <c r="R327" i="13"/>
  <c r="Q327" i="13"/>
  <c r="P327" i="13"/>
  <c r="O327" i="13"/>
  <c r="N327" i="13"/>
  <c r="M327" i="13"/>
  <c r="L327" i="13"/>
  <c r="K327" i="13"/>
  <c r="J327" i="13"/>
  <c r="I327" i="13"/>
  <c r="H327" i="13"/>
  <c r="G327" i="13"/>
  <c r="F327" i="13"/>
  <c r="BX326" i="13"/>
  <c r="BW326" i="13"/>
  <c r="BV326" i="13"/>
  <c r="BU326" i="13"/>
  <c r="BT326" i="13"/>
  <c r="BS326" i="13"/>
  <c r="BR326" i="13"/>
  <c r="BQ326" i="13"/>
  <c r="BP326" i="13"/>
  <c r="BO326" i="13"/>
  <c r="BN326" i="13"/>
  <c r="BM326" i="13"/>
  <c r="BL326" i="13"/>
  <c r="BK326" i="13"/>
  <c r="BJ326" i="13"/>
  <c r="BI326" i="13"/>
  <c r="BH326" i="13"/>
  <c r="BG326" i="13"/>
  <c r="BF326" i="13"/>
  <c r="BE326" i="13"/>
  <c r="BD326" i="13"/>
  <c r="BC326" i="13"/>
  <c r="BB326" i="13"/>
  <c r="BA326" i="13"/>
  <c r="AZ326" i="13"/>
  <c r="AY326" i="13"/>
  <c r="AX326" i="13"/>
  <c r="AW326" i="13"/>
  <c r="AV326" i="13"/>
  <c r="AU326" i="13"/>
  <c r="AT326" i="13"/>
  <c r="AS326" i="13"/>
  <c r="AR326" i="13"/>
  <c r="AQ326" i="13"/>
  <c r="AP326" i="13"/>
  <c r="AO326" i="13"/>
  <c r="AN326" i="13"/>
  <c r="AM326" i="13"/>
  <c r="AL326" i="13"/>
  <c r="AK326" i="13"/>
  <c r="AJ326" i="13"/>
  <c r="AI326" i="13"/>
  <c r="AH326" i="13"/>
  <c r="AG326" i="13"/>
  <c r="AF326" i="13"/>
  <c r="AE326" i="13"/>
  <c r="AD326" i="13"/>
  <c r="AC326" i="13"/>
  <c r="AB326" i="13"/>
  <c r="AA326" i="13"/>
  <c r="Z326" i="13"/>
  <c r="Y326" i="13"/>
  <c r="X326" i="13"/>
  <c r="W326" i="13"/>
  <c r="V326" i="13"/>
  <c r="U326" i="13"/>
  <c r="T326" i="13"/>
  <c r="S326" i="13"/>
  <c r="R326" i="13"/>
  <c r="Q326" i="13"/>
  <c r="P326" i="13"/>
  <c r="O326" i="13"/>
  <c r="N326" i="13"/>
  <c r="M326" i="13"/>
  <c r="L326" i="13"/>
  <c r="K326" i="13"/>
  <c r="J326" i="13"/>
  <c r="I326" i="13"/>
  <c r="H326" i="13"/>
  <c r="G326" i="13"/>
  <c r="F326" i="13"/>
  <c r="BX323" i="13"/>
  <c r="BW323" i="13"/>
  <c r="BV323" i="13"/>
  <c r="BU323" i="13"/>
  <c r="BT323" i="13"/>
  <c r="BS323" i="13"/>
  <c r="BR323" i="13"/>
  <c r="BQ323" i="13"/>
  <c r="BP323" i="13"/>
  <c r="BO323" i="13"/>
  <c r="BN323" i="13"/>
  <c r="BM323" i="13"/>
  <c r="BL323" i="13"/>
  <c r="BK323" i="13"/>
  <c r="BJ323" i="13"/>
  <c r="BI323" i="13"/>
  <c r="BH323" i="13"/>
  <c r="BG323" i="13"/>
  <c r="BF323" i="13"/>
  <c r="BE323" i="13"/>
  <c r="BD323" i="13"/>
  <c r="BC323" i="13"/>
  <c r="BB323" i="13"/>
  <c r="BA323" i="13"/>
  <c r="AZ323" i="13"/>
  <c r="AY323" i="13"/>
  <c r="AX323" i="13"/>
  <c r="AW323" i="13"/>
  <c r="AV323" i="13"/>
  <c r="AU323" i="13"/>
  <c r="AT323" i="13"/>
  <c r="AS323" i="13"/>
  <c r="AR323" i="13"/>
  <c r="AQ323" i="13"/>
  <c r="AP323" i="13"/>
  <c r="AO323" i="13"/>
  <c r="AN323" i="13"/>
  <c r="AM323" i="13"/>
  <c r="AL323" i="13"/>
  <c r="AK323" i="13"/>
  <c r="AJ323" i="13"/>
  <c r="AI323" i="13"/>
  <c r="AH323" i="13"/>
  <c r="AG323" i="13"/>
  <c r="AF323" i="13"/>
  <c r="AE323" i="13"/>
  <c r="AD323" i="13"/>
  <c r="AC323" i="13"/>
  <c r="AB323" i="13"/>
  <c r="AA323" i="13"/>
  <c r="Z323" i="13"/>
  <c r="Y323" i="13"/>
  <c r="X323" i="13"/>
  <c r="W323" i="13"/>
  <c r="V323" i="13"/>
  <c r="U323" i="13"/>
  <c r="T323" i="13"/>
  <c r="S323" i="13"/>
  <c r="R323" i="13"/>
  <c r="Q323" i="13"/>
  <c r="P323" i="13"/>
  <c r="O323" i="13"/>
  <c r="N323" i="13"/>
  <c r="M323" i="13"/>
  <c r="L323" i="13"/>
  <c r="K323" i="13"/>
  <c r="J323" i="13"/>
  <c r="I323" i="13"/>
  <c r="H323" i="13"/>
  <c r="G323" i="13"/>
  <c r="F323" i="13"/>
  <c r="BX322" i="13"/>
  <c r="BW322" i="13"/>
  <c r="BV322" i="13"/>
  <c r="BU322" i="13"/>
  <c r="BT322" i="13"/>
  <c r="BS322" i="13"/>
  <c r="BR322" i="13"/>
  <c r="BQ322" i="13"/>
  <c r="BP322" i="13"/>
  <c r="BO322" i="13"/>
  <c r="BN322" i="13"/>
  <c r="BM322" i="13"/>
  <c r="BL322" i="13"/>
  <c r="BK322" i="13"/>
  <c r="BJ322" i="13"/>
  <c r="BI322" i="13"/>
  <c r="BH322" i="13"/>
  <c r="BG322" i="13"/>
  <c r="BF322" i="13"/>
  <c r="BE322" i="13"/>
  <c r="BD322" i="13"/>
  <c r="BC322" i="13"/>
  <c r="BB322" i="13"/>
  <c r="BA322" i="13"/>
  <c r="AZ322" i="13"/>
  <c r="AY322" i="13"/>
  <c r="AX322" i="13"/>
  <c r="AW322" i="13"/>
  <c r="AV322" i="13"/>
  <c r="AU322" i="13"/>
  <c r="AT322" i="13"/>
  <c r="AS322" i="13"/>
  <c r="AR322" i="13"/>
  <c r="AQ322" i="13"/>
  <c r="AP322" i="13"/>
  <c r="AO322" i="13"/>
  <c r="AN322" i="13"/>
  <c r="AM322" i="13"/>
  <c r="AL322" i="13"/>
  <c r="AK322" i="13"/>
  <c r="AJ322" i="13"/>
  <c r="AI322" i="13"/>
  <c r="AH322" i="13"/>
  <c r="AG322" i="13"/>
  <c r="AF322" i="13"/>
  <c r="AE322" i="13"/>
  <c r="AD322" i="13"/>
  <c r="AC322" i="13"/>
  <c r="AB322" i="13"/>
  <c r="AA322" i="13"/>
  <c r="Z322" i="13"/>
  <c r="Y322" i="13"/>
  <c r="X322" i="13"/>
  <c r="W322" i="13"/>
  <c r="V322" i="13"/>
  <c r="U322" i="13"/>
  <c r="T322" i="13"/>
  <c r="S322" i="13"/>
  <c r="R322" i="13"/>
  <c r="Q322" i="13"/>
  <c r="P322" i="13"/>
  <c r="O322" i="13"/>
  <c r="N322" i="13"/>
  <c r="M322" i="13"/>
  <c r="L322" i="13"/>
  <c r="K322" i="13"/>
  <c r="J322" i="13"/>
  <c r="I322" i="13"/>
  <c r="H322" i="13"/>
  <c r="G322" i="13"/>
  <c r="F322" i="13"/>
  <c r="BX321" i="13"/>
  <c r="BW321" i="13"/>
  <c r="BV321" i="13"/>
  <c r="BU321" i="13"/>
  <c r="BT321" i="13"/>
  <c r="BS321" i="13"/>
  <c r="BR321" i="13"/>
  <c r="BQ321" i="13"/>
  <c r="BP321" i="13"/>
  <c r="BO321" i="13"/>
  <c r="BN321" i="13"/>
  <c r="BM321" i="13"/>
  <c r="BL321" i="13"/>
  <c r="BK321" i="13"/>
  <c r="BJ321" i="13"/>
  <c r="BI321" i="13"/>
  <c r="BH321" i="13"/>
  <c r="BG321" i="13"/>
  <c r="BF321" i="13"/>
  <c r="BE321" i="13"/>
  <c r="BD321" i="13"/>
  <c r="BC321" i="13"/>
  <c r="BB321" i="13"/>
  <c r="BA321" i="13"/>
  <c r="AZ321" i="13"/>
  <c r="AY321" i="13"/>
  <c r="AX321" i="13"/>
  <c r="AW321" i="13"/>
  <c r="AV321" i="13"/>
  <c r="AU321" i="13"/>
  <c r="AT321" i="13"/>
  <c r="AS321" i="13"/>
  <c r="AR321" i="13"/>
  <c r="AQ321" i="13"/>
  <c r="AP321" i="13"/>
  <c r="AO321" i="13"/>
  <c r="AN321" i="13"/>
  <c r="AM321" i="13"/>
  <c r="AL321" i="13"/>
  <c r="AK321" i="13"/>
  <c r="AJ321" i="13"/>
  <c r="AI321" i="13"/>
  <c r="AH321" i="13"/>
  <c r="AG321" i="13"/>
  <c r="AF321" i="13"/>
  <c r="AE321" i="13"/>
  <c r="AD321" i="13"/>
  <c r="AC321" i="13"/>
  <c r="AB321" i="13"/>
  <c r="AA321" i="13"/>
  <c r="Z321" i="13"/>
  <c r="Y321" i="13"/>
  <c r="X321" i="13"/>
  <c r="W321" i="13"/>
  <c r="V321" i="13"/>
  <c r="U321" i="13"/>
  <c r="T321" i="13"/>
  <c r="S321" i="13"/>
  <c r="R321" i="13"/>
  <c r="Q321" i="13"/>
  <c r="P321" i="13"/>
  <c r="O321" i="13"/>
  <c r="N321" i="13"/>
  <c r="M321" i="13"/>
  <c r="L321" i="13"/>
  <c r="K321" i="13"/>
  <c r="J321" i="13"/>
  <c r="I321" i="13"/>
  <c r="H321" i="13"/>
  <c r="G321" i="13"/>
  <c r="F321" i="13"/>
  <c r="BX320" i="13"/>
  <c r="BW320" i="13"/>
  <c r="BV320" i="13"/>
  <c r="BU320" i="13"/>
  <c r="BT320" i="13"/>
  <c r="BS320" i="13"/>
  <c r="BR320" i="13"/>
  <c r="BQ320" i="13"/>
  <c r="BP320" i="13"/>
  <c r="BO320" i="13"/>
  <c r="BN320" i="13"/>
  <c r="BM320" i="13"/>
  <c r="BL320" i="13"/>
  <c r="BK320" i="13"/>
  <c r="BJ320" i="13"/>
  <c r="BI320" i="13"/>
  <c r="BH320" i="13"/>
  <c r="BG320" i="13"/>
  <c r="BF320" i="13"/>
  <c r="BE320" i="13"/>
  <c r="BD320" i="13"/>
  <c r="BC320" i="13"/>
  <c r="BB320" i="13"/>
  <c r="BA320" i="13"/>
  <c r="AZ320" i="13"/>
  <c r="AY320" i="13"/>
  <c r="AX320" i="13"/>
  <c r="AW320" i="13"/>
  <c r="AV320" i="13"/>
  <c r="AU320" i="13"/>
  <c r="AT320" i="13"/>
  <c r="AS320" i="13"/>
  <c r="AR320" i="13"/>
  <c r="AQ320" i="13"/>
  <c r="AP320" i="13"/>
  <c r="AO320" i="13"/>
  <c r="AN320" i="13"/>
  <c r="AM320" i="13"/>
  <c r="AL320" i="13"/>
  <c r="AK320" i="13"/>
  <c r="AJ320" i="13"/>
  <c r="AI320" i="13"/>
  <c r="AH320" i="13"/>
  <c r="AG320" i="13"/>
  <c r="AF320" i="13"/>
  <c r="AE320" i="13"/>
  <c r="AD320" i="13"/>
  <c r="AC320" i="13"/>
  <c r="AB320" i="13"/>
  <c r="AA320" i="13"/>
  <c r="Z320" i="13"/>
  <c r="Y320" i="13"/>
  <c r="X320" i="13"/>
  <c r="W320" i="13"/>
  <c r="V320" i="13"/>
  <c r="U320" i="13"/>
  <c r="T320" i="13"/>
  <c r="S320" i="13"/>
  <c r="R320" i="13"/>
  <c r="Q320" i="13"/>
  <c r="P320" i="13"/>
  <c r="O320" i="13"/>
  <c r="N320" i="13"/>
  <c r="M320" i="13"/>
  <c r="L320" i="13"/>
  <c r="K320" i="13"/>
  <c r="J320" i="13"/>
  <c r="I320" i="13"/>
  <c r="H320" i="13"/>
  <c r="G320" i="13"/>
  <c r="F320" i="13"/>
  <c r="BX319" i="13"/>
  <c r="BW319" i="13"/>
  <c r="BV319" i="13"/>
  <c r="BU319" i="13"/>
  <c r="BT319" i="13"/>
  <c r="BS319" i="13"/>
  <c r="BR319" i="13"/>
  <c r="BQ319" i="13"/>
  <c r="BP319" i="13"/>
  <c r="BO319" i="13"/>
  <c r="BN319" i="13"/>
  <c r="BM319" i="13"/>
  <c r="BL319" i="13"/>
  <c r="BK319" i="13"/>
  <c r="BJ319" i="13"/>
  <c r="BI319" i="13"/>
  <c r="BH319" i="13"/>
  <c r="BG319" i="13"/>
  <c r="BF319" i="13"/>
  <c r="BE319" i="13"/>
  <c r="BD319" i="13"/>
  <c r="BC319" i="13"/>
  <c r="BB319" i="13"/>
  <c r="BA319" i="13"/>
  <c r="AZ319" i="13"/>
  <c r="AY319" i="13"/>
  <c r="AX319" i="13"/>
  <c r="AW319" i="13"/>
  <c r="AV319" i="13"/>
  <c r="AU319" i="13"/>
  <c r="AT319" i="13"/>
  <c r="AS319" i="13"/>
  <c r="AR319" i="13"/>
  <c r="AQ319" i="13"/>
  <c r="AP319" i="13"/>
  <c r="AO319" i="13"/>
  <c r="AN319" i="13"/>
  <c r="AM319" i="13"/>
  <c r="AL319" i="13"/>
  <c r="AK319" i="13"/>
  <c r="AJ319" i="13"/>
  <c r="AI319" i="13"/>
  <c r="AH319" i="13"/>
  <c r="AG319" i="13"/>
  <c r="AF319" i="13"/>
  <c r="AE319" i="13"/>
  <c r="AD319" i="13"/>
  <c r="AC319" i="13"/>
  <c r="AB319" i="13"/>
  <c r="AA319" i="13"/>
  <c r="Z319" i="13"/>
  <c r="Y319" i="13"/>
  <c r="X319" i="13"/>
  <c r="W319" i="13"/>
  <c r="V319" i="13"/>
  <c r="U319" i="13"/>
  <c r="T319" i="13"/>
  <c r="S319" i="13"/>
  <c r="R319" i="13"/>
  <c r="Q319" i="13"/>
  <c r="P319" i="13"/>
  <c r="O319" i="13"/>
  <c r="N319" i="13"/>
  <c r="M319" i="13"/>
  <c r="L319" i="13"/>
  <c r="K319" i="13"/>
  <c r="J319" i="13"/>
  <c r="I319" i="13"/>
  <c r="H319" i="13"/>
  <c r="G319" i="13"/>
  <c r="F319" i="13"/>
  <c r="BX270" i="13"/>
  <c r="BW270" i="13"/>
  <c r="BV270" i="13"/>
  <c r="BU270" i="13"/>
  <c r="BT270" i="13"/>
  <c r="BS270" i="13"/>
  <c r="BR270" i="13"/>
  <c r="BQ270" i="13"/>
  <c r="BP270" i="13"/>
  <c r="BO270" i="13"/>
  <c r="BN270" i="13"/>
  <c r="BM270" i="13"/>
  <c r="BL270" i="13"/>
  <c r="BK270" i="13"/>
  <c r="BJ270" i="13"/>
  <c r="BI270" i="13"/>
  <c r="BH270" i="13"/>
  <c r="BG270" i="13"/>
  <c r="BF270" i="13"/>
  <c r="BE270" i="13"/>
  <c r="BD270" i="13"/>
  <c r="BC270" i="13"/>
  <c r="BB270" i="13"/>
  <c r="BA270" i="13"/>
  <c r="AZ270" i="13"/>
  <c r="AY270" i="13"/>
  <c r="AX270" i="13"/>
  <c r="AW270" i="13"/>
  <c r="AV270" i="13"/>
  <c r="AU270" i="13"/>
  <c r="AT270" i="13"/>
  <c r="AS270" i="13"/>
  <c r="AR270" i="13"/>
  <c r="AQ270" i="13"/>
  <c r="AP270" i="13"/>
  <c r="AO270" i="13"/>
  <c r="AN270" i="13"/>
  <c r="AM270" i="13"/>
  <c r="AL270" i="13"/>
  <c r="AK270" i="13"/>
  <c r="AJ270" i="13"/>
  <c r="AI270" i="13"/>
  <c r="AH270" i="13"/>
  <c r="AG270" i="13"/>
  <c r="AF270" i="13"/>
  <c r="AE270" i="13"/>
  <c r="AD270" i="13"/>
  <c r="AC270" i="13"/>
  <c r="AB270" i="13"/>
  <c r="AA270" i="13"/>
  <c r="Z270" i="13"/>
  <c r="Y270" i="13"/>
  <c r="X270" i="13"/>
  <c r="W270" i="13"/>
  <c r="V270" i="13"/>
  <c r="U270" i="13"/>
  <c r="T270" i="13"/>
  <c r="S270" i="13"/>
  <c r="R270" i="13"/>
  <c r="Q270" i="13"/>
  <c r="P270" i="13"/>
  <c r="O270" i="13"/>
  <c r="N270" i="13"/>
  <c r="M270" i="13"/>
  <c r="L270" i="13"/>
  <c r="K270" i="13"/>
  <c r="J270" i="13"/>
  <c r="I270" i="13"/>
  <c r="H270" i="13"/>
  <c r="BX269" i="13"/>
  <c r="BW269" i="13"/>
  <c r="BV269" i="13"/>
  <c r="BU269" i="13"/>
  <c r="BT269" i="13"/>
  <c r="BS269" i="13"/>
  <c r="BR269" i="13"/>
  <c r="BQ269" i="13"/>
  <c r="BP269" i="13"/>
  <c r="BO269" i="13"/>
  <c r="BN269" i="13"/>
  <c r="BM269" i="13"/>
  <c r="BL269" i="13"/>
  <c r="BK269" i="13"/>
  <c r="BJ269" i="13"/>
  <c r="BI269" i="13"/>
  <c r="BH269" i="13"/>
  <c r="BG269" i="13"/>
  <c r="BF269" i="13"/>
  <c r="BE269" i="13"/>
  <c r="BD269" i="13"/>
  <c r="BC269" i="13"/>
  <c r="BB269" i="13"/>
  <c r="BA269" i="13"/>
  <c r="AZ269" i="13"/>
  <c r="AY269" i="13"/>
  <c r="AX269" i="13"/>
  <c r="AW269" i="13"/>
  <c r="AV269" i="13"/>
  <c r="AU269" i="13"/>
  <c r="AT269" i="13"/>
  <c r="AS269" i="13"/>
  <c r="AR269" i="13"/>
  <c r="AQ269" i="13"/>
  <c r="AP269" i="13"/>
  <c r="AO269" i="13"/>
  <c r="AN269" i="13"/>
  <c r="AM269" i="13"/>
  <c r="AL269" i="13"/>
  <c r="AK269" i="13"/>
  <c r="AJ269" i="13"/>
  <c r="AI269" i="13"/>
  <c r="AH269" i="13"/>
  <c r="AG269" i="13"/>
  <c r="AF269" i="13"/>
  <c r="AE269" i="13"/>
  <c r="AD269" i="13"/>
  <c r="AC269" i="13"/>
  <c r="AB269" i="13"/>
  <c r="AA269" i="13"/>
  <c r="Z269" i="13"/>
  <c r="Y269" i="13"/>
  <c r="X269" i="13"/>
  <c r="W269" i="13"/>
  <c r="V269" i="13"/>
  <c r="U269" i="13"/>
  <c r="T269" i="13"/>
  <c r="S269" i="13"/>
  <c r="R269" i="13"/>
  <c r="Q269" i="13"/>
  <c r="P269" i="13"/>
  <c r="O269" i="13"/>
  <c r="N269" i="13"/>
  <c r="M269" i="13"/>
  <c r="L269" i="13"/>
  <c r="K269" i="13"/>
  <c r="J269" i="13"/>
  <c r="I269" i="13"/>
  <c r="H269" i="13"/>
  <c r="BX268" i="13"/>
  <c r="BW268" i="13"/>
  <c r="BV268" i="13"/>
  <c r="BU268" i="13"/>
  <c r="BT268" i="13"/>
  <c r="BS268" i="13"/>
  <c r="BR268" i="13"/>
  <c r="BQ268" i="13"/>
  <c r="BP268" i="13"/>
  <c r="BO268" i="13"/>
  <c r="BN268" i="13"/>
  <c r="BM268" i="13"/>
  <c r="BL268" i="13"/>
  <c r="BK268" i="13"/>
  <c r="BJ268" i="13"/>
  <c r="BI268" i="13"/>
  <c r="BH268" i="13"/>
  <c r="BG268" i="13"/>
  <c r="BF268" i="13"/>
  <c r="BE268" i="13"/>
  <c r="BD268" i="13"/>
  <c r="BC268" i="13"/>
  <c r="BB268" i="13"/>
  <c r="BA268" i="13"/>
  <c r="AZ268" i="13"/>
  <c r="AY268" i="13"/>
  <c r="AX268" i="13"/>
  <c r="AW268" i="13"/>
  <c r="AV268" i="13"/>
  <c r="AU268" i="13"/>
  <c r="AT268" i="13"/>
  <c r="AS268" i="13"/>
  <c r="AR268" i="13"/>
  <c r="AQ268" i="13"/>
  <c r="AP268" i="13"/>
  <c r="AO268" i="13"/>
  <c r="AN268" i="13"/>
  <c r="AM268" i="13"/>
  <c r="AL268" i="13"/>
  <c r="AK268" i="13"/>
  <c r="AJ268" i="13"/>
  <c r="AI268" i="13"/>
  <c r="AH268" i="13"/>
  <c r="AG268" i="13"/>
  <c r="AF268" i="13"/>
  <c r="AE268" i="13"/>
  <c r="AD268" i="13"/>
  <c r="AC268" i="13"/>
  <c r="AB268" i="13"/>
  <c r="AA268" i="13"/>
  <c r="Z268" i="13"/>
  <c r="Y268" i="13"/>
  <c r="X268" i="13"/>
  <c r="W268" i="13"/>
  <c r="V268" i="13"/>
  <c r="U268" i="13"/>
  <c r="T268" i="13"/>
  <c r="S268" i="13"/>
  <c r="R268" i="13"/>
  <c r="Q268" i="13"/>
  <c r="P268" i="13"/>
  <c r="O268" i="13"/>
  <c r="N268" i="13"/>
  <c r="M268" i="13"/>
  <c r="L268" i="13"/>
  <c r="K268" i="13"/>
  <c r="J268" i="13"/>
  <c r="I268" i="13"/>
  <c r="H268" i="13"/>
  <c r="BX267" i="13"/>
  <c r="BW267" i="13"/>
  <c r="BV267" i="13"/>
  <c r="BU267" i="13"/>
  <c r="BT267" i="13"/>
  <c r="BS267" i="13"/>
  <c r="BR267" i="13"/>
  <c r="BQ267" i="13"/>
  <c r="BP267" i="13"/>
  <c r="BO267" i="13"/>
  <c r="BN267" i="13"/>
  <c r="BM267" i="13"/>
  <c r="BL267" i="13"/>
  <c r="BK267" i="13"/>
  <c r="BJ267" i="13"/>
  <c r="BI267" i="13"/>
  <c r="BH267" i="13"/>
  <c r="BG267" i="13"/>
  <c r="BF267" i="13"/>
  <c r="BE267" i="13"/>
  <c r="BD267" i="13"/>
  <c r="BC267" i="13"/>
  <c r="BB267" i="13"/>
  <c r="BA267" i="13"/>
  <c r="AZ267" i="13"/>
  <c r="AY267" i="13"/>
  <c r="AX267" i="13"/>
  <c r="AW267" i="13"/>
  <c r="AV267" i="13"/>
  <c r="AU267" i="13"/>
  <c r="AT267" i="13"/>
  <c r="AS267" i="13"/>
  <c r="AR267" i="13"/>
  <c r="AQ267" i="13"/>
  <c r="AP267" i="13"/>
  <c r="AO267" i="13"/>
  <c r="AN267" i="13"/>
  <c r="AM267" i="13"/>
  <c r="AL267" i="13"/>
  <c r="AK267" i="13"/>
  <c r="AJ267" i="13"/>
  <c r="AI267" i="13"/>
  <c r="AH267" i="13"/>
  <c r="AG267" i="13"/>
  <c r="AF267" i="13"/>
  <c r="AE267" i="13"/>
  <c r="AD267" i="13"/>
  <c r="AC267" i="13"/>
  <c r="AB267" i="13"/>
  <c r="AA267" i="13"/>
  <c r="Z267" i="13"/>
  <c r="Y267" i="13"/>
  <c r="X267" i="13"/>
  <c r="W267" i="13"/>
  <c r="V267" i="13"/>
  <c r="U267" i="13"/>
  <c r="T267" i="13"/>
  <c r="S267" i="13"/>
  <c r="R267" i="13"/>
  <c r="Q267" i="13"/>
  <c r="P267" i="13"/>
  <c r="O267" i="13"/>
  <c r="N267" i="13"/>
  <c r="M267" i="13"/>
  <c r="L267" i="13"/>
  <c r="K267" i="13"/>
  <c r="J267" i="13"/>
  <c r="I267" i="13"/>
  <c r="H267" i="13"/>
  <c r="BX266" i="13"/>
  <c r="BW266" i="13"/>
  <c r="BV266" i="13"/>
  <c r="BU266" i="13"/>
  <c r="BT266" i="13"/>
  <c r="BS266" i="13"/>
  <c r="BR266" i="13"/>
  <c r="BQ266" i="13"/>
  <c r="BP266" i="13"/>
  <c r="BO266" i="13"/>
  <c r="BN266" i="13"/>
  <c r="BM266" i="13"/>
  <c r="BL266" i="13"/>
  <c r="BK266" i="13"/>
  <c r="BJ266" i="13"/>
  <c r="BI266" i="13"/>
  <c r="BH266" i="13"/>
  <c r="BG266" i="13"/>
  <c r="BF266" i="13"/>
  <c r="BE266" i="13"/>
  <c r="BD266" i="13"/>
  <c r="BC266" i="13"/>
  <c r="BB266" i="13"/>
  <c r="BA266" i="13"/>
  <c r="AZ266" i="13"/>
  <c r="AY266" i="13"/>
  <c r="AX266" i="13"/>
  <c r="AW266" i="13"/>
  <c r="AV266" i="13"/>
  <c r="AU266" i="13"/>
  <c r="AT266" i="13"/>
  <c r="AS266" i="13"/>
  <c r="AR266" i="13"/>
  <c r="AQ266" i="13"/>
  <c r="AP266" i="13"/>
  <c r="AO266" i="13"/>
  <c r="AN266" i="13"/>
  <c r="AM266" i="13"/>
  <c r="AL266" i="13"/>
  <c r="AK266" i="13"/>
  <c r="AJ266" i="13"/>
  <c r="AI266" i="13"/>
  <c r="AH266" i="13"/>
  <c r="AG266" i="13"/>
  <c r="AF266" i="13"/>
  <c r="AE266" i="13"/>
  <c r="AD266" i="13"/>
  <c r="AC266" i="13"/>
  <c r="AB266" i="13"/>
  <c r="AA266" i="13"/>
  <c r="Z266" i="13"/>
  <c r="Y266" i="13"/>
  <c r="X266" i="13"/>
  <c r="W266" i="13"/>
  <c r="V266" i="13"/>
  <c r="U266" i="13"/>
  <c r="T266" i="13"/>
  <c r="S266" i="13"/>
  <c r="R266" i="13"/>
  <c r="Q266" i="13"/>
  <c r="P266" i="13"/>
  <c r="O266" i="13"/>
  <c r="N266" i="13"/>
  <c r="M266" i="13"/>
  <c r="L266" i="13"/>
  <c r="K266" i="13"/>
  <c r="J266" i="13"/>
  <c r="I266" i="13"/>
  <c r="H266" i="13"/>
  <c r="BX265" i="13"/>
  <c r="BW265" i="13"/>
  <c r="BV265" i="13"/>
  <c r="BU265" i="13"/>
  <c r="BT265" i="13"/>
  <c r="BS265" i="13"/>
  <c r="BR265" i="13"/>
  <c r="BQ265" i="13"/>
  <c r="BP265" i="13"/>
  <c r="BO265" i="13"/>
  <c r="BN265" i="13"/>
  <c r="BM265" i="13"/>
  <c r="BL265" i="13"/>
  <c r="BK265" i="13"/>
  <c r="BJ265" i="13"/>
  <c r="BI265" i="13"/>
  <c r="BH265" i="13"/>
  <c r="BG265" i="13"/>
  <c r="BF265" i="13"/>
  <c r="BE265" i="13"/>
  <c r="BD265" i="13"/>
  <c r="BC265" i="13"/>
  <c r="BB265" i="13"/>
  <c r="BA265" i="13"/>
  <c r="AZ265" i="13"/>
  <c r="AY265" i="13"/>
  <c r="AX265" i="13"/>
  <c r="AW265" i="13"/>
  <c r="AV265" i="13"/>
  <c r="AU265" i="13"/>
  <c r="AT265" i="13"/>
  <c r="AS265" i="13"/>
  <c r="AR265" i="13"/>
  <c r="AQ265" i="13"/>
  <c r="AP265" i="13"/>
  <c r="AO265" i="13"/>
  <c r="AN265" i="13"/>
  <c r="AM265" i="13"/>
  <c r="AL265" i="13"/>
  <c r="AK265" i="13"/>
  <c r="AJ265" i="13"/>
  <c r="AI265" i="13"/>
  <c r="AH265" i="13"/>
  <c r="AG265" i="13"/>
  <c r="AF265" i="13"/>
  <c r="AE265" i="13"/>
  <c r="AD265" i="13"/>
  <c r="AC265" i="13"/>
  <c r="AB265" i="13"/>
  <c r="AA265" i="13"/>
  <c r="Z265" i="13"/>
  <c r="Y265" i="13"/>
  <c r="X265" i="13"/>
  <c r="W265" i="13"/>
  <c r="V265" i="13"/>
  <c r="U265" i="13"/>
  <c r="T265" i="13"/>
  <c r="S265" i="13"/>
  <c r="R265" i="13"/>
  <c r="Q265" i="13"/>
  <c r="P265" i="13"/>
  <c r="O265" i="13"/>
  <c r="N265" i="13"/>
  <c r="M265" i="13"/>
  <c r="L265" i="13"/>
  <c r="K265" i="13"/>
  <c r="J265" i="13"/>
  <c r="I265" i="13"/>
  <c r="H265" i="13"/>
  <c r="V251" i="13"/>
  <c r="U251" i="13"/>
  <c r="T251" i="13"/>
  <c r="S251" i="13"/>
  <c r="R251" i="13"/>
  <c r="Q251" i="13"/>
  <c r="P251" i="13"/>
  <c r="O251" i="13"/>
  <c r="N251" i="13"/>
  <c r="M251" i="13"/>
  <c r="L251" i="13"/>
  <c r="K251" i="13"/>
  <c r="J251" i="13"/>
  <c r="I251" i="13"/>
  <c r="H251" i="13"/>
  <c r="V250" i="13"/>
  <c r="U250" i="13"/>
  <c r="T250" i="13"/>
  <c r="S250" i="13"/>
  <c r="R250" i="13"/>
  <c r="Q250" i="13"/>
  <c r="P250" i="13"/>
  <c r="O250" i="13"/>
  <c r="N250" i="13"/>
  <c r="M250" i="13"/>
  <c r="L250" i="13"/>
  <c r="K250" i="13"/>
  <c r="J250" i="13"/>
  <c r="I250" i="13"/>
  <c r="H250" i="13"/>
  <c r="V249" i="13"/>
  <c r="U249" i="13"/>
  <c r="T249" i="13"/>
  <c r="S249" i="13"/>
  <c r="R249" i="13"/>
  <c r="Q249" i="13"/>
  <c r="P249" i="13"/>
  <c r="O249" i="13"/>
  <c r="N249" i="13"/>
  <c r="M249" i="13"/>
  <c r="L249" i="13"/>
  <c r="K249" i="13"/>
  <c r="J249" i="13"/>
  <c r="I249" i="13"/>
  <c r="H249" i="13"/>
  <c r="V248" i="13"/>
  <c r="U248" i="13"/>
  <c r="T248" i="13"/>
  <c r="S248" i="13"/>
  <c r="R248" i="13"/>
  <c r="Q248" i="13"/>
  <c r="P248" i="13"/>
  <c r="O248" i="13"/>
  <c r="N248" i="13"/>
  <c r="M248" i="13"/>
  <c r="L248" i="13"/>
  <c r="K248" i="13"/>
  <c r="J248" i="13"/>
  <c r="I248" i="13"/>
  <c r="H248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V246" i="13"/>
  <c r="U246" i="13"/>
  <c r="T246" i="13"/>
  <c r="S246" i="13"/>
  <c r="R246" i="13"/>
  <c r="Q246" i="13"/>
  <c r="P246" i="13"/>
  <c r="O246" i="13"/>
  <c r="N246" i="13"/>
  <c r="M246" i="13"/>
  <c r="L246" i="13"/>
  <c r="K246" i="13"/>
  <c r="J246" i="13"/>
  <c r="I246" i="13"/>
  <c r="H246" i="13"/>
  <c r="V245" i="13"/>
  <c r="U245" i="13"/>
  <c r="T245" i="13"/>
  <c r="S245" i="13"/>
  <c r="R245" i="13"/>
  <c r="Q245" i="13"/>
  <c r="P245" i="13"/>
  <c r="O245" i="13"/>
  <c r="N245" i="13"/>
  <c r="M245" i="13"/>
  <c r="L245" i="13"/>
  <c r="K245" i="13"/>
  <c r="J245" i="13"/>
  <c r="I245" i="13"/>
  <c r="H245" i="13"/>
  <c r="BX244" i="13"/>
  <c r="BW244" i="13"/>
  <c r="BV244" i="13"/>
  <c r="BU244" i="13"/>
  <c r="BT244" i="13"/>
  <c r="BS244" i="13"/>
  <c r="BR244" i="13"/>
  <c r="BQ244" i="13"/>
  <c r="BP244" i="13"/>
  <c r="BO244" i="13"/>
  <c r="BN244" i="13"/>
  <c r="BM244" i="13"/>
  <c r="BL244" i="13"/>
  <c r="BK244" i="13"/>
  <c r="BJ244" i="13"/>
  <c r="BI244" i="13"/>
  <c r="BH244" i="13"/>
  <c r="BG244" i="13"/>
  <c r="BF244" i="13"/>
  <c r="BE244" i="13"/>
  <c r="BD244" i="13"/>
  <c r="BC244" i="13"/>
  <c r="BB244" i="13"/>
  <c r="BA244" i="13"/>
  <c r="AZ244" i="13"/>
  <c r="AY244" i="13"/>
  <c r="AX244" i="13"/>
  <c r="AW244" i="13"/>
  <c r="AV244" i="13"/>
  <c r="AU244" i="13"/>
  <c r="AT244" i="13"/>
  <c r="AS244" i="13"/>
  <c r="AR244" i="13"/>
  <c r="AQ244" i="13"/>
  <c r="AP244" i="13"/>
  <c r="AO244" i="13"/>
  <c r="AN244" i="13"/>
  <c r="AM244" i="13"/>
  <c r="AL244" i="13"/>
  <c r="AK244" i="13"/>
  <c r="AJ244" i="13"/>
  <c r="AI244" i="13"/>
  <c r="AH244" i="13"/>
  <c r="AG244" i="13"/>
  <c r="AF244" i="13"/>
  <c r="AE244" i="13"/>
  <c r="AD244" i="13"/>
  <c r="AC244" i="13"/>
  <c r="AB244" i="13"/>
  <c r="AA244" i="13"/>
  <c r="Z244" i="13"/>
  <c r="Y244" i="13"/>
  <c r="X244" i="13"/>
  <c r="W244" i="13"/>
  <c r="V244" i="13"/>
  <c r="U244" i="13"/>
  <c r="T244" i="13"/>
  <c r="S244" i="13"/>
  <c r="R244" i="13"/>
  <c r="Q244" i="13"/>
  <c r="P244" i="13"/>
  <c r="O244" i="13"/>
  <c r="N244" i="13"/>
  <c r="M244" i="13"/>
  <c r="L244" i="13"/>
  <c r="K244" i="13"/>
  <c r="J244" i="13"/>
  <c r="I244" i="13"/>
  <c r="H244" i="13"/>
  <c r="BX243" i="13"/>
  <c r="BW243" i="13"/>
  <c r="BV243" i="13"/>
  <c r="BU243" i="13"/>
  <c r="BT243" i="13"/>
  <c r="BS243" i="13"/>
  <c r="BR243" i="13"/>
  <c r="BQ243" i="13"/>
  <c r="BP243" i="13"/>
  <c r="BO243" i="13"/>
  <c r="BN243" i="13"/>
  <c r="BM243" i="13"/>
  <c r="BL243" i="13"/>
  <c r="BK243" i="13"/>
  <c r="BJ243" i="13"/>
  <c r="BI243" i="13"/>
  <c r="BH243" i="13"/>
  <c r="BG243" i="13"/>
  <c r="BF243" i="13"/>
  <c r="BE243" i="13"/>
  <c r="BD243" i="13"/>
  <c r="BC243" i="13"/>
  <c r="BB243" i="13"/>
  <c r="BA243" i="13"/>
  <c r="AZ243" i="13"/>
  <c r="AY243" i="13"/>
  <c r="AX243" i="13"/>
  <c r="AW243" i="13"/>
  <c r="AV243" i="13"/>
  <c r="AU243" i="13"/>
  <c r="AT243" i="13"/>
  <c r="AS243" i="13"/>
  <c r="AR243" i="13"/>
  <c r="AQ243" i="13"/>
  <c r="AP243" i="13"/>
  <c r="AO243" i="13"/>
  <c r="AN243" i="13"/>
  <c r="AM243" i="13"/>
  <c r="AL243" i="13"/>
  <c r="AK243" i="13"/>
  <c r="AJ243" i="13"/>
  <c r="AI243" i="13"/>
  <c r="AH243" i="13"/>
  <c r="AG243" i="13"/>
  <c r="AF243" i="13"/>
  <c r="AE243" i="13"/>
  <c r="AD243" i="13"/>
  <c r="AC243" i="13"/>
  <c r="AB243" i="13"/>
  <c r="AA243" i="13"/>
  <c r="Z243" i="13"/>
  <c r="Y243" i="13"/>
  <c r="X243" i="13"/>
  <c r="W243" i="13"/>
  <c r="V243" i="13"/>
  <c r="U243" i="13"/>
  <c r="T243" i="13"/>
  <c r="S243" i="13"/>
  <c r="R243" i="13"/>
  <c r="Q243" i="13"/>
  <c r="P243" i="13"/>
  <c r="O243" i="13"/>
  <c r="N243" i="13"/>
  <c r="M243" i="13"/>
  <c r="L243" i="13"/>
  <c r="K243" i="13"/>
  <c r="J243" i="13"/>
  <c r="I243" i="13"/>
  <c r="H243" i="13"/>
  <c r="BX242" i="13"/>
  <c r="BW242" i="13"/>
  <c r="BV242" i="13"/>
  <c r="BU242" i="13"/>
  <c r="BT242" i="13"/>
  <c r="BS242" i="13"/>
  <c r="BR242" i="13"/>
  <c r="BQ242" i="13"/>
  <c r="BP242" i="13"/>
  <c r="BO242" i="13"/>
  <c r="BN242" i="13"/>
  <c r="BM242" i="13"/>
  <c r="BL242" i="13"/>
  <c r="BK242" i="13"/>
  <c r="BJ242" i="13"/>
  <c r="BI242" i="13"/>
  <c r="BH242" i="13"/>
  <c r="BG242" i="13"/>
  <c r="BF242" i="13"/>
  <c r="BE242" i="13"/>
  <c r="BD242" i="13"/>
  <c r="BC242" i="13"/>
  <c r="BB242" i="13"/>
  <c r="BA242" i="13"/>
  <c r="AZ242" i="13"/>
  <c r="AY242" i="13"/>
  <c r="AX242" i="13"/>
  <c r="AW242" i="13"/>
  <c r="AV242" i="13"/>
  <c r="AU242" i="13"/>
  <c r="AT242" i="13"/>
  <c r="AS242" i="13"/>
  <c r="AR242" i="13"/>
  <c r="AQ242" i="13"/>
  <c r="AP242" i="13"/>
  <c r="AO242" i="13"/>
  <c r="AN242" i="13"/>
  <c r="AM242" i="13"/>
  <c r="AL242" i="13"/>
  <c r="AK242" i="13"/>
  <c r="AJ242" i="13"/>
  <c r="AI242" i="13"/>
  <c r="AH242" i="13"/>
  <c r="AG242" i="13"/>
  <c r="AF242" i="13"/>
  <c r="AE242" i="13"/>
  <c r="AD242" i="13"/>
  <c r="AC242" i="13"/>
  <c r="AB242" i="13"/>
  <c r="AA242" i="13"/>
  <c r="Z242" i="13"/>
  <c r="Y242" i="13"/>
  <c r="X242" i="13"/>
  <c r="W242" i="13"/>
  <c r="V242" i="13"/>
  <c r="U242" i="13"/>
  <c r="T242" i="13"/>
  <c r="S242" i="13"/>
  <c r="R242" i="13"/>
  <c r="Q242" i="13"/>
  <c r="P242" i="13"/>
  <c r="O242" i="13"/>
  <c r="N242" i="13"/>
  <c r="M242" i="13"/>
  <c r="L242" i="13"/>
  <c r="K242" i="13"/>
  <c r="J242" i="13"/>
  <c r="I242" i="13"/>
  <c r="H242" i="13"/>
  <c r="BX241" i="13"/>
  <c r="BW241" i="13"/>
  <c r="BV241" i="13"/>
  <c r="BU241" i="13"/>
  <c r="BT241" i="13"/>
  <c r="BS241" i="13"/>
  <c r="BR241" i="13"/>
  <c r="BQ241" i="13"/>
  <c r="BP241" i="13"/>
  <c r="BO241" i="13"/>
  <c r="BN241" i="13"/>
  <c r="BM241" i="13"/>
  <c r="BL241" i="13"/>
  <c r="BK241" i="13"/>
  <c r="BJ241" i="13"/>
  <c r="BI241" i="13"/>
  <c r="BH241" i="13"/>
  <c r="BG241" i="13"/>
  <c r="BF241" i="13"/>
  <c r="BE241" i="13"/>
  <c r="BD241" i="13"/>
  <c r="BC241" i="13"/>
  <c r="BB241" i="13"/>
  <c r="BA241" i="13"/>
  <c r="AZ241" i="13"/>
  <c r="AY241" i="13"/>
  <c r="AX241" i="13"/>
  <c r="AW241" i="13"/>
  <c r="AV241" i="13"/>
  <c r="AU241" i="13"/>
  <c r="AT241" i="13"/>
  <c r="AS241" i="13"/>
  <c r="AR241" i="13"/>
  <c r="AQ241" i="13"/>
  <c r="AP241" i="13"/>
  <c r="AO241" i="13"/>
  <c r="AN241" i="13"/>
  <c r="AM241" i="13"/>
  <c r="AL241" i="13"/>
  <c r="AK241" i="13"/>
  <c r="AJ241" i="13"/>
  <c r="AI241" i="13"/>
  <c r="AH241" i="13"/>
  <c r="AG241" i="13"/>
  <c r="AF241" i="13"/>
  <c r="AE241" i="13"/>
  <c r="AD241" i="13"/>
  <c r="AC241" i="13"/>
  <c r="AB241" i="13"/>
  <c r="AA241" i="13"/>
  <c r="Z241" i="13"/>
  <c r="Y241" i="13"/>
  <c r="X241" i="13"/>
  <c r="W241" i="13"/>
  <c r="V241" i="13"/>
  <c r="U241" i="13"/>
  <c r="T241" i="13"/>
  <c r="S241" i="13"/>
  <c r="R241" i="13"/>
  <c r="Q241" i="13"/>
  <c r="P241" i="13"/>
  <c r="O241" i="13"/>
  <c r="N241" i="13"/>
  <c r="M241" i="13"/>
  <c r="L241" i="13"/>
  <c r="K241" i="13"/>
  <c r="J241" i="13"/>
  <c r="I241" i="13"/>
  <c r="H241" i="13"/>
  <c r="BX240" i="13"/>
  <c r="BW240" i="13"/>
  <c r="BV240" i="13"/>
  <c r="BU240" i="13"/>
  <c r="BT240" i="13"/>
  <c r="BS240" i="13"/>
  <c r="BR240" i="13"/>
  <c r="BQ240" i="13"/>
  <c r="BP240" i="13"/>
  <c r="BO240" i="13"/>
  <c r="BN240" i="13"/>
  <c r="BM240" i="13"/>
  <c r="BL240" i="13"/>
  <c r="BK240" i="13"/>
  <c r="BJ240" i="13"/>
  <c r="BI240" i="13"/>
  <c r="BH240" i="13"/>
  <c r="BG240" i="13"/>
  <c r="BF240" i="13"/>
  <c r="BE240" i="13"/>
  <c r="BD240" i="13"/>
  <c r="BC240" i="13"/>
  <c r="BB240" i="13"/>
  <c r="BA240" i="13"/>
  <c r="AZ240" i="13"/>
  <c r="AY240" i="13"/>
  <c r="AX240" i="13"/>
  <c r="AW240" i="13"/>
  <c r="AV240" i="13"/>
  <c r="AU240" i="13"/>
  <c r="AT240" i="13"/>
  <c r="AS240" i="13"/>
  <c r="AR240" i="13"/>
  <c r="AQ240" i="13"/>
  <c r="AP240" i="13"/>
  <c r="AO240" i="13"/>
  <c r="AN240" i="13"/>
  <c r="AM240" i="13"/>
  <c r="AL240" i="13"/>
  <c r="AK240" i="13"/>
  <c r="AJ240" i="13"/>
  <c r="AI240" i="13"/>
  <c r="AH240" i="13"/>
  <c r="AG240" i="13"/>
  <c r="AF240" i="13"/>
  <c r="AE240" i="13"/>
  <c r="AD240" i="13"/>
  <c r="AC240" i="13"/>
  <c r="AB240" i="13"/>
  <c r="AA240" i="13"/>
  <c r="Z240" i="13"/>
  <c r="Y240" i="13"/>
  <c r="X240" i="13"/>
  <c r="W240" i="13"/>
  <c r="V240" i="13"/>
  <c r="U240" i="13"/>
  <c r="T240" i="13"/>
  <c r="S240" i="13"/>
  <c r="R240" i="13"/>
  <c r="Q240" i="13"/>
  <c r="P240" i="13"/>
  <c r="O240" i="13"/>
  <c r="N240" i="13"/>
  <c r="M240" i="13"/>
  <c r="L240" i="13"/>
  <c r="K240" i="13"/>
  <c r="J240" i="13"/>
  <c r="I240" i="13"/>
  <c r="H240" i="13"/>
  <c r="BX239" i="13"/>
  <c r="BW239" i="13"/>
  <c r="BV239" i="13"/>
  <c r="BU239" i="13"/>
  <c r="BT239" i="13"/>
  <c r="BS239" i="13"/>
  <c r="BR239" i="13"/>
  <c r="BQ239" i="13"/>
  <c r="BP239" i="13"/>
  <c r="BO239" i="13"/>
  <c r="BN239" i="13"/>
  <c r="BM239" i="13"/>
  <c r="BL239" i="13"/>
  <c r="BK239" i="13"/>
  <c r="BJ239" i="13"/>
  <c r="BI239" i="13"/>
  <c r="BH239" i="13"/>
  <c r="BG239" i="13"/>
  <c r="BF239" i="13"/>
  <c r="BE239" i="13"/>
  <c r="BD239" i="13"/>
  <c r="BC239" i="13"/>
  <c r="BB239" i="13"/>
  <c r="BA239" i="13"/>
  <c r="AZ239" i="13"/>
  <c r="AY239" i="13"/>
  <c r="AX239" i="13"/>
  <c r="AW239" i="13"/>
  <c r="AV239" i="13"/>
  <c r="AU239" i="13"/>
  <c r="AT239" i="13"/>
  <c r="AS239" i="13"/>
  <c r="AR239" i="13"/>
  <c r="AQ239" i="13"/>
  <c r="AP239" i="13"/>
  <c r="AO239" i="13"/>
  <c r="AN239" i="13"/>
  <c r="AM239" i="13"/>
  <c r="AL239" i="13"/>
  <c r="AK239" i="13"/>
  <c r="AJ239" i="13"/>
  <c r="AI239" i="13"/>
  <c r="AH239" i="13"/>
  <c r="AG239" i="13"/>
  <c r="AF239" i="13"/>
  <c r="AE239" i="13"/>
  <c r="AD239" i="13"/>
  <c r="AC239" i="13"/>
  <c r="AB239" i="13"/>
  <c r="AA239" i="13"/>
  <c r="Z239" i="13"/>
  <c r="Y239" i="13"/>
  <c r="X239" i="13"/>
  <c r="W239" i="13"/>
  <c r="V239" i="13"/>
  <c r="U239" i="13"/>
  <c r="T239" i="13"/>
  <c r="S239" i="13"/>
  <c r="R239" i="13"/>
  <c r="Q239" i="13"/>
  <c r="P239" i="13"/>
  <c r="O239" i="13"/>
  <c r="N239" i="13"/>
  <c r="M239" i="13"/>
  <c r="L239" i="13"/>
  <c r="K239" i="13"/>
  <c r="J239" i="13"/>
  <c r="I239" i="13"/>
  <c r="H239" i="13"/>
  <c r="BX221" i="13"/>
  <c r="BW221" i="13"/>
  <c r="BV221" i="13"/>
  <c r="BU221" i="13"/>
  <c r="BT221" i="13"/>
  <c r="BS221" i="13"/>
  <c r="BR221" i="13"/>
  <c r="BQ221" i="13"/>
  <c r="BP221" i="13"/>
  <c r="BO221" i="13"/>
  <c r="BN221" i="13"/>
  <c r="BM221" i="13"/>
  <c r="BL221" i="13"/>
  <c r="BK221" i="13"/>
  <c r="BJ221" i="13"/>
  <c r="BI221" i="13"/>
  <c r="BH221" i="13"/>
  <c r="BG221" i="13"/>
  <c r="BF221" i="13"/>
  <c r="BE221" i="13"/>
  <c r="BD221" i="13"/>
  <c r="BC221" i="13"/>
  <c r="BB221" i="13"/>
  <c r="BA221" i="13"/>
  <c r="AZ221" i="13"/>
  <c r="AY221" i="13"/>
  <c r="AX221" i="13"/>
  <c r="AW221" i="13"/>
  <c r="AV221" i="13"/>
  <c r="AU221" i="13"/>
  <c r="AT221" i="13"/>
  <c r="AS221" i="13"/>
  <c r="AR221" i="13"/>
  <c r="AQ221" i="13"/>
  <c r="AP221" i="13"/>
  <c r="AO221" i="13"/>
  <c r="AN221" i="13"/>
  <c r="AM221" i="13"/>
  <c r="AL221" i="13"/>
  <c r="AK221" i="13"/>
  <c r="AJ221" i="13"/>
  <c r="AI221" i="13"/>
  <c r="AH221" i="13"/>
  <c r="AG221" i="13"/>
  <c r="AF221" i="13"/>
  <c r="AE221" i="13"/>
  <c r="AD221" i="13"/>
  <c r="AC221" i="13"/>
  <c r="AB221" i="13"/>
  <c r="AA221" i="13"/>
  <c r="Z221" i="13"/>
  <c r="Y221" i="13"/>
  <c r="X221" i="13"/>
  <c r="W221" i="13"/>
  <c r="V221" i="13"/>
  <c r="U221" i="13"/>
  <c r="T221" i="13"/>
  <c r="S221" i="13"/>
  <c r="R221" i="13"/>
  <c r="Q221" i="13"/>
  <c r="P221" i="13"/>
  <c r="O221" i="13"/>
  <c r="N221" i="13"/>
  <c r="M221" i="13"/>
  <c r="L221" i="13"/>
  <c r="K221" i="13"/>
  <c r="J221" i="13"/>
  <c r="I221" i="13"/>
  <c r="H221" i="13"/>
  <c r="G221" i="13"/>
  <c r="F221" i="13"/>
  <c r="BX220" i="13"/>
  <c r="BW220" i="13"/>
  <c r="BV220" i="13"/>
  <c r="BU220" i="13"/>
  <c r="BT220" i="13"/>
  <c r="BS220" i="13"/>
  <c r="BR220" i="13"/>
  <c r="BQ220" i="13"/>
  <c r="BP220" i="13"/>
  <c r="BO220" i="13"/>
  <c r="BN220" i="13"/>
  <c r="BM220" i="13"/>
  <c r="BL220" i="13"/>
  <c r="BK220" i="13"/>
  <c r="BJ220" i="13"/>
  <c r="BI220" i="13"/>
  <c r="BH220" i="13"/>
  <c r="BG220" i="13"/>
  <c r="BF220" i="13"/>
  <c r="BE220" i="13"/>
  <c r="BD220" i="13"/>
  <c r="BC220" i="13"/>
  <c r="BB220" i="13"/>
  <c r="BA220" i="13"/>
  <c r="AZ220" i="13"/>
  <c r="AY220" i="13"/>
  <c r="AX220" i="13"/>
  <c r="AW220" i="13"/>
  <c r="AV220" i="13"/>
  <c r="AU220" i="13"/>
  <c r="AT220" i="13"/>
  <c r="AS220" i="13"/>
  <c r="AR220" i="13"/>
  <c r="AQ220" i="13"/>
  <c r="AP220" i="13"/>
  <c r="AO220" i="13"/>
  <c r="AN220" i="13"/>
  <c r="AM220" i="13"/>
  <c r="AL220" i="13"/>
  <c r="AK220" i="13"/>
  <c r="AJ220" i="13"/>
  <c r="AI220" i="13"/>
  <c r="AH220" i="13"/>
  <c r="AG220" i="13"/>
  <c r="AF220" i="13"/>
  <c r="AE220" i="13"/>
  <c r="AD220" i="13"/>
  <c r="AC220" i="13"/>
  <c r="AB220" i="13"/>
  <c r="AA220" i="13"/>
  <c r="Z220" i="13"/>
  <c r="Y220" i="13"/>
  <c r="X220" i="13"/>
  <c r="W220" i="13"/>
  <c r="V220" i="13"/>
  <c r="U220" i="13"/>
  <c r="T220" i="13"/>
  <c r="S220" i="13"/>
  <c r="R220" i="13"/>
  <c r="Q220" i="13"/>
  <c r="P220" i="13"/>
  <c r="O220" i="13"/>
  <c r="N220" i="13"/>
  <c r="M220" i="13"/>
  <c r="L220" i="13"/>
  <c r="K220" i="13"/>
  <c r="J220" i="13"/>
  <c r="I220" i="13"/>
  <c r="H220" i="13"/>
  <c r="G220" i="13"/>
  <c r="F220" i="13"/>
  <c r="BX219" i="13"/>
  <c r="BW219" i="13"/>
  <c r="BV219" i="13"/>
  <c r="BU219" i="13"/>
  <c r="BT219" i="13"/>
  <c r="BS219" i="13"/>
  <c r="BR219" i="13"/>
  <c r="BQ219" i="13"/>
  <c r="BP219" i="13"/>
  <c r="BO219" i="13"/>
  <c r="BN219" i="13"/>
  <c r="BM219" i="13"/>
  <c r="BL219" i="13"/>
  <c r="BK219" i="13"/>
  <c r="BJ219" i="13"/>
  <c r="BI219" i="13"/>
  <c r="BH219" i="13"/>
  <c r="BG219" i="13"/>
  <c r="BF219" i="13"/>
  <c r="BE219" i="13"/>
  <c r="BD219" i="13"/>
  <c r="BC219" i="13"/>
  <c r="BB219" i="13"/>
  <c r="BA219" i="13"/>
  <c r="AZ219" i="13"/>
  <c r="AY219" i="13"/>
  <c r="AX219" i="13"/>
  <c r="AW219" i="13"/>
  <c r="AV219" i="13"/>
  <c r="AU219" i="13"/>
  <c r="AT219" i="13"/>
  <c r="AS219" i="13"/>
  <c r="AR219" i="13"/>
  <c r="AQ219" i="13"/>
  <c r="AP219" i="13"/>
  <c r="AO219" i="13"/>
  <c r="AN219" i="13"/>
  <c r="AM219" i="13"/>
  <c r="AL219" i="13"/>
  <c r="AK219" i="13"/>
  <c r="AJ219" i="13"/>
  <c r="AI219" i="13"/>
  <c r="AH219" i="13"/>
  <c r="AG219" i="13"/>
  <c r="AF219" i="13"/>
  <c r="AE219" i="13"/>
  <c r="AD219" i="13"/>
  <c r="AC219" i="13"/>
  <c r="AB219" i="13"/>
  <c r="AA219" i="13"/>
  <c r="Z219" i="13"/>
  <c r="Y219" i="13"/>
  <c r="X219" i="13"/>
  <c r="W219" i="13"/>
  <c r="V219" i="13"/>
  <c r="U219" i="13"/>
  <c r="T219" i="13"/>
  <c r="S219" i="13"/>
  <c r="R219" i="13"/>
  <c r="Q219" i="13"/>
  <c r="P219" i="13"/>
  <c r="O219" i="13"/>
  <c r="N219" i="13"/>
  <c r="M219" i="13"/>
  <c r="L219" i="13"/>
  <c r="K219" i="13"/>
  <c r="J219" i="13"/>
  <c r="I219" i="13"/>
  <c r="H219" i="13"/>
  <c r="G219" i="13"/>
  <c r="F219" i="13"/>
  <c r="BX218" i="13"/>
  <c r="BW218" i="13"/>
  <c r="BV218" i="13"/>
  <c r="BU218" i="13"/>
  <c r="BT218" i="13"/>
  <c r="BS218" i="13"/>
  <c r="BR218" i="13"/>
  <c r="BQ218" i="13"/>
  <c r="BP218" i="13"/>
  <c r="BO218" i="13"/>
  <c r="BN218" i="13"/>
  <c r="BM218" i="13"/>
  <c r="BL218" i="13"/>
  <c r="BK218" i="13"/>
  <c r="BJ218" i="13"/>
  <c r="BI218" i="13"/>
  <c r="BH218" i="13"/>
  <c r="BG218" i="13"/>
  <c r="BF218" i="13"/>
  <c r="BE218" i="13"/>
  <c r="BD218" i="13"/>
  <c r="BC218" i="13"/>
  <c r="BB218" i="13"/>
  <c r="BA218" i="13"/>
  <c r="AZ218" i="13"/>
  <c r="AY218" i="13"/>
  <c r="AX218" i="13"/>
  <c r="AW218" i="13"/>
  <c r="AV218" i="13"/>
  <c r="AU218" i="13"/>
  <c r="AT218" i="13"/>
  <c r="AS218" i="13"/>
  <c r="AR218" i="13"/>
  <c r="AQ218" i="13"/>
  <c r="AP218" i="13"/>
  <c r="AO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AB218" i="13"/>
  <c r="AA218" i="13"/>
  <c r="Z218" i="13"/>
  <c r="Y218" i="13"/>
  <c r="X218" i="13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BX217" i="13"/>
  <c r="BW217" i="13"/>
  <c r="BV217" i="13"/>
  <c r="BU217" i="13"/>
  <c r="BT217" i="13"/>
  <c r="BS217" i="13"/>
  <c r="BR217" i="13"/>
  <c r="BQ217" i="13"/>
  <c r="BP217" i="13"/>
  <c r="BO217" i="13"/>
  <c r="BN217" i="13"/>
  <c r="BM217" i="13"/>
  <c r="BL217" i="13"/>
  <c r="BK217" i="13"/>
  <c r="BJ217" i="13"/>
  <c r="BI217" i="13"/>
  <c r="BH217" i="13"/>
  <c r="BG217" i="13"/>
  <c r="BF217" i="13"/>
  <c r="BE217" i="13"/>
  <c r="BD217" i="13"/>
  <c r="BC217" i="13"/>
  <c r="BB217" i="13"/>
  <c r="BA217" i="13"/>
  <c r="AZ217" i="13"/>
  <c r="AY217" i="13"/>
  <c r="AX217" i="13"/>
  <c r="AW217" i="13"/>
  <c r="AV217" i="13"/>
  <c r="AU217" i="13"/>
  <c r="AT217" i="13"/>
  <c r="AS217" i="13"/>
  <c r="AR217" i="13"/>
  <c r="AQ217" i="13"/>
  <c r="AP217" i="13"/>
  <c r="AO217" i="13"/>
  <c r="AN217" i="13"/>
  <c r="AM217" i="13"/>
  <c r="AL217" i="13"/>
  <c r="AK217" i="13"/>
  <c r="AJ217" i="13"/>
  <c r="AI217" i="13"/>
  <c r="AH217" i="13"/>
  <c r="AG217" i="13"/>
  <c r="AF217" i="13"/>
  <c r="AE217" i="13"/>
  <c r="AD217" i="13"/>
  <c r="AC217" i="13"/>
  <c r="AB217" i="13"/>
  <c r="AA217" i="13"/>
  <c r="Z217" i="13"/>
  <c r="Y217" i="13"/>
  <c r="X217" i="13"/>
  <c r="W217" i="13"/>
  <c r="V217" i="13"/>
  <c r="U217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BX216" i="13"/>
  <c r="BW216" i="13"/>
  <c r="BV216" i="13"/>
  <c r="BU216" i="13"/>
  <c r="BT216" i="13"/>
  <c r="BS216" i="13"/>
  <c r="BR216" i="13"/>
  <c r="BQ216" i="13"/>
  <c r="BP216" i="13"/>
  <c r="BO216" i="13"/>
  <c r="BN216" i="13"/>
  <c r="BM216" i="13"/>
  <c r="BL216" i="13"/>
  <c r="BK216" i="13"/>
  <c r="BJ216" i="13"/>
  <c r="BI216" i="13"/>
  <c r="BH216" i="13"/>
  <c r="BG216" i="13"/>
  <c r="BF216" i="13"/>
  <c r="BE216" i="13"/>
  <c r="BD216" i="13"/>
  <c r="BC216" i="13"/>
  <c r="BB216" i="13"/>
  <c r="BA216" i="13"/>
  <c r="AZ216" i="13"/>
  <c r="AY216" i="13"/>
  <c r="AX216" i="13"/>
  <c r="AW216" i="13"/>
  <c r="AV216" i="13"/>
  <c r="AU216" i="13"/>
  <c r="AT216" i="13"/>
  <c r="AS216" i="13"/>
  <c r="AR216" i="13"/>
  <c r="AQ216" i="13"/>
  <c r="AP216" i="13"/>
  <c r="AO216" i="13"/>
  <c r="AN216" i="13"/>
  <c r="AM216" i="13"/>
  <c r="AL216" i="13"/>
  <c r="AK216" i="13"/>
  <c r="AJ216" i="13"/>
  <c r="AI216" i="13"/>
  <c r="AH216" i="13"/>
  <c r="AG216" i="13"/>
  <c r="AF216" i="13"/>
  <c r="AE216" i="13"/>
  <c r="AD216" i="13"/>
  <c r="AC216" i="13"/>
  <c r="AB216" i="13"/>
  <c r="AA216" i="13"/>
  <c r="Z216" i="13"/>
  <c r="Y216" i="13"/>
  <c r="X216" i="13"/>
  <c r="W216" i="13"/>
  <c r="V216" i="13"/>
  <c r="U216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BX215" i="13"/>
  <c r="BW215" i="13"/>
  <c r="BV215" i="13"/>
  <c r="BU215" i="13"/>
  <c r="BT215" i="13"/>
  <c r="BS215" i="13"/>
  <c r="BR215" i="13"/>
  <c r="BQ215" i="13"/>
  <c r="BP215" i="13"/>
  <c r="BO215" i="13"/>
  <c r="BN215" i="13"/>
  <c r="BM215" i="13"/>
  <c r="BL215" i="13"/>
  <c r="BK215" i="13"/>
  <c r="BJ215" i="13"/>
  <c r="BI215" i="13"/>
  <c r="BH215" i="13"/>
  <c r="BG215" i="13"/>
  <c r="BF215" i="13"/>
  <c r="BE215" i="13"/>
  <c r="BD215" i="13"/>
  <c r="BC215" i="13"/>
  <c r="BB215" i="13"/>
  <c r="BA215" i="13"/>
  <c r="AZ215" i="13"/>
  <c r="AY215" i="13"/>
  <c r="AX215" i="13"/>
  <c r="AW215" i="13"/>
  <c r="AV215" i="13"/>
  <c r="AU215" i="13"/>
  <c r="AT215" i="13"/>
  <c r="AS215" i="13"/>
  <c r="AR215" i="13"/>
  <c r="AQ215" i="13"/>
  <c r="AP215" i="13"/>
  <c r="AO215" i="13"/>
  <c r="AN215" i="13"/>
  <c r="AM215" i="13"/>
  <c r="AL215" i="13"/>
  <c r="AK215" i="13"/>
  <c r="AJ215" i="13"/>
  <c r="AI215" i="13"/>
  <c r="AH215" i="13"/>
  <c r="AG215" i="13"/>
  <c r="AF215" i="13"/>
  <c r="AE215" i="13"/>
  <c r="AD215" i="13"/>
  <c r="AC215" i="13"/>
  <c r="AB215" i="13"/>
  <c r="AA215" i="13"/>
  <c r="Z215" i="13"/>
  <c r="Y215" i="13"/>
  <c r="X215" i="13"/>
  <c r="W215" i="13"/>
  <c r="V215" i="13"/>
  <c r="U215" i="13"/>
  <c r="T215" i="13"/>
  <c r="S215" i="13"/>
  <c r="R215" i="13"/>
  <c r="Q215" i="13"/>
  <c r="P215" i="13"/>
  <c r="O215" i="13"/>
  <c r="N215" i="13"/>
  <c r="M215" i="13"/>
  <c r="L215" i="13"/>
  <c r="K215" i="13"/>
  <c r="J215" i="13"/>
  <c r="I215" i="13"/>
  <c r="H215" i="13"/>
  <c r="G215" i="13"/>
  <c r="F215" i="13"/>
  <c r="BX214" i="13"/>
  <c r="BW214" i="13"/>
  <c r="BV214" i="13"/>
  <c r="BU214" i="13"/>
  <c r="BT214" i="13"/>
  <c r="BS214" i="13"/>
  <c r="BR214" i="13"/>
  <c r="BQ214" i="13"/>
  <c r="BP214" i="13"/>
  <c r="BO214" i="13"/>
  <c r="BN214" i="13"/>
  <c r="BM214" i="13"/>
  <c r="BL214" i="13"/>
  <c r="BK214" i="13"/>
  <c r="BJ214" i="13"/>
  <c r="BI214" i="13"/>
  <c r="BH214" i="13"/>
  <c r="BG214" i="13"/>
  <c r="BF214" i="13"/>
  <c r="BE214" i="13"/>
  <c r="BD214" i="13"/>
  <c r="BC214" i="13"/>
  <c r="BB214" i="13"/>
  <c r="BA214" i="13"/>
  <c r="AZ214" i="13"/>
  <c r="AY214" i="13"/>
  <c r="AX214" i="13"/>
  <c r="AW214" i="13"/>
  <c r="AV214" i="13"/>
  <c r="AU214" i="13"/>
  <c r="AT214" i="13"/>
  <c r="AS214" i="13"/>
  <c r="AR214" i="13"/>
  <c r="AQ214" i="13"/>
  <c r="AP214" i="13"/>
  <c r="AO214" i="13"/>
  <c r="AN214" i="13"/>
  <c r="AM214" i="13"/>
  <c r="AL214" i="13"/>
  <c r="AK214" i="13"/>
  <c r="AJ214" i="13"/>
  <c r="AI214" i="13"/>
  <c r="AH214" i="13"/>
  <c r="AG214" i="13"/>
  <c r="AF214" i="13"/>
  <c r="AE214" i="13"/>
  <c r="AD214" i="13"/>
  <c r="AC214" i="13"/>
  <c r="AB214" i="13"/>
  <c r="AA214" i="13"/>
  <c r="Z214" i="13"/>
  <c r="Y214" i="13"/>
  <c r="X214" i="13"/>
  <c r="W214" i="13"/>
  <c r="V214" i="13"/>
  <c r="U214" i="13"/>
  <c r="T214" i="13"/>
  <c r="S214" i="13"/>
  <c r="R214" i="13"/>
  <c r="Q214" i="13"/>
  <c r="P214" i="13"/>
  <c r="O214" i="13"/>
  <c r="N214" i="13"/>
  <c r="M214" i="13"/>
  <c r="L214" i="13"/>
  <c r="K214" i="13"/>
  <c r="J214" i="13"/>
  <c r="I214" i="13"/>
  <c r="H214" i="13"/>
  <c r="G214" i="13"/>
  <c r="F214" i="13"/>
  <c r="BX213" i="13"/>
  <c r="BW213" i="13"/>
  <c r="BV213" i="13"/>
  <c r="BU213" i="13"/>
  <c r="BT213" i="13"/>
  <c r="BS213" i="13"/>
  <c r="BR213" i="13"/>
  <c r="BQ213" i="13"/>
  <c r="BP213" i="13"/>
  <c r="BO213" i="13"/>
  <c r="BN213" i="13"/>
  <c r="BM213" i="13"/>
  <c r="BL213" i="13"/>
  <c r="BK213" i="13"/>
  <c r="BJ213" i="13"/>
  <c r="BI213" i="13"/>
  <c r="BH213" i="13"/>
  <c r="BG213" i="13"/>
  <c r="BF213" i="13"/>
  <c r="BE213" i="13"/>
  <c r="BD213" i="13"/>
  <c r="BC213" i="13"/>
  <c r="BB213" i="13"/>
  <c r="BA213" i="13"/>
  <c r="AZ213" i="13"/>
  <c r="AY213" i="13"/>
  <c r="AX213" i="13"/>
  <c r="AW213" i="13"/>
  <c r="AV213" i="13"/>
  <c r="AU213" i="13"/>
  <c r="AT213" i="13"/>
  <c r="AS213" i="13"/>
  <c r="AR213" i="13"/>
  <c r="AQ213" i="13"/>
  <c r="AP213" i="13"/>
  <c r="AO213" i="13"/>
  <c r="AN213" i="13"/>
  <c r="AM213" i="13"/>
  <c r="AL213" i="13"/>
  <c r="AK213" i="13"/>
  <c r="AJ213" i="13"/>
  <c r="AI213" i="13"/>
  <c r="AH213" i="13"/>
  <c r="AG213" i="13"/>
  <c r="AF213" i="13"/>
  <c r="AE213" i="13"/>
  <c r="AD213" i="13"/>
  <c r="AC213" i="13"/>
  <c r="AB213" i="13"/>
  <c r="AA213" i="13"/>
  <c r="Z213" i="13"/>
  <c r="Y213" i="13"/>
  <c r="X213" i="13"/>
  <c r="W213" i="13"/>
  <c r="V213" i="13"/>
  <c r="U213" i="13"/>
  <c r="T213" i="13"/>
  <c r="S213" i="13"/>
  <c r="R213" i="13"/>
  <c r="Q213" i="13"/>
  <c r="P213" i="13"/>
  <c r="O213" i="13"/>
  <c r="N213" i="13"/>
  <c r="M213" i="13"/>
  <c r="L213" i="13"/>
  <c r="K213" i="13"/>
  <c r="J213" i="13"/>
  <c r="I213" i="13"/>
  <c r="H213" i="13"/>
  <c r="G213" i="13"/>
  <c r="F213" i="13"/>
  <c r="BX212" i="13"/>
  <c r="BW212" i="13"/>
  <c r="BV212" i="13"/>
  <c r="BU212" i="13"/>
  <c r="BT212" i="13"/>
  <c r="BS212" i="13"/>
  <c r="BR212" i="13"/>
  <c r="BQ212" i="13"/>
  <c r="BP212" i="13"/>
  <c r="BO212" i="13"/>
  <c r="BN212" i="13"/>
  <c r="BM212" i="13"/>
  <c r="BL212" i="13"/>
  <c r="BK212" i="13"/>
  <c r="BJ212" i="13"/>
  <c r="BI212" i="13"/>
  <c r="BH212" i="13"/>
  <c r="BG212" i="13"/>
  <c r="BF212" i="13"/>
  <c r="BE212" i="13"/>
  <c r="BD212" i="13"/>
  <c r="BC212" i="13"/>
  <c r="BB212" i="13"/>
  <c r="BA212" i="13"/>
  <c r="AZ212" i="13"/>
  <c r="AY212" i="13"/>
  <c r="AX212" i="13"/>
  <c r="AW212" i="13"/>
  <c r="AV212" i="13"/>
  <c r="AU212" i="13"/>
  <c r="AT212" i="13"/>
  <c r="AS212" i="13"/>
  <c r="AR212" i="13"/>
  <c r="AQ212" i="13"/>
  <c r="AP212" i="13"/>
  <c r="AO212" i="13"/>
  <c r="AN212" i="13"/>
  <c r="AM212" i="13"/>
  <c r="AL212" i="13"/>
  <c r="AK212" i="13"/>
  <c r="AJ212" i="13"/>
  <c r="AI212" i="13"/>
  <c r="AH212" i="13"/>
  <c r="AG212" i="13"/>
  <c r="AF212" i="13"/>
  <c r="AE212" i="13"/>
  <c r="AD212" i="13"/>
  <c r="AC212" i="13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F206" i="13"/>
  <c r="F202" i="13"/>
  <c r="F201" i="13"/>
  <c r="F200" i="13"/>
  <c r="I15" i="36" s="1"/>
  <c r="F199" i="13"/>
  <c r="I14" i="36" s="1"/>
  <c r="F197" i="13"/>
  <c r="I12" i="36" s="1"/>
  <c r="F194" i="13"/>
  <c r="F190" i="13"/>
  <c r="F189" i="13"/>
  <c r="I16" i="36" s="1"/>
  <c r="F185" i="13"/>
  <c r="F183" i="13"/>
  <c r="F179" i="13"/>
  <c r="F177" i="13"/>
  <c r="F173" i="13"/>
  <c r="F172" i="13"/>
  <c r="F171" i="13"/>
  <c r="F168" i="13"/>
  <c r="F167" i="13"/>
  <c r="F132" i="13"/>
  <c r="F124" i="13"/>
  <c r="F123" i="13"/>
  <c r="F122" i="13"/>
  <c r="F121" i="13"/>
  <c r="F119" i="13"/>
  <c r="F118" i="13"/>
  <c r="F117" i="13"/>
  <c r="F116" i="13"/>
  <c r="F115" i="13"/>
  <c r="F114" i="13"/>
  <c r="F110" i="13"/>
  <c r="F106" i="13"/>
  <c r="F102" i="13"/>
  <c r="F101" i="13"/>
  <c r="F100" i="13"/>
  <c r="F98" i="13"/>
  <c r="F97" i="13"/>
  <c r="F96" i="13"/>
  <c r="F95" i="13"/>
  <c r="F94" i="13"/>
  <c r="F93" i="13"/>
  <c r="F92" i="13"/>
  <c r="F91" i="13"/>
  <c r="F87" i="13"/>
  <c r="F83" i="13"/>
  <c r="F82" i="13"/>
  <c r="F81" i="13"/>
  <c r="F80" i="13"/>
  <c r="F78" i="13"/>
  <c r="F75" i="13"/>
  <c r="F73" i="13"/>
  <c r="F71" i="13"/>
  <c r="F70" i="13"/>
  <c r="F54" i="13"/>
  <c r="F53" i="13"/>
  <c r="F52" i="13"/>
  <c r="F49" i="13"/>
  <c r="F48" i="13"/>
  <c r="F47" i="13"/>
  <c r="F46" i="13"/>
  <c r="F17" i="25"/>
  <c r="F18" i="25"/>
  <c r="F19" i="25"/>
  <c r="F21" i="25"/>
  <c r="F36" i="25"/>
  <c r="F39" i="25"/>
  <c r="F43" i="13" s="1"/>
  <c r="F40" i="25"/>
  <c r="F44" i="13" s="1"/>
  <c r="BX207" i="25"/>
  <c r="BX211" i="13" s="1"/>
  <c r="BW207" i="25"/>
  <c r="BW211" i="13" s="1"/>
  <c r="BV207" i="25"/>
  <c r="BV211" i="13" s="1"/>
  <c r="BU207" i="25"/>
  <c r="BU211" i="13" s="1"/>
  <c r="BT207" i="25"/>
  <c r="BT211" i="13" s="1"/>
  <c r="BS207" i="25"/>
  <c r="BS211" i="13" s="1"/>
  <c r="BR207" i="25"/>
  <c r="BR211" i="13" s="1"/>
  <c r="BQ207" i="25"/>
  <c r="BQ211" i="13" s="1"/>
  <c r="BP207" i="25"/>
  <c r="BP211" i="13" s="1"/>
  <c r="BO207" i="25"/>
  <c r="BO211" i="13" s="1"/>
  <c r="BN207" i="25"/>
  <c r="BN211" i="13" s="1"/>
  <c r="BM207" i="25"/>
  <c r="BM211" i="13" s="1"/>
  <c r="BL207" i="25"/>
  <c r="BL211" i="13" s="1"/>
  <c r="BK207" i="25"/>
  <c r="BK211" i="13" s="1"/>
  <c r="BJ207" i="25"/>
  <c r="BJ211" i="13" s="1"/>
  <c r="BI207" i="25"/>
  <c r="BI211" i="13" s="1"/>
  <c r="BH207" i="25"/>
  <c r="BH211" i="13" s="1"/>
  <c r="BG207" i="25"/>
  <c r="BG211" i="13" s="1"/>
  <c r="BF207" i="25"/>
  <c r="BF211" i="13" s="1"/>
  <c r="BE207" i="25"/>
  <c r="BE211" i="13" s="1"/>
  <c r="BD207" i="25"/>
  <c r="BD211" i="13" s="1"/>
  <c r="BC207" i="25"/>
  <c r="BC211" i="13" s="1"/>
  <c r="BB207" i="25"/>
  <c r="BB211" i="13" s="1"/>
  <c r="BA207" i="25"/>
  <c r="BA211" i="13" s="1"/>
  <c r="AZ207" i="25"/>
  <c r="AZ211" i="13" s="1"/>
  <c r="AY207" i="25"/>
  <c r="AY211" i="13" s="1"/>
  <c r="AX207" i="25"/>
  <c r="AX211" i="13" s="1"/>
  <c r="AW207" i="25"/>
  <c r="AW211" i="13" s="1"/>
  <c r="AV207" i="25"/>
  <c r="AV211" i="13" s="1"/>
  <c r="AU207" i="25"/>
  <c r="AU211" i="13" s="1"/>
  <c r="AT207" i="25"/>
  <c r="AT211" i="13" s="1"/>
  <c r="AS207" i="25"/>
  <c r="AS211" i="13" s="1"/>
  <c r="AR207" i="25"/>
  <c r="AR211" i="13" s="1"/>
  <c r="AQ207" i="25"/>
  <c r="AQ211" i="13" s="1"/>
  <c r="AP207" i="25"/>
  <c r="AP211" i="13" s="1"/>
  <c r="AO207" i="25"/>
  <c r="AO211" i="13" s="1"/>
  <c r="AN207" i="25"/>
  <c r="AN211" i="13" s="1"/>
  <c r="AM207" i="25"/>
  <c r="AM211" i="13" s="1"/>
  <c r="AL207" i="25"/>
  <c r="AL211" i="13" s="1"/>
  <c r="AK207" i="25"/>
  <c r="AK211" i="13" s="1"/>
  <c r="AJ207" i="25"/>
  <c r="AJ211" i="13" s="1"/>
  <c r="AI207" i="25"/>
  <c r="AI211" i="13" s="1"/>
  <c r="AH207" i="25"/>
  <c r="AH211" i="13" s="1"/>
  <c r="AG207" i="25"/>
  <c r="AG211" i="13" s="1"/>
  <c r="AF207" i="25"/>
  <c r="AF211" i="13" s="1"/>
  <c r="AE207" i="25"/>
  <c r="AE211" i="13" s="1"/>
  <c r="AD207" i="25"/>
  <c r="AD211" i="13" s="1"/>
  <c r="AC207" i="25"/>
  <c r="AC211" i="13" s="1"/>
  <c r="AB207" i="25"/>
  <c r="AB211" i="13" s="1"/>
  <c r="AA207" i="25"/>
  <c r="AA211" i="13" s="1"/>
  <c r="Z207" i="25"/>
  <c r="Z211" i="13" s="1"/>
  <c r="Y207" i="25"/>
  <c r="Y211" i="13" s="1"/>
  <c r="X207" i="25"/>
  <c r="X211" i="13" s="1"/>
  <c r="W207" i="25"/>
  <c r="W211" i="13" s="1"/>
  <c r="V207" i="25"/>
  <c r="V211" i="13" s="1"/>
  <c r="U207" i="25"/>
  <c r="U211" i="13" s="1"/>
  <c r="T207" i="25"/>
  <c r="T211" i="13" s="1"/>
  <c r="S207" i="25"/>
  <c r="S211" i="13" s="1"/>
  <c r="R207" i="25"/>
  <c r="R211" i="13" s="1"/>
  <c r="Q207" i="25"/>
  <c r="Q211" i="13" s="1"/>
  <c r="P207" i="25"/>
  <c r="P211" i="13" s="1"/>
  <c r="O207" i="25"/>
  <c r="O211" i="13" s="1"/>
  <c r="N207" i="25"/>
  <c r="N211" i="13" s="1"/>
  <c r="M207" i="25"/>
  <c r="M211" i="13" s="1"/>
  <c r="L207" i="25"/>
  <c r="L211" i="13" s="1"/>
  <c r="K207" i="25"/>
  <c r="K211" i="13" s="1"/>
  <c r="J207" i="25"/>
  <c r="J211" i="13" s="1"/>
  <c r="I207" i="25"/>
  <c r="I211" i="13" s="1"/>
  <c r="H207" i="25"/>
  <c r="H211" i="13" s="1"/>
  <c r="G207" i="25"/>
  <c r="G211" i="13" s="1"/>
  <c r="BX206" i="25"/>
  <c r="BX210" i="13" s="1"/>
  <c r="BW206" i="25"/>
  <c r="BW210" i="13" s="1"/>
  <c r="BV206" i="25"/>
  <c r="BV210" i="13" s="1"/>
  <c r="BU206" i="25"/>
  <c r="BU210" i="13" s="1"/>
  <c r="BT206" i="25"/>
  <c r="BT210" i="13" s="1"/>
  <c r="BS206" i="25"/>
  <c r="BS210" i="13" s="1"/>
  <c r="BR206" i="25"/>
  <c r="BR210" i="13" s="1"/>
  <c r="BQ206" i="25"/>
  <c r="BQ210" i="13" s="1"/>
  <c r="BP206" i="25"/>
  <c r="BP210" i="13" s="1"/>
  <c r="BO206" i="25"/>
  <c r="BO210" i="13" s="1"/>
  <c r="BN206" i="25"/>
  <c r="BN210" i="13" s="1"/>
  <c r="BM206" i="25"/>
  <c r="BM210" i="13" s="1"/>
  <c r="BL206" i="25"/>
  <c r="BL210" i="13" s="1"/>
  <c r="BK206" i="25"/>
  <c r="BK210" i="13" s="1"/>
  <c r="BJ206" i="25"/>
  <c r="BJ210" i="13" s="1"/>
  <c r="BI206" i="25"/>
  <c r="BI210" i="13" s="1"/>
  <c r="BH206" i="25"/>
  <c r="BH210" i="13" s="1"/>
  <c r="BG206" i="25"/>
  <c r="BG210" i="13" s="1"/>
  <c r="BF206" i="25"/>
  <c r="BF210" i="13" s="1"/>
  <c r="BE206" i="25"/>
  <c r="BE210" i="13" s="1"/>
  <c r="BD206" i="25"/>
  <c r="BD210" i="13" s="1"/>
  <c r="BC206" i="25"/>
  <c r="BC210" i="13" s="1"/>
  <c r="BB206" i="25"/>
  <c r="BB210" i="13" s="1"/>
  <c r="BA206" i="25"/>
  <c r="BA210" i="13" s="1"/>
  <c r="AZ206" i="25"/>
  <c r="AZ210" i="13" s="1"/>
  <c r="AY206" i="25"/>
  <c r="AY210" i="13" s="1"/>
  <c r="AX206" i="25"/>
  <c r="AX210" i="13" s="1"/>
  <c r="AW206" i="25"/>
  <c r="AW210" i="13" s="1"/>
  <c r="AV206" i="25"/>
  <c r="AV210" i="13" s="1"/>
  <c r="AU206" i="25"/>
  <c r="AU210" i="13" s="1"/>
  <c r="AT206" i="25"/>
  <c r="AT210" i="13" s="1"/>
  <c r="AS206" i="25"/>
  <c r="AS210" i="13" s="1"/>
  <c r="AR206" i="25"/>
  <c r="AR210" i="13" s="1"/>
  <c r="AQ206" i="25"/>
  <c r="AQ210" i="13" s="1"/>
  <c r="AP206" i="25"/>
  <c r="AP210" i="13" s="1"/>
  <c r="AO206" i="25"/>
  <c r="AO210" i="13" s="1"/>
  <c r="AN206" i="25"/>
  <c r="AN210" i="13" s="1"/>
  <c r="AM206" i="25"/>
  <c r="AM210" i="13" s="1"/>
  <c r="AL206" i="25"/>
  <c r="AL210" i="13" s="1"/>
  <c r="AK206" i="25"/>
  <c r="AK210" i="13" s="1"/>
  <c r="AJ206" i="25"/>
  <c r="AJ210" i="13" s="1"/>
  <c r="AI206" i="25"/>
  <c r="AI210" i="13" s="1"/>
  <c r="AH206" i="25"/>
  <c r="AH210" i="13" s="1"/>
  <c r="AG206" i="25"/>
  <c r="AG210" i="13" s="1"/>
  <c r="AF206" i="25"/>
  <c r="AF210" i="13" s="1"/>
  <c r="AE206" i="25"/>
  <c r="AE210" i="13" s="1"/>
  <c r="AD206" i="25"/>
  <c r="AD210" i="13" s="1"/>
  <c r="AC206" i="25"/>
  <c r="AC210" i="13" s="1"/>
  <c r="AB206" i="25"/>
  <c r="AB210" i="13" s="1"/>
  <c r="AA206" i="25"/>
  <c r="AA210" i="13" s="1"/>
  <c r="Z206" i="25"/>
  <c r="Z210" i="13" s="1"/>
  <c r="Y206" i="25"/>
  <c r="Y210" i="13" s="1"/>
  <c r="X206" i="25"/>
  <c r="X210" i="13" s="1"/>
  <c r="W206" i="25"/>
  <c r="W210" i="13" s="1"/>
  <c r="V206" i="25"/>
  <c r="V210" i="13" s="1"/>
  <c r="U206" i="25"/>
  <c r="U210" i="13" s="1"/>
  <c r="T206" i="25"/>
  <c r="T210" i="13" s="1"/>
  <c r="S206" i="25"/>
  <c r="S210" i="13" s="1"/>
  <c r="R206" i="25"/>
  <c r="R210" i="13" s="1"/>
  <c r="Q206" i="25"/>
  <c r="Q210" i="13" s="1"/>
  <c r="P206" i="25"/>
  <c r="P210" i="13" s="1"/>
  <c r="O206" i="25"/>
  <c r="O210" i="13" s="1"/>
  <c r="N206" i="25"/>
  <c r="N210" i="13" s="1"/>
  <c r="M206" i="25"/>
  <c r="M210" i="13" s="1"/>
  <c r="L206" i="25"/>
  <c r="L210" i="13" s="1"/>
  <c r="K206" i="25"/>
  <c r="K210" i="13" s="1"/>
  <c r="J206" i="25"/>
  <c r="J210" i="13" s="1"/>
  <c r="I206" i="25"/>
  <c r="I210" i="13" s="1"/>
  <c r="H206" i="25"/>
  <c r="H210" i="13" s="1"/>
  <c r="G206" i="25"/>
  <c r="G210" i="13" s="1"/>
  <c r="F206" i="25"/>
  <c r="F210" i="13" s="1"/>
  <c r="F207" i="25"/>
  <c r="F211" i="13" s="1"/>
  <c r="C194" i="25"/>
  <c r="C198" i="13" s="1"/>
  <c r="BX194" i="25"/>
  <c r="BW194" i="25"/>
  <c r="BV194" i="25"/>
  <c r="BU194" i="25"/>
  <c r="BT194" i="25"/>
  <c r="BS194" i="25"/>
  <c r="BR194" i="25"/>
  <c r="BQ194" i="25"/>
  <c r="BP194" i="25"/>
  <c r="BO194" i="25"/>
  <c r="BN194" i="25"/>
  <c r="BM194" i="25"/>
  <c r="BL194" i="25"/>
  <c r="BK194" i="25"/>
  <c r="BJ194" i="25"/>
  <c r="BI194" i="25"/>
  <c r="BH194" i="25"/>
  <c r="BG194" i="25"/>
  <c r="BF194" i="25"/>
  <c r="BE194" i="25"/>
  <c r="BD194" i="25"/>
  <c r="BC194" i="25"/>
  <c r="BB194" i="25"/>
  <c r="BA194" i="25"/>
  <c r="AZ194" i="25"/>
  <c r="AY194" i="25"/>
  <c r="AX194" i="25"/>
  <c r="AW194" i="25"/>
  <c r="AV194" i="25"/>
  <c r="AU194" i="25"/>
  <c r="AT194" i="25"/>
  <c r="AS194" i="25"/>
  <c r="AR194" i="25"/>
  <c r="AQ194" i="25"/>
  <c r="AP194" i="25"/>
  <c r="AO194" i="25"/>
  <c r="AN194" i="25"/>
  <c r="AM194" i="25"/>
  <c r="AL194" i="25"/>
  <c r="AK194" i="25"/>
  <c r="AJ194" i="25"/>
  <c r="AI194" i="25"/>
  <c r="AH194" i="25"/>
  <c r="AG194" i="25"/>
  <c r="AF194" i="25"/>
  <c r="AE194" i="25"/>
  <c r="AD194" i="25"/>
  <c r="AC194" i="25"/>
  <c r="AB194" i="25"/>
  <c r="AA194" i="25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F198" i="13" s="1"/>
  <c r="I13" i="36" s="1"/>
  <c r="F182" i="25"/>
  <c r="F186" i="13" s="1"/>
  <c r="C183" i="25"/>
  <c r="C187" i="13" s="1"/>
  <c r="BX182" i="25"/>
  <c r="BX183" i="25" s="1"/>
  <c r="BW182" i="25"/>
  <c r="BW183" i="25" s="1"/>
  <c r="BV182" i="25"/>
  <c r="BV183" i="25" s="1"/>
  <c r="BU182" i="25"/>
  <c r="BU183" i="25" s="1"/>
  <c r="BT182" i="25"/>
  <c r="BT183" i="25" s="1"/>
  <c r="BS182" i="25"/>
  <c r="BS183" i="25" s="1"/>
  <c r="BR182" i="25"/>
  <c r="BR183" i="25" s="1"/>
  <c r="BQ182" i="25"/>
  <c r="BQ183" i="25" s="1"/>
  <c r="BP182" i="25"/>
  <c r="BP183" i="25" s="1"/>
  <c r="BO182" i="25"/>
  <c r="BO183" i="25" s="1"/>
  <c r="BN182" i="25"/>
  <c r="BN183" i="25" s="1"/>
  <c r="BM182" i="25"/>
  <c r="BM183" i="25" s="1"/>
  <c r="BL182" i="25"/>
  <c r="BL183" i="25" s="1"/>
  <c r="BK182" i="25"/>
  <c r="BK183" i="25" s="1"/>
  <c r="BJ182" i="25"/>
  <c r="BJ183" i="25" s="1"/>
  <c r="BI182" i="25"/>
  <c r="BI183" i="25" s="1"/>
  <c r="BH182" i="25"/>
  <c r="BH183" i="25" s="1"/>
  <c r="BG182" i="25"/>
  <c r="BG183" i="25" s="1"/>
  <c r="BF182" i="25"/>
  <c r="BF183" i="25" s="1"/>
  <c r="BE182" i="25"/>
  <c r="BE183" i="25" s="1"/>
  <c r="BD182" i="25"/>
  <c r="BD183" i="25" s="1"/>
  <c r="BC182" i="25"/>
  <c r="BC183" i="25" s="1"/>
  <c r="BB182" i="25"/>
  <c r="BB183" i="25" s="1"/>
  <c r="BA182" i="25"/>
  <c r="BA183" i="25" s="1"/>
  <c r="AZ182" i="25"/>
  <c r="AZ183" i="25" s="1"/>
  <c r="AY182" i="25"/>
  <c r="AY183" i="25" s="1"/>
  <c r="AX182" i="25"/>
  <c r="AX183" i="25" s="1"/>
  <c r="AW182" i="25"/>
  <c r="AW183" i="25" s="1"/>
  <c r="AV182" i="25"/>
  <c r="AV183" i="25" s="1"/>
  <c r="AU182" i="25"/>
  <c r="AT182" i="25"/>
  <c r="AT183" i="25" s="1"/>
  <c r="AS182" i="25"/>
  <c r="AS183" i="25" s="1"/>
  <c r="AR182" i="25"/>
  <c r="AR183" i="25" s="1"/>
  <c r="AQ182" i="25"/>
  <c r="AQ183" i="25" s="1"/>
  <c r="AP182" i="25"/>
  <c r="AP183" i="25" s="1"/>
  <c r="AO182" i="25"/>
  <c r="AO183" i="25" s="1"/>
  <c r="AN182" i="25"/>
  <c r="AN183" i="25" s="1"/>
  <c r="AM182" i="25"/>
  <c r="AM183" i="25" s="1"/>
  <c r="AL182" i="25"/>
  <c r="AL183" i="25" s="1"/>
  <c r="AK182" i="25"/>
  <c r="AK183" i="25" s="1"/>
  <c r="AJ182" i="25"/>
  <c r="AJ183" i="25" s="1"/>
  <c r="AI182" i="25"/>
  <c r="AI183" i="25" s="1"/>
  <c r="AH182" i="25"/>
  <c r="AH183" i="25" s="1"/>
  <c r="AG182" i="25"/>
  <c r="AG183" i="25" s="1"/>
  <c r="AF182" i="25"/>
  <c r="AF183" i="25" s="1"/>
  <c r="AE182" i="25"/>
  <c r="AD182" i="25"/>
  <c r="AD183" i="25" s="1"/>
  <c r="AC182" i="25"/>
  <c r="AC183" i="25" s="1"/>
  <c r="AB182" i="25"/>
  <c r="AB183" i="25" s="1"/>
  <c r="AA182" i="25"/>
  <c r="AA183" i="25" s="1"/>
  <c r="Z182" i="25"/>
  <c r="Z183" i="25" s="1"/>
  <c r="Y182" i="25"/>
  <c r="Y183" i="25" s="1"/>
  <c r="X182" i="25"/>
  <c r="X183" i="25" s="1"/>
  <c r="W182" i="25"/>
  <c r="W183" i="25" s="1"/>
  <c r="V182" i="25"/>
  <c r="V183" i="25" s="1"/>
  <c r="U182" i="25"/>
  <c r="U183" i="25" s="1"/>
  <c r="T182" i="25"/>
  <c r="T183" i="25" s="1"/>
  <c r="S182" i="25"/>
  <c r="S183" i="25" s="1"/>
  <c r="R182" i="25"/>
  <c r="R183" i="25" s="1"/>
  <c r="Q182" i="25"/>
  <c r="Q183" i="25" s="1"/>
  <c r="P182" i="25"/>
  <c r="P183" i="25" s="1"/>
  <c r="O182" i="25"/>
  <c r="O183" i="25" s="1"/>
  <c r="N182" i="25"/>
  <c r="N183" i="25" s="1"/>
  <c r="M182" i="25"/>
  <c r="M183" i="25" s="1"/>
  <c r="L182" i="25"/>
  <c r="L183" i="25" s="1"/>
  <c r="K182" i="25"/>
  <c r="K183" i="25" s="1"/>
  <c r="J182" i="25"/>
  <c r="J183" i="25" s="1"/>
  <c r="I182" i="25"/>
  <c r="I183" i="25" s="1"/>
  <c r="H182" i="25"/>
  <c r="H183" i="25" s="1"/>
  <c r="G182" i="25"/>
  <c r="G183" i="25" s="1"/>
  <c r="C176" i="25"/>
  <c r="C178" i="25"/>
  <c r="C182" i="13" s="1"/>
  <c r="C192" i="25"/>
  <c r="C196" i="13" s="1"/>
  <c r="BX192" i="25"/>
  <c r="BW192" i="25"/>
  <c r="BV192" i="25"/>
  <c r="BU192" i="25"/>
  <c r="BT192" i="25"/>
  <c r="BS192" i="25"/>
  <c r="BR192" i="25"/>
  <c r="BQ192" i="25"/>
  <c r="BP192" i="25"/>
  <c r="BO192" i="25"/>
  <c r="BN192" i="25"/>
  <c r="BM192" i="25"/>
  <c r="BL192" i="25"/>
  <c r="BK192" i="25"/>
  <c r="BJ192" i="25"/>
  <c r="BI192" i="25"/>
  <c r="BH192" i="25"/>
  <c r="BG192" i="25"/>
  <c r="BF192" i="25"/>
  <c r="BE192" i="25"/>
  <c r="BD192" i="25"/>
  <c r="BC192" i="25"/>
  <c r="BB192" i="25"/>
  <c r="BA192" i="25"/>
  <c r="AZ192" i="25"/>
  <c r="AY192" i="25"/>
  <c r="AX192" i="25"/>
  <c r="AW192" i="25"/>
  <c r="AV192" i="25"/>
  <c r="AU192" i="25"/>
  <c r="AT192" i="25"/>
  <c r="AS192" i="25"/>
  <c r="AR192" i="25"/>
  <c r="AQ192" i="25"/>
  <c r="AP192" i="25"/>
  <c r="AO192" i="25"/>
  <c r="AN192" i="25"/>
  <c r="AM192" i="25"/>
  <c r="AL192" i="25"/>
  <c r="AK192" i="25"/>
  <c r="AJ192" i="25"/>
  <c r="AI192" i="25"/>
  <c r="AH192" i="25"/>
  <c r="AG192" i="25"/>
  <c r="AF192" i="25"/>
  <c r="AE192" i="25"/>
  <c r="AD192" i="25"/>
  <c r="AC192" i="25"/>
  <c r="AB192" i="25"/>
  <c r="AA192" i="25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F196" i="13" s="1"/>
  <c r="C187" i="25"/>
  <c r="C191" i="13" s="1"/>
  <c r="C189" i="25"/>
  <c r="C193" i="13" s="1"/>
  <c r="C191" i="25"/>
  <c r="C195" i="13" s="1"/>
  <c r="BX191" i="25"/>
  <c r="BW191" i="25"/>
  <c r="BV191" i="25"/>
  <c r="BU191" i="25"/>
  <c r="BT191" i="25"/>
  <c r="BS191" i="25"/>
  <c r="BR191" i="25"/>
  <c r="BQ191" i="25"/>
  <c r="BP191" i="25"/>
  <c r="BO191" i="25"/>
  <c r="BN191" i="25"/>
  <c r="BM191" i="25"/>
  <c r="BL191" i="25"/>
  <c r="BK191" i="25"/>
  <c r="BJ191" i="25"/>
  <c r="BI191" i="25"/>
  <c r="BH191" i="25"/>
  <c r="BG191" i="25"/>
  <c r="BF191" i="25"/>
  <c r="BE191" i="25"/>
  <c r="BD191" i="25"/>
  <c r="BC191" i="25"/>
  <c r="BB191" i="25"/>
  <c r="BA191" i="25"/>
  <c r="AZ191" i="25"/>
  <c r="AY191" i="25"/>
  <c r="AX191" i="25"/>
  <c r="AW191" i="25"/>
  <c r="AV191" i="25"/>
  <c r="AU191" i="25"/>
  <c r="AT191" i="25"/>
  <c r="AS191" i="25"/>
  <c r="AR191" i="25"/>
  <c r="AQ191" i="25"/>
  <c r="AP191" i="25"/>
  <c r="AO191" i="25"/>
  <c r="AN191" i="25"/>
  <c r="AM191" i="25"/>
  <c r="AL191" i="25"/>
  <c r="AK191" i="25"/>
  <c r="AJ191" i="25"/>
  <c r="AI191" i="25"/>
  <c r="AH191" i="25"/>
  <c r="AG191" i="25"/>
  <c r="AF191" i="25"/>
  <c r="AE191" i="25"/>
  <c r="AD191" i="25"/>
  <c r="AC191" i="25"/>
  <c r="AB191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F195" i="13" s="1"/>
  <c r="F193" i="13"/>
  <c r="F187" i="25"/>
  <c r="F191" i="13" s="1"/>
  <c r="BX187" i="25"/>
  <c r="BW187" i="25"/>
  <c r="BV187" i="25"/>
  <c r="BU187" i="25"/>
  <c r="BT187" i="25"/>
  <c r="BS187" i="25"/>
  <c r="BR187" i="25"/>
  <c r="BQ187" i="25"/>
  <c r="BP187" i="25"/>
  <c r="BO187" i="25"/>
  <c r="BN187" i="25"/>
  <c r="BM187" i="25"/>
  <c r="BL187" i="25"/>
  <c r="BK187" i="25"/>
  <c r="BJ187" i="25"/>
  <c r="BI187" i="25"/>
  <c r="BH187" i="25"/>
  <c r="BG187" i="25"/>
  <c r="BF187" i="25"/>
  <c r="BE187" i="25"/>
  <c r="BD187" i="25"/>
  <c r="BC187" i="25"/>
  <c r="BB187" i="25"/>
  <c r="BA187" i="25"/>
  <c r="AZ187" i="25"/>
  <c r="AY187" i="25"/>
  <c r="AX187" i="25"/>
  <c r="AW187" i="25"/>
  <c r="AV187" i="25"/>
  <c r="AU187" i="25"/>
  <c r="AT187" i="25"/>
  <c r="AS187" i="25"/>
  <c r="AR187" i="25"/>
  <c r="AQ187" i="25"/>
  <c r="AP187" i="25"/>
  <c r="AO187" i="25"/>
  <c r="AN187" i="25"/>
  <c r="AM187" i="25"/>
  <c r="AL187" i="25"/>
  <c r="AK187" i="25"/>
  <c r="AJ187" i="25"/>
  <c r="AI187" i="25"/>
  <c r="AH187" i="25"/>
  <c r="AG187" i="25"/>
  <c r="AF187" i="25"/>
  <c r="AE187" i="25"/>
  <c r="AD187" i="25"/>
  <c r="AC187" i="25"/>
  <c r="AB187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BX184" i="25"/>
  <c r="BW184" i="25"/>
  <c r="BV184" i="25"/>
  <c r="BU184" i="25"/>
  <c r="BT184" i="25"/>
  <c r="BS184" i="25"/>
  <c r="BR184" i="25"/>
  <c r="BQ184" i="25"/>
  <c r="BP184" i="25"/>
  <c r="BO184" i="25"/>
  <c r="BN184" i="25"/>
  <c r="BM184" i="25"/>
  <c r="BL184" i="25"/>
  <c r="BK184" i="25"/>
  <c r="BJ184" i="25"/>
  <c r="BI184" i="25"/>
  <c r="BH184" i="25"/>
  <c r="BG184" i="25"/>
  <c r="BF184" i="25"/>
  <c r="BE184" i="25"/>
  <c r="BD184" i="25"/>
  <c r="BC184" i="25"/>
  <c r="BB184" i="25"/>
  <c r="BA184" i="25"/>
  <c r="AZ184" i="25"/>
  <c r="AY184" i="25"/>
  <c r="AX184" i="25"/>
  <c r="AW184" i="25"/>
  <c r="AV184" i="25"/>
  <c r="AU184" i="25"/>
  <c r="AT184" i="25"/>
  <c r="AS184" i="25"/>
  <c r="AR184" i="25"/>
  <c r="AQ184" i="25"/>
  <c r="AP184" i="25"/>
  <c r="AO184" i="25"/>
  <c r="AN184" i="25"/>
  <c r="AM184" i="25"/>
  <c r="AL184" i="25"/>
  <c r="AK184" i="25"/>
  <c r="AJ184" i="25"/>
  <c r="AI184" i="25"/>
  <c r="AH184" i="25"/>
  <c r="AG184" i="25"/>
  <c r="AF184" i="25"/>
  <c r="AE184" i="25"/>
  <c r="AD184" i="25"/>
  <c r="AC184" i="25"/>
  <c r="AB184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AU183" i="25"/>
  <c r="AE183" i="25"/>
  <c r="C174" i="25"/>
  <c r="C178" i="13" s="1"/>
  <c r="C180" i="25"/>
  <c r="C184" i="13" s="1"/>
  <c r="BX180" i="25"/>
  <c r="BW180" i="25"/>
  <c r="BV180" i="25"/>
  <c r="BU180" i="25"/>
  <c r="BT180" i="25"/>
  <c r="BS180" i="25"/>
  <c r="BR180" i="25"/>
  <c r="BQ180" i="25"/>
  <c r="BP180" i="25"/>
  <c r="BO180" i="25"/>
  <c r="BN180" i="25"/>
  <c r="BM180" i="25"/>
  <c r="BL180" i="25"/>
  <c r="BK180" i="25"/>
  <c r="BJ180" i="25"/>
  <c r="BI180" i="25"/>
  <c r="BH180" i="25"/>
  <c r="BG180" i="25"/>
  <c r="BF180" i="25"/>
  <c r="BE180" i="25"/>
  <c r="BD180" i="25"/>
  <c r="BC180" i="25"/>
  <c r="BB180" i="25"/>
  <c r="BA180" i="25"/>
  <c r="AZ180" i="25"/>
  <c r="AY180" i="25"/>
  <c r="AX180" i="25"/>
  <c r="AW180" i="25"/>
  <c r="AV180" i="25"/>
  <c r="AU180" i="25"/>
  <c r="AT180" i="25"/>
  <c r="AS180" i="25"/>
  <c r="AR180" i="25"/>
  <c r="AQ180" i="25"/>
  <c r="AP180" i="25"/>
  <c r="AO180" i="25"/>
  <c r="AN180" i="25"/>
  <c r="AM180" i="25"/>
  <c r="AL180" i="25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F184" i="13" s="1"/>
  <c r="BX178" i="25"/>
  <c r="BW178" i="25"/>
  <c r="BV178" i="25"/>
  <c r="BU178" i="25"/>
  <c r="BT178" i="25"/>
  <c r="BS178" i="25"/>
  <c r="BR178" i="25"/>
  <c r="BQ178" i="25"/>
  <c r="BP178" i="25"/>
  <c r="BO178" i="25"/>
  <c r="BN178" i="25"/>
  <c r="BM178" i="25"/>
  <c r="BL178" i="25"/>
  <c r="BK178" i="25"/>
  <c r="BJ178" i="25"/>
  <c r="BI178" i="25"/>
  <c r="BH178" i="25"/>
  <c r="BG178" i="25"/>
  <c r="BF178" i="25"/>
  <c r="BE178" i="25"/>
  <c r="BD178" i="25"/>
  <c r="BC178" i="25"/>
  <c r="BB178" i="25"/>
  <c r="BA178" i="25"/>
  <c r="AZ178" i="25"/>
  <c r="AY178" i="25"/>
  <c r="AX178" i="25"/>
  <c r="AW178" i="25"/>
  <c r="AV178" i="25"/>
  <c r="AU178" i="25"/>
  <c r="AT178" i="25"/>
  <c r="AS178" i="25"/>
  <c r="AR178" i="25"/>
  <c r="AQ178" i="25"/>
  <c r="AP178" i="25"/>
  <c r="AO178" i="25"/>
  <c r="AN178" i="25"/>
  <c r="AM178" i="25"/>
  <c r="AL178" i="25"/>
  <c r="AK178" i="25"/>
  <c r="AJ178" i="25"/>
  <c r="AI178" i="25"/>
  <c r="AH178" i="25"/>
  <c r="AG178" i="25"/>
  <c r="AF178" i="25"/>
  <c r="AE178" i="25"/>
  <c r="AD178" i="25"/>
  <c r="AC178" i="25"/>
  <c r="AB178" i="25"/>
  <c r="AA178" i="25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F182" i="13" s="1"/>
  <c r="BX176" i="25"/>
  <c r="BX177" i="25" s="1"/>
  <c r="BW176" i="25"/>
  <c r="BW177" i="25" s="1"/>
  <c r="BV176" i="25"/>
  <c r="BV177" i="25" s="1"/>
  <c r="BU176" i="25"/>
  <c r="BU177" i="25" s="1"/>
  <c r="BT176" i="25"/>
  <c r="BT177" i="25" s="1"/>
  <c r="BS176" i="25"/>
  <c r="BS177" i="25" s="1"/>
  <c r="BR176" i="25"/>
  <c r="BR177" i="25" s="1"/>
  <c r="BQ176" i="25"/>
  <c r="BQ177" i="25" s="1"/>
  <c r="BP176" i="25"/>
  <c r="BP177" i="25" s="1"/>
  <c r="BO176" i="25"/>
  <c r="BO177" i="25" s="1"/>
  <c r="BN176" i="25"/>
  <c r="BN177" i="25" s="1"/>
  <c r="BM176" i="25"/>
  <c r="BM177" i="25" s="1"/>
  <c r="BL176" i="25"/>
  <c r="BL177" i="25" s="1"/>
  <c r="BK176" i="25"/>
  <c r="BK177" i="25" s="1"/>
  <c r="BJ176" i="25"/>
  <c r="BJ177" i="25" s="1"/>
  <c r="BI176" i="25"/>
  <c r="BI177" i="25" s="1"/>
  <c r="BH176" i="25"/>
  <c r="BH177" i="25" s="1"/>
  <c r="BG176" i="25"/>
  <c r="BG177" i="25" s="1"/>
  <c r="BF176" i="25"/>
  <c r="BF177" i="25" s="1"/>
  <c r="BE176" i="25"/>
  <c r="BE177" i="25" s="1"/>
  <c r="BD176" i="25"/>
  <c r="BD177" i="25" s="1"/>
  <c r="BC176" i="25"/>
  <c r="BC177" i="25" s="1"/>
  <c r="BB176" i="25"/>
  <c r="BB177" i="25" s="1"/>
  <c r="BA176" i="25"/>
  <c r="BA177" i="25" s="1"/>
  <c r="AZ176" i="25"/>
  <c r="AZ177" i="25" s="1"/>
  <c r="AY176" i="25"/>
  <c r="AY177" i="25" s="1"/>
  <c r="AX176" i="25"/>
  <c r="AX177" i="25" s="1"/>
  <c r="AW176" i="25"/>
  <c r="AW177" i="25" s="1"/>
  <c r="AV176" i="25"/>
  <c r="AV177" i="25" s="1"/>
  <c r="AU176" i="25"/>
  <c r="AU177" i="25" s="1"/>
  <c r="AT176" i="25"/>
  <c r="AT177" i="25" s="1"/>
  <c r="AS176" i="25"/>
  <c r="AS177" i="25" s="1"/>
  <c r="AR176" i="25"/>
  <c r="AR177" i="25" s="1"/>
  <c r="AQ176" i="25"/>
  <c r="AQ177" i="25" s="1"/>
  <c r="AP176" i="25"/>
  <c r="AP177" i="25" s="1"/>
  <c r="AO176" i="25"/>
  <c r="AO177" i="25" s="1"/>
  <c r="AN176" i="25"/>
  <c r="AN177" i="25" s="1"/>
  <c r="AM176" i="25"/>
  <c r="AM177" i="25" s="1"/>
  <c r="AL176" i="25"/>
  <c r="AL177" i="25" s="1"/>
  <c r="AK176" i="25"/>
  <c r="AK177" i="25" s="1"/>
  <c r="AJ176" i="25"/>
  <c r="AJ177" i="25" s="1"/>
  <c r="AI176" i="25"/>
  <c r="AI177" i="25" s="1"/>
  <c r="AH176" i="25"/>
  <c r="AH177" i="25" s="1"/>
  <c r="AG176" i="25"/>
  <c r="AG177" i="25" s="1"/>
  <c r="AF176" i="25"/>
  <c r="AF177" i="25" s="1"/>
  <c r="AE176" i="25"/>
  <c r="AE177" i="25" s="1"/>
  <c r="AD176" i="25"/>
  <c r="AD177" i="25" s="1"/>
  <c r="AC176" i="25"/>
  <c r="AC177" i="25" s="1"/>
  <c r="AB176" i="25"/>
  <c r="AB177" i="25" s="1"/>
  <c r="AA176" i="25"/>
  <c r="AA177" i="25" s="1"/>
  <c r="Z176" i="25"/>
  <c r="Z177" i="25" s="1"/>
  <c r="Y176" i="25"/>
  <c r="Y177" i="25" s="1"/>
  <c r="X176" i="25"/>
  <c r="X177" i="25" s="1"/>
  <c r="W176" i="25"/>
  <c r="W177" i="25" s="1"/>
  <c r="V176" i="25"/>
  <c r="V177" i="25" s="1"/>
  <c r="U176" i="25"/>
  <c r="U177" i="25" s="1"/>
  <c r="T176" i="25"/>
  <c r="T177" i="25" s="1"/>
  <c r="S176" i="25"/>
  <c r="S177" i="25" s="1"/>
  <c r="R176" i="25"/>
  <c r="R177" i="25" s="1"/>
  <c r="Q176" i="25"/>
  <c r="Q177" i="25" s="1"/>
  <c r="P176" i="25"/>
  <c r="P177" i="25" s="1"/>
  <c r="O176" i="25"/>
  <c r="O177" i="25" s="1"/>
  <c r="N176" i="25"/>
  <c r="N177" i="25" s="1"/>
  <c r="M176" i="25"/>
  <c r="M177" i="25" s="1"/>
  <c r="L176" i="25"/>
  <c r="L177" i="25" s="1"/>
  <c r="K176" i="25"/>
  <c r="K177" i="25" s="1"/>
  <c r="J176" i="25"/>
  <c r="J177" i="25" s="1"/>
  <c r="I176" i="25"/>
  <c r="I177" i="25" s="1"/>
  <c r="H176" i="25"/>
  <c r="H177" i="25" s="1"/>
  <c r="G176" i="25"/>
  <c r="G177" i="25" s="1"/>
  <c r="BX174" i="25"/>
  <c r="BW174" i="25"/>
  <c r="BV174" i="25"/>
  <c r="BU174" i="25"/>
  <c r="BT174" i="25"/>
  <c r="BS174" i="25"/>
  <c r="BR174" i="25"/>
  <c r="BQ174" i="25"/>
  <c r="BP174" i="25"/>
  <c r="BO174" i="25"/>
  <c r="BN174" i="25"/>
  <c r="BM174" i="25"/>
  <c r="BL174" i="25"/>
  <c r="BK174" i="25"/>
  <c r="BJ174" i="25"/>
  <c r="BI174" i="25"/>
  <c r="BH174" i="25"/>
  <c r="BG174" i="25"/>
  <c r="BF174" i="25"/>
  <c r="BE174" i="25"/>
  <c r="BD174" i="25"/>
  <c r="BC174" i="25"/>
  <c r="BB174" i="25"/>
  <c r="BA174" i="25"/>
  <c r="AZ174" i="25"/>
  <c r="AY174" i="25"/>
  <c r="AX174" i="25"/>
  <c r="AW174" i="25"/>
  <c r="AV174" i="25"/>
  <c r="AU174" i="25"/>
  <c r="AT174" i="25"/>
  <c r="AS174" i="25"/>
  <c r="AR174" i="25"/>
  <c r="AQ174" i="25"/>
  <c r="AP174" i="25"/>
  <c r="AO174" i="25"/>
  <c r="AN174" i="25"/>
  <c r="AM174" i="25"/>
  <c r="AL174" i="25"/>
  <c r="AK174" i="25"/>
  <c r="AJ174" i="25"/>
  <c r="AI174" i="25"/>
  <c r="AH174" i="25"/>
  <c r="AG174" i="25"/>
  <c r="AF174" i="25"/>
  <c r="AE174" i="25"/>
  <c r="AD174" i="25"/>
  <c r="AC174" i="25"/>
  <c r="AB174" i="25"/>
  <c r="AA174" i="25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6" i="25"/>
  <c r="F177" i="25" s="1"/>
  <c r="F181" i="13" s="1"/>
  <c r="F174" i="25"/>
  <c r="F178" i="13" s="1"/>
  <c r="BX162" i="25"/>
  <c r="BW162" i="25"/>
  <c r="BV162" i="25"/>
  <c r="BU162" i="25"/>
  <c r="BT162" i="25"/>
  <c r="BS162" i="25"/>
  <c r="BR162" i="25"/>
  <c r="BQ162" i="25"/>
  <c r="BP162" i="25"/>
  <c r="BO162" i="25"/>
  <c r="BN162" i="25"/>
  <c r="BM162" i="25"/>
  <c r="BL162" i="25"/>
  <c r="BK162" i="25"/>
  <c r="BJ162" i="25"/>
  <c r="BI162" i="25"/>
  <c r="BH162" i="25"/>
  <c r="BG162" i="25"/>
  <c r="BF162" i="25"/>
  <c r="BE162" i="25"/>
  <c r="BD162" i="25"/>
  <c r="BC162" i="25"/>
  <c r="BB162" i="25"/>
  <c r="BA162" i="25"/>
  <c r="AZ162" i="25"/>
  <c r="AY162" i="25"/>
  <c r="AX162" i="25"/>
  <c r="AW162" i="25"/>
  <c r="AV162" i="25"/>
  <c r="AU162" i="25"/>
  <c r="AT162" i="25"/>
  <c r="AS162" i="25"/>
  <c r="AR162" i="25"/>
  <c r="AQ162" i="25"/>
  <c r="AP162" i="25"/>
  <c r="AO162" i="25"/>
  <c r="AN162" i="25"/>
  <c r="AM162" i="25"/>
  <c r="AL162" i="25"/>
  <c r="AK162" i="25"/>
  <c r="F166" i="13"/>
  <c r="BX161" i="25"/>
  <c r="BW161" i="25"/>
  <c r="BV161" i="25"/>
  <c r="BU161" i="25"/>
  <c r="BT161" i="25"/>
  <c r="BS161" i="25"/>
  <c r="BR161" i="25"/>
  <c r="BQ161" i="25"/>
  <c r="BP161" i="25"/>
  <c r="BO161" i="25"/>
  <c r="BN161" i="25"/>
  <c r="BM161" i="25"/>
  <c r="BL161" i="25"/>
  <c r="BK161" i="25"/>
  <c r="BJ161" i="25"/>
  <c r="BI161" i="25"/>
  <c r="BH161" i="25"/>
  <c r="BG161" i="25"/>
  <c r="BF161" i="25"/>
  <c r="BE161" i="25"/>
  <c r="BD161" i="25"/>
  <c r="BC161" i="25"/>
  <c r="BB161" i="25"/>
  <c r="BA161" i="25"/>
  <c r="AZ161" i="25"/>
  <c r="AY161" i="25"/>
  <c r="AX161" i="25"/>
  <c r="AW161" i="25"/>
  <c r="AV161" i="25"/>
  <c r="AU161" i="25"/>
  <c r="AT161" i="25"/>
  <c r="AS161" i="25"/>
  <c r="AR161" i="25"/>
  <c r="AQ161" i="25"/>
  <c r="AP161" i="25"/>
  <c r="AO161" i="25"/>
  <c r="AN161" i="25"/>
  <c r="AM161" i="25"/>
  <c r="AL161" i="25"/>
  <c r="AK161" i="25"/>
  <c r="F165" i="13"/>
  <c r="BX160" i="25"/>
  <c r="BW160" i="25"/>
  <c r="BV160" i="25"/>
  <c r="BU160" i="25"/>
  <c r="BT160" i="25"/>
  <c r="BS160" i="25"/>
  <c r="BR160" i="25"/>
  <c r="BQ160" i="25"/>
  <c r="BP160" i="25"/>
  <c r="BO160" i="25"/>
  <c r="BN160" i="25"/>
  <c r="BM160" i="25"/>
  <c r="BL160" i="25"/>
  <c r="BK160" i="25"/>
  <c r="BJ160" i="25"/>
  <c r="BI160" i="25"/>
  <c r="BH160" i="25"/>
  <c r="BG160" i="25"/>
  <c r="BF160" i="25"/>
  <c r="BE160" i="25"/>
  <c r="BD160" i="25"/>
  <c r="BC160" i="25"/>
  <c r="BB160" i="25"/>
  <c r="BA160" i="25"/>
  <c r="AZ160" i="25"/>
  <c r="AY160" i="25"/>
  <c r="AX160" i="25"/>
  <c r="AW160" i="25"/>
  <c r="AV160" i="25"/>
  <c r="AU160" i="25"/>
  <c r="AT160" i="25"/>
  <c r="AS160" i="25"/>
  <c r="AR160" i="25"/>
  <c r="AQ160" i="25"/>
  <c r="AP160" i="25"/>
  <c r="AO160" i="25"/>
  <c r="AN160" i="25"/>
  <c r="AM160" i="25"/>
  <c r="AL160" i="25"/>
  <c r="AK160" i="25"/>
  <c r="F164" i="13"/>
  <c r="BX125" i="25"/>
  <c r="BW125" i="25"/>
  <c r="BV125" i="25"/>
  <c r="BU125" i="25"/>
  <c r="BT125" i="25"/>
  <c r="BS125" i="25"/>
  <c r="BR125" i="25"/>
  <c r="BQ125" i="25"/>
  <c r="BP125" i="25"/>
  <c r="BO125" i="25"/>
  <c r="BN125" i="25"/>
  <c r="BM125" i="25"/>
  <c r="BL125" i="25"/>
  <c r="BK125" i="25"/>
  <c r="BJ125" i="25"/>
  <c r="BI125" i="25"/>
  <c r="BH125" i="25"/>
  <c r="BG125" i="25"/>
  <c r="BF125" i="25"/>
  <c r="BE125" i="25"/>
  <c r="BD125" i="25"/>
  <c r="BC125" i="25"/>
  <c r="BB125" i="25"/>
  <c r="BA125" i="25"/>
  <c r="AZ125" i="25"/>
  <c r="AY125" i="25"/>
  <c r="AX125" i="25"/>
  <c r="AW125" i="25"/>
  <c r="AV125" i="25"/>
  <c r="AU125" i="25"/>
  <c r="AT125" i="25"/>
  <c r="AS125" i="25"/>
  <c r="AR125" i="25"/>
  <c r="AQ125" i="25"/>
  <c r="AP125" i="25"/>
  <c r="AO125" i="25"/>
  <c r="AN125" i="25"/>
  <c r="AM125" i="25"/>
  <c r="AL125" i="25"/>
  <c r="AK125" i="25"/>
  <c r="AJ125" i="25"/>
  <c r="AI125" i="25"/>
  <c r="AH125" i="25"/>
  <c r="AG125" i="25"/>
  <c r="AF125" i="25"/>
  <c r="AE125" i="25"/>
  <c r="AD125" i="25"/>
  <c r="AC125" i="25"/>
  <c r="AB125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9" i="13"/>
  <c r="F116" i="25"/>
  <c r="F120" i="13" s="1"/>
  <c r="BX116" i="25"/>
  <c r="BW116" i="25"/>
  <c r="BV116" i="25"/>
  <c r="BU116" i="25"/>
  <c r="BT116" i="25"/>
  <c r="BS116" i="25"/>
  <c r="BR116" i="25"/>
  <c r="BQ116" i="25"/>
  <c r="BP116" i="25"/>
  <c r="BO116" i="25"/>
  <c r="BN116" i="25"/>
  <c r="BM116" i="25"/>
  <c r="BL116" i="25"/>
  <c r="BK116" i="25"/>
  <c r="BJ116" i="25"/>
  <c r="BI116" i="25"/>
  <c r="BH116" i="25"/>
  <c r="BG116" i="25"/>
  <c r="BF116" i="25"/>
  <c r="BE116" i="25"/>
  <c r="BD116" i="25"/>
  <c r="BC116" i="25"/>
  <c r="BB116" i="25"/>
  <c r="BA116" i="25"/>
  <c r="AZ116" i="25"/>
  <c r="AY116" i="25"/>
  <c r="AX116" i="25"/>
  <c r="AW116" i="25"/>
  <c r="AV116" i="25"/>
  <c r="AU116" i="25"/>
  <c r="AT116" i="25"/>
  <c r="AS116" i="25"/>
  <c r="AR116" i="25"/>
  <c r="AQ116" i="25"/>
  <c r="AP116" i="25"/>
  <c r="AO116" i="25"/>
  <c r="AN116" i="25"/>
  <c r="AM116" i="25"/>
  <c r="AL116" i="25"/>
  <c r="AK116" i="25"/>
  <c r="AJ116" i="25"/>
  <c r="AI116" i="25"/>
  <c r="AH116" i="25"/>
  <c r="AG116" i="25"/>
  <c r="AF116" i="25"/>
  <c r="AE116" i="25"/>
  <c r="AD116" i="25"/>
  <c r="AC116" i="25"/>
  <c r="AB116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08" i="25"/>
  <c r="F112" i="13" s="1"/>
  <c r="F107" i="25"/>
  <c r="F111" i="13" s="1"/>
  <c r="BX108" i="25"/>
  <c r="BW108" i="25"/>
  <c r="BV108" i="25"/>
  <c r="BU108" i="25"/>
  <c r="BT108" i="25"/>
  <c r="BS108" i="25"/>
  <c r="BR108" i="25"/>
  <c r="BQ108" i="25"/>
  <c r="BP108" i="25"/>
  <c r="BO108" i="25"/>
  <c r="BN108" i="25"/>
  <c r="BM108" i="25"/>
  <c r="BL108" i="25"/>
  <c r="BK108" i="25"/>
  <c r="BJ108" i="25"/>
  <c r="BI108" i="25"/>
  <c r="BH108" i="25"/>
  <c r="BG108" i="25"/>
  <c r="BF108" i="25"/>
  <c r="BE108" i="25"/>
  <c r="BD108" i="25"/>
  <c r="BC108" i="25"/>
  <c r="BB108" i="25"/>
  <c r="BA108" i="25"/>
  <c r="AZ108" i="25"/>
  <c r="AY108" i="25"/>
  <c r="AX108" i="25"/>
  <c r="AW108" i="25"/>
  <c r="AV108" i="25"/>
  <c r="AU108" i="25"/>
  <c r="AT108" i="25"/>
  <c r="AS108" i="25"/>
  <c r="AR108" i="25"/>
  <c r="AQ108" i="25"/>
  <c r="AP108" i="25"/>
  <c r="AO108" i="25"/>
  <c r="AN108" i="25"/>
  <c r="AM108" i="25"/>
  <c r="AL108" i="25"/>
  <c r="AK108" i="25"/>
  <c r="AJ108" i="25"/>
  <c r="AI108" i="25"/>
  <c r="AH108" i="25"/>
  <c r="AG108" i="25"/>
  <c r="AF108" i="25"/>
  <c r="AE108" i="25"/>
  <c r="AD108" i="25"/>
  <c r="AC108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BX104" i="25"/>
  <c r="BW104" i="25"/>
  <c r="BW105" i="25" s="1"/>
  <c r="BV104" i="25"/>
  <c r="BV105" i="25" s="1"/>
  <c r="BU104" i="25"/>
  <c r="BU105" i="25" s="1"/>
  <c r="BT104" i="25"/>
  <c r="BS104" i="25"/>
  <c r="BR104" i="25"/>
  <c r="BR105" i="25" s="1"/>
  <c r="BQ104" i="25"/>
  <c r="BQ105" i="25" s="1"/>
  <c r="BP104" i="25"/>
  <c r="BO104" i="25"/>
  <c r="BN104" i="25"/>
  <c r="BN105" i="25" s="1"/>
  <c r="BM104" i="25"/>
  <c r="BM105" i="25" s="1"/>
  <c r="BL104" i="25"/>
  <c r="BK104" i="25"/>
  <c r="BK105" i="25" s="1"/>
  <c r="BJ104" i="25"/>
  <c r="BI104" i="25"/>
  <c r="BH104" i="25"/>
  <c r="BG104" i="25"/>
  <c r="BG105" i="25" s="1"/>
  <c r="BF104" i="25"/>
  <c r="BE104" i="25"/>
  <c r="BD104" i="25"/>
  <c r="BC104" i="25"/>
  <c r="BB104" i="25"/>
  <c r="BB105" i="25" s="1"/>
  <c r="BA104" i="25"/>
  <c r="BA105" i="25" s="1"/>
  <c r="AZ104" i="25"/>
  <c r="AY104" i="25"/>
  <c r="AX104" i="25"/>
  <c r="AX105" i="25" s="1"/>
  <c r="AW104" i="25"/>
  <c r="AW105" i="25" s="1"/>
  <c r="AV104" i="25"/>
  <c r="AU104" i="25"/>
  <c r="AU105" i="25" s="1"/>
  <c r="AT104" i="25"/>
  <c r="AS104" i="25"/>
  <c r="AR104" i="25"/>
  <c r="AQ104" i="25"/>
  <c r="AP104" i="25"/>
  <c r="AO104" i="25"/>
  <c r="AN104" i="25"/>
  <c r="AM104" i="25"/>
  <c r="AM105" i="25" s="1"/>
  <c r="AL104" i="25"/>
  <c r="AL105" i="25" s="1"/>
  <c r="AK104" i="25"/>
  <c r="AK105" i="25" s="1"/>
  <c r="AJ104" i="25"/>
  <c r="AI104" i="25"/>
  <c r="AH104" i="25"/>
  <c r="AG104" i="25"/>
  <c r="AF104" i="25"/>
  <c r="AE104" i="25"/>
  <c r="AE105" i="25" s="1"/>
  <c r="AD104" i="25"/>
  <c r="AC104" i="25"/>
  <c r="AB104" i="25"/>
  <c r="AA104" i="25"/>
  <c r="Z104" i="25"/>
  <c r="Z105" i="25" s="1"/>
  <c r="Y104" i="25"/>
  <c r="Y105" i="25" s="1"/>
  <c r="X104" i="25"/>
  <c r="W104" i="25"/>
  <c r="W105" i="25" s="1"/>
  <c r="V104" i="25"/>
  <c r="V105" i="25" s="1"/>
  <c r="U104" i="25"/>
  <c r="U105" i="25" s="1"/>
  <c r="T104" i="25"/>
  <c r="S104" i="25"/>
  <c r="R104" i="25"/>
  <c r="R105" i="25" s="1"/>
  <c r="Q104" i="25"/>
  <c r="P104" i="25"/>
  <c r="O104" i="25"/>
  <c r="O105" i="25" s="1"/>
  <c r="N104" i="25"/>
  <c r="M104" i="25"/>
  <c r="L104" i="25"/>
  <c r="L105" i="25" s="1"/>
  <c r="K104" i="25"/>
  <c r="J104" i="25"/>
  <c r="J105" i="25" s="1"/>
  <c r="I104" i="25"/>
  <c r="I105" i="25" s="1"/>
  <c r="H104" i="25"/>
  <c r="G104" i="25"/>
  <c r="F104" i="25"/>
  <c r="F105" i="25" s="1"/>
  <c r="F109" i="13" s="1"/>
  <c r="BX107" i="25"/>
  <c r="BW107" i="25"/>
  <c r="BV107" i="25"/>
  <c r="BU107" i="25"/>
  <c r="BT107" i="25"/>
  <c r="BS107" i="25"/>
  <c r="BR107" i="25"/>
  <c r="BQ107" i="25"/>
  <c r="BP107" i="25"/>
  <c r="BO107" i="25"/>
  <c r="BN107" i="25"/>
  <c r="BM107" i="25"/>
  <c r="BL107" i="25"/>
  <c r="BK107" i="25"/>
  <c r="BJ107" i="25"/>
  <c r="BI107" i="25"/>
  <c r="BH107" i="25"/>
  <c r="BG107" i="25"/>
  <c r="BF107" i="25"/>
  <c r="BE107" i="25"/>
  <c r="BD107" i="25"/>
  <c r="BC107" i="25"/>
  <c r="BB107" i="25"/>
  <c r="BA107" i="25"/>
  <c r="AZ107" i="25"/>
  <c r="AY107" i="25"/>
  <c r="AX107" i="25"/>
  <c r="AW107" i="25"/>
  <c r="AV107" i="25"/>
  <c r="AU107" i="25"/>
  <c r="AT107" i="25"/>
  <c r="AS107" i="25"/>
  <c r="AR107" i="25"/>
  <c r="AQ107" i="25"/>
  <c r="AP107" i="25"/>
  <c r="AO107" i="25"/>
  <c r="AN107" i="25"/>
  <c r="AM107" i="25"/>
  <c r="AL107" i="25"/>
  <c r="AK107" i="25"/>
  <c r="AJ107" i="25"/>
  <c r="AI107" i="25"/>
  <c r="AH107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BX103" i="25"/>
  <c r="BW103" i="25"/>
  <c r="BV103" i="25"/>
  <c r="BU103" i="25"/>
  <c r="BT103" i="25"/>
  <c r="BS103" i="25"/>
  <c r="BR103" i="25"/>
  <c r="BQ103" i="25"/>
  <c r="BP103" i="25"/>
  <c r="BO103" i="25"/>
  <c r="BN103" i="25"/>
  <c r="BM103" i="25"/>
  <c r="BL103" i="25"/>
  <c r="BK103" i="25"/>
  <c r="BJ103" i="25"/>
  <c r="BI103" i="25"/>
  <c r="BH103" i="25"/>
  <c r="BG103" i="25"/>
  <c r="BF103" i="25"/>
  <c r="BE103" i="25"/>
  <c r="BD103" i="25"/>
  <c r="BC103" i="25"/>
  <c r="BB103" i="25"/>
  <c r="BA103" i="25"/>
  <c r="AZ103" i="25"/>
  <c r="AY103" i="25"/>
  <c r="AX103" i="25"/>
  <c r="AW103" i="25"/>
  <c r="AV103" i="25"/>
  <c r="AU103" i="25"/>
  <c r="AT103" i="25"/>
  <c r="AS103" i="25"/>
  <c r="AR103" i="25"/>
  <c r="AQ103" i="25"/>
  <c r="AP103" i="25"/>
  <c r="AO103" i="25"/>
  <c r="AN103" i="25"/>
  <c r="AM103" i="25"/>
  <c r="AL103" i="25"/>
  <c r="AK103" i="25"/>
  <c r="AJ103" i="25"/>
  <c r="AI103" i="25"/>
  <c r="AH103" i="25"/>
  <c r="AG103" i="25"/>
  <c r="AF103" i="25"/>
  <c r="AE103" i="25"/>
  <c r="AD103" i="25"/>
  <c r="AC103" i="25"/>
  <c r="AB103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F107" i="13" s="1"/>
  <c r="F68" i="25"/>
  <c r="F72" i="13" s="1"/>
  <c r="H84" i="25"/>
  <c r="F79" i="13"/>
  <c r="F64" i="25"/>
  <c r="F68" i="13" s="1"/>
  <c r="F65" i="25"/>
  <c r="F69" i="13" s="1"/>
  <c r="H65" i="25"/>
  <c r="AJ65" i="25"/>
  <c r="AI65" i="25"/>
  <c r="AH65" i="25"/>
  <c r="AG65" i="25"/>
  <c r="AF65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G65" i="25"/>
  <c r="AJ63" i="25"/>
  <c r="AJ64" i="25" s="1"/>
  <c r="AI63" i="25"/>
  <c r="AI64" i="25" s="1"/>
  <c r="AH63" i="25"/>
  <c r="AH64" i="25" s="1"/>
  <c r="AG63" i="25"/>
  <c r="AG64" i="25" s="1"/>
  <c r="AF63" i="25"/>
  <c r="AF64" i="25" s="1"/>
  <c r="AE63" i="25"/>
  <c r="AD63" i="25"/>
  <c r="AC63" i="25"/>
  <c r="AB63" i="25"/>
  <c r="AA63" i="25"/>
  <c r="Z63" i="25"/>
  <c r="Y63" i="25"/>
  <c r="X63" i="25"/>
  <c r="W63" i="25"/>
  <c r="V63" i="25"/>
  <c r="V64" i="25" s="1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H64" i="25" s="1"/>
  <c r="G63" i="25"/>
  <c r="G64" i="25" s="1"/>
  <c r="AJ60" i="25"/>
  <c r="AI60" i="25"/>
  <c r="AH60" i="25"/>
  <c r="AG60" i="25"/>
  <c r="AG61" i="25" s="1"/>
  <c r="AF60" i="25"/>
  <c r="AF61" i="25" s="1"/>
  <c r="AE60" i="25"/>
  <c r="AE61" i="25" s="1"/>
  <c r="AD60" i="25"/>
  <c r="AD61" i="25" s="1"/>
  <c r="AC60" i="25"/>
  <c r="AC61" i="25" s="1"/>
  <c r="AB60" i="25"/>
  <c r="AB61" i="25" s="1"/>
  <c r="AA60" i="25"/>
  <c r="Z60" i="25"/>
  <c r="Z61" i="25" s="1"/>
  <c r="Y60" i="25"/>
  <c r="Y61" i="25" s="1"/>
  <c r="X60" i="25"/>
  <c r="X61" i="25" s="1"/>
  <c r="W60" i="25"/>
  <c r="V60" i="25"/>
  <c r="U60" i="25"/>
  <c r="T60" i="25"/>
  <c r="S60" i="25"/>
  <c r="R60" i="25"/>
  <c r="R61" i="25" s="1"/>
  <c r="Q60" i="25"/>
  <c r="Q61" i="25" s="1"/>
  <c r="P60" i="25"/>
  <c r="P61" i="25" s="1"/>
  <c r="O60" i="25"/>
  <c r="O61" i="25" s="1"/>
  <c r="N60" i="25"/>
  <c r="N61" i="25" s="1"/>
  <c r="M60" i="25"/>
  <c r="M61" i="25" s="1"/>
  <c r="L60" i="25"/>
  <c r="L61" i="25" s="1"/>
  <c r="K60" i="25"/>
  <c r="J60" i="25"/>
  <c r="J61" i="25" s="1"/>
  <c r="I60" i="25"/>
  <c r="I61" i="25" s="1"/>
  <c r="H60" i="25"/>
  <c r="H64" i="13" s="1"/>
  <c r="AJ59" i="25"/>
  <c r="AJ62" i="25" s="1"/>
  <c r="AI59" i="25"/>
  <c r="AI62" i="25" s="1"/>
  <c r="AH59" i="25"/>
  <c r="AH62" i="25" s="1"/>
  <c r="AG59" i="25"/>
  <c r="AG62" i="25" s="1"/>
  <c r="AF59" i="25"/>
  <c r="AF62" i="25" s="1"/>
  <c r="AE59" i="25"/>
  <c r="AE62" i="25" s="1"/>
  <c r="AD59" i="25"/>
  <c r="AD62" i="25" s="1"/>
  <c r="AC59" i="25"/>
  <c r="AC62" i="25" s="1"/>
  <c r="AB59" i="25"/>
  <c r="AB62" i="25" s="1"/>
  <c r="AA59" i="25"/>
  <c r="AA62" i="25" s="1"/>
  <c r="Z59" i="25"/>
  <c r="Z62" i="25" s="1"/>
  <c r="Y59" i="25"/>
  <c r="Y62" i="25" s="1"/>
  <c r="X59" i="25"/>
  <c r="X62" i="25" s="1"/>
  <c r="W59" i="25"/>
  <c r="W62" i="25" s="1"/>
  <c r="V59" i="25"/>
  <c r="V62" i="25" s="1"/>
  <c r="U59" i="25"/>
  <c r="U62" i="25" s="1"/>
  <c r="T59" i="25"/>
  <c r="T62" i="25" s="1"/>
  <c r="S59" i="25"/>
  <c r="S62" i="25" s="1"/>
  <c r="R59" i="25"/>
  <c r="R62" i="25" s="1"/>
  <c r="Q59" i="25"/>
  <c r="Q62" i="25" s="1"/>
  <c r="P59" i="25"/>
  <c r="P62" i="25" s="1"/>
  <c r="O59" i="25"/>
  <c r="O62" i="25" s="1"/>
  <c r="N59" i="25"/>
  <c r="N62" i="25" s="1"/>
  <c r="M59" i="25"/>
  <c r="M62" i="25" s="1"/>
  <c r="L59" i="25"/>
  <c r="L62" i="25" s="1"/>
  <c r="K59" i="25"/>
  <c r="K62" i="25" s="1"/>
  <c r="J59" i="25"/>
  <c r="J62" i="25" s="1"/>
  <c r="I59" i="25"/>
  <c r="I62" i="25" s="1"/>
  <c r="H59" i="25"/>
  <c r="H62" i="25" s="1"/>
  <c r="H66" i="13" s="1"/>
  <c r="AJ57" i="25"/>
  <c r="AJ58" i="25" s="1"/>
  <c r="AI57" i="25"/>
  <c r="AI58" i="25" s="1"/>
  <c r="AH57" i="25"/>
  <c r="AH58" i="25" s="1"/>
  <c r="AG57" i="25"/>
  <c r="AF57" i="25"/>
  <c r="AE57" i="25"/>
  <c r="AE58" i="25" s="1"/>
  <c r="AD57" i="25"/>
  <c r="AD58" i="25" s="1"/>
  <c r="AC57" i="25"/>
  <c r="AC58" i="25" s="1"/>
  <c r="AB57" i="25"/>
  <c r="AB58" i="25" s="1"/>
  <c r="AA57" i="25"/>
  <c r="AA58" i="25" s="1"/>
  <c r="Z57" i="25"/>
  <c r="Z58" i="25" s="1"/>
  <c r="Y57" i="25"/>
  <c r="Y58" i="25" s="1"/>
  <c r="X57" i="25"/>
  <c r="X58" i="25" s="1"/>
  <c r="W57" i="25"/>
  <c r="W58" i="25" s="1"/>
  <c r="V57" i="25"/>
  <c r="V58" i="25" s="1"/>
  <c r="U57" i="25"/>
  <c r="T57" i="25"/>
  <c r="T58" i="25" s="1"/>
  <c r="S57" i="25"/>
  <c r="S58" i="25" s="1"/>
  <c r="R57" i="25"/>
  <c r="R58" i="25" s="1"/>
  <c r="Q57" i="25"/>
  <c r="P57" i="25"/>
  <c r="O57" i="25"/>
  <c r="N57" i="25"/>
  <c r="N58" i="25" s="1"/>
  <c r="M57" i="25"/>
  <c r="M58" i="25" s="1"/>
  <c r="L57" i="25"/>
  <c r="L58" i="25" s="1"/>
  <c r="K57" i="25"/>
  <c r="K58" i="25" s="1"/>
  <c r="J57" i="25"/>
  <c r="J58" i="25" s="1"/>
  <c r="I57" i="25"/>
  <c r="I58" i="25" s="1"/>
  <c r="H57" i="25"/>
  <c r="H58" i="25" s="1"/>
  <c r="H62" i="13" s="1"/>
  <c r="H56" i="25"/>
  <c r="H60" i="13" s="1"/>
  <c r="AJ56" i="25"/>
  <c r="AI56" i="25"/>
  <c r="AH56" i="25"/>
  <c r="AG56" i="25"/>
  <c r="AF56" i="25"/>
  <c r="AE56" i="25"/>
  <c r="AD56" i="25"/>
  <c r="AC56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AJ54" i="25"/>
  <c r="AJ55" i="25" s="1"/>
  <c r="AI54" i="25"/>
  <c r="AI55" i="25" s="1"/>
  <c r="AH54" i="25"/>
  <c r="AH55" i="25" s="1"/>
  <c r="AG54" i="25"/>
  <c r="AF54" i="25"/>
  <c r="AF55" i="25" s="1"/>
  <c r="AE54" i="25"/>
  <c r="AD54" i="25"/>
  <c r="AD55" i="25" s="1"/>
  <c r="AC54" i="25"/>
  <c r="AC55" i="25" s="1"/>
  <c r="AB54" i="25"/>
  <c r="AB55" i="25" s="1"/>
  <c r="AA54" i="25"/>
  <c r="Z54" i="25"/>
  <c r="Y54" i="25"/>
  <c r="Y55" i="25" s="1"/>
  <c r="X54" i="25"/>
  <c r="W54" i="25"/>
  <c r="V54" i="25"/>
  <c r="V55" i="25" s="1"/>
  <c r="U54" i="25"/>
  <c r="U55" i="25" s="1"/>
  <c r="T54" i="25"/>
  <c r="T55" i="25" s="1"/>
  <c r="S54" i="25"/>
  <c r="S55" i="25" s="1"/>
  <c r="R54" i="25"/>
  <c r="R55" i="25" s="1"/>
  <c r="Q54" i="25"/>
  <c r="Q55" i="25" s="1"/>
  <c r="P54" i="25"/>
  <c r="O54" i="25"/>
  <c r="N54" i="25"/>
  <c r="N55" i="25" s="1"/>
  <c r="M54" i="25"/>
  <c r="M55" i="25" s="1"/>
  <c r="L54" i="25"/>
  <c r="L55" i="25" s="1"/>
  <c r="K54" i="25"/>
  <c r="J54" i="25"/>
  <c r="I54" i="25"/>
  <c r="I55" i="25" s="1"/>
  <c r="H54" i="25"/>
  <c r="H58" i="13" s="1"/>
  <c r="G40" i="25"/>
  <c r="G159" i="25" s="1"/>
  <c r="BX159" i="25"/>
  <c r="BW159" i="25"/>
  <c r="BV159" i="25"/>
  <c r="BU159" i="25"/>
  <c r="BT159" i="25"/>
  <c r="BS159" i="25"/>
  <c r="BR159" i="25"/>
  <c r="BQ159" i="25"/>
  <c r="BP159" i="25"/>
  <c r="BO159" i="25"/>
  <c r="BN159" i="25"/>
  <c r="BM159" i="25"/>
  <c r="BL159" i="25"/>
  <c r="BK159" i="25"/>
  <c r="BJ159" i="25"/>
  <c r="BI159" i="25"/>
  <c r="BH159" i="25"/>
  <c r="BG159" i="25"/>
  <c r="BF159" i="25"/>
  <c r="BE159" i="25"/>
  <c r="BD159" i="25"/>
  <c r="BC159" i="25"/>
  <c r="BB159" i="25"/>
  <c r="BA159" i="25"/>
  <c r="AZ159" i="25"/>
  <c r="AY159" i="25"/>
  <c r="AX159" i="25"/>
  <c r="AW159" i="25"/>
  <c r="AV159" i="25"/>
  <c r="AU159" i="25"/>
  <c r="AT159" i="25"/>
  <c r="AS159" i="25"/>
  <c r="AR159" i="25"/>
  <c r="AQ159" i="25"/>
  <c r="AP159" i="25"/>
  <c r="AO159" i="25"/>
  <c r="AN159" i="25"/>
  <c r="AM159" i="25"/>
  <c r="AL159" i="25"/>
  <c r="AK159" i="25"/>
  <c r="AJ40" i="25"/>
  <c r="AJ159" i="25" s="1"/>
  <c r="AI40" i="25"/>
  <c r="AI159" i="25" s="1"/>
  <c r="AH40" i="25"/>
  <c r="AH159" i="25" s="1"/>
  <c r="AG40" i="25"/>
  <c r="AG159" i="25" s="1"/>
  <c r="AF40" i="25"/>
  <c r="AF159" i="25" s="1"/>
  <c r="AE40" i="25"/>
  <c r="AD40" i="25"/>
  <c r="AC40" i="25"/>
  <c r="AB40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H159" i="25" s="1"/>
  <c r="BX158" i="25"/>
  <c r="BW158" i="25"/>
  <c r="BV158" i="25"/>
  <c r="BU158" i="25"/>
  <c r="BT158" i="25"/>
  <c r="BS158" i="25"/>
  <c r="BR158" i="25"/>
  <c r="BQ158" i="25"/>
  <c r="BP158" i="25"/>
  <c r="BO158" i="25"/>
  <c r="BN158" i="25"/>
  <c r="BM158" i="25"/>
  <c r="BL158" i="25"/>
  <c r="BK158" i="25"/>
  <c r="BJ158" i="25"/>
  <c r="BI158" i="25"/>
  <c r="BH158" i="25"/>
  <c r="BG158" i="25"/>
  <c r="BF158" i="25"/>
  <c r="BE158" i="25"/>
  <c r="BD158" i="25"/>
  <c r="BC158" i="25"/>
  <c r="BB158" i="25"/>
  <c r="BA158" i="25"/>
  <c r="AZ158" i="25"/>
  <c r="AY158" i="25"/>
  <c r="AX158" i="25"/>
  <c r="AW158" i="25"/>
  <c r="AV158" i="25"/>
  <c r="AU158" i="25"/>
  <c r="AT158" i="25"/>
  <c r="AS158" i="25"/>
  <c r="AR158" i="25"/>
  <c r="AQ158" i="25"/>
  <c r="AP158" i="25"/>
  <c r="AO158" i="25"/>
  <c r="AN158" i="25"/>
  <c r="AM158" i="25"/>
  <c r="AL158" i="25"/>
  <c r="AK158" i="25"/>
  <c r="AJ39" i="25"/>
  <c r="AJ158" i="25" s="1"/>
  <c r="AI39" i="25"/>
  <c r="AI158" i="25" s="1"/>
  <c r="AH39" i="25"/>
  <c r="AH158" i="25" s="1"/>
  <c r="AG39" i="25"/>
  <c r="AG158" i="25" s="1"/>
  <c r="AF39" i="25"/>
  <c r="AF158" i="25" s="1"/>
  <c r="AE39" i="25"/>
  <c r="AD39" i="25"/>
  <c r="AC39" i="25"/>
  <c r="AB39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H158" i="25" s="1"/>
  <c r="G39" i="25"/>
  <c r="G158" i="25" s="1"/>
  <c r="G35" i="25"/>
  <c r="H35" i="25" s="1"/>
  <c r="I35" i="25" s="1"/>
  <c r="J35" i="25" s="1"/>
  <c r="K35" i="25" s="1"/>
  <c r="L35" i="25" s="1"/>
  <c r="M35" i="25" s="1"/>
  <c r="N35" i="25" s="1"/>
  <c r="O35" i="25" s="1"/>
  <c r="P35" i="25" s="1"/>
  <c r="Q35" i="25" s="1"/>
  <c r="R35" i="25" s="1"/>
  <c r="S35" i="25" s="1"/>
  <c r="T35" i="25" s="1"/>
  <c r="U35" i="25" s="1"/>
  <c r="V35" i="25" s="1"/>
  <c r="W35" i="25" s="1"/>
  <c r="X35" i="25" s="1"/>
  <c r="Y35" i="25" s="1"/>
  <c r="Z35" i="25" s="1"/>
  <c r="AA35" i="25" s="1"/>
  <c r="AB35" i="25" s="1"/>
  <c r="AC35" i="25" s="1"/>
  <c r="AD35" i="25" s="1"/>
  <c r="AE35" i="25" s="1"/>
  <c r="AF35" i="25" s="1"/>
  <c r="AG35" i="25" s="1"/>
  <c r="AH35" i="25" s="1"/>
  <c r="AI35" i="25" s="1"/>
  <c r="AJ35" i="25" s="1"/>
  <c r="AK35" i="25" s="1"/>
  <c r="AL35" i="25" s="1"/>
  <c r="AM35" i="25" s="1"/>
  <c r="AN35" i="25" s="1"/>
  <c r="AO35" i="25" s="1"/>
  <c r="AP35" i="25" s="1"/>
  <c r="AQ35" i="25" s="1"/>
  <c r="AR35" i="25" s="1"/>
  <c r="AS35" i="25" s="1"/>
  <c r="AT35" i="25" s="1"/>
  <c r="AU35" i="25" s="1"/>
  <c r="AV35" i="25" s="1"/>
  <c r="AW35" i="25" s="1"/>
  <c r="AX35" i="25" s="1"/>
  <c r="AY35" i="25" s="1"/>
  <c r="AZ35" i="25" s="1"/>
  <c r="BA35" i="25" s="1"/>
  <c r="BB35" i="25" s="1"/>
  <c r="BC35" i="25" s="1"/>
  <c r="BD35" i="25" s="1"/>
  <c r="BE35" i="25" s="1"/>
  <c r="BF35" i="25" s="1"/>
  <c r="BG35" i="25" s="1"/>
  <c r="BH35" i="25" s="1"/>
  <c r="BI35" i="25" s="1"/>
  <c r="BJ35" i="25" s="1"/>
  <c r="BK35" i="25" s="1"/>
  <c r="BL35" i="25" s="1"/>
  <c r="BM35" i="25" s="1"/>
  <c r="BN35" i="25" s="1"/>
  <c r="BO35" i="25" s="1"/>
  <c r="BP35" i="25" s="1"/>
  <c r="BQ35" i="25" s="1"/>
  <c r="BR35" i="25" s="1"/>
  <c r="BS35" i="25" s="1"/>
  <c r="BT35" i="25" s="1"/>
  <c r="BU35" i="25" s="1"/>
  <c r="BV35" i="25" s="1"/>
  <c r="BW35" i="25" s="1"/>
  <c r="BX35" i="25" s="1"/>
  <c r="G34" i="25"/>
  <c r="H34" i="25" s="1"/>
  <c r="I34" i="25" s="1"/>
  <c r="J34" i="25" s="1"/>
  <c r="K34" i="25" s="1"/>
  <c r="L34" i="25" s="1"/>
  <c r="M34" i="25" s="1"/>
  <c r="N34" i="25" s="1"/>
  <c r="O34" i="25" s="1"/>
  <c r="P34" i="25" s="1"/>
  <c r="Q34" i="25" s="1"/>
  <c r="R34" i="25" s="1"/>
  <c r="S34" i="25" s="1"/>
  <c r="T34" i="25" s="1"/>
  <c r="U34" i="25" s="1"/>
  <c r="V34" i="25" s="1"/>
  <c r="W34" i="25" s="1"/>
  <c r="X34" i="25" s="1"/>
  <c r="Y34" i="25" s="1"/>
  <c r="Z34" i="25" s="1"/>
  <c r="AA34" i="25" s="1"/>
  <c r="AB34" i="25" s="1"/>
  <c r="AC34" i="25" s="1"/>
  <c r="AD34" i="25" s="1"/>
  <c r="AE34" i="25" s="1"/>
  <c r="AF34" i="25" s="1"/>
  <c r="AG34" i="25" s="1"/>
  <c r="AH34" i="25" s="1"/>
  <c r="AI34" i="25" s="1"/>
  <c r="AJ34" i="25" s="1"/>
  <c r="AK34" i="25" s="1"/>
  <c r="AL34" i="25" s="1"/>
  <c r="AM34" i="25" s="1"/>
  <c r="AN34" i="25" s="1"/>
  <c r="AO34" i="25" s="1"/>
  <c r="AP34" i="25" s="1"/>
  <c r="AQ34" i="25" s="1"/>
  <c r="AR34" i="25" s="1"/>
  <c r="AS34" i="25" s="1"/>
  <c r="AT34" i="25" s="1"/>
  <c r="AU34" i="25" s="1"/>
  <c r="AV34" i="25" s="1"/>
  <c r="AW34" i="25" s="1"/>
  <c r="AX34" i="25" s="1"/>
  <c r="AY34" i="25" s="1"/>
  <c r="AZ34" i="25" s="1"/>
  <c r="BA34" i="25" s="1"/>
  <c r="BB34" i="25" s="1"/>
  <c r="BC34" i="25" s="1"/>
  <c r="BD34" i="25" s="1"/>
  <c r="BE34" i="25" s="1"/>
  <c r="BF34" i="25" s="1"/>
  <c r="BG34" i="25" s="1"/>
  <c r="BH34" i="25" s="1"/>
  <c r="BI34" i="25" s="1"/>
  <c r="BJ34" i="25" s="1"/>
  <c r="BK34" i="25" s="1"/>
  <c r="BL34" i="25" s="1"/>
  <c r="BM34" i="25" s="1"/>
  <c r="BN34" i="25" s="1"/>
  <c r="BO34" i="25" s="1"/>
  <c r="BP34" i="25" s="1"/>
  <c r="BQ34" i="25" s="1"/>
  <c r="BR34" i="25" s="1"/>
  <c r="BS34" i="25" s="1"/>
  <c r="BT34" i="25" s="1"/>
  <c r="BU34" i="25" s="1"/>
  <c r="BV34" i="25" s="1"/>
  <c r="BW34" i="25" s="1"/>
  <c r="BX34" i="25" s="1"/>
  <c r="G33" i="25"/>
  <c r="H33" i="25" s="1"/>
  <c r="I33" i="25" s="1"/>
  <c r="J33" i="25" s="1"/>
  <c r="K33" i="25" s="1"/>
  <c r="L33" i="25" s="1"/>
  <c r="M33" i="25" s="1"/>
  <c r="N33" i="25" s="1"/>
  <c r="O33" i="25" s="1"/>
  <c r="P33" i="25" s="1"/>
  <c r="Q33" i="25" s="1"/>
  <c r="R33" i="25" s="1"/>
  <c r="S33" i="25" s="1"/>
  <c r="T33" i="25" s="1"/>
  <c r="U33" i="25" s="1"/>
  <c r="V33" i="25" s="1"/>
  <c r="W33" i="25" s="1"/>
  <c r="X33" i="25" s="1"/>
  <c r="Y33" i="25" s="1"/>
  <c r="Z33" i="25" s="1"/>
  <c r="AA33" i="25" s="1"/>
  <c r="AB33" i="25" s="1"/>
  <c r="AC33" i="25" s="1"/>
  <c r="AD33" i="25" s="1"/>
  <c r="AE33" i="25" s="1"/>
  <c r="AF33" i="25" s="1"/>
  <c r="AG33" i="25" s="1"/>
  <c r="AH33" i="25" s="1"/>
  <c r="AI33" i="25" s="1"/>
  <c r="AJ33" i="25" s="1"/>
  <c r="AK33" i="25" s="1"/>
  <c r="AL33" i="25" s="1"/>
  <c r="AM33" i="25" s="1"/>
  <c r="AN33" i="25" s="1"/>
  <c r="AO33" i="25" s="1"/>
  <c r="AP33" i="25" s="1"/>
  <c r="AQ33" i="25" s="1"/>
  <c r="AR33" i="25" s="1"/>
  <c r="AS33" i="25" s="1"/>
  <c r="AT33" i="25" s="1"/>
  <c r="AU33" i="25" s="1"/>
  <c r="AV33" i="25" s="1"/>
  <c r="AW33" i="25" s="1"/>
  <c r="AX33" i="25" s="1"/>
  <c r="AY33" i="25" s="1"/>
  <c r="AZ33" i="25" s="1"/>
  <c r="BA33" i="25" s="1"/>
  <c r="BB33" i="25" s="1"/>
  <c r="BC33" i="25" s="1"/>
  <c r="BD33" i="25" s="1"/>
  <c r="BE33" i="25" s="1"/>
  <c r="BF33" i="25" s="1"/>
  <c r="BG33" i="25" s="1"/>
  <c r="BH33" i="25" s="1"/>
  <c r="BI33" i="25" s="1"/>
  <c r="BJ33" i="25" s="1"/>
  <c r="BK33" i="25" s="1"/>
  <c r="BL33" i="25" s="1"/>
  <c r="BM33" i="25" s="1"/>
  <c r="BN33" i="25" s="1"/>
  <c r="BO33" i="25" s="1"/>
  <c r="BP33" i="25" s="1"/>
  <c r="BQ33" i="25" s="1"/>
  <c r="BR33" i="25" s="1"/>
  <c r="BS33" i="25" s="1"/>
  <c r="BT33" i="25" s="1"/>
  <c r="BU33" i="25" s="1"/>
  <c r="BV33" i="25" s="1"/>
  <c r="BW33" i="25" s="1"/>
  <c r="BX33" i="25" s="1"/>
  <c r="G32" i="25"/>
  <c r="H32" i="25" s="1"/>
  <c r="G31" i="25"/>
  <c r="H31" i="25" s="1"/>
  <c r="I31" i="25" s="1"/>
  <c r="J31" i="25" s="1"/>
  <c r="K31" i="25" s="1"/>
  <c r="L31" i="25" s="1"/>
  <c r="M31" i="25" s="1"/>
  <c r="N31" i="25" s="1"/>
  <c r="O31" i="25" s="1"/>
  <c r="P31" i="25" s="1"/>
  <c r="Q31" i="25" s="1"/>
  <c r="R31" i="25" s="1"/>
  <c r="S31" i="25" s="1"/>
  <c r="T31" i="25" s="1"/>
  <c r="U31" i="25" s="1"/>
  <c r="V31" i="25" s="1"/>
  <c r="W31" i="25" s="1"/>
  <c r="X31" i="25" s="1"/>
  <c r="Y31" i="25" s="1"/>
  <c r="Z31" i="25" s="1"/>
  <c r="AA31" i="25" s="1"/>
  <c r="AB31" i="25" s="1"/>
  <c r="AC31" i="25" s="1"/>
  <c r="AD31" i="25" s="1"/>
  <c r="AE31" i="25" s="1"/>
  <c r="AF31" i="25" s="1"/>
  <c r="AG31" i="25" s="1"/>
  <c r="AH31" i="25" s="1"/>
  <c r="AI31" i="25" s="1"/>
  <c r="AJ31" i="25" s="1"/>
  <c r="AK31" i="25" s="1"/>
  <c r="AL31" i="25" s="1"/>
  <c r="AM31" i="25" s="1"/>
  <c r="AN31" i="25" s="1"/>
  <c r="AO31" i="25" s="1"/>
  <c r="AP31" i="25" s="1"/>
  <c r="AQ31" i="25" s="1"/>
  <c r="AR31" i="25" s="1"/>
  <c r="AS31" i="25" s="1"/>
  <c r="AT31" i="25" s="1"/>
  <c r="AU31" i="25" s="1"/>
  <c r="AV31" i="25" s="1"/>
  <c r="AW31" i="25" s="1"/>
  <c r="AX31" i="25" s="1"/>
  <c r="AY31" i="25" s="1"/>
  <c r="AZ31" i="25" s="1"/>
  <c r="BA31" i="25" s="1"/>
  <c r="BB31" i="25" s="1"/>
  <c r="BC31" i="25" s="1"/>
  <c r="BD31" i="25" s="1"/>
  <c r="BE31" i="25" s="1"/>
  <c r="BF31" i="25" s="1"/>
  <c r="BG31" i="25" s="1"/>
  <c r="BH31" i="25" s="1"/>
  <c r="BI31" i="25" s="1"/>
  <c r="BJ31" i="25" s="1"/>
  <c r="BK31" i="25" s="1"/>
  <c r="BL31" i="25" s="1"/>
  <c r="BM31" i="25" s="1"/>
  <c r="BN31" i="25" s="1"/>
  <c r="BO31" i="25" s="1"/>
  <c r="BP31" i="25" s="1"/>
  <c r="BQ31" i="25" s="1"/>
  <c r="BR31" i="25" s="1"/>
  <c r="BS31" i="25" s="1"/>
  <c r="BT31" i="25" s="1"/>
  <c r="BU31" i="25" s="1"/>
  <c r="BV31" i="25" s="1"/>
  <c r="BW31" i="25" s="1"/>
  <c r="BX31" i="25" s="1"/>
  <c r="G30" i="25"/>
  <c r="H30" i="25" s="1"/>
  <c r="I30" i="25" s="1"/>
  <c r="J30" i="25" s="1"/>
  <c r="K30" i="25" s="1"/>
  <c r="L30" i="25" s="1"/>
  <c r="M30" i="25" s="1"/>
  <c r="N30" i="25" s="1"/>
  <c r="O30" i="25" s="1"/>
  <c r="P30" i="25" s="1"/>
  <c r="Q30" i="25" s="1"/>
  <c r="R30" i="25" s="1"/>
  <c r="S30" i="25" s="1"/>
  <c r="T30" i="25" s="1"/>
  <c r="U30" i="25" s="1"/>
  <c r="V30" i="25" s="1"/>
  <c r="W30" i="25" s="1"/>
  <c r="X30" i="25" s="1"/>
  <c r="Y30" i="25" s="1"/>
  <c r="Z30" i="25" s="1"/>
  <c r="AA30" i="25" s="1"/>
  <c r="AB30" i="25" s="1"/>
  <c r="AC30" i="25" s="1"/>
  <c r="AD30" i="25" s="1"/>
  <c r="AE30" i="25" s="1"/>
  <c r="AF30" i="25" s="1"/>
  <c r="AG30" i="25" s="1"/>
  <c r="AH30" i="25" s="1"/>
  <c r="AI30" i="25" s="1"/>
  <c r="AJ30" i="25" s="1"/>
  <c r="AK30" i="25" s="1"/>
  <c r="AL30" i="25" s="1"/>
  <c r="AM30" i="25" s="1"/>
  <c r="AN30" i="25" s="1"/>
  <c r="AO30" i="25" s="1"/>
  <c r="AP30" i="25" s="1"/>
  <c r="AQ30" i="25" s="1"/>
  <c r="AR30" i="25" s="1"/>
  <c r="AS30" i="25" s="1"/>
  <c r="AT30" i="25" s="1"/>
  <c r="AU30" i="25" s="1"/>
  <c r="AV30" i="25" s="1"/>
  <c r="AW30" i="25" s="1"/>
  <c r="AX30" i="25" s="1"/>
  <c r="AY30" i="25" s="1"/>
  <c r="AZ30" i="25" s="1"/>
  <c r="BA30" i="25" s="1"/>
  <c r="BB30" i="25" s="1"/>
  <c r="BC30" i="25" s="1"/>
  <c r="BD30" i="25" s="1"/>
  <c r="BE30" i="25" s="1"/>
  <c r="BF30" i="25" s="1"/>
  <c r="BG30" i="25" s="1"/>
  <c r="BH30" i="25" s="1"/>
  <c r="BI30" i="25" s="1"/>
  <c r="BJ30" i="25" s="1"/>
  <c r="BK30" i="25" s="1"/>
  <c r="BL30" i="25" s="1"/>
  <c r="BM30" i="25" s="1"/>
  <c r="BN30" i="25" s="1"/>
  <c r="BO30" i="25" s="1"/>
  <c r="BP30" i="25" s="1"/>
  <c r="BQ30" i="25" s="1"/>
  <c r="BR30" i="25" s="1"/>
  <c r="BS30" i="25" s="1"/>
  <c r="BT30" i="25" s="1"/>
  <c r="BU30" i="25" s="1"/>
  <c r="BV30" i="25" s="1"/>
  <c r="BW30" i="25" s="1"/>
  <c r="BX30" i="25" s="1"/>
  <c r="G29" i="25"/>
  <c r="H29" i="25" s="1"/>
  <c r="I29" i="25" s="1"/>
  <c r="J29" i="25" s="1"/>
  <c r="K29" i="25" s="1"/>
  <c r="L29" i="25" s="1"/>
  <c r="M29" i="25" s="1"/>
  <c r="N29" i="25" s="1"/>
  <c r="O29" i="25" s="1"/>
  <c r="P29" i="25" s="1"/>
  <c r="Q29" i="25" s="1"/>
  <c r="R29" i="25" s="1"/>
  <c r="S29" i="25" s="1"/>
  <c r="T29" i="25" s="1"/>
  <c r="U29" i="25" s="1"/>
  <c r="V29" i="25" s="1"/>
  <c r="W29" i="25" s="1"/>
  <c r="X29" i="25" s="1"/>
  <c r="Y29" i="25" s="1"/>
  <c r="Z29" i="25" s="1"/>
  <c r="AA29" i="25" s="1"/>
  <c r="AB29" i="25" s="1"/>
  <c r="AC29" i="25" s="1"/>
  <c r="AD29" i="25" s="1"/>
  <c r="AE29" i="25" s="1"/>
  <c r="AF29" i="25" s="1"/>
  <c r="AG29" i="25" s="1"/>
  <c r="AH29" i="25" s="1"/>
  <c r="AI29" i="25" s="1"/>
  <c r="AJ29" i="25" s="1"/>
  <c r="AK29" i="25" s="1"/>
  <c r="AL29" i="25" s="1"/>
  <c r="AM29" i="25" s="1"/>
  <c r="AN29" i="25" s="1"/>
  <c r="AO29" i="25" s="1"/>
  <c r="AP29" i="25" s="1"/>
  <c r="AQ29" i="25" s="1"/>
  <c r="AR29" i="25" s="1"/>
  <c r="AS29" i="25" s="1"/>
  <c r="AT29" i="25" s="1"/>
  <c r="AU29" i="25" s="1"/>
  <c r="AV29" i="25" s="1"/>
  <c r="AW29" i="25" s="1"/>
  <c r="AX29" i="25" s="1"/>
  <c r="AY29" i="25" s="1"/>
  <c r="AZ29" i="25" s="1"/>
  <c r="BA29" i="25" s="1"/>
  <c r="BB29" i="25" s="1"/>
  <c r="BC29" i="25" s="1"/>
  <c r="BD29" i="25" s="1"/>
  <c r="BE29" i="25" s="1"/>
  <c r="BF29" i="25" s="1"/>
  <c r="BG29" i="25" s="1"/>
  <c r="BH29" i="25" s="1"/>
  <c r="BI29" i="25" s="1"/>
  <c r="BJ29" i="25" s="1"/>
  <c r="BK29" i="25" s="1"/>
  <c r="BL29" i="25" s="1"/>
  <c r="BM29" i="25" s="1"/>
  <c r="BN29" i="25" s="1"/>
  <c r="BO29" i="25" s="1"/>
  <c r="BP29" i="25" s="1"/>
  <c r="BQ29" i="25" s="1"/>
  <c r="BR29" i="25" s="1"/>
  <c r="BS29" i="25" s="1"/>
  <c r="BT29" i="25" s="1"/>
  <c r="BU29" i="25" s="1"/>
  <c r="BV29" i="25" s="1"/>
  <c r="BW29" i="25" s="1"/>
  <c r="BX29" i="25" s="1"/>
  <c r="AK28" i="25"/>
  <c r="AL28" i="25" s="1"/>
  <c r="AM28" i="25" s="1"/>
  <c r="AN28" i="25" s="1"/>
  <c r="AO28" i="25" s="1"/>
  <c r="AP28" i="25" s="1"/>
  <c r="AQ28" i="25" s="1"/>
  <c r="AR28" i="25" s="1"/>
  <c r="AS28" i="25" s="1"/>
  <c r="AT28" i="25" s="1"/>
  <c r="AU28" i="25" s="1"/>
  <c r="AV28" i="25" s="1"/>
  <c r="AW28" i="25" s="1"/>
  <c r="AX28" i="25" s="1"/>
  <c r="AY28" i="25" s="1"/>
  <c r="AZ28" i="25" s="1"/>
  <c r="BA28" i="25" s="1"/>
  <c r="BB28" i="25" s="1"/>
  <c r="BC28" i="25" s="1"/>
  <c r="BD28" i="25" s="1"/>
  <c r="BE28" i="25" s="1"/>
  <c r="BF28" i="25" s="1"/>
  <c r="BG28" i="25" s="1"/>
  <c r="BH28" i="25" s="1"/>
  <c r="BI28" i="25" s="1"/>
  <c r="BJ28" i="25" s="1"/>
  <c r="BK28" i="25" s="1"/>
  <c r="BL28" i="25" s="1"/>
  <c r="BM28" i="25" s="1"/>
  <c r="BN28" i="25" s="1"/>
  <c r="BO28" i="25" s="1"/>
  <c r="BP28" i="25" s="1"/>
  <c r="BQ28" i="25" s="1"/>
  <c r="BR28" i="25" s="1"/>
  <c r="BS28" i="25" s="1"/>
  <c r="BT28" i="25" s="1"/>
  <c r="BU28" i="25" s="1"/>
  <c r="BV28" i="25" s="1"/>
  <c r="BW28" i="25" s="1"/>
  <c r="BX28" i="25" s="1"/>
  <c r="AK25" i="25"/>
  <c r="AL25" i="25" s="1"/>
  <c r="AM25" i="25" s="1"/>
  <c r="AN25" i="25" s="1"/>
  <c r="AO25" i="25" s="1"/>
  <c r="AP25" i="25" s="1"/>
  <c r="AQ25" i="25" s="1"/>
  <c r="AR25" i="25" s="1"/>
  <c r="AS25" i="25" s="1"/>
  <c r="AT25" i="25" s="1"/>
  <c r="AU25" i="25" s="1"/>
  <c r="AV25" i="25" s="1"/>
  <c r="AW25" i="25" s="1"/>
  <c r="AX25" i="25" s="1"/>
  <c r="AY25" i="25" s="1"/>
  <c r="AZ25" i="25" s="1"/>
  <c r="BA25" i="25" s="1"/>
  <c r="BB25" i="25" s="1"/>
  <c r="BC25" i="25" s="1"/>
  <c r="BD25" i="25" s="1"/>
  <c r="BE25" i="25" s="1"/>
  <c r="BF25" i="25" s="1"/>
  <c r="BG25" i="25" s="1"/>
  <c r="BH25" i="25" s="1"/>
  <c r="BI25" i="25" s="1"/>
  <c r="BJ25" i="25" s="1"/>
  <c r="BK25" i="25" s="1"/>
  <c r="BL25" i="25" s="1"/>
  <c r="BM25" i="25" s="1"/>
  <c r="BN25" i="25" s="1"/>
  <c r="BO25" i="25" s="1"/>
  <c r="BP25" i="25" s="1"/>
  <c r="BQ25" i="25" s="1"/>
  <c r="BR25" i="25" s="1"/>
  <c r="BS25" i="25" s="1"/>
  <c r="BT25" i="25" s="1"/>
  <c r="BU25" i="25" s="1"/>
  <c r="BV25" i="25" s="1"/>
  <c r="BW25" i="25" s="1"/>
  <c r="BX25" i="25" s="1"/>
  <c r="AK24" i="25"/>
  <c r="AL24" i="25" s="1"/>
  <c r="AM24" i="25" s="1"/>
  <c r="AN24" i="25" s="1"/>
  <c r="AO24" i="25" s="1"/>
  <c r="AP24" i="25" s="1"/>
  <c r="AQ24" i="25" s="1"/>
  <c r="AR24" i="25" s="1"/>
  <c r="AS24" i="25" s="1"/>
  <c r="AT24" i="25" s="1"/>
  <c r="AU24" i="25" s="1"/>
  <c r="AV24" i="25" s="1"/>
  <c r="AW24" i="25" s="1"/>
  <c r="AX24" i="25" s="1"/>
  <c r="AY24" i="25" s="1"/>
  <c r="AZ24" i="25" s="1"/>
  <c r="BA24" i="25" s="1"/>
  <c r="BB24" i="25" s="1"/>
  <c r="BC24" i="25" s="1"/>
  <c r="BD24" i="25" s="1"/>
  <c r="BE24" i="25" s="1"/>
  <c r="BF24" i="25" s="1"/>
  <c r="BG24" i="25" s="1"/>
  <c r="BH24" i="25" s="1"/>
  <c r="BI24" i="25" s="1"/>
  <c r="BJ24" i="25" s="1"/>
  <c r="BK24" i="25" s="1"/>
  <c r="BL24" i="25" s="1"/>
  <c r="BM24" i="25" s="1"/>
  <c r="BN24" i="25" s="1"/>
  <c r="BO24" i="25" s="1"/>
  <c r="BP24" i="25" s="1"/>
  <c r="BQ24" i="25" s="1"/>
  <c r="BR24" i="25" s="1"/>
  <c r="BS24" i="25" s="1"/>
  <c r="BT24" i="25" s="1"/>
  <c r="BU24" i="25" s="1"/>
  <c r="BV24" i="25" s="1"/>
  <c r="BW24" i="25" s="1"/>
  <c r="BX24" i="25" s="1"/>
  <c r="L14" i="25"/>
  <c r="K14" i="25"/>
  <c r="J14" i="25"/>
  <c r="I14" i="25"/>
  <c r="H14" i="25"/>
  <c r="G14" i="25"/>
  <c r="F14" i="25"/>
  <c r="M17" i="25"/>
  <c r="F12" i="25"/>
  <c r="AJ73" i="25"/>
  <c r="AI73" i="25"/>
  <c r="AH73" i="25"/>
  <c r="AG73" i="25"/>
  <c r="AF73" i="25"/>
  <c r="AE73" i="25"/>
  <c r="AD73" i="25"/>
  <c r="AC73" i="25"/>
  <c r="AB73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F77" i="13" s="1"/>
  <c r="AJ68" i="25"/>
  <c r="AI68" i="25"/>
  <c r="AH68" i="25"/>
  <c r="AG68" i="25"/>
  <c r="AF68" i="25"/>
  <c r="AE68" i="25"/>
  <c r="AD68" i="25"/>
  <c r="AC68" i="25"/>
  <c r="AB68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AJ72" i="25"/>
  <c r="AI72" i="25"/>
  <c r="AH72" i="25"/>
  <c r="AG72" i="25"/>
  <c r="AF72" i="25"/>
  <c r="AE72" i="25"/>
  <c r="AD72" i="25"/>
  <c r="AC72" i="25"/>
  <c r="AB72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F76" i="13" s="1"/>
  <c r="F74" i="13"/>
  <c r="AJ61" i="25"/>
  <c r="AI61" i="25"/>
  <c r="AH61" i="25"/>
  <c r="AA61" i="25"/>
  <c r="W61" i="25"/>
  <c r="V61" i="25"/>
  <c r="U61" i="25"/>
  <c r="T61" i="25"/>
  <c r="S61" i="25"/>
  <c r="K61" i="25"/>
  <c r="G61" i="25"/>
  <c r="F61" i="25"/>
  <c r="AG58" i="25"/>
  <c r="AF58" i="25"/>
  <c r="U58" i="25"/>
  <c r="Q58" i="25"/>
  <c r="P58" i="25"/>
  <c r="O58" i="25"/>
  <c r="G58" i="25"/>
  <c r="F58" i="25"/>
  <c r="AG55" i="25"/>
  <c r="AE55" i="25"/>
  <c r="AA55" i="25"/>
  <c r="Z55" i="25"/>
  <c r="X55" i="25"/>
  <c r="W55" i="25"/>
  <c r="P55" i="25"/>
  <c r="O55" i="25"/>
  <c r="K55" i="25"/>
  <c r="J55" i="25"/>
  <c r="H55" i="25"/>
  <c r="H59" i="13" s="1"/>
  <c r="G55" i="25"/>
  <c r="F55" i="25"/>
  <c r="L21" i="25"/>
  <c r="K21" i="25"/>
  <c r="J21" i="25"/>
  <c r="I21" i="25"/>
  <c r="H21" i="25"/>
  <c r="G21" i="25"/>
  <c r="BX6" i="25"/>
  <c r="BW6" i="25"/>
  <c r="BV6" i="25"/>
  <c r="BU6" i="25"/>
  <c r="BT6" i="25"/>
  <c r="BS6" i="25"/>
  <c r="BR6" i="25"/>
  <c r="BQ6" i="25"/>
  <c r="BP6" i="25"/>
  <c r="BO6" i="25"/>
  <c r="BN6" i="25"/>
  <c r="BM6" i="25"/>
  <c r="BL6" i="25"/>
  <c r="BK6" i="25"/>
  <c r="BJ6" i="25"/>
  <c r="BI6" i="25"/>
  <c r="BH6" i="25"/>
  <c r="BG6" i="25"/>
  <c r="BF6" i="25"/>
  <c r="BE6" i="25"/>
  <c r="BD6" i="25"/>
  <c r="BC6" i="25"/>
  <c r="BB6" i="25"/>
  <c r="BA6" i="25"/>
  <c r="AZ6" i="25"/>
  <c r="AY6" i="25"/>
  <c r="AX6" i="25"/>
  <c r="AW6" i="25"/>
  <c r="AV6" i="25"/>
  <c r="AU6" i="25"/>
  <c r="AT6" i="25"/>
  <c r="AS6" i="25"/>
  <c r="AR6" i="25"/>
  <c r="AQ6" i="25"/>
  <c r="AP6" i="25"/>
  <c r="AO6" i="25"/>
  <c r="AN6" i="25"/>
  <c r="AM6" i="25"/>
  <c r="AL6" i="25"/>
  <c r="AK6" i="25"/>
  <c r="AJ6" i="25"/>
  <c r="AI6" i="25"/>
  <c r="AH6" i="25"/>
  <c r="AG6" i="25"/>
  <c r="AF6" i="25"/>
  <c r="AE6" i="25"/>
  <c r="AD6" i="25"/>
  <c r="AC6" i="25"/>
  <c r="AB6" i="25"/>
  <c r="AA6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L19" i="25"/>
  <c r="K19" i="25"/>
  <c r="J19" i="25"/>
  <c r="I19" i="25"/>
  <c r="H19" i="25"/>
  <c r="G19" i="25"/>
  <c r="L18" i="25"/>
  <c r="K18" i="25"/>
  <c r="J18" i="25"/>
  <c r="I18" i="25"/>
  <c r="H18" i="25"/>
  <c r="G18" i="25"/>
  <c r="L17" i="25"/>
  <c r="K17" i="25"/>
  <c r="J17" i="25"/>
  <c r="I17" i="25"/>
  <c r="H17" i="25"/>
  <c r="G17" i="25"/>
  <c r="L12" i="25"/>
  <c r="K12" i="25"/>
  <c r="J12" i="25"/>
  <c r="I12" i="25"/>
  <c r="H12" i="25"/>
  <c r="L8" i="25"/>
  <c r="K8" i="25"/>
  <c r="J8" i="25"/>
  <c r="I8" i="25"/>
  <c r="H8" i="25"/>
  <c r="G8" i="25"/>
  <c r="F8" i="25"/>
  <c r="Q64" i="25" l="1"/>
  <c r="F159" i="25"/>
  <c r="F163" i="13" s="1"/>
  <c r="F158" i="25"/>
  <c r="F162" i="13" s="1"/>
  <c r="U158" i="25"/>
  <c r="P159" i="25"/>
  <c r="X64" i="25"/>
  <c r="V158" i="25"/>
  <c r="Q159" i="25"/>
  <c r="I64" i="25"/>
  <c r="Y64" i="25"/>
  <c r="W158" i="25"/>
  <c r="R159" i="25"/>
  <c r="J64" i="25"/>
  <c r="Z64" i="25"/>
  <c r="X158" i="25"/>
  <c r="S159" i="25"/>
  <c r="K64" i="25"/>
  <c r="AA64" i="25"/>
  <c r="I158" i="25"/>
  <c r="Y158" i="25"/>
  <c r="T159" i="25"/>
  <c r="L64" i="25"/>
  <c r="AB64" i="25"/>
  <c r="J158" i="25"/>
  <c r="Z158" i="25"/>
  <c r="U159" i="25"/>
  <c r="M64" i="25"/>
  <c r="AC64" i="25"/>
  <c r="K158" i="25"/>
  <c r="AA158" i="25"/>
  <c r="V159" i="25"/>
  <c r="N64" i="25"/>
  <c r="AD64" i="25"/>
  <c r="L158" i="25"/>
  <c r="AB158" i="25"/>
  <c r="W159" i="25"/>
  <c r="O64" i="25"/>
  <c r="AE64" i="25"/>
  <c r="M158" i="25"/>
  <c r="AC158" i="25"/>
  <c r="X159" i="25"/>
  <c r="P64" i="25"/>
  <c r="N158" i="25"/>
  <c r="AD158" i="25"/>
  <c r="I159" i="25"/>
  <c r="Y159" i="25"/>
  <c r="O158" i="25"/>
  <c r="AE158" i="25"/>
  <c r="J159" i="25"/>
  <c r="Z159" i="25"/>
  <c r="R64" i="25"/>
  <c r="P158" i="25"/>
  <c r="K159" i="25"/>
  <c r="AA159" i="25"/>
  <c r="S64" i="25"/>
  <c r="Q158" i="25"/>
  <c r="L159" i="25"/>
  <c r="AB159" i="25"/>
  <c r="T64" i="25"/>
  <c r="R158" i="25"/>
  <c r="M159" i="25"/>
  <c r="AC159" i="25"/>
  <c r="U64" i="25"/>
  <c r="S158" i="25"/>
  <c r="N159" i="25"/>
  <c r="AD159" i="25"/>
  <c r="T158" i="25"/>
  <c r="O159" i="25"/>
  <c r="AE159" i="25"/>
  <c r="W64" i="25"/>
  <c r="C177" i="25"/>
  <c r="C181" i="13" s="1"/>
  <c r="C180" i="13"/>
  <c r="H61" i="25"/>
  <c r="H65" i="13" s="1"/>
  <c r="G36" i="25"/>
  <c r="O109" i="25"/>
  <c r="AE109" i="25"/>
  <c r="AU109" i="25"/>
  <c r="BK109" i="25"/>
  <c r="AJ105" i="25"/>
  <c r="P109" i="25"/>
  <c r="AF109" i="25"/>
  <c r="AV109" i="25"/>
  <c r="BL109" i="25"/>
  <c r="T105" i="25"/>
  <c r="G105" i="25"/>
  <c r="BC105" i="25"/>
  <c r="BS105" i="25"/>
  <c r="Q109" i="25"/>
  <c r="AG109" i="25"/>
  <c r="AW109" i="25"/>
  <c r="BM109" i="25"/>
  <c r="H105" i="25"/>
  <c r="X105" i="25"/>
  <c r="AN105" i="25"/>
  <c r="BD105" i="25"/>
  <c r="BT105" i="25"/>
  <c r="R109" i="25"/>
  <c r="AH109" i="25"/>
  <c r="AX109" i="25"/>
  <c r="BN109" i="25"/>
  <c r="AO105" i="25"/>
  <c r="BE105" i="25"/>
  <c r="S109" i="25"/>
  <c r="AI109" i="25"/>
  <c r="AY109" i="25"/>
  <c r="BO109" i="25"/>
  <c r="AP105" i="25"/>
  <c r="BF105" i="25"/>
  <c r="T109" i="25"/>
  <c r="AJ109" i="25"/>
  <c r="AZ109" i="25"/>
  <c r="BP109" i="25"/>
  <c r="K105" i="25"/>
  <c r="AA105" i="25"/>
  <c r="AQ105" i="25"/>
  <c r="U109" i="25"/>
  <c r="AK109" i="25"/>
  <c r="BA109" i="25"/>
  <c r="BQ109" i="25"/>
  <c r="BJ109" i="25"/>
  <c r="AB105" i="25"/>
  <c r="AR105" i="25"/>
  <c r="BH105" i="25"/>
  <c r="BX105" i="25"/>
  <c r="V109" i="25"/>
  <c r="AL109" i="25"/>
  <c r="BB109" i="25"/>
  <c r="BR109" i="25"/>
  <c r="M105" i="25"/>
  <c r="AC105" i="25"/>
  <c r="AS105" i="25"/>
  <c r="BI105" i="25"/>
  <c r="G109" i="25"/>
  <c r="W109" i="25"/>
  <c r="AM109" i="25"/>
  <c r="BC109" i="25"/>
  <c r="BS109" i="25"/>
  <c r="N109" i="25"/>
  <c r="N105" i="25"/>
  <c r="AD105" i="25"/>
  <c r="AT105" i="25"/>
  <c r="BJ105" i="25"/>
  <c r="H109" i="25"/>
  <c r="X109" i="25"/>
  <c r="AN109" i="25"/>
  <c r="BD109" i="25"/>
  <c r="BT109" i="25"/>
  <c r="AZ105" i="25"/>
  <c r="I109" i="25"/>
  <c r="Y109" i="25"/>
  <c r="AO109" i="25"/>
  <c r="BE109" i="25"/>
  <c r="BU109" i="25"/>
  <c r="AT109" i="25"/>
  <c r="P105" i="25"/>
  <c r="AF105" i="25"/>
  <c r="AV105" i="25"/>
  <c r="BL105" i="25"/>
  <c r="J109" i="25"/>
  <c r="Z109" i="25"/>
  <c r="AP109" i="25"/>
  <c r="BF109" i="25"/>
  <c r="BV109" i="25"/>
  <c r="Q105" i="25"/>
  <c r="AG105" i="25"/>
  <c r="K109" i="25"/>
  <c r="AA109" i="25"/>
  <c r="AQ109" i="25"/>
  <c r="BG109" i="25"/>
  <c r="BW109" i="25"/>
  <c r="BP105" i="25"/>
  <c r="AH105" i="25"/>
  <c r="L109" i="25"/>
  <c r="AB109" i="25"/>
  <c r="AR109" i="25"/>
  <c r="BH109" i="25"/>
  <c r="BX109" i="25"/>
  <c r="AD109" i="25"/>
  <c r="S105" i="25"/>
  <c r="AI105" i="25"/>
  <c r="AY105" i="25"/>
  <c r="BO105" i="25"/>
  <c r="M109" i="25"/>
  <c r="AC109" i="25"/>
  <c r="AS109" i="25"/>
  <c r="BI109" i="25"/>
  <c r="H61" i="13"/>
  <c r="H63" i="13"/>
  <c r="F109" i="25"/>
  <c r="F113" i="13" s="1"/>
  <c r="F108" i="13"/>
  <c r="F180" i="13"/>
  <c r="F67" i="13"/>
  <c r="F183" i="25"/>
  <c r="F187" i="13" s="1"/>
  <c r="H36" i="25"/>
  <c r="I32" i="25"/>
  <c r="M14" i="25"/>
  <c r="M18" i="25"/>
  <c r="N14" i="25"/>
  <c r="M19" i="25"/>
  <c r="N12" i="25"/>
  <c r="M12" i="25"/>
  <c r="M8" i="25"/>
  <c r="I36" i="25" l="1"/>
  <c r="J32" i="25"/>
  <c r="N17" i="25"/>
  <c r="N19" i="25"/>
  <c r="O14" i="25"/>
  <c r="N18" i="25"/>
  <c r="O12" i="25"/>
  <c r="N8" i="25"/>
  <c r="K32" i="25" l="1"/>
  <c r="J36" i="25"/>
  <c r="O17" i="25"/>
  <c r="O19" i="25"/>
  <c r="P14" i="25"/>
  <c r="O18" i="25"/>
  <c r="P12" i="25"/>
  <c r="O8" i="25"/>
  <c r="L32" i="25" l="1"/>
  <c r="K36" i="25"/>
  <c r="P17" i="25"/>
  <c r="P19" i="25"/>
  <c r="Q14" i="25"/>
  <c r="P18" i="25"/>
  <c r="Q12" i="25"/>
  <c r="P8" i="25"/>
  <c r="M32" i="25" l="1"/>
  <c r="L36" i="25"/>
  <c r="Q17" i="25"/>
  <c r="Q19" i="25"/>
  <c r="R14" i="25"/>
  <c r="Q18" i="25"/>
  <c r="R12" i="25"/>
  <c r="Q8" i="25"/>
  <c r="N32" i="25" l="1"/>
  <c r="M36" i="25"/>
  <c r="R19" i="25"/>
  <c r="S14" i="25"/>
  <c r="R18" i="25"/>
  <c r="R17" i="25"/>
  <c r="S12" i="25"/>
  <c r="R8" i="25"/>
  <c r="O32" i="25" l="1"/>
  <c r="N36" i="25"/>
  <c r="S19" i="25"/>
  <c r="T14" i="25"/>
  <c r="S18" i="25"/>
  <c r="S17" i="25"/>
  <c r="T12" i="25"/>
  <c r="S8" i="25"/>
  <c r="O36" i="25" l="1"/>
  <c r="P32" i="25"/>
  <c r="T19" i="25"/>
  <c r="U14" i="25"/>
  <c r="T18" i="25"/>
  <c r="T17" i="25"/>
  <c r="U12" i="25"/>
  <c r="T8" i="25"/>
  <c r="P36" i="25" l="1"/>
  <c r="Q32" i="25"/>
  <c r="U19" i="25"/>
  <c r="V14" i="25"/>
  <c r="U18" i="25"/>
  <c r="U17" i="25"/>
  <c r="V12" i="25"/>
  <c r="U8" i="25"/>
  <c r="Q36" i="25" l="1"/>
  <c r="R32" i="25"/>
  <c r="V19" i="25"/>
  <c r="W14" i="25"/>
  <c r="V18" i="25"/>
  <c r="V17" i="25"/>
  <c r="W12" i="25"/>
  <c r="V8" i="25"/>
  <c r="R36" i="25" l="1"/>
  <c r="S32" i="25"/>
  <c r="X14" i="25"/>
  <c r="W18" i="25"/>
  <c r="W19" i="25"/>
  <c r="W17" i="25"/>
  <c r="X12" i="25"/>
  <c r="W8" i="25"/>
  <c r="S36" i="25" l="1"/>
  <c r="T32" i="25"/>
  <c r="Y14" i="25"/>
  <c r="X18" i="25"/>
  <c r="X17" i="25"/>
  <c r="X19" i="25"/>
  <c r="Y12" i="25"/>
  <c r="X8" i="25"/>
  <c r="T36" i="25" l="1"/>
  <c r="U32" i="25"/>
  <c r="Z14" i="25"/>
  <c r="Y18" i="25"/>
  <c r="Y17" i="25"/>
  <c r="Y19" i="25"/>
  <c r="Z12" i="25"/>
  <c r="Y8" i="25"/>
  <c r="U36" i="25" l="1"/>
  <c r="V32" i="25"/>
  <c r="AA14" i="25"/>
  <c r="Z18" i="25"/>
  <c r="Z17" i="25"/>
  <c r="Z19" i="25"/>
  <c r="AA12" i="25"/>
  <c r="Z8" i="25"/>
  <c r="V36" i="25" l="1"/>
  <c r="W32" i="25"/>
  <c r="AB14" i="25"/>
  <c r="AA18" i="25"/>
  <c r="AA17" i="25"/>
  <c r="AA19" i="25"/>
  <c r="AB12" i="25"/>
  <c r="AA8" i="25"/>
  <c r="W36" i="25" l="1"/>
  <c r="X32" i="25"/>
  <c r="AB18" i="25"/>
  <c r="AC14" i="25"/>
  <c r="AB17" i="25"/>
  <c r="AB19" i="25"/>
  <c r="AC12" i="25"/>
  <c r="AB8" i="25"/>
  <c r="X36" i="25" l="1"/>
  <c r="Y32" i="25"/>
  <c r="AC19" i="25"/>
  <c r="AC17" i="25"/>
  <c r="AD14" i="25"/>
  <c r="AC18" i="25"/>
  <c r="AD12" i="25"/>
  <c r="AC8" i="25"/>
  <c r="Y36" i="25" l="1"/>
  <c r="Z32" i="25"/>
  <c r="AD17" i="25"/>
  <c r="AD19" i="25"/>
  <c r="AE14" i="25"/>
  <c r="AD18" i="25"/>
  <c r="AE12" i="25"/>
  <c r="AD8" i="25"/>
  <c r="AA32" i="25" l="1"/>
  <c r="Z36" i="25"/>
  <c r="AE17" i="25"/>
  <c r="AE19" i="25"/>
  <c r="AF14" i="25"/>
  <c r="AE18" i="25"/>
  <c r="AF12" i="25"/>
  <c r="AE8" i="25"/>
  <c r="AB32" i="25" l="1"/>
  <c r="AA36" i="25"/>
  <c r="AF17" i="25"/>
  <c r="AF19" i="25"/>
  <c r="AG14" i="25"/>
  <c r="AF18" i="25"/>
  <c r="AG12" i="25"/>
  <c r="AF8" i="25"/>
  <c r="AC32" i="25" l="1"/>
  <c r="AB36" i="25"/>
  <c r="AG17" i="25"/>
  <c r="AG19" i="25"/>
  <c r="AH14" i="25"/>
  <c r="AG18" i="25"/>
  <c r="AH12" i="25"/>
  <c r="AG8" i="25"/>
  <c r="AD32" i="25" l="1"/>
  <c r="AC36" i="25"/>
  <c r="AH19" i="25"/>
  <c r="AI14" i="25"/>
  <c r="AH18" i="25"/>
  <c r="AH17" i="25"/>
  <c r="AI12" i="25"/>
  <c r="AH8" i="25"/>
  <c r="AE32" i="25" l="1"/>
  <c r="AD36" i="25"/>
  <c r="AI19" i="25"/>
  <c r="AI18" i="25"/>
  <c r="AJ14" i="25"/>
  <c r="AI17" i="25"/>
  <c r="AJ12" i="25"/>
  <c r="AI8" i="25"/>
  <c r="AE36" i="25" l="1"/>
  <c r="AF32" i="25"/>
  <c r="AJ19" i="25"/>
  <c r="AK13" i="25"/>
  <c r="AK14" i="25" s="1"/>
  <c r="AJ18" i="25"/>
  <c r="AJ17" i="25"/>
  <c r="AK12" i="25"/>
  <c r="AJ8" i="25"/>
  <c r="AF36" i="25" l="1"/>
  <c r="AG32" i="25"/>
  <c r="AK19" i="25"/>
  <c r="AL13" i="25"/>
  <c r="AL14" i="25" s="1"/>
  <c r="AK18" i="25"/>
  <c r="AK17" i="25"/>
  <c r="AL12" i="25"/>
  <c r="AK8" i="25"/>
  <c r="AK10" i="25"/>
  <c r="AK9" i="25"/>
  <c r="AG36" i="25" l="1"/>
  <c r="AH32" i="25"/>
  <c r="AM13" i="25"/>
  <c r="AM14" i="25" s="1"/>
  <c r="AL18" i="25"/>
  <c r="AL17" i="25"/>
  <c r="AL19" i="25"/>
  <c r="AM12" i="25"/>
  <c r="AL8" i="25"/>
  <c r="AL10" i="25"/>
  <c r="AL9" i="25"/>
  <c r="AH36" i="25" l="1"/>
  <c r="AI32" i="25"/>
  <c r="AN13" i="25"/>
  <c r="AN14" i="25" s="1"/>
  <c r="AM18" i="25"/>
  <c r="AM17" i="25"/>
  <c r="AM19" i="25"/>
  <c r="AN12" i="25"/>
  <c r="AM10" i="25"/>
  <c r="AM8" i="25"/>
  <c r="AM9" i="25"/>
  <c r="AI36" i="25" l="1"/>
  <c r="AJ32" i="25"/>
  <c r="AO13" i="25"/>
  <c r="AO14" i="25" s="1"/>
  <c r="AN18" i="25"/>
  <c r="AN17" i="25"/>
  <c r="AN19" i="25"/>
  <c r="AO12" i="25"/>
  <c r="AN10" i="25"/>
  <c r="AN9" i="25"/>
  <c r="AN8" i="25"/>
  <c r="AJ36" i="25" l="1"/>
  <c r="AK32" i="25"/>
  <c r="AP13" i="25"/>
  <c r="AP14" i="25" s="1"/>
  <c r="AO18" i="25"/>
  <c r="AO17" i="25"/>
  <c r="AO19" i="25"/>
  <c r="AP12" i="25"/>
  <c r="AO10" i="25"/>
  <c r="AO9" i="25"/>
  <c r="AO8" i="25"/>
  <c r="AK36" i="25" l="1"/>
  <c r="AL32" i="25"/>
  <c r="AP18" i="25"/>
  <c r="AQ13" i="25"/>
  <c r="AQ14" i="25" s="1"/>
  <c r="AP17" i="25"/>
  <c r="AP19" i="25"/>
  <c r="AQ12" i="25"/>
  <c r="AP10" i="25"/>
  <c r="AP9" i="25"/>
  <c r="AP8" i="25"/>
  <c r="AM32" i="25" l="1"/>
  <c r="AL36" i="25"/>
  <c r="AR13" i="25"/>
  <c r="AR14" i="25" s="1"/>
  <c r="AQ18" i="25"/>
  <c r="AQ17" i="25"/>
  <c r="AQ19" i="25"/>
  <c r="AR12" i="25"/>
  <c r="AQ10" i="25"/>
  <c r="AQ9" i="25"/>
  <c r="AQ8" i="25"/>
  <c r="AN32" i="25" l="1"/>
  <c r="AM36" i="25"/>
  <c r="AR17" i="25"/>
  <c r="AR18" i="25"/>
  <c r="AR19" i="25"/>
  <c r="AS13" i="25"/>
  <c r="AS14" i="25" s="1"/>
  <c r="AS12" i="25"/>
  <c r="AR10" i="25"/>
  <c r="AR9" i="25"/>
  <c r="AR8" i="25"/>
  <c r="AO32" i="25" l="1"/>
  <c r="AN36" i="25"/>
  <c r="AS19" i="25"/>
  <c r="AS17" i="25"/>
  <c r="AT13" i="25"/>
  <c r="AT14" i="25" s="1"/>
  <c r="AS18" i="25"/>
  <c r="AT12" i="25"/>
  <c r="AS9" i="25"/>
  <c r="AS8" i="25"/>
  <c r="AS10" i="25"/>
  <c r="AP32" i="25" l="1"/>
  <c r="AO36" i="25"/>
  <c r="AT17" i="25"/>
  <c r="AT19" i="25"/>
  <c r="AU13" i="25"/>
  <c r="AU14" i="25" s="1"/>
  <c r="AT18" i="25"/>
  <c r="AU12" i="25"/>
  <c r="AT9" i="25"/>
  <c r="AT8" i="25"/>
  <c r="AT10" i="25"/>
  <c r="AQ32" i="25" l="1"/>
  <c r="AP36" i="25"/>
  <c r="AU17" i="25"/>
  <c r="AU19" i="25"/>
  <c r="AV13" i="25"/>
  <c r="AV14" i="25" s="1"/>
  <c r="AU18" i="25"/>
  <c r="AV12" i="25"/>
  <c r="AU9" i="25"/>
  <c r="AU8" i="25"/>
  <c r="AU10" i="25"/>
  <c r="AR32" i="25" l="1"/>
  <c r="AQ36" i="25"/>
  <c r="AV17" i="25"/>
  <c r="AV19" i="25"/>
  <c r="AW13" i="25"/>
  <c r="AW14" i="25" s="1"/>
  <c r="AV18" i="25"/>
  <c r="AW12" i="25"/>
  <c r="AV9" i="25"/>
  <c r="AV8" i="25"/>
  <c r="AV10" i="25"/>
  <c r="AS32" i="25" l="1"/>
  <c r="AR36" i="25"/>
  <c r="AW17" i="25"/>
  <c r="AW19" i="25"/>
  <c r="AX13" i="25"/>
  <c r="AX14" i="25" s="1"/>
  <c r="AW18" i="25"/>
  <c r="AX12" i="25"/>
  <c r="AW9" i="25"/>
  <c r="AW8" i="25"/>
  <c r="AW10" i="25"/>
  <c r="AT32" i="25" l="1"/>
  <c r="AS36" i="25"/>
  <c r="AX19" i="25"/>
  <c r="AX17" i="25"/>
  <c r="AY13" i="25"/>
  <c r="AY14" i="25" s="1"/>
  <c r="AX18" i="25"/>
  <c r="AY12" i="25"/>
  <c r="AX10" i="25"/>
  <c r="AX8" i="25"/>
  <c r="AX9" i="25"/>
  <c r="AU32" i="25" l="1"/>
  <c r="AT36" i="25"/>
  <c r="AY19" i="25"/>
  <c r="AZ13" i="25"/>
  <c r="AZ14" i="25" s="1"/>
  <c r="AY18" i="25"/>
  <c r="AY17" i="25"/>
  <c r="AZ12" i="25"/>
  <c r="AY8" i="25"/>
  <c r="AY10" i="25"/>
  <c r="AY9" i="25"/>
  <c r="AV32" i="25" l="1"/>
  <c r="AU36" i="25"/>
  <c r="AZ19" i="25"/>
  <c r="BA13" i="25"/>
  <c r="BA14" i="25" s="1"/>
  <c r="AZ18" i="25"/>
  <c r="AZ17" i="25"/>
  <c r="BA12" i="25"/>
  <c r="AZ8" i="25"/>
  <c r="AZ10" i="25"/>
  <c r="AZ9" i="25"/>
  <c r="AW32" i="25" l="1"/>
  <c r="AV36" i="25"/>
  <c r="BA19" i="25"/>
  <c r="BB13" i="25"/>
  <c r="BB14" i="25" s="1"/>
  <c r="BA18" i="25"/>
  <c r="BA17" i="25"/>
  <c r="BB12" i="25"/>
  <c r="BA8" i="25"/>
  <c r="BA10" i="25"/>
  <c r="BA9" i="25"/>
  <c r="AX32" i="25" l="1"/>
  <c r="AW36" i="25"/>
  <c r="BB19" i="25"/>
  <c r="BC13" i="25"/>
  <c r="BC14" i="25" s="1"/>
  <c r="BB18" i="25"/>
  <c r="BB17" i="25"/>
  <c r="BC12" i="25"/>
  <c r="BB8" i="25"/>
  <c r="BB10" i="25"/>
  <c r="BB9" i="25"/>
  <c r="AY32" i="25" l="1"/>
  <c r="AX36" i="25"/>
  <c r="BD13" i="25"/>
  <c r="BD14" i="25" s="1"/>
  <c r="BC18" i="25"/>
  <c r="BC17" i="25"/>
  <c r="BC19" i="25"/>
  <c r="BD12" i="25"/>
  <c r="BC10" i="25"/>
  <c r="BC8" i="25"/>
  <c r="BC9" i="25"/>
  <c r="AZ32" i="25" l="1"/>
  <c r="AY36" i="25"/>
  <c r="BE13" i="25"/>
  <c r="BE14" i="25" s="1"/>
  <c r="BD18" i="25"/>
  <c r="BD17" i="25"/>
  <c r="BD19" i="25"/>
  <c r="BE12" i="25"/>
  <c r="BD10" i="25"/>
  <c r="BD8" i="25"/>
  <c r="BD9" i="25"/>
  <c r="BA32" i="25" l="1"/>
  <c r="AZ36" i="25"/>
  <c r="BF13" i="25"/>
  <c r="BF14" i="25" s="1"/>
  <c r="BE18" i="25"/>
  <c r="BE17" i="25"/>
  <c r="BE19" i="25"/>
  <c r="BF12" i="25"/>
  <c r="BE10" i="25"/>
  <c r="BE9" i="25"/>
  <c r="BE8" i="25"/>
  <c r="BB32" i="25" l="1"/>
  <c r="BA36" i="25"/>
  <c r="BG13" i="25"/>
  <c r="BG14" i="25" s="1"/>
  <c r="BF18" i="25"/>
  <c r="BF17" i="25"/>
  <c r="BF19" i="25"/>
  <c r="BG12" i="25"/>
  <c r="BF10" i="25"/>
  <c r="BF9" i="25"/>
  <c r="BF8" i="25"/>
  <c r="BC32" i="25" l="1"/>
  <c r="BB36" i="25"/>
  <c r="BH13" i="25"/>
  <c r="BH14" i="25" s="1"/>
  <c r="BG18" i="25"/>
  <c r="BG17" i="25"/>
  <c r="BG19" i="25"/>
  <c r="BH12" i="25"/>
  <c r="BG9" i="25"/>
  <c r="BG10" i="25"/>
  <c r="BG8" i="25"/>
  <c r="BD32" i="25" l="1"/>
  <c r="BC36" i="25"/>
  <c r="BI13" i="25"/>
  <c r="BI14" i="25" s="1"/>
  <c r="BH17" i="25"/>
  <c r="BH18" i="25"/>
  <c r="BH19" i="25"/>
  <c r="BI12" i="25"/>
  <c r="BH9" i="25"/>
  <c r="BH10" i="25"/>
  <c r="BH8" i="25"/>
  <c r="BE32" i="25" l="1"/>
  <c r="BD36" i="25"/>
  <c r="BI17" i="25"/>
  <c r="BI19" i="25"/>
  <c r="BI18" i="25"/>
  <c r="BJ13" i="25"/>
  <c r="BJ14" i="25" s="1"/>
  <c r="BJ12" i="25"/>
  <c r="BI9" i="25"/>
  <c r="BI8" i="25"/>
  <c r="BI10" i="25"/>
  <c r="BF32" i="25" l="1"/>
  <c r="BE36" i="25"/>
  <c r="BJ17" i="25"/>
  <c r="BJ19" i="25"/>
  <c r="BK13" i="25"/>
  <c r="BK14" i="25" s="1"/>
  <c r="BJ18" i="25"/>
  <c r="BK12" i="25"/>
  <c r="BJ9" i="25"/>
  <c r="BJ8" i="25"/>
  <c r="BJ10" i="25"/>
  <c r="BG32" i="25" l="1"/>
  <c r="BF36" i="25"/>
  <c r="BK17" i="25"/>
  <c r="BK19" i="25"/>
  <c r="BL13" i="25"/>
  <c r="BL14" i="25" s="1"/>
  <c r="BK18" i="25"/>
  <c r="BL12" i="25"/>
  <c r="BK9" i="25"/>
  <c r="BK8" i="25"/>
  <c r="BK10" i="25"/>
  <c r="BH32" i="25" l="1"/>
  <c r="BG36" i="25"/>
  <c r="BL17" i="25"/>
  <c r="BL19" i="25"/>
  <c r="BM13" i="25"/>
  <c r="BM14" i="25" s="1"/>
  <c r="BL18" i="25"/>
  <c r="BM12" i="25"/>
  <c r="BL9" i="25"/>
  <c r="BL8" i="25"/>
  <c r="BL10" i="25"/>
  <c r="BI32" i="25" l="1"/>
  <c r="BH36" i="25"/>
  <c r="BM17" i="25"/>
  <c r="BM19" i="25"/>
  <c r="BN13" i="25"/>
  <c r="BN14" i="25" s="1"/>
  <c r="BM18" i="25"/>
  <c r="BN12" i="25"/>
  <c r="BM8" i="25"/>
  <c r="BM10" i="25"/>
  <c r="BM9" i="25"/>
  <c r="BJ32" i="25" l="1"/>
  <c r="BI36" i="25"/>
  <c r="BN19" i="25"/>
  <c r="BN17" i="25"/>
  <c r="BO13" i="25"/>
  <c r="BO14" i="25" s="1"/>
  <c r="BN18" i="25"/>
  <c r="BO12" i="25"/>
  <c r="BN9" i="25"/>
  <c r="BN8" i="25"/>
  <c r="BN10" i="25"/>
  <c r="BK32" i="25" l="1"/>
  <c r="BJ36" i="25"/>
  <c r="BO19" i="25"/>
  <c r="BP13" i="25"/>
  <c r="BP14" i="25" s="1"/>
  <c r="BO18" i="25"/>
  <c r="BO17" i="25"/>
  <c r="BP12" i="25"/>
  <c r="BO8" i="25"/>
  <c r="BO10" i="25"/>
  <c r="BO9" i="25"/>
  <c r="BL32" i="25" l="1"/>
  <c r="BK36" i="25"/>
  <c r="BP19" i="25"/>
  <c r="BQ13" i="25"/>
  <c r="BQ14" i="25" s="1"/>
  <c r="BP18" i="25"/>
  <c r="BP17" i="25"/>
  <c r="BQ12" i="25"/>
  <c r="BP8" i="25"/>
  <c r="BP10" i="25"/>
  <c r="BP9" i="25"/>
  <c r="BM32" i="25" l="1"/>
  <c r="BL36" i="25"/>
  <c r="BQ19" i="25"/>
  <c r="BR13" i="25"/>
  <c r="BR14" i="25" s="1"/>
  <c r="BQ18" i="25"/>
  <c r="BQ17" i="25"/>
  <c r="BR12" i="25"/>
  <c r="BQ8" i="25"/>
  <c r="BQ10" i="25"/>
  <c r="BQ9" i="25"/>
  <c r="BN32" i="25" l="1"/>
  <c r="BM36" i="25"/>
  <c r="BS13" i="25"/>
  <c r="BS14" i="25" s="1"/>
  <c r="BR18" i="25"/>
  <c r="BR17" i="25"/>
  <c r="BR19" i="25"/>
  <c r="BS12" i="25"/>
  <c r="BR8" i="25"/>
  <c r="BR10" i="25"/>
  <c r="BR9" i="25"/>
  <c r="BO32" i="25" l="1"/>
  <c r="BN36" i="25"/>
  <c r="BT13" i="25"/>
  <c r="BT14" i="25" s="1"/>
  <c r="BS18" i="25"/>
  <c r="BS17" i="25"/>
  <c r="BS19" i="25"/>
  <c r="BT12" i="25"/>
  <c r="BS10" i="25"/>
  <c r="BS8" i="25"/>
  <c r="BS9" i="25"/>
  <c r="BP32" i="25" l="1"/>
  <c r="BO36" i="25"/>
  <c r="BU13" i="25"/>
  <c r="BU14" i="25" s="1"/>
  <c r="BT18" i="25"/>
  <c r="BT17" i="25"/>
  <c r="BT19" i="25"/>
  <c r="BU12" i="25"/>
  <c r="BT10" i="25"/>
  <c r="BT9" i="25"/>
  <c r="BT8" i="25"/>
  <c r="BQ32" i="25" l="1"/>
  <c r="BP36" i="25"/>
  <c r="BV13" i="25"/>
  <c r="BV14" i="25" s="1"/>
  <c r="BU18" i="25"/>
  <c r="BU17" i="25"/>
  <c r="BU19" i="25"/>
  <c r="BV12" i="25"/>
  <c r="BU10" i="25"/>
  <c r="BU9" i="25"/>
  <c r="BU8" i="25"/>
  <c r="BR32" i="25" l="1"/>
  <c r="BQ36" i="25"/>
  <c r="BW13" i="25"/>
  <c r="BW14" i="25" s="1"/>
  <c r="BV18" i="25"/>
  <c r="BV17" i="25"/>
  <c r="BV19" i="25"/>
  <c r="BX12" i="25"/>
  <c r="BW12" i="25"/>
  <c r="BV10" i="25"/>
  <c r="BV9" i="25"/>
  <c r="BV8" i="25"/>
  <c r="BS32" i="25" l="1"/>
  <c r="BR36" i="25"/>
  <c r="BX13" i="25"/>
  <c r="BX14" i="25" s="1"/>
  <c r="BW18" i="25"/>
  <c r="BW17" i="25"/>
  <c r="BW19" i="25"/>
  <c r="BW9" i="25"/>
  <c r="BW8" i="25"/>
  <c r="BW10" i="25"/>
  <c r="BT32" i="25" l="1"/>
  <c r="BS36" i="25"/>
  <c r="BX17" i="25"/>
  <c r="BX19" i="25"/>
  <c r="BX18" i="25"/>
  <c r="BX9" i="25"/>
  <c r="BX8" i="25"/>
  <c r="BX10" i="25"/>
  <c r="BU32" i="25" l="1"/>
  <c r="BT36" i="25"/>
  <c r="BV32" i="25" l="1"/>
  <c r="BU36" i="25"/>
  <c r="BW32" i="25" l="1"/>
  <c r="BV36" i="25"/>
  <c r="BX32" i="25" l="1"/>
  <c r="BX36" i="25" s="1"/>
  <c r="BW36" i="25"/>
  <c r="G4" i="13" l="1"/>
  <c r="G115" i="13" l="1"/>
  <c r="G121" i="13"/>
  <c r="G106" i="13"/>
  <c r="G117" i="13"/>
  <c r="G96" i="13"/>
  <c r="G124" i="13"/>
  <c r="G114" i="13"/>
  <c r="G119" i="13"/>
  <c r="G116" i="13"/>
  <c r="G95" i="13"/>
  <c r="G122" i="13"/>
  <c r="G110" i="13"/>
  <c r="G118" i="13"/>
  <c r="G97" i="13"/>
  <c r="G92" i="13"/>
  <c r="G94" i="13"/>
  <c r="G91" i="13"/>
  <c r="G98" i="13"/>
  <c r="G93" i="13"/>
  <c r="G120" i="13"/>
  <c r="G107" i="13"/>
  <c r="G108" i="13"/>
  <c r="G112" i="13"/>
  <c r="G111" i="13"/>
  <c r="G113" i="13"/>
  <c r="G109" i="13"/>
  <c r="G198" i="13"/>
  <c r="J13" i="36" s="1"/>
  <c r="G190" i="13"/>
  <c r="G197" i="13"/>
  <c r="J12" i="36" s="1"/>
  <c r="G189" i="13"/>
  <c r="J16" i="36" s="1"/>
  <c r="G202" i="13"/>
  <c r="G194" i="13"/>
  <c r="G186" i="13"/>
  <c r="G196" i="13"/>
  <c r="G188" i="13"/>
  <c r="G180" i="13"/>
  <c r="G177" i="13"/>
  <c r="G184" i="13"/>
  <c r="G192" i="13"/>
  <c r="G199" i="13"/>
  <c r="J14" i="36" s="1"/>
  <c r="G206" i="13"/>
  <c r="G200" i="13"/>
  <c r="J15" i="36" s="1"/>
  <c r="G179" i="13"/>
  <c r="G165" i="13"/>
  <c r="G195" i="13"/>
  <c r="G193" i="13"/>
  <c r="G191" i="13"/>
  <c r="G167" i="13"/>
  <c r="G164" i="13"/>
  <c r="G178" i="13"/>
  <c r="G168" i="13"/>
  <c r="G100" i="13"/>
  <c r="G182" i="13"/>
  <c r="G166" i="13"/>
  <c r="G187" i="13"/>
  <c r="G162" i="13"/>
  <c r="G171" i="13"/>
  <c r="G185" i="13"/>
  <c r="G173" i="13"/>
  <c r="G183" i="13"/>
  <c r="G102" i="13"/>
  <c r="G123" i="13"/>
  <c r="G201" i="13"/>
  <c r="G181" i="13"/>
  <c r="G163" i="13"/>
  <c r="G83" i="13"/>
  <c r="G54" i="13"/>
  <c r="G46" i="13"/>
  <c r="G172" i="13"/>
  <c r="G80" i="13"/>
  <c r="G49" i="13"/>
  <c r="G79" i="13"/>
  <c r="G48" i="13"/>
  <c r="G76" i="13"/>
  <c r="G72" i="13"/>
  <c r="G69" i="13"/>
  <c r="G45" i="13"/>
  <c r="G47" i="13"/>
  <c r="G75" i="13"/>
  <c r="G87" i="13"/>
  <c r="G78" i="13"/>
  <c r="G71" i="13"/>
  <c r="G132" i="13"/>
  <c r="G74" i="13"/>
  <c r="G52" i="13"/>
  <c r="G77" i="13"/>
  <c r="G44" i="13"/>
  <c r="G73" i="13"/>
  <c r="G70" i="13"/>
  <c r="G67" i="13"/>
  <c r="G101" i="13"/>
  <c r="G82" i="13"/>
  <c r="G68" i="13"/>
  <c r="G81" i="13"/>
  <c r="G53" i="13"/>
  <c r="G43" i="13"/>
  <c r="H4" i="13"/>
  <c r="H309" i="13" l="1"/>
  <c r="H312" i="13"/>
  <c r="H315" i="13"/>
  <c r="H305" i="13"/>
  <c r="H308" i="13"/>
  <c r="H311" i="13"/>
  <c r="H314" i="13"/>
  <c r="H304" i="13"/>
  <c r="H307" i="13"/>
  <c r="H310" i="13"/>
  <c r="H313" i="13"/>
  <c r="H316" i="13"/>
  <c r="H300" i="13"/>
  <c r="H303" i="13"/>
  <c r="H296" i="13"/>
  <c r="H286" i="13"/>
  <c r="H291" i="13"/>
  <c r="H294" i="13"/>
  <c r="H289" i="13"/>
  <c r="H287" i="13"/>
  <c r="H292" i="13"/>
  <c r="H290" i="13"/>
  <c r="H284" i="13"/>
  <c r="H280" i="13"/>
  <c r="H285" i="13"/>
  <c r="H302" i="13"/>
  <c r="H297" i="13"/>
  <c r="H288" i="13"/>
  <c r="H299" i="13"/>
  <c r="H279" i="13"/>
  <c r="H301" i="13"/>
  <c r="H282" i="13"/>
  <c r="H283" i="13"/>
  <c r="H306" i="13"/>
  <c r="H298" i="13"/>
  <c r="H295" i="13"/>
  <c r="H281" i="13"/>
  <c r="H278" i="13"/>
  <c r="H293" i="13"/>
  <c r="H115" i="13"/>
  <c r="H121" i="13"/>
  <c r="H117" i="13"/>
  <c r="H124" i="13"/>
  <c r="H114" i="13"/>
  <c r="H119" i="13"/>
  <c r="H98" i="13"/>
  <c r="H116" i="13"/>
  <c r="H122" i="13"/>
  <c r="H110" i="13"/>
  <c r="H95" i="13"/>
  <c r="H118" i="13"/>
  <c r="H94" i="13"/>
  <c r="H97" i="13"/>
  <c r="H96" i="13"/>
  <c r="H91" i="13"/>
  <c r="H106" i="13"/>
  <c r="H93" i="13"/>
  <c r="H92" i="13"/>
  <c r="H112" i="13"/>
  <c r="H111" i="13"/>
  <c r="H107" i="13"/>
  <c r="H120" i="13"/>
  <c r="H108" i="13"/>
  <c r="H113" i="13"/>
  <c r="H109" i="13"/>
  <c r="H197" i="13"/>
  <c r="K12" i="36" s="1"/>
  <c r="H189" i="13"/>
  <c r="K16" i="36" s="1"/>
  <c r="H199" i="13"/>
  <c r="K14" i="36" s="1"/>
  <c r="H191" i="13"/>
  <c r="H201" i="13"/>
  <c r="H194" i="13"/>
  <c r="H177" i="13"/>
  <c r="H198" i="13"/>
  <c r="K13" i="36" s="1"/>
  <c r="H187" i="13"/>
  <c r="H196" i="13"/>
  <c r="H192" i="13"/>
  <c r="H185" i="13"/>
  <c r="H181" i="13"/>
  <c r="H193" i="13"/>
  <c r="H188" i="13"/>
  <c r="H190" i="13"/>
  <c r="H202" i="13"/>
  <c r="H200" i="13"/>
  <c r="K15" i="36" s="1"/>
  <c r="H178" i="13"/>
  <c r="H206" i="13"/>
  <c r="H184" i="13"/>
  <c r="H183" i="13"/>
  <c r="H167" i="13"/>
  <c r="H101" i="13"/>
  <c r="H171" i="13"/>
  <c r="H162" i="13"/>
  <c r="H172" i="13"/>
  <c r="H132" i="13"/>
  <c r="H180" i="13"/>
  <c r="H168" i="13"/>
  <c r="H165" i="13"/>
  <c r="H100" i="13"/>
  <c r="H179" i="13"/>
  <c r="H195" i="13"/>
  <c r="H164" i="13"/>
  <c r="H102" i="13"/>
  <c r="H182" i="13"/>
  <c r="H163" i="13"/>
  <c r="H186" i="13"/>
  <c r="H77" i="13"/>
  <c r="H69" i="13"/>
  <c r="H47" i="13"/>
  <c r="H166" i="13"/>
  <c r="H87" i="13"/>
  <c r="H82" i="13"/>
  <c r="H74" i="13"/>
  <c r="H54" i="13"/>
  <c r="H76" i="13"/>
  <c r="H45" i="13"/>
  <c r="H73" i="13"/>
  <c r="H67" i="13"/>
  <c r="H46" i="13"/>
  <c r="H81" i="13"/>
  <c r="H123" i="13"/>
  <c r="H70" i="13"/>
  <c r="H71" i="13"/>
  <c r="H80" i="13"/>
  <c r="H83" i="13"/>
  <c r="H75" i="13"/>
  <c r="H68" i="13"/>
  <c r="H53" i="13"/>
  <c r="H78" i="13"/>
  <c r="H52" i="13"/>
  <c r="H173" i="13"/>
  <c r="H49" i="13"/>
  <c r="H44" i="13"/>
  <c r="H43" i="13"/>
  <c r="H48" i="13"/>
  <c r="H72" i="13"/>
  <c r="H79" i="13"/>
  <c r="H88" i="13"/>
  <c r="BX40" i="13" l="1"/>
  <c r="BW40" i="13"/>
  <c r="BV40" i="13"/>
  <c r="BU40" i="13"/>
  <c r="BT40" i="13"/>
  <c r="BS40" i="13"/>
  <c r="BR40" i="13"/>
  <c r="BQ40" i="13"/>
  <c r="BP40" i="13"/>
  <c r="BO40" i="13"/>
  <c r="BN40" i="13"/>
  <c r="BM40" i="13"/>
  <c r="BL40" i="13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Y40" i="13"/>
  <c r="AX40" i="13"/>
  <c r="AW40" i="13"/>
  <c r="AV40" i="13"/>
  <c r="AU40" i="13"/>
  <c r="AT40" i="13"/>
  <c r="AS40" i="13"/>
  <c r="AR40" i="13"/>
  <c r="AQ40" i="13"/>
  <c r="AP40" i="13"/>
  <c r="AO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BX39" i="13"/>
  <c r="BW39" i="13"/>
  <c r="BV39" i="13"/>
  <c r="BU39" i="13"/>
  <c r="BT39" i="13"/>
  <c r="BS39" i="13"/>
  <c r="BR39" i="13"/>
  <c r="BQ39" i="13"/>
  <c r="BP39" i="13"/>
  <c r="BO39" i="13"/>
  <c r="BN39" i="13"/>
  <c r="BM39" i="13"/>
  <c r="BL39" i="13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AY39" i="13"/>
  <c r="AX39" i="13"/>
  <c r="AW39" i="13"/>
  <c r="AV39" i="13"/>
  <c r="AU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H39" i="13"/>
  <c r="AG39" i="13"/>
  <c r="AF39" i="13"/>
  <c r="AE39" i="13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BX38" i="13"/>
  <c r="BW38" i="13"/>
  <c r="BV38" i="13"/>
  <c r="BU38" i="13"/>
  <c r="BT38" i="13"/>
  <c r="BS38" i="13"/>
  <c r="BR38" i="13"/>
  <c r="BQ38" i="13"/>
  <c r="BP38" i="13"/>
  <c r="BO38" i="13"/>
  <c r="BN38" i="13"/>
  <c r="BM38" i="13"/>
  <c r="BL38" i="13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V38" i="13"/>
  <c r="AU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BX37" i="13"/>
  <c r="BW37" i="13"/>
  <c r="BV37" i="13"/>
  <c r="BU37" i="13"/>
  <c r="BT37" i="13"/>
  <c r="BS37" i="13"/>
  <c r="BR37" i="13"/>
  <c r="BQ37" i="13"/>
  <c r="BP37" i="13"/>
  <c r="BO37" i="13"/>
  <c r="BN37" i="13"/>
  <c r="BM37" i="13"/>
  <c r="BL37" i="13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Y37" i="13"/>
  <c r="AX37" i="13"/>
  <c r="AW37" i="13"/>
  <c r="AV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H37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BX36" i="13"/>
  <c r="BW36" i="13"/>
  <c r="BV36" i="13"/>
  <c r="BU36" i="13"/>
  <c r="BT36" i="13"/>
  <c r="BS36" i="13"/>
  <c r="BR36" i="13"/>
  <c r="BQ36" i="13"/>
  <c r="BP36" i="13"/>
  <c r="BO36" i="13"/>
  <c r="BN36" i="13"/>
  <c r="BM36" i="13"/>
  <c r="BL36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BX34" i="13"/>
  <c r="BW34" i="13"/>
  <c r="BV34" i="13"/>
  <c r="BU34" i="13"/>
  <c r="BT34" i="13"/>
  <c r="BS34" i="13"/>
  <c r="BR34" i="13"/>
  <c r="BQ34" i="13"/>
  <c r="BP34" i="13"/>
  <c r="BO34" i="13"/>
  <c r="BN34" i="13"/>
  <c r="BM34" i="13"/>
  <c r="BL34" i="13"/>
  <c r="BK34" i="13"/>
  <c r="BJ34" i="13"/>
  <c r="BI34" i="13"/>
  <c r="BH34" i="13"/>
  <c r="BG34" i="13"/>
  <c r="BF34" i="13"/>
  <c r="BE34" i="13"/>
  <c r="BD34" i="13"/>
  <c r="BC34" i="13"/>
  <c r="BB34" i="13"/>
  <c r="BA34" i="13"/>
  <c r="AZ34" i="13"/>
  <c r="AY34" i="13"/>
  <c r="AX34" i="13"/>
  <c r="AW34" i="13"/>
  <c r="AV34" i="13"/>
  <c r="AU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BX33" i="13"/>
  <c r="BW33" i="13"/>
  <c r="BV33" i="13"/>
  <c r="BU33" i="13"/>
  <c r="BT33" i="13"/>
  <c r="BS33" i="13"/>
  <c r="BR33" i="13"/>
  <c r="BQ33" i="13"/>
  <c r="BP33" i="13"/>
  <c r="BO33" i="13"/>
  <c r="BN33" i="13"/>
  <c r="BM33" i="13"/>
  <c r="BL33" i="13"/>
  <c r="BK33" i="13"/>
  <c r="BJ33" i="13"/>
  <c r="BI33" i="13"/>
  <c r="BH33" i="13"/>
  <c r="BG33" i="13"/>
  <c r="BF33" i="13"/>
  <c r="BE33" i="13"/>
  <c r="BD33" i="13"/>
  <c r="BC33" i="13"/>
  <c r="BB33" i="13"/>
  <c r="BA33" i="13"/>
  <c r="AZ33" i="13"/>
  <c r="AY33" i="13"/>
  <c r="AX33" i="13"/>
  <c r="AW33" i="13"/>
  <c r="AV33" i="13"/>
  <c r="AU33" i="13"/>
  <c r="AT33" i="13"/>
  <c r="AS33" i="13"/>
  <c r="AR33" i="13"/>
  <c r="AQ33" i="13"/>
  <c r="AP33" i="13"/>
  <c r="AO33" i="13"/>
  <c r="AN33" i="13"/>
  <c r="AM33" i="13"/>
  <c r="AL33" i="13"/>
  <c r="AK33" i="13"/>
  <c r="AJ33" i="13"/>
  <c r="AI33" i="13"/>
  <c r="AH33" i="13"/>
  <c r="AG33" i="13"/>
  <c r="AF33" i="13"/>
  <c r="AE33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BX32" i="13"/>
  <c r="BW32" i="13"/>
  <c r="BV32" i="13"/>
  <c r="BU32" i="13"/>
  <c r="BT32" i="13"/>
  <c r="BS32" i="13"/>
  <c r="BR32" i="13"/>
  <c r="BQ32" i="13"/>
  <c r="BP32" i="13"/>
  <c r="BO32" i="13"/>
  <c r="BN32" i="13"/>
  <c r="BM32" i="13"/>
  <c r="BL32" i="13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BX28" i="13"/>
  <c r="BW28" i="13"/>
  <c r="BV28" i="13"/>
  <c r="BU28" i="13"/>
  <c r="BT28" i="13"/>
  <c r="BS28" i="13"/>
  <c r="BR28" i="13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BX27" i="13"/>
  <c r="BW27" i="13"/>
  <c r="BV27" i="13"/>
  <c r="BU27" i="13"/>
  <c r="BT27" i="13"/>
  <c r="BS27" i="13"/>
  <c r="BR27" i="13"/>
  <c r="BQ27" i="13"/>
  <c r="BP27" i="13"/>
  <c r="BO27" i="13"/>
  <c r="BN27" i="13"/>
  <c r="BM27" i="13"/>
  <c r="BL27" i="13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W27" i="13"/>
  <c r="AV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BX26" i="13"/>
  <c r="BW26" i="13"/>
  <c r="BV26" i="13"/>
  <c r="BU26" i="13"/>
  <c r="BT26" i="13"/>
  <c r="BS26" i="13"/>
  <c r="BR26" i="13"/>
  <c r="BQ26" i="13"/>
  <c r="BP26" i="13"/>
  <c r="BO26" i="13"/>
  <c r="BN26" i="13"/>
  <c r="BM26" i="13"/>
  <c r="BL26" i="13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AW26" i="13"/>
  <c r="AV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G26" i="13"/>
  <c r="AF26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BX25" i="13"/>
  <c r="BW25" i="13"/>
  <c r="BV25" i="13"/>
  <c r="BU25" i="13"/>
  <c r="BT25" i="13"/>
  <c r="BS25" i="13"/>
  <c r="BR25" i="13"/>
  <c r="BQ25" i="13"/>
  <c r="BP25" i="13"/>
  <c r="BO25" i="13"/>
  <c r="BN25" i="13"/>
  <c r="BM25" i="13"/>
  <c r="BL25" i="13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Y25" i="13"/>
  <c r="AX25" i="13"/>
  <c r="AW25" i="13"/>
  <c r="AV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BX24" i="13"/>
  <c r="BW24" i="13"/>
  <c r="BV24" i="13"/>
  <c r="BU24" i="13"/>
  <c r="BT24" i="13"/>
  <c r="BS24" i="13"/>
  <c r="BR24" i="13"/>
  <c r="BQ24" i="13"/>
  <c r="BP24" i="13"/>
  <c r="BO24" i="13"/>
  <c r="BN24" i="13"/>
  <c r="BM24" i="13"/>
  <c r="BL24" i="13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AW24" i="13"/>
  <c r="AV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BX22" i="13"/>
  <c r="BW22" i="13"/>
  <c r="BV22" i="13"/>
  <c r="BU22" i="13"/>
  <c r="BT22" i="13"/>
  <c r="BS22" i="13"/>
  <c r="BR22" i="13"/>
  <c r="BQ22" i="13"/>
  <c r="BP22" i="13"/>
  <c r="BO22" i="13"/>
  <c r="BN22" i="13"/>
  <c r="BM22" i="13"/>
  <c r="BL22" i="13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BX21" i="13"/>
  <c r="BW21" i="13"/>
  <c r="BV21" i="13"/>
  <c r="BU21" i="13"/>
  <c r="BT21" i="13"/>
  <c r="BS21" i="13"/>
  <c r="BR21" i="13"/>
  <c r="BQ21" i="13"/>
  <c r="BP21" i="13"/>
  <c r="BO21" i="13"/>
  <c r="BN21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BX20" i="13"/>
  <c r="BW20" i="13"/>
  <c r="BV20" i="13"/>
  <c r="BU20" i="13"/>
  <c r="BT20" i="13"/>
  <c r="BS20" i="13"/>
  <c r="BR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BX19" i="13"/>
  <c r="BW19" i="13"/>
  <c r="BV19" i="13"/>
  <c r="BU19" i="13"/>
  <c r="BT19" i="13"/>
  <c r="BS19" i="13"/>
  <c r="BR19" i="13"/>
  <c r="BQ19" i="13"/>
  <c r="BP19" i="13"/>
  <c r="BO19" i="13"/>
  <c r="BN19" i="13"/>
  <c r="BM19" i="13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BX18" i="13"/>
  <c r="BW18" i="13"/>
  <c r="BV18" i="13"/>
  <c r="BU18" i="13"/>
  <c r="BT18" i="13"/>
  <c r="BS18" i="13"/>
  <c r="BR18" i="13"/>
  <c r="BQ18" i="13"/>
  <c r="BP18" i="13"/>
  <c r="BO18" i="13"/>
  <c r="BN18" i="13"/>
  <c r="BM18" i="13"/>
  <c r="BL18" i="13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W18" i="13"/>
  <c r="AV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BX10" i="13"/>
  <c r="BW10" i="13"/>
  <c r="BV10" i="13"/>
  <c r="BU10" i="13"/>
  <c r="BT10" i="13"/>
  <c r="BS10" i="13"/>
  <c r="BR10" i="13"/>
  <c r="BQ10" i="13"/>
  <c r="BP10" i="13"/>
  <c r="BO10" i="13"/>
  <c r="BN10" i="13"/>
  <c r="BM10" i="13"/>
  <c r="BL10" i="13"/>
  <c r="BK10" i="13"/>
  <c r="BJ10" i="13"/>
  <c r="BI10" i="13"/>
  <c r="BH10" i="13"/>
  <c r="BG10" i="13"/>
  <c r="BF10" i="13"/>
  <c r="BE10" i="13"/>
  <c r="BD10" i="13"/>
  <c r="BC10" i="13"/>
  <c r="BB10" i="13"/>
  <c r="BA10" i="13"/>
  <c r="AZ10" i="13"/>
  <c r="AY10" i="13"/>
  <c r="AX10" i="13"/>
  <c r="AW10" i="13"/>
  <c r="AV10" i="13"/>
  <c r="AU10" i="13"/>
  <c r="AT10" i="13"/>
  <c r="AS10" i="13"/>
  <c r="AR10" i="13"/>
  <c r="AQ10" i="13"/>
  <c r="AP10" i="13"/>
  <c r="AO10" i="13"/>
  <c r="AN10" i="13"/>
  <c r="AM10" i="13"/>
  <c r="AL10" i="13"/>
  <c r="AK10" i="13"/>
  <c r="AJ10" i="13"/>
  <c r="AI10" i="13"/>
  <c r="AH10" i="13"/>
  <c r="AG10" i="13"/>
  <c r="AF10" i="13"/>
  <c r="AE10" i="13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BX9" i="13"/>
  <c r="BW9" i="13"/>
  <c r="BV9" i="13"/>
  <c r="BU9" i="13"/>
  <c r="BT9" i="13"/>
  <c r="BS9" i="13"/>
  <c r="BR9" i="13"/>
  <c r="BQ9" i="13"/>
  <c r="BP9" i="13"/>
  <c r="BO9" i="13"/>
  <c r="BN9" i="13"/>
  <c r="BM9" i="13"/>
  <c r="BL9" i="13"/>
  <c r="BK9" i="13"/>
  <c r="BJ9" i="13"/>
  <c r="BI9" i="13"/>
  <c r="BH9" i="13"/>
  <c r="BG9" i="13"/>
  <c r="BF9" i="13"/>
  <c r="BE9" i="13"/>
  <c r="BD9" i="13"/>
  <c r="BC9" i="13"/>
  <c r="BB9" i="13"/>
  <c r="BA9" i="13"/>
  <c r="AZ9" i="13"/>
  <c r="AY9" i="13"/>
  <c r="AX9" i="13"/>
  <c r="AW9" i="13"/>
  <c r="AV9" i="13"/>
  <c r="AU9" i="13"/>
  <c r="AT9" i="13"/>
  <c r="AS9" i="13"/>
  <c r="AR9" i="13"/>
  <c r="AQ9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BX8" i="13"/>
  <c r="BW8" i="13"/>
  <c r="BV8" i="13"/>
  <c r="BU8" i="13"/>
  <c r="BT8" i="13"/>
  <c r="BS8" i="13"/>
  <c r="BR8" i="13"/>
  <c r="BQ8" i="13"/>
  <c r="BP8" i="13"/>
  <c r="BO8" i="13"/>
  <c r="BN8" i="13"/>
  <c r="BM8" i="13"/>
  <c r="BL8" i="13"/>
  <c r="BK8" i="13"/>
  <c r="BJ8" i="13"/>
  <c r="BI8" i="13"/>
  <c r="BH8" i="13"/>
  <c r="BG8" i="13"/>
  <c r="BF8" i="13"/>
  <c r="BE8" i="13"/>
  <c r="BD8" i="13"/>
  <c r="BC8" i="13"/>
  <c r="BB8" i="13"/>
  <c r="BA8" i="13"/>
  <c r="AZ8" i="13"/>
  <c r="AY8" i="13"/>
  <c r="AX8" i="13"/>
  <c r="AW8" i="13"/>
  <c r="AV8" i="13"/>
  <c r="AU8" i="13"/>
  <c r="AT8" i="13"/>
  <c r="AS8" i="13"/>
  <c r="AR8" i="13"/>
  <c r="AQ8" i="13"/>
  <c r="AP8" i="13"/>
  <c r="AO8" i="13"/>
  <c r="AN8" i="13"/>
  <c r="AM8" i="13"/>
  <c r="AL8" i="13"/>
  <c r="AK8" i="13"/>
  <c r="AJ8" i="13"/>
  <c r="AI8" i="13"/>
  <c r="AH8" i="13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G1" i="13"/>
  <c r="J3" i="36" l="1"/>
  <c r="H1" i="13"/>
  <c r="K3" i="36" s="1"/>
  <c r="I1" i="13" l="1"/>
  <c r="L3" i="36" l="1"/>
  <c r="J1" i="13"/>
  <c r="M3" i="36" l="1"/>
  <c r="E6" i="4"/>
  <c r="F6" i="4" s="1"/>
  <c r="F8" i="4" s="1"/>
  <c r="K1" i="13"/>
  <c r="Q41" i="12"/>
  <c r="P41" i="12"/>
  <c r="O41" i="12"/>
  <c r="N41" i="12"/>
  <c r="M41" i="12"/>
  <c r="L41" i="12"/>
  <c r="Q40" i="12"/>
  <c r="P40" i="12"/>
  <c r="O40" i="12"/>
  <c r="N40" i="12"/>
  <c r="M40" i="12"/>
  <c r="L40" i="12"/>
  <c r="Q39" i="12"/>
  <c r="P39" i="12"/>
  <c r="O39" i="12"/>
  <c r="N39" i="12"/>
  <c r="M39" i="12"/>
  <c r="L39" i="12"/>
  <c r="Q38" i="12"/>
  <c r="P38" i="12"/>
  <c r="O38" i="12"/>
  <c r="N38" i="12"/>
  <c r="M38" i="12"/>
  <c r="L38" i="12"/>
  <c r="Q37" i="12"/>
  <c r="P37" i="12"/>
  <c r="O37" i="12"/>
  <c r="N37" i="12"/>
  <c r="M37" i="12"/>
  <c r="L37" i="12"/>
  <c r="Q36" i="12"/>
  <c r="P36" i="12"/>
  <c r="O36" i="12"/>
  <c r="N36" i="12"/>
  <c r="M36" i="12"/>
  <c r="L36" i="12"/>
  <c r="Q35" i="12"/>
  <c r="P35" i="12"/>
  <c r="O35" i="12"/>
  <c r="N35" i="12"/>
  <c r="M35" i="12"/>
  <c r="L35" i="12"/>
  <c r="Q34" i="12"/>
  <c r="P34" i="12"/>
  <c r="O34" i="12"/>
  <c r="N34" i="12"/>
  <c r="M34" i="12"/>
  <c r="L34" i="12"/>
  <c r="Q33" i="12"/>
  <c r="P33" i="12"/>
  <c r="O33" i="12"/>
  <c r="N33" i="12"/>
  <c r="M33" i="12"/>
  <c r="L33" i="12"/>
  <c r="Q32" i="12"/>
  <c r="P32" i="12"/>
  <c r="O32" i="12"/>
  <c r="N32" i="12"/>
  <c r="M32" i="12"/>
  <c r="L32" i="12"/>
  <c r="Q31" i="12"/>
  <c r="P31" i="12"/>
  <c r="O31" i="12"/>
  <c r="N31" i="12"/>
  <c r="M31" i="12"/>
  <c r="L31" i="12"/>
  <c r="Q30" i="12"/>
  <c r="P30" i="12"/>
  <c r="O30" i="12"/>
  <c r="N30" i="12"/>
  <c r="M30" i="12"/>
  <c r="L30" i="12"/>
  <c r="Q29" i="12"/>
  <c r="P29" i="12"/>
  <c r="O29" i="12"/>
  <c r="N29" i="12"/>
  <c r="M29" i="12"/>
  <c r="L29" i="12"/>
  <c r="Q28" i="12"/>
  <c r="P28" i="12"/>
  <c r="O28" i="12"/>
  <c r="N28" i="12"/>
  <c r="M28" i="12"/>
  <c r="L28" i="12"/>
  <c r="Q27" i="12"/>
  <c r="P27" i="12"/>
  <c r="O27" i="12"/>
  <c r="N27" i="12"/>
  <c r="M27" i="12"/>
  <c r="L27" i="12"/>
  <c r="Q26" i="12"/>
  <c r="P26" i="12"/>
  <c r="O26" i="12"/>
  <c r="N26" i="12"/>
  <c r="M26" i="12"/>
  <c r="L26" i="12"/>
  <c r="Q25" i="12"/>
  <c r="P25" i="12"/>
  <c r="O25" i="12"/>
  <c r="N25" i="12"/>
  <c r="M25" i="12"/>
  <c r="L25" i="12"/>
  <c r="Q24" i="12"/>
  <c r="P24" i="12"/>
  <c r="O24" i="12"/>
  <c r="N24" i="12"/>
  <c r="M24" i="12"/>
  <c r="L24" i="12"/>
  <c r="Q23" i="12"/>
  <c r="P23" i="12"/>
  <c r="O23" i="12"/>
  <c r="N23" i="12"/>
  <c r="M23" i="12"/>
  <c r="L23" i="12"/>
  <c r="Q22" i="12"/>
  <c r="P22" i="12"/>
  <c r="O22" i="12"/>
  <c r="N22" i="12"/>
  <c r="M22" i="12"/>
  <c r="L22" i="12"/>
  <c r="Q21" i="12"/>
  <c r="P21" i="12"/>
  <c r="O21" i="12"/>
  <c r="N21" i="12"/>
  <c r="M21" i="12"/>
  <c r="L21" i="12"/>
  <c r="Q20" i="12"/>
  <c r="P20" i="12"/>
  <c r="O20" i="12"/>
  <c r="N20" i="12"/>
  <c r="M20" i="12"/>
  <c r="L20" i="12"/>
  <c r="Q19" i="12"/>
  <c r="P19" i="12"/>
  <c r="O19" i="12"/>
  <c r="N19" i="12"/>
  <c r="M19" i="12"/>
  <c r="L19" i="12"/>
  <c r="Q18" i="12"/>
  <c r="P18" i="12"/>
  <c r="O18" i="12"/>
  <c r="N18" i="12"/>
  <c r="M18" i="12"/>
  <c r="L18" i="12"/>
  <c r="Q17" i="12"/>
  <c r="P17" i="12"/>
  <c r="O17" i="12"/>
  <c r="N17" i="12"/>
  <c r="M17" i="12"/>
  <c r="L17" i="12"/>
  <c r="Q16" i="12"/>
  <c r="P16" i="12"/>
  <c r="O16" i="12"/>
  <c r="N16" i="12"/>
  <c r="M16" i="12"/>
  <c r="L16" i="12"/>
  <c r="Q15" i="12"/>
  <c r="P15" i="12"/>
  <c r="O15" i="12"/>
  <c r="N15" i="12"/>
  <c r="M15" i="12"/>
  <c r="L15" i="12"/>
  <c r="Q14" i="12"/>
  <c r="P14" i="12"/>
  <c r="O14" i="12"/>
  <c r="N14" i="12"/>
  <c r="M14" i="12"/>
  <c r="L14" i="12"/>
  <c r="Q13" i="12"/>
  <c r="P13" i="12"/>
  <c r="O13" i="12"/>
  <c r="N13" i="12"/>
  <c r="M13" i="12"/>
  <c r="L13" i="12"/>
  <c r="Q12" i="12"/>
  <c r="P12" i="12"/>
  <c r="O12" i="12"/>
  <c r="N12" i="12"/>
  <c r="M12" i="12"/>
  <c r="L12" i="12"/>
  <c r="Q11" i="12"/>
  <c r="P11" i="12"/>
  <c r="O11" i="12"/>
  <c r="N11" i="12"/>
  <c r="M11" i="12"/>
  <c r="L11" i="12"/>
  <c r="Q10" i="12"/>
  <c r="P10" i="12"/>
  <c r="O10" i="12"/>
  <c r="N10" i="12"/>
  <c r="M10" i="12"/>
  <c r="L10" i="12"/>
  <c r="Q9" i="12"/>
  <c r="P9" i="12"/>
  <c r="O9" i="12"/>
  <c r="N9" i="12"/>
  <c r="M9" i="12"/>
  <c r="L9" i="12"/>
  <c r="Q8" i="12"/>
  <c r="P8" i="12"/>
  <c r="O8" i="12"/>
  <c r="N8" i="12"/>
  <c r="M8" i="12"/>
  <c r="L8" i="12"/>
  <c r="Q7" i="12"/>
  <c r="P7" i="12"/>
  <c r="O7" i="12"/>
  <c r="N7" i="12"/>
  <c r="M7" i="12"/>
  <c r="L7" i="12"/>
  <c r="Q6" i="12"/>
  <c r="P6" i="12"/>
  <c r="O6" i="12"/>
  <c r="N6" i="12"/>
  <c r="M6" i="12"/>
  <c r="L6" i="12"/>
  <c r="Q5" i="12"/>
  <c r="P5" i="12"/>
  <c r="O5" i="12"/>
  <c r="N5" i="12"/>
  <c r="M5" i="12"/>
  <c r="L5" i="12"/>
  <c r="Q4" i="12"/>
  <c r="P4" i="12"/>
  <c r="O4" i="12"/>
  <c r="N4" i="12"/>
  <c r="M4" i="12"/>
  <c r="L4" i="12"/>
  <c r="Q3" i="12"/>
  <c r="P3" i="12"/>
  <c r="O3" i="12"/>
  <c r="N3" i="12"/>
  <c r="M3" i="12"/>
  <c r="L3" i="12"/>
  <c r="N3" i="36" l="1"/>
  <c r="Q6" i="7"/>
  <c r="U35" i="7"/>
  <c r="P6" i="7"/>
  <c r="O67" i="7"/>
  <c r="T6" i="7"/>
  <c r="I35" i="7"/>
  <c r="S67" i="7"/>
  <c r="M6" i="7"/>
  <c r="T67" i="7"/>
  <c r="S35" i="7"/>
  <c r="K67" i="7"/>
  <c r="P67" i="7"/>
  <c r="H6" i="7"/>
  <c r="E6" i="26"/>
  <c r="E9" i="26" s="1"/>
  <c r="V35" i="7"/>
  <c r="H67" i="7"/>
  <c r="G67" i="7"/>
  <c r="U6" i="7"/>
  <c r="M35" i="7"/>
  <c r="W35" i="7"/>
  <c r="F35" i="7"/>
  <c r="X6" i="7"/>
  <c r="I6" i="7"/>
  <c r="R6" i="7"/>
  <c r="E43" i="4"/>
  <c r="W67" i="7"/>
  <c r="V6" i="7"/>
  <c r="H35" i="7"/>
  <c r="T35" i="7"/>
  <c r="E80" i="4"/>
  <c r="K35" i="7"/>
  <c r="F6" i="7"/>
  <c r="E117" i="4"/>
  <c r="E35" i="7"/>
  <c r="S6" i="7"/>
  <c r="W6" i="7"/>
  <c r="X35" i="7"/>
  <c r="U67" i="7"/>
  <c r="N35" i="7"/>
  <c r="Q35" i="7"/>
  <c r="J67" i="7"/>
  <c r="K6" i="7"/>
  <c r="L35" i="7"/>
  <c r="J35" i="7"/>
  <c r="G6" i="7"/>
  <c r="E71" i="7"/>
  <c r="I67" i="7"/>
  <c r="E10" i="7"/>
  <c r="E67" i="7"/>
  <c r="E45" i="26"/>
  <c r="G35" i="7"/>
  <c r="J6" i="7"/>
  <c r="M67" i="7"/>
  <c r="O6" i="7"/>
  <c r="N67" i="7"/>
  <c r="E6" i="7"/>
  <c r="Q67" i="7"/>
  <c r="N6" i="7"/>
  <c r="V67" i="7"/>
  <c r="L67" i="7"/>
  <c r="F67" i="7"/>
  <c r="P35" i="7"/>
  <c r="R67" i="7"/>
  <c r="L6" i="7"/>
  <c r="X67" i="7"/>
  <c r="R35" i="7"/>
  <c r="O35" i="7"/>
  <c r="L1" i="13"/>
  <c r="R40" i="12"/>
  <c r="C40" i="12" s="1"/>
  <c r="H369" i="13" s="1"/>
  <c r="R24" i="12"/>
  <c r="C24" i="12" s="1"/>
  <c r="R33" i="12"/>
  <c r="C33" i="12" s="1"/>
  <c r="R41" i="12"/>
  <c r="C41" i="12" s="1"/>
  <c r="H370" i="13" s="1"/>
  <c r="R4" i="12"/>
  <c r="C4" i="12" s="1"/>
  <c r="H398" i="13" s="1"/>
  <c r="R6" i="12"/>
  <c r="C6" i="12" s="1"/>
  <c r="R12" i="12"/>
  <c r="D12" i="12" s="1"/>
  <c r="R25" i="12"/>
  <c r="C25" i="12" s="1"/>
  <c r="R31" i="12"/>
  <c r="C31" i="12" s="1"/>
  <c r="H363" i="13" s="1"/>
  <c r="R16" i="12"/>
  <c r="D16" i="12" s="1"/>
  <c r="R8" i="12"/>
  <c r="C8" i="12" s="1"/>
  <c r="R10" i="12"/>
  <c r="C10" i="12" s="1"/>
  <c r="R26" i="12"/>
  <c r="C26" i="12" s="1"/>
  <c r="R34" i="12"/>
  <c r="D34" i="12" s="1"/>
  <c r="R21" i="12"/>
  <c r="D21" i="12" s="1"/>
  <c r="R22" i="12"/>
  <c r="D22" i="12" s="1"/>
  <c r="R18" i="12"/>
  <c r="D18" i="12" s="1"/>
  <c r="R5" i="12"/>
  <c r="C5" i="12" s="1"/>
  <c r="H399" i="13" s="1"/>
  <c r="R15" i="12"/>
  <c r="C15" i="12" s="1"/>
  <c r="R37" i="12"/>
  <c r="C37" i="12" s="1"/>
  <c r="R13" i="12"/>
  <c r="C13" i="12" s="1"/>
  <c r="R32" i="12"/>
  <c r="C32" i="12" s="1"/>
  <c r="R11" i="12"/>
  <c r="C11" i="12" s="1"/>
  <c r="R29" i="12"/>
  <c r="C29" i="12" s="1"/>
  <c r="R30" i="12"/>
  <c r="C30" i="12" s="1"/>
  <c r="R19" i="12"/>
  <c r="C19" i="12" s="1"/>
  <c r="R27" i="12"/>
  <c r="C27" i="12" s="1"/>
  <c r="R14" i="12"/>
  <c r="D14" i="12" s="1"/>
  <c r="R35" i="12"/>
  <c r="C35" i="12" s="1"/>
  <c r="H364" i="13" s="1"/>
  <c r="R9" i="12"/>
  <c r="C9" i="12" s="1"/>
  <c r="R17" i="12"/>
  <c r="C17" i="12" s="1"/>
  <c r="R7" i="12"/>
  <c r="C7" i="12" s="1"/>
  <c r="R20" i="12"/>
  <c r="C20" i="12" s="1"/>
  <c r="R28" i="12"/>
  <c r="C28" i="12" s="1"/>
  <c r="R36" i="12"/>
  <c r="C36" i="12" s="1"/>
  <c r="R38" i="12"/>
  <c r="C38" i="12" s="1"/>
  <c r="R23" i="12"/>
  <c r="D23" i="12" s="1"/>
  <c r="R39" i="12"/>
  <c r="C39" i="12" s="1"/>
  <c r="H368" i="13" s="1"/>
  <c r="O3" i="36" l="1"/>
  <c r="H371" i="13"/>
  <c r="H372" i="13"/>
  <c r="F395" i="13"/>
  <c r="G395" i="13"/>
  <c r="H395" i="13"/>
  <c r="H375" i="13"/>
  <c r="H374" i="13"/>
  <c r="H377" i="13"/>
  <c r="H378" i="13"/>
  <c r="F400" i="13"/>
  <c r="G400" i="13"/>
  <c r="H400" i="13"/>
  <c r="F362" i="13"/>
  <c r="G362" i="13"/>
  <c r="H362" i="13"/>
  <c r="F356" i="13"/>
  <c r="G356" i="13"/>
  <c r="H356" i="13"/>
  <c r="F383" i="13"/>
  <c r="F387" i="13"/>
  <c r="F389" i="13"/>
  <c r="F385" i="13"/>
  <c r="G389" i="13"/>
  <c r="G387" i="13"/>
  <c r="G385" i="13"/>
  <c r="G383" i="13"/>
  <c r="H389" i="13"/>
  <c r="H385" i="13"/>
  <c r="H387" i="13"/>
  <c r="H383" i="13"/>
  <c r="F361" i="13"/>
  <c r="G361" i="13"/>
  <c r="H361" i="13"/>
  <c r="F367" i="13"/>
  <c r="G367" i="13"/>
  <c r="H367" i="13"/>
  <c r="F384" i="13"/>
  <c r="G384" i="13"/>
  <c r="H384" i="13"/>
  <c r="F391" i="13"/>
  <c r="I4" i="36" s="1"/>
  <c r="G391" i="13"/>
  <c r="J4" i="36" s="1"/>
  <c r="H391" i="13"/>
  <c r="K4" i="36" s="1"/>
  <c r="F396" i="13"/>
  <c r="G396" i="13"/>
  <c r="H396" i="13"/>
  <c r="F381" i="13"/>
  <c r="F380" i="13"/>
  <c r="G380" i="13"/>
  <c r="G381" i="13"/>
  <c r="H380" i="13"/>
  <c r="H381" i="13"/>
  <c r="F366" i="13"/>
  <c r="G366" i="13"/>
  <c r="H366" i="13"/>
  <c r="F360" i="13"/>
  <c r="G360" i="13"/>
  <c r="H360" i="13"/>
  <c r="F393" i="13"/>
  <c r="I6" i="36" s="1"/>
  <c r="G393" i="13"/>
  <c r="J6" i="36" s="1"/>
  <c r="H393" i="13"/>
  <c r="K6" i="36" s="1"/>
  <c r="F392" i="13"/>
  <c r="I5" i="36" s="1"/>
  <c r="G392" i="13"/>
  <c r="J5" i="36" s="1"/>
  <c r="H392" i="13"/>
  <c r="K5" i="36" s="1"/>
  <c r="F358" i="13"/>
  <c r="G358" i="13"/>
  <c r="H358" i="13"/>
  <c r="F359" i="13"/>
  <c r="G359" i="13"/>
  <c r="H359" i="13"/>
  <c r="F357" i="13"/>
  <c r="G357" i="13"/>
  <c r="H357" i="13"/>
  <c r="F365" i="13"/>
  <c r="G365" i="13"/>
  <c r="H365" i="13"/>
  <c r="F394" i="13"/>
  <c r="I7" i="36" s="1"/>
  <c r="G394" i="13"/>
  <c r="J7" i="36" s="1"/>
  <c r="H394" i="13"/>
  <c r="K7" i="36" s="1"/>
  <c r="F6" i="26"/>
  <c r="G6" i="26" s="1"/>
  <c r="F45" i="26"/>
  <c r="E48" i="26"/>
  <c r="M1" i="13"/>
  <c r="P3" i="36" s="1"/>
  <c r="F9" i="26" l="1"/>
  <c r="G45" i="26"/>
  <c r="F48" i="26"/>
  <c r="H6" i="26"/>
  <c r="G9" i="26"/>
  <c r="N1" i="13"/>
  <c r="Q3" i="36" s="1"/>
  <c r="I6" i="26" l="1"/>
  <c r="H9" i="26"/>
  <c r="G48" i="26"/>
  <c r="H45" i="26"/>
  <c r="O1" i="13"/>
  <c r="R3" i="36" s="1"/>
  <c r="I45" i="26" l="1"/>
  <c r="H48" i="26"/>
  <c r="J6" i="26"/>
  <c r="I9" i="26"/>
  <c r="P1" i="13"/>
  <c r="S3" i="36" s="1"/>
  <c r="K6" i="26" l="1"/>
  <c r="J9" i="26"/>
  <c r="J45" i="26"/>
  <c r="I48" i="26"/>
  <c r="Q1" i="13"/>
  <c r="T3" i="36" s="1"/>
  <c r="K45" i="26" l="1"/>
  <c r="J48" i="26"/>
  <c r="K9" i="26"/>
  <c r="L6" i="26"/>
  <c r="R1" i="13"/>
  <c r="S1" i="13" l="1"/>
  <c r="U3" i="36"/>
  <c r="M6" i="26"/>
  <c r="L9" i="26"/>
  <c r="L45" i="26"/>
  <c r="K48" i="26"/>
  <c r="E107" i="2"/>
  <c r="E10" i="2"/>
  <c r="E74" i="2"/>
  <c r="E140" i="2"/>
  <c r="E42" i="2"/>
  <c r="AY3" i="21"/>
  <c r="AX3" i="21"/>
  <c r="AW3" i="21"/>
  <c r="AV3" i="21"/>
  <c r="AU3" i="21"/>
  <c r="AT3" i="21"/>
  <c r="AS3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52" i="21"/>
  <c r="AD38" i="35" s="1"/>
  <c r="AC50" i="21"/>
  <c r="AC8" i="21"/>
  <c r="AD7" i="35" s="1"/>
  <c r="AC6" i="21"/>
  <c r="AD6" i="35" s="1"/>
  <c r="AC4" i="21"/>
  <c r="AD5" i="35" s="1"/>
  <c r="AC7" i="21"/>
  <c r="AC51" i="21"/>
  <c r="AC49" i="21"/>
  <c r="AC5" i="21"/>
  <c r="AC3" i="21"/>
  <c r="G2" i="22"/>
  <c r="AC59" i="21"/>
  <c r="AD45" i="35" s="1"/>
  <c r="AC58" i="21"/>
  <c r="AD44" i="35" s="1"/>
  <c r="AC57" i="21"/>
  <c r="AD43" i="35" s="1"/>
  <c r="E2" i="20"/>
  <c r="AC56" i="21"/>
  <c r="AD42" i="35" s="1"/>
  <c r="AC55" i="21"/>
  <c r="AD41" i="35" s="1"/>
  <c r="AC54" i="21"/>
  <c r="AD40" i="35" s="1"/>
  <c r="AC53" i="21"/>
  <c r="AD39" i="35" s="1"/>
  <c r="E48" i="21"/>
  <c r="E36" i="35" s="1"/>
  <c r="E23" i="21"/>
  <c r="E24" i="35" s="1"/>
  <c r="E22" i="21"/>
  <c r="E20" i="21"/>
  <c r="E19" i="35" s="1"/>
  <c r="E18" i="21"/>
  <c r="E17" i="35" s="1"/>
  <c r="E16" i="21"/>
  <c r="E15" i="35" s="1"/>
  <c r="E14" i="21"/>
  <c r="E13" i="35" s="1"/>
  <c r="E13" i="21"/>
  <c r="E12" i="21"/>
  <c r="E11" i="21"/>
  <c r="E10" i="21"/>
  <c r="E9" i="21"/>
  <c r="E8" i="35" s="1"/>
  <c r="AA92" i="16"/>
  <c r="Z92" i="16"/>
  <c r="Y92" i="16"/>
  <c r="X92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AC26" i="21"/>
  <c r="AD27" i="35" s="1"/>
  <c r="AA91" i="16"/>
  <c r="Z91" i="16"/>
  <c r="Y91" i="16"/>
  <c r="X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AC25" i="21"/>
  <c r="AD26" i="35" s="1"/>
  <c r="AA90" i="16"/>
  <c r="Z90" i="16"/>
  <c r="Y90" i="16"/>
  <c r="X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AC24" i="21"/>
  <c r="AD25" i="35" s="1"/>
  <c r="AA87" i="16"/>
  <c r="Z87" i="16"/>
  <c r="Y87" i="16"/>
  <c r="X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AC21" i="21"/>
  <c r="AD20" i="35" s="1"/>
  <c r="AA85" i="16"/>
  <c r="Z85" i="16"/>
  <c r="Y85" i="16"/>
  <c r="X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AC19" i="21"/>
  <c r="AD18" i="35" s="1"/>
  <c r="AA83" i="16"/>
  <c r="Z83" i="16"/>
  <c r="Y83" i="16"/>
  <c r="X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AC17" i="21"/>
  <c r="AD16" i="35" s="1"/>
  <c r="AA81" i="16"/>
  <c r="B9" i="16" s="1"/>
  <c r="Z81" i="16"/>
  <c r="Y81" i="16"/>
  <c r="X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F81" i="16"/>
  <c r="AC15" i="21"/>
  <c r="AD14" i="35" s="1"/>
  <c r="E485" i="5"/>
  <c r="E442" i="5"/>
  <c r="E399" i="5"/>
  <c r="E280" i="5"/>
  <c r="E199" i="5"/>
  <c r="L24" i="36" l="1"/>
  <c r="E21" i="35"/>
  <c r="AD37" i="35"/>
  <c r="L62" i="36"/>
  <c r="L30" i="36"/>
  <c r="B19" i="16"/>
  <c r="B15" i="16"/>
  <c r="L31" i="36"/>
  <c r="L29" i="36"/>
  <c r="B20" i="16"/>
  <c r="B18" i="16"/>
  <c r="B11" i="16"/>
  <c r="B13" i="16"/>
  <c r="T1" i="13"/>
  <c r="V3" i="36"/>
  <c r="E9" i="35"/>
  <c r="E48" i="35" s="1"/>
  <c r="L20" i="36"/>
  <c r="E10" i="35"/>
  <c r="L21" i="36"/>
  <c r="E11" i="35"/>
  <c r="L22" i="36"/>
  <c r="E12" i="35"/>
  <c r="L23" i="36"/>
  <c r="E23" i="35"/>
  <c r="L48" i="26"/>
  <c r="M45" i="26"/>
  <c r="M9" i="26"/>
  <c r="N6" i="26"/>
  <c r="AS24" i="21"/>
  <c r="AT25" i="35" s="1"/>
  <c r="AJ21" i="21"/>
  <c r="AK20" i="35" s="1"/>
  <c r="AD19" i="21"/>
  <c r="AE18" i="35" s="1"/>
  <c r="E94" i="36" s="1"/>
  <c r="AL25" i="21"/>
  <c r="AM26" i="35" s="1"/>
  <c r="AQ15" i="21"/>
  <c r="AR14" i="35" s="1"/>
  <c r="AJ25" i="21"/>
  <c r="AK26" i="35" s="1"/>
  <c r="AR15" i="21"/>
  <c r="AS14" i="35" s="1"/>
  <c r="AS15" i="21"/>
  <c r="AT14" i="35" s="1"/>
  <c r="AL17" i="21"/>
  <c r="AM16" i="35" s="1"/>
  <c r="AT19" i="21"/>
  <c r="AU18" i="35" s="1"/>
  <c r="AL21" i="21"/>
  <c r="AM20" i="35" s="1"/>
  <c r="AD24" i="21"/>
  <c r="AE25" i="35" s="1"/>
  <c r="AT24" i="21"/>
  <c r="AU25" i="35" s="1"/>
  <c r="AD26" i="21"/>
  <c r="AE27" i="35" s="1"/>
  <c r="AT26" i="21"/>
  <c r="AU27" i="35" s="1"/>
  <c r="AD15" i="21"/>
  <c r="AE14" i="35" s="1"/>
  <c r="E92" i="36" s="1"/>
  <c r="AT15" i="21"/>
  <c r="AU14" i="35" s="1"/>
  <c r="AM17" i="21"/>
  <c r="AN16" i="35" s="1"/>
  <c r="AE19" i="21"/>
  <c r="AF18" i="35" s="1"/>
  <c r="AU19" i="21"/>
  <c r="AV18" i="35" s="1"/>
  <c r="AM21" i="21"/>
  <c r="AN20" i="35" s="1"/>
  <c r="AE24" i="21"/>
  <c r="AF25" i="35" s="1"/>
  <c r="AU24" i="21"/>
  <c r="AV25" i="35" s="1"/>
  <c r="AM25" i="21"/>
  <c r="AN26" i="35" s="1"/>
  <c r="AE26" i="21"/>
  <c r="AF27" i="35" s="1"/>
  <c r="AU26" i="21"/>
  <c r="AV27" i="35" s="1"/>
  <c r="AR19" i="21"/>
  <c r="AS18" i="35" s="1"/>
  <c r="AR26" i="21"/>
  <c r="AS27" i="35" s="1"/>
  <c r="AS26" i="21"/>
  <c r="AT27" i="35" s="1"/>
  <c r="AF24" i="21"/>
  <c r="AG25" i="35" s="1"/>
  <c r="AR24" i="21"/>
  <c r="AS25" i="35" s="1"/>
  <c r="AN17" i="21"/>
  <c r="AO16" i="35" s="1"/>
  <c r="AV24" i="21"/>
  <c r="AW25" i="35" s="1"/>
  <c r="AF15" i="21"/>
  <c r="AG14" i="35" s="1"/>
  <c r="AV15" i="21"/>
  <c r="AW14" i="35" s="1"/>
  <c r="AO17" i="21"/>
  <c r="AP16" i="35" s="1"/>
  <c r="F90" i="36" s="1"/>
  <c r="AG19" i="21"/>
  <c r="AH18" i="35" s="1"/>
  <c r="AW19" i="21"/>
  <c r="AX18" i="35" s="1"/>
  <c r="AO21" i="21"/>
  <c r="AP20" i="35" s="1"/>
  <c r="F96" i="36" s="1"/>
  <c r="AG24" i="21"/>
  <c r="AH25" i="35" s="1"/>
  <c r="AW24" i="21"/>
  <c r="AX25" i="35" s="1"/>
  <c r="AO25" i="21"/>
  <c r="AP26" i="35" s="1"/>
  <c r="AG26" i="21"/>
  <c r="AH27" i="35" s="1"/>
  <c r="AW26" i="21"/>
  <c r="AX27" i="35" s="1"/>
  <c r="AH19" i="21"/>
  <c r="AI18" i="35" s="1"/>
  <c r="AU15" i="21"/>
  <c r="AV14" i="35" s="1"/>
  <c r="AN21" i="21"/>
  <c r="AO20" i="35" s="1"/>
  <c r="AF26" i="21"/>
  <c r="AG27" i="35" s="1"/>
  <c r="AW15" i="21"/>
  <c r="AX14" i="35" s="1"/>
  <c r="AP17" i="21"/>
  <c r="AQ16" i="35" s="1"/>
  <c r="AX19" i="21"/>
  <c r="AY18" i="35" s="1"/>
  <c r="AP21" i="21"/>
  <c r="AQ20" i="35" s="1"/>
  <c r="AH24" i="21"/>
  <c r="AI25" i="35" s="1"/>
  <c r="AX24" i="21"/>
  <c r="AY25" i="35" s="1"/>
  <c r="AP25" i="21"/>
  <c r="AQ26" i="35" s="1"/>
  <c r="AH26" i="21"/>
  <c r="AI27" i="35" s="1"/>
  <c r="AX26" i="21"/>
  <c r="AY27" i="35" s="1"/>
  <c r="AH15" i="21"/>
  <c r="AI14" i="35" s="1"/>
  <c r="AX15" i="21"/>
  <c r="AY14" i="35" s="1"/>
  <c r="AQ17" i="21"/>
  <c r="AR16" i="35" s="1"/>
  <c r="AI19" i="21"/>
  <c r="AJ18" i="35" s="1"/>
  <c r="AQ21" i="21"/>
  <c r="AR20" i="35" s="1"/>
  <c r="AI24" i="21"/>
  <c r="AJ25" i="35" s="1"/>
  <c r="AQ25" i="21"/>
  <c r="AR26" i="35" s="1"/>
  <c r="AI26" i="21"/>
  <c r="AJ27" i="35" s="1"/>
  <c r="AK21" i="21"/>
  <c r="AL20" i="35" s="1"/>
  <c r="AK25" i="21"/>
  <c r="AL26" i="35" s="1"/>
  <c r="AF19" i="21"/>
  <c r="AG18" i="35" s="1"/>
  <c r="AV26" i="21"/>
  <c r="AW27" i="35" s="1"/>
  <c r="AI15" i="21"/>
  <c r="AJ14" i="35" s="1"/>
  <c r="AR17" i="21"/>
  <c r="AS16" i="35" s="1"/>
  <c r="AJ24" i="21"/>
  <c r="AK25" i="35" s="1"/>
  <c r="AJ26" i="21"/>
  <c r="AK27" i="35" s="1"/>
  <c r="AS19" i="21"/>
  <c r="AT18" i="35" s="1"/>
  <c r="AE15" i="21"/>
  <c r="AF14" i="35" s="1"/>
  <c r="AV19" i="21"/>
  <c r="AW18" i="35" s="1"/>
  <c r="AN25" i="21"/>
  <c r="AO26" i="35" s="1"/>
  <c r="AG15" i="21"/>
  <c r="AH14" i="35" s="1"/>
  <c r="AJ19" i="21"/>
  <c r="AK18" i="35" s="1"/>
  <c r="AR21" i="21"/>
  <c r="AS20" i="35" s="1"/>
  <c r="AR25" i="21"/>
  <c r="AS26" i="35" s="1"/>
  <c r="AJ15" i="21"/>
  <c r="AK14" i="35" s="1"/>
  <c r="AS17" i="21"/>
  <c r="AT16" i="35" s="1"/>
  <c r="AK19" i="21"/>
  <c r="AL18" i="35" s="1"/>
  <c r="AS21" i="21"/>
  <c r="AT20" i="35" s="1"/>
  <c r="AK24" i="21"/>
  <c r="AL25" i="35" s="1"/>
  <c r="AS25" i="21"/>
  <c r="AT26" i="35" s="1"/>
  <c r="AK26" i="21"/>
  <c r="AL27" i="35" s="1"/>
  <c r="AL24" i="21"/>
  <c r="AM25" i="35" s="1"/>
  <c r="AK17" i="21"/>
  <c r="AL16" i="35" s="1"/>
  <c r="AL19" i="21"/>
  <c r="AM18" i="35" s="1"/>
  <c r="AT25" i="21"/>
  <c r="AU26" i="35" s="1"/>
  <c r="AL15" i="21"/>
  <c r="AM14" i="35" s="1"/>
  <c r="AE17" i="21"/>
  <c r="AF16" i="35" s="1"/>
  <c r="AU17" i="21"/>
  <c r="AV16" i="35" s="1"/>
  <c r="AM19" i="21"/>
  <c r="AN18" i="35" s="1"/>
  <c r="AE21" i="21"/>
  <c r="AF20" i="35" s="1"/>
  <c r="AU21" i="21"/>
  <c r="AV20" i="35" s="1"/>
  <c r="AM24" i="21"/>
  <c r="AN25" i="35" s="1"/>
  <c r="AE25" i="21"/>
  <c r="AF26" i="35" s="1"/>
  <c r="AU25" i="21"/>
  <c r="AV26" i="35" s="1"/>
  <c r="AM26" i="21"/>
  <c r="AN27" i="35" s="1"/>
  <c r="AJ17" i="21"/>
  <c r="AK16" i="35" s="1"/>
  <c r="AT17" i="21"/>
  <c r="AU16" i="35" s="1"/>
  <c r="AD21" i="21"/>
  <c r="AE20" i="35" s="1"/>
  <c r="E96" i="36" s="1"/>
  <c r="AT21" i="21"/>
  <c r="AU20" i="35" s="1"/>
  <c r="AD25" i="21"/>
  <c r="AE26" i="35" s="1"/>
  <c r="AL26" i="21"/>
  <c r="AM27" i="35" s="1"/>
  <c r="AV21" i="21"/>
  <c r="AW20" i="35" s="1"/>
  <c r="AD17" i="21"/>
  <c r="AE16" i="35" s="1"/>
  <c r="E90" i="36" s="1"/>
  <c r="AN24" i="21"/>
  <c r="AO25" i="35" s="1"/>
  <c r="AN15" i="21"/>
  <c r="AO14" i="35" s="1"/>
  <c r="AG17" i="21"/>
  <c r="AH16" i="35" s="1"/>
  <c r="AW17" i="21"/>
  <c r="AX16" i="35" s="1"/>
  <c r="AO19" i="21"/>
  <c r="AP18" i="35" s="1"/>
  <c r="F94" i="36" s="1"/>
  <c r="AG21" i="21"/>
  <c r="AH20" i="35" s="1"/>
  <c r="AW21" i="21"/>
  <c r="AX20" i="35" s="1"/>
  <c r="AO24" i="21"/>
  <c r="AP25" i="35" s="1"/>
  <c r="AG25" i="21"/>
  <c r="AH26" i="35" s="1"/>
  <c r="AW25" i="21"/>
  <c r="AX26" i="35" s="1"/>
  <c r="AO26" i="21"/>
  <c r="AP27" i="35" s="1"/>
  <c r="AK15" i="21"/>
  <c r="AL14" i="35" s="1"/>
  <c r="AN19" i="21"/>
  <c r="AO18" i="35" s="1"/>
  <c r="AH17" i="21"/>
  <c r="AI16" i="35" s="1"/>
  <c r="AX21" i="21"/>
  <c r="AY20" i="35" s="1"/>
  <c r="AM15" i="21"/>
  <c r="AN14" i="35" s="1"/>
  <c r="AF17" i="21"/>
  <c r="AG16" i="35" s="1"/>
  <c r="AV17" i="21"/>
  <c r="AW16" i="35" s="1"/>
  <c r="AF21" i="21"/>
  <c r="AG20" i="35" s="1"/>
  <c r="AF25" i="21"/>
  <c r="AG26" i="35" s="1"/>
  <c r="AV25" i="21"/>
  <c r="AW26" i="35" s="1"/>
  <c r="AN26" i="21"/>
  <c r="AO27" i="35" s="1"/>
  <c r="AO15" i="21"/>
  <c r="AP14" i="35" s="1"/>
  <c r="F92" i="36" s="1"/>
  <c r="AX17" i="21"/>
  <c r="AY16" i="35" s="1"/>
  <c r="AP19" i="21"/>
  <c r="AQ18" i="35" s="1"/>
  <c r="AH21" i="21"/>
  <c r="AI20" i="35" s="1"/>
  <c r="AP24" i="21"/>
  <c r="AQ25" i="35" s="1"/>
  <c r="AH25" i="21"/>
  <c r="AI26" i="35" s="1"/>
  <c r="AX25" i="21"/>
  <c r="AY26" i="35" s="1"/>
  <c r="AP26" i="21"/>
  <c r="AQ27" i="35" s="1"/>
  <c r="AP15" i="21"/>
  <c r="AQ14" i="35" s="1"/>
  <c r="AI17" i="21"/>
  <c r="AJ16" i="35" s="1"/>
  <c r="AQ19" i="21"/>
  <c r="AR18" i="35" s="1"/>
  <c r="AI21" i="21"/>
  <c r="AJ20" i="35" s="1"/>
  <c r="AQ24" i="21"/>
  <c r="AR25" i="35" s="1"/>
  <c r="AI25" i="21"/>
  <c r="AJ26" i="35" s="1"/>
  <c r="AQ26" i="21"/>
  <c r="AR27" i="35" s="1"/>
  <c r="AY15" i="21"/>
  <c r="AZ14" i="35" s="1"/>
  <c r="AY19" i="21"/>
  <c r="AZ18" i="35" s="1"/>
  <c r="AY24" i="21"/>
  <c r="AZ25" i="35" s="1"/>
  <c r="AY26" i="21"/>
  <c r="AZ27" i="35" s="1"/>
  <c r="AY17" i="21"/>
  <c r="AZ16" i="35" s="1"/>
  <c r="AY21" i="21"/>
  <c r="AZ20" i="35" s="1"/>
  <c r="AY25" i="21"/>
  <c r="AZ26" i="35" s="1"/>
  <c r="F2" i="20"/>
  <c r="G2" i="20" s="1"/>
  <c r="H2" i="20" s="1"/>
  <c r="I2" i="20" s="1"/>
  <c r="J2" i="20" s="1"/>
  <c r="K2" i="20" s="1"/>
  <c r="L2" i="20" s="1"/>
  <c r="M2" i="20" s="1"/>
  <c r="N2" i="20" s="1"/>
  <c r="O2" i="20" s="1"/>
  <c r="P2" i="20" s="1"/>
  <c r="Q2" i="20" s="1"/>
  <c r="R2" i="20" s="1"/>
  <c r="S2" i="20" s="1"/>
  <c r="T2" i="20" s="1"/>
  <c r="U2" i="20" s="1"/>
  <c r="V2" i="20" s="1"/>
  <c r="W2" i="20" s="1"/>
  <c r="X2" i="20" s="1"/>
  <c r="Y2" i="20" s="1"/>
  <c r="Z2" i="20" s="1"/>
  <c r="H2" i="22"/>
  <c r="I2" i="22" s="1"/>
  <c r="J2" i="22" s="1"/>
  <c r="K2" i="22" s="1"/>
  <c r="L2" i="22" s="1"/>
  <c r="M2" i="22" s="1"/>
  <c r="N2" i="22" s="1"/>
  <c r="O2" i="22" s="1"/>
  <c r="P2" i="22" s="1"/>
  <c r="Q2" i="22" s="1"/>
  <c r="R2" i="22" s="1"/>
  <c r="S2" i="22" s="1"/>
  <c r="T2" i="22" s="1"/>
  <c r="U2" i="22" s="1"/>
  <c r="V2" i="22" s="1"/>
  <c r="W2" i="22" s="1"/>
  <c r="X2" i="22" s="1"/>
  <c r="Y2" i="22" s="1"/>
  <c r="Z2" i="22" s="1"/>
  <c r="AA2" i="22" s="1"/>
  <c r="F121" i="40" l="1"/>
  <c r="G121" i="40" s="1"/>
  <c r="H121" i="40" s="1"/>
  <c r="I121" i="40" s="1"/>
  <c r="J121" i="40" s="1"/>
  <c r="K121" i="40" s="1"/>
  <c r="L121" i="40" s="1"/>
  <c r="M121" i="40" s="1"/>
  <c r="N121" i="40" s="1"/>
  <c r="O121" i="40" s="1"/>
  <c r="P121" i="40" s="1"/>
  <c r="Q121" i="40" s="1"/>
  <c r="R121" i="40" s="1"/>
  <c r="S121" i="40" s="1"/>
  <c r="T121" i="40" s="1"/>
  <c r="U121" i="40" s="1"/>
  <c r="V121" i="40" s="1"/>
  <c r="W121" i="40" s="1"/>
  <c r="X121" i="40" s="1"/>
  <c r="B24" i="16"/>
  <c r="F400" i="40"/>
  <c r="G400" i="40" s="1"/>
  <c r="H400" i="40" s="1"/>
  <c r="I400" i="40" s="1"/>
  <c r="J400" i="40" s="1"/>
  <c r="K400" i="40" s="1"/>
  <c r="L400" i="40" s="1"/>
  <c r="M400" i="40" s="1"/>
  <c r="N400" i="40" s="1"/>
  <c r="O400" i="40" s="1"/>
  <c r="P400" i="40" s="1"/>
  <c r="Q400" i="40" s="1"/>
  <c r="R400" i="40" s="1"/>
  <c r="S400" i="40" s="1"/>
  <c r="T400" i="40" s="1"/>
  <c r="U400" i="40" s="1"/>
  <c r="V400" i="40" s="1"/>
  <c r="W400" i="40" s="1"/>
  <c r="X400" i="40" s="1"/>
  <c r="B31" i="16"/>
  <c r="F486" i="40"/>
  <c r="G486" i="40" s="1"/>
  <c r="H486" i="40" s="1"/>
  <c r="I486" i="40" s="1"/>
  <c r="J486" i="40" s="1"/>
  <c r="K486" i="40" s="1"/>
  <c r="L486" i="40" s="1"/>
  <c r="M486" i="40" s="1"/>
  <c r="N486" i="40" s="1"/>
  <c r="O486" i="40" s="1"/>
  <c r="P486" i="40" s="1"/>
  <c r="Q486" i="40" s="1"/>
  <c r="R486" i="40" s="1"/>
  <c r="S486" i="40" s="1"/>
  <c r="T486" i="40" s="1"/>
  <c r="U486" i="40" s="1"/>
  <c r="V486" i="40" s="1"/>
  <c r="W486" i="40" s="1"/>
  <c r="X486" i="40" s="1"/>
  <c r="B33" i="16"/>
  <c r="F281" i="40"/>
  <c r="G281" i="40" s="1"/>
  <c r="H281" i="40" s="1"/>
  <c r="I281" i="40" s="1"/>
  <c r="J281" i="40" s="1"/>
  <c r="K281" i="40" s="1"/>
  <c r="L281" i="40" s="1"/>
  <c r="M281" i="40" s="1"/>
  <c r="N281" i="40" s="1"/>
  <c r="O281" i="40" s="1"/>
  <c r="P281" i="40" s="1"/>
  <c r="Q281" i="40" s="1"/>
  <c r="R281" i="40" s="1"/>
  <c r="S281" i="40" s="1"/>
  <c r="T281" i="40" s="1"/>
  <c r="U281" i="40" s="1"/>
  <c r="V281" i="40" s="1"/>
  <c r="W281" i="40" s="1"/>
  <c r="X281" i="40" s="1"/>
  <c r="B28" i="16"/>
  <c r="F443" i="40"/>
  <c r="G443" i="40" s="1"/>
  <c r="H443" i="40" s="1"/>
  <c r="I443" i="40" s="1"/>
  <c r="J443" i="40" s="1"/>
  <c r="K443" i="40" s="1"/>
  <c r="L443" i="40" s="1"/>
  <c r="M443" i="40" s="1"/>
  <c r="N443" i="40" s="1"/>
  <c r="O443" i="40" s="1"/>
  <c r="P443" i="40" s="1"/>
  <c r="Q443" i="40" s="1"/>
  <c r="R443" i="40" s="1"/>
  <c r="S443" i="40" s="1"/>
  <c r="T443" i="40" s="1"/>
  <c r="U443" i="40" s="1"/>
  <c r="V443" i="40" s="1"/>
  <c r="W443" i="40" s="1"/>
  <c r="X443" i="40" s="1"/>
  <c r="B32" i="16"/>
  <c r="F200" i="40"/>
  <c r="G200" i="40" s="1"/>
  <c r="H200" i="40" s="1"/>
  <c r="I200" i="40" s="1"/>
  <c r="J200" i="40" s="1"/>
  <c r="K200" i="40" s="1"/>
  <c r="L200" i="40" s="1"/>
  <c r="M200" i="40" s="1"/>
  <c r="N200" i="40" s="1"/>
  <c r="O200" i="40" s="1"/>
  <c r="P200" i="40" s="1"/>
  <c r="Q200" i="40" s="1"/>
  <c r="R200" i="40" s="1"/>
  <c r="S200" i="40" s="1"/>
  <c r="T200" i="40" s="1"/>
  <c r="U200" i="40" s="1"/>
  <c r="V200" i="40" s="1"/>
  <c r="W200" i="40" s="1"/>
  <c r="X200" i="40" s="1"/>
  <c r="B26" i="16"/>
  <c r="P30" i="36"/>
  <c r="AB30" i="36"/>
  <c r="Y30" i="36"/>
  <c r="AD29" i="36"/>
  <c r="P29" i="36"/>
  <c r="V31" i="36"/>
  <c r="T29" i="36"/>
  <c r="AG29" i="36"/>
  <c r="C29" i="36"/>
  <c r="D30" i="36"/>
  <c r="AD30" i="36"/>
  <c r="AF30" i="36"/>
  <c r="U30" i="36"/>
  <c r="T30" i="36"/>
  <c r="T31" i="36"/>
  <c r="E33" i="36"/>
  <c r="C33" i="36"/>
  <c r="W31" i="36"/>
  <c r="Z31" i="36"/>
  <c r="O30" i="36"/>
  <c r="C31" i="36"/>
  <c r="AE30" i="36"/>
  <c r="R30" i="36"/>
  <c r="Z29" i="36"/>
  <c r="AA30" i="36"/>
  <c r="R31" i="36"/>
  <c r="AE29" i="36"/>
  <c r="AB29" i="36"/>
  <c r="V30" i="36"/>
  <c r="D29" i="36"/>
  <c r="Z30" i="36"/>
  <c r="O31" i="36"/>
  <c r="Q31" i="36"/>
  <c r="V29" i="36"/>
  <c r="W29" i="36"/>
  <c r="R29" i="36"/>
  <c r="AA29" i="36"/>
  <c r="E32" i="36"/>
  <c r="O29" i="36"/>
  <c r="M31" i="36"/>
  <c r="AE31" i="36"/>
  <c r="AB31" i="36"/>
  <c r="C32" i="36"/>
  <c r="Q29" i="36"/>
  <c r="AF31" i="36"/>
  <c r="AA31" i="36"/>
  <c r="M29" i="36"/>
  <c r="E22" i="35"/>
  <c r="C30" i="36"/>
  <c r="W30" i="36"/>
  <c r="U31" i="36"/>
  <c r="M30" i="36"/>
  <c r="P31" i="36"/>
  <c r="E49" i="35"/>
  <c r="Y31" i="36"/>
  <c r="D33" i="36"/>
  <c r="D31" i="36"/>
  <c r="AD31" i="36"/>
  <c r="E47" i="35"/>
  <c r="D32" i="36"/>
  <c r="AG30" i="36"/>
  <c r="Q30" i="36"/>
  <c r="Y29" i="36"/>
  <c r="E31" i="36"/>
  <c r="U29" i="36"/>
  <c r="E30" i="36"/>
  <c r="AG31" i="36"/>
  <c r="AF29" i="36"/>
  <c r="E29" i="36"/>
  <c r="U1" i="13"/>
  <c r="W3" i="36"/>
  <c r="O6" i="26"/>
  <c r="N9" i="26"/>
  <c r="M48" i="26"/>
  <c r="N45" i="26"/>
  <c r="B521" i="5"/>
  <c r="B478" i="5"/>
  <c r="B435" i="5"/>
  <c r="B316" i="5"/>
  <c r="B235" i="5"/>
  <c r="B154" i="5"/>
  <c r="B113" i="5"/>
  <c r="B77" i="5"/>
  <c r="B36" i="5"/>
  <c r="B73" i="4"/>
  <c r="B74" i="4" s="1"/>
  <c r="B110" i="4"/>
  <c r="B111" i="4" s="1"/>
  <c r="B147" i="4"/>
  <c r="B148" i="4" s="1"/>
  <c r="B36" i="4"/>
  <c r="B37" i="4" s="1"/>
  <c r="G32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B3" i="16"/>
  <c r="E1" i="2"/>
  <c r="B192" i="5" l="1"/>
  <c r="B273" i="5"/>
  <c r="B392" i="5"/>
  <c r="B354" i="5"/>
  <c r="V1" i="13"/>
  <c r="X3" i="36"/>
  <c r="O45" i="26"/>
  <c r="N48" i="26"/>
  <c r="P6" i="26"/>
  <c r="O9" i="26"/>
  <c r="E102" i="2"/>
  <c r="E135" i="2"/>
  <c r="E136" i="2" s="1"/>
  <c r="E155" i="2" s="1"/>
  <c r="E6" i="2"/>
  <c r="E70" i="2"/>
  <c r="E38" i="2"/>
  <c r="N55" i="17"/>
  <c r="M55" i="17"/>
  <c r="L55" i="17"/>
  <c r="K55" i="17"/>
  <c r="J55" i="17"/>
  <c r="I55" i="17"/>
  <c r="H55" i="17"/>
  <c r="G55" i="17"/>
  <c r="F55" i="17"/>
  <c r="E55" i="17"/>
  <c r="D55" i="17"/>
  <c r="C55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AA28" i="17"/>
  <c r="E41" i="36" s="1"/>
  <c r="Z28" i="17"/>
  <c r="D41" i="36" s="1"/>
  <c r="Y28" i="17"/>
  <c r="C41" i="36" s="1"/>
  <c r="X28" i="17"/>
  <c r="F57" i="36" s="1"/>
  <c r="W28" i="17"/>
  <c r="E57" i="36" s="1"/>
  <c r="V28" i="17"/>
  <c r="D57" i="36" s="1"/>
  <c r="U28" i="17"/>
  <c r="C57" i="36" s="1"/>
  <c r="T28" i="17"/>
  <c r="E49" i="36" s="1"/>
  <c r="S28" i="17"/>
  <c r="D49" i="36" s="1"/>
  <c r="R28" i="17"/>
  <c r="C49" i="36" s="1"/>
  <c r="Q28" i="17"/>
  <c r="P28" i="17"/>
  <c r="AA27" i="17"/>
  <c r="R58" i="36" s="1"/>
  <c r="Z27" i="17"/>
  <c r="Q58" i="36" s="1"/>
  <c r="Y27" i="17"/>
  <c r="P58" i="36" s="1"/>
  <c r="X27" i="17"/>
  <c r="O58" i="36" s="1"/>
  <c r="W27" i="17"/>
  <c r="N58" i="36" s="1"/>
  <c r="V27" i="17"/>
  <c r="M58" i="36" s="1"/>
  <c r="U27" i="17"/>
  <c r="L58" i="36" s="1"/>
  <c r="T27" i="17"/>
  <c r="K58" i="36" s="1"/>
  <c r="S27" i="17"/>
  <c r="J58" i="36" s="1"/>
  <c r="R27" i="17"/>
  <c r="I58" i="36" s="1"/>
  <c r="Q27" i="17"/>
  <c r="P27" i="17"/>
  <c r="AA26" i="17"/>
  <c r="R57" i="36" s="1"/>
  <c r="Z26" i="17"/>
  <c r="Q57" i="36" s="1"/>
  <c r="Y26" i="17"/>
  <c r="P57" i="36" s="1"/>
  <c r="X26" i="17"/>
  <c r="O57" i="36" s="1"/>
  <c r="W26" i="17"/>
  <c r="N57" i="36" s="1"/>
  <c r="V26" i="17"/>
  <c r="M57" i="36" s="1"/>
  <c r="U26" i="17"/>
  <c r="L57" i="36" s="1"/>
  <c r="T26" i="17"/>
  <c r="K57" i="36" s="1"/>
  <c r="S26" i="17"/>
  <c r="J57" i="36" s="1"/>
  <c r="R26" i="17"/>
  <c r="I57" i="36" s="1"/>
  <c r="Q26" i="17"/>
  <c r="P26" i="17"/>
  <c r="AA25" i="17"/>
  <c r="R56" i="36" s="1"/>
  <c r="Z25" i="17"/>
  <c r="Q56" i="36" s="1"/>
  <c r="Y25" i="17"/>
  <c r="P56" i="36" s="1"/>
  <c r="X25" i="17"/>
  <c r="O56" i="36" s="1"/>
  <c r="W25" i="17"/>
  <c r="N56" i="36" s="1"/>
  <c r="V25" i="17"/>
  <c r="M56" i="36" s="1"/>
  <c r="U25" i="17"/>
  <c r="L56" i="36" s="1"/>
  <c r="T25" i="17"/>
  <c r="K56" i="36" s="1"/>
  <c r="S25" i="17"/>
  <c r="J56" i="36" s="1"/>
  <c r="R25" i="17"/>
  <c r="I56" i="36" s="1"/>
  <c r="Q25" i="17"/>
  <c r="P25" i="17"/>
  <c r="AA24" i="17"/>
  <c r="R55" i="36" s="1"/>
  <c r="Z24" i="17"/>
  <c r="Q55" i="36" s="1"/>
  <c r="Y24" i="17"/>
  <c r="P55" i="36" s="1"/>
  <c r="X24" i="17"/>
  <c r="O55" i="36" s="1"/>
  <c r="W24" i="17"/>
  <c r="N55" i="36" s="1"/>
  <c r="V24" i="17"/>
  <c r="M55" i="36" s="1"/>
  <c r="U24" i="17"/>
  <c r="L55" i="36" s="1"/>
  <c r="T24" i="17"/>
  <c r="K55" i="36" s="1"/>
  <c r="S24" i="17"/>
  <c r="J55" i="36" s="1"/>
  <c r="R24" i="17"/>
  <c r="I55" i="36" s="1"/>
  <c r="Q24" i="17"/>
  <c r="P24" i="17"/>
  <c r="AA23" i="17"/>
  <c r="E40" i="36" s="1"/>
  <c r="Z23" i="17"/>
  <c r="D40" i="36" s="1"/>
  <c r="Y23" i="17"/>
  <c r="C40" i="36" s="1"/>
  <c r="X23" i="17"/>
  <c r="F56" i="36" s="1"/>
  <c r="W23" i="17"/>
  <c r="E56" i="36" s="1"/>
  <c r="V23" i="17"/>
  <c r="D56" i="36" s="1"/>
  <c r="U23" i="17"/>
  <c r="C56" i="36" s="1"/>
  <c r="T23" i="17"/>
  <c r="E48" i="36" s="1"/>
  <c r="S23" i="17"/>
  <c r="D48" i="36" s="1"/>
  <c r="R23" i="17"/>
  <c r="C48" i="36" s="1"/>
  <c r="Q23" i="17"/>
  <c r="P23" i="17"/>
  <c r="AA22" i="17"/>
  <c r="R53" i="36" s="1"/>
  <c r="Z22" i="17"/>
  <c r="Q53" i="36" s="1"/>
  <c r="Y22" i="17"/>
  <c r="P53" i="36" s="1"/>
  <c r="X22" i="17"/>
  <c r="O53" i="36" s="1"/>
  <c r="W22" i="17"/>
  <c r="N53" i="36" s="1"/>
  <c r="V22" i="17"/>
  <c r="M53" i="36" s="1"/>
  <c r="U22" i="17"/>
  <c r="L53" i="36" s="1"/>
  <c r="T22" i="17"/>
  <c r="K53" i="36" s="1"/>
  <c r="S22" i="17"/>
  <c r="J53" i="36" s="1"/>
  <c r="R22" i="17"/>
  <c r="I53" i="36" s="1"/>
  <c r="Q22" i="17"/>
  <c r="P22" i="17"/>
  <c r="AA21" i="17"/>
  <c r="R52" i="36" s="1"/>
  <c r="Z21" i="17"/>
  <c r="Q52" i="36" s="1"/>
  <c r="Y21" i="17"/>
  <c r="P52" i="36" s="1"/>
  <c r="X21" i="17"/>
  <c r="O52" i="36" s="1"/>
  <c r="W21" i="17"/>
  <c r="N52" i="36" s="1"/>
  <c r="V21" i="17"/>
  <c r="M52" i="36" s="1"/>
  <c r="U21" i="17"/>
  <c r="L52" i="36" s="1"/>
  <c r="T21" i="17"/>
  <c r="K52" i="36" s="1"/>
  <c r="S21" i="17"/>
  <c r="J52" i="36" s="1"/>
  <c r="R21" i="17"/>
  <c r="I52" i="36" s="1"/>
  <c r="Q21" i="17"/>
  <c r="P21" i="17"/>
  <c r="AA20" i="17"/>
  <c r="R51" i="36" s="1"/>
  <c r="Z20" i="17"/>
  <c r="Q51" i="36" s="1"/>
  <c r="Y20" i="17"/>
  <c r="P51" i="36" s="1"/>
  <c r="X20" i="17"/>
  <c r="O51" i="36" s="1"/>
  <c r="W20" i="17"/>
  <c r="N51" i="36" s="1"/>
  <c r="V20" i="17"/>
  <c r="M51" i="36" s="1"/>
  <c r="U20" i="17"/>
  <c r="L51" i="36" s="1"/>
  <c r="T20" i="17"/>
  <c r="K51" i="36" s="1"/>
  <c r="S20" i="17"/>
  <c r="J51" i="36" s="1"/>
  <c r="R20" i="17"/>
  <c r="I51" i="36" s="1"/>
  <c r="Q20" i="17"/>
  <c r="P20" i="17"/>
  <c r="AA19" i="17"/>
  <c r="R50" i="36" s="1"/>
  <c r="Z19" i="17"/>
  <c r="Q50" i="36" s="1"/>
  <c r="Y19" i="17"/>
  <c r="P50" i="36" s="1"/>
  <c r="X19" i="17"/>
  <c r="O50" i="36" s="1"/>
  <c r="W19" i="17"/>
  <c r="N50" i="36" s="1"/>
  <c r="V19" i="17"/>
  <c r="M50" i="36" s="1"/>
  <c r="U19" i="17"/>
  <c r="L50" i="36" s="1"/>
  <c r="T19" i="17"/>
  <c r="K50" i="36" s="1"/>
  <c r="S19" i="17"/>
  <c r="J50" i="36" s="1"/>
  <c r="R19" i="17"/>
  <c r="I50" i="36" s="1"/>
  <c r="Q19" i="17"/>
  <c r="P19" i="17"/>
  <c r="AA18" i="17"/>
  <c r="E39" i="36" s="1"/>
  <c r="Z18" i="17"/>
  <c r="D39" i="36" s="1"/>
  <c r="Y18" i="17"/>
  <c r="C39" i="36" s="1"/>
  <c r="X18" i="17"/>
  <c r="F55" i="36" s="1"/>
  <c r="W18" i="17"/>
  <c r="E55" i="36" s="1"/>
  <c r="V18" i="17"/>
  <c r="D55" i="36" s="1"/>
  <c r="U18" i="17"/>
  <c r="C55" i="36" s="1"/>
  <c r="T18" i="17"/>
  <c r="E47" i="36" s="1"/>
  <c r="S18" i="17"/>
  <c r="D47" i="36" s="1"/>
  <c r="R18" i="17"/>
  <c r="C47" i="36" s="1"/>
  <c r="Q18" i="17"/>
  <c r="P18" i="17"/>
  <c r="AA17" i="17"/>
  <c r="R48" i="36" s="1"/>
  <c r="Z17" i="17"/>
  <c r="Q48" i="36" s="1"/>
  <c r="Y17" i="17"/>
  <c r="P48" i="36" s="1"/>
  <c r="X17" i="17"/>
  <c r="O48" i="36" s="1"/>
  <c r="W17" i="17"/>
  <c r="N48" i="36" s="1"/>
  <c r="V17" i="17"/>
  <c r="M48" i="36" s="1"/>
  <c r="U17" i="17"/>
  <c r="L48" i="36" s="1"/>
  <c r="T17" i="17"/>
  <c r="K48" i="36" s="1"/>
  <c r="S17" i="17"/>
  <c r="J48" i="36" s="1"/>
  <c r="R17" i="17"/>
  <c r="I48" i="36" s="1"/>
  <c r="Q17" i="17"/>
  <c r="P17" i="17"/>
  <c r="AA16" i="17"/>
  <c r="R47" i="36" s="1"/>
  <c r="Z16" i="17"/>
  <c r="Q47" i="36" s="1"/>
  <c r="Y16" i="17"/>
  <c r="P47" i="36" s="1"/>
  <c r="X16" i="17"/>
  <c r="O47" i="36" s="1"/>
  <c r="W16" i="17"/>
  <c r="N47" i="36" s="1"/>
  <c r="V16" i="17"/>
  <c r="M47" i="36" s="1"/>
  <c r="U16" i="17"/>
  <c r="L47" i="36" s="1"/>
  <c r="T16" i="17"/>
  <c r="K47" i="36" s="1"/>
  <c r="S16" i="17"/>
  <c r="J47" i="36" s="1"/>
  <c r="R16" i="17"/>
  <c r="I47" i="36" s="1"/>
  <c r="Q16" i="17"/>
  <c r="P16" i="17"/>
  <c r="AA15" i="17"/>
  <c r="R46" i="36" s="1"/>
  <c r="Z15" i="17"/>
  <c r="Q46" i="36" s="1"/>
  <c r="Y15" i="17"/>
  <c r="P46" i="36" s="1"/>
  <c r="X15" i="17"/>
  <c r="O46" i="36" s="1"/>
  <c r="W15" i="17"/>
  <c r="N46" i="36" s="1"/>
  <c r="V15" i="17"/>
  <c r="M46" i="36" s="1"/>
  <c r="U15" i="17"/>
  <c r="L46" i="36" s="1"/>
  <c r="T15" i="17"/>
  <c r="K46" i="36" s="1"/>
  <c r="S15" i="17"/>
  <c r="J46" i="36" s="1"/>
  <c r="R15" i="17"/>
  <c r="I46" i="36" s="1"/>
  <c r="Q15" i="17"/>
  <c r="P15" i="17"/>
  <c r="AA14" i="17"/>
  <c r="R45" i="36" s="1"/>
  <c r="Z14" i="17"/>
  <c r="Q45" i="36" s="1"/>
  <c r="Y14" i="17"/>
  <c r="P45" i="36" s="1"/>
  <c r="X14" i="17"/>
  <c r="O45" i="36" s="1"/>
  <c r="W14" i="17"/>
  <c r="N45" i="36" s="1"/>
  <c r="V14" i="17"/>
  <c r="M45" i="36" s="1"/>
  <c r="U14" i="17"/>
  <c r="L45" i="36" s="1"/>
  <c r="T14" i="17"/>
  <c r="K45" i="36" s="1"/>
  <c r="S14" i="17"/>
  <c r="J45" i="36" s="1"/>
  <c r="R14" i="17"/>
  <c r="I45" i="36" s="1"/>
  <c r="Q14" i="17"/>
  <c r="P14" i="17"/>
  <c r="AA13" i="17"/>
  <c r="E38" i="36" s="1"/>
  <c r="Z13" i="17"/>
  <c r="D38" i="36" s="1"/>
  <c r="Y13" i="17"/>
  <c r="C38" i="36" s="1"/>
  <c r="X13" i="17"/>
  <c r="F54" i="36" s="1"/>
  <c r="W13" i="17"/>
  <c r="E54" i="36" s="1"/>
  <c r="V13" i="17"/>
  <c r="D54" i="36" s="1"/>
  <c r="U13" i="17"/>
  <c r="C54" i="36" s="1"/>
  <c r="T13" i="17"/>
  <c r="E46" i="36" s="1"/>
  <c r="S13" i="17"/>
  <c r="D46" i="36" s="1"/>
  <c r="R13" i="17"/>
  <c r="C46" i="36" s="1"/>
  <c r="Q13" i="17"/>
  <c r="P13" i="17"/>
  <c r="AA12" i="17"/>
  <c r="R43" i="36" s="1"/>
  <c r="Z12" i="17"/>
  <c r="Q43" i="36" s="1"/>
  <c r="Y12" i="17"/>
  <c r="P43" i="36" s="1"/>
  <c r="X12" i="17"/>
  <c r="O43" i="36" s="1"/>
  <c r="W12" i="17"/>
  <c r="N43" i="36" s="1"/>
  <c r="V12" i="17"/>
  <c r="M43" i="36" s="1"/>
  <c r="U12" i="17"/>
  <c r="L43" i="36" s="1"/>
  <c r="T12" i="17"/>
  <c r="K43" i="36" s="1"/>
  <c r="S12" i="17"/>
  <c r="J43" i="36" s="1"/>
  <c r="R12" i="17"/>
  <c r="I43" i="36" s="1"/>
  <c r="Q12" i="17"/>
  <c r="P12" i="17"/>
  <c r="AA11" i="17"/>
  <c r="R42" i="36" s="1"/>
  <c r="Z11" i="17"/>
  <c r="Q42" i="36" s="1"/>
  <c r="Y11" i="17"/>
  <c r="P42" i="36" s="1"/>
  <c r="X11" i="17"/>
  <c r="O42" i="36" s="1"/>
  <c r="W11" i="17"/>
  <c r="N42" i="36" s="1"/>
  <c r="V11" i="17"/>
  <c r="M42" i="36" s="1"/>
  <c r="U11" i="17"/>
  <c r="L42" i="36" s="1"/>
  <c r="T11" i="17"/>
  <c r="K42" i="36" s="1"/>
  <c r="S11" i="17"/>
  <c r="J42" i="36" s="1"/>
  <c r="R11" i="17"/>
  <c r="I42" i="36" s="1"/>
  <c r="Q11" i="17"/>
  <c r="P11" i="17"/>
  <c r="AA10" i="17"/>
  <c r="R41" i="36" s="1"/>
  <c r="Z10" i="17"/>
  <c r="Q41" i="36" s="1"/>
  <c r="Y10" i="17"/>
  <c r="P41" i="36" s="1"/>
  <c r="X10" i="17"/>
  <c r="O41" i="36" s="1"/>
  <c r="W10" i="17"/>
  <c r="N41" i="36" s="1"/>
  <c r="V10" i="17"/>
  <c r="M41" i="36" s="1"/>
  <c r="U10" i="17"/>
  <c r="L41" i="36" s="1"/>
  <c r="T10" i="17"/>
  <c r="K41" i="36" s="1"/>
  <c r="S10" i="17"/>
  <c r="J41" i="36" s="1"/>
  <c r="R10" i="17"/>
  <c r="I41" i="36" s="1"/>
  <c r="Q10" i="17"/>
  <c r="P10" i="17"/>
  <c r="AA9" i="17"/>
  <c r="R40" i="36" s="1"/>
  <c r="Z9" i="17"/>
  <c r="Q40" i="36" s="1"/>
  <c r="Y9" i="17"/>
  <c r="P40" i="36" s="1"/>
  <c r="X9" i="17"/>
  <c r="O40" i="36" s="1"/>
  <c r="W9" i="17"/>
  <c r="N40" i="36" s="1"/>
  <c r="V9" i="17"/>
  <c r="M40" i="36" s="1"/>
  <c r="U9" i="17"/>
  <c r="L40" i="36" s="1"/>
  <c r="T9" i="17"/>
  <c r="K40" i="36" s="1"/>
  <c r="S9" i="17"/>
  <c r="J40" i="36" s="1"/>
  <c r="R9" i="17"/>
  <c r="I40" i="36" s="1"/>
  <c r="Q9" i="17"/>
  <c r="P9" i="17"/>
  <c r="AA8" i="17"/>
  <c r="E37" i="36" s="1"/>
  <c r="Z8" i="17"/>
  <c r="D37" i="36" s="1"/>
  <c r="Y8" i="17"/>
  <c r="C37" i="36" s="1"/>
  <c r="X8" i="17"/>
  <c r="F53" i="36" s="1"/>
  <c r="W8" i="17"/>
  <c r="E53" i="36" s="1"/>
  <c r="V8" i="17"/>
  <c r="D53" i="36" s="1"/>
  <c r="U8" i="17"/>
  <c r="C53" i="36" s="1"/>
  <c r="T8" i="17"/>
  <c r="E45" i="36" s="1"/>
  <c r="S8" i="17"/>
  <c r="D45" i="36" s="1"/>
  <c r="R8" i="17"/>
  <c r="C45" i="36" s="1"/>
  <c r="Q8" i="17"/>
  <c r="P8" i="17"/>
  <c r="AA7" i="17"/>
  <c r="R38" i="36" s="1"/>
  <c r="Z7" i="17"/>
  <c r="Q38" i="36" s="1"/>
  <c r="Y7" i="17"/>
  <c r="P38" i="36" s="1"/>
  <c r="X7" i="17"/>
  <c r="O38" i="36" s="1"/>
  <c r="W7" i="17"/>
  <c r="N38" i="36" s="1"/>
  <c r="V7" i="17"/>
  <c r="M38" i="36" s="1"/>
  <c r="U7" i="17"/>
  <c r="L38" i="36" s="1"/>
  <c r="T7" i="17"/>
  <c r="K38" i="36" s="1"/>
  <c r="S7" i="17"/>
  <c r="J38" i="36" s="1"/>
  <c r="R7" i="17"/>
  <c r="I38" i="36" s="1"/>
  <c r="Q7" i="17"/>
  <c r="P7" i="17"/>
  <c r="AA6" i="17"/>
  <c r="R37" i="36" s="1"/>
  <c r="Z6" i="17"/>
  <c r="Q37" i="36" s="1"/>
  <c r="Y6" i="17"/>
  <c r="P37" i="36" s="1"/>
  <c r="X6" i="17"/>
  <c r="O37" i="36" s="1"/>
  <c r="W6" i="17"/>
  <c r="N37" i="36" s="1"/>
  <c r="V6" i="17"/>
  <c r="M37" i="36" s="1"/>
  <c r="U6" i="17"/>
  <c r="L37" i="36" s="1"/>
  <c r="T6" i="17"/>
  <c r="K37" i="36" s="1"/>
  <c r="S6" i="17"/>
  <c r="J37" i="36" s="1"/>
  <c r="R6" i="17"/>
  <c r="I37" i="36" s="1"/>
  <c r="Q6" i="17"/>
  <c r="P6" i="17"/>
  <c r="W1" i="13" l="1"/>
  <c r="Y3" i="36"/>
  <c r="Q6" i="26"/>
  <c r="P9" i="26"/>
  <c r="P45" i="26"/>
  <c r="O48" i="26"/>
  <c r="R3" i="12"/>
  <c r="C3" i="12" s="1"/>
  <c r="H397" i="13" s="1"/>
  <c r="X1" i="13" l="1"/>
  <c r="Z3" i="36"/>
  <c r="P48" i="26"/>
  <c r="Q45" i="26"/>
  <c r="R6" i="26"/>
  <c r="Q9" i="26"/>
  <c r="F486" i="5"/>
  <c r="F485" i="5"/>
  <c r="F443" i="5"/>
  <c r="F442" i="5"/>
  <c r="F400" i="5"/>
  <c r="F399" i="5"/>
  <c r="F281" i="5"/>
  <c r="F280" i="5"/>
  <c r="F200" i="5"/>
  <c r="F199" i="5"/>
  <c r="E16" i="1"/>
  <c r="E14" i="1"/>
  <c r="F121" i="5"/>
  <c r="F120" i="5"/>
  <c r="F44" i="5"/>
  <c r="F43" i="5"/>
  <c r="F7" i="5"/>
  <c r="E23" i="1"/>
  <c r="E22" i="1"/>
  <c r="E21" i="1"/>
  <c r="E18" i="1"/>
  <c r="E12" i="1"/>
  <c r="G400" i="5" l="1"/>
  <c r="G281" i="5"/>
  <c r="G443" i="5"/>
  <c r="G200" i="5"/>
  <c r="G44" i="5"/>
  <c r="Y1" i="13"/>
  <c r="AA3" i="36"/>
  <c r="S6" i="26"/>
  <c r="R9" i="26"/>
  <c r="R45" i="26"/>
  <c r="Q48" i="26"/>
  <c r="G485" i="5"/>
  <c r="G43" i="5"/>
  <c r="G280" i="5"/>
  <c r="G199" i="5"/>
  <c r="G399" i="5"/>
  <c r="G442" i="5"/>
  <c r="I4" i="13"/>
  <c r="G486" i="5"/>
  <c r="G120" i="5"/>
  <c r="G121" i="5"/>
  <c r="G7" i="5"/>
  <c r="H443" i="5" l="1"/>
  <c r="H485" i="5"/>
  <c r="I485" i="5" s="1"/>
  <c r="H43" i="5"/>
  <c r="H281" i="5"/>
  <c r="H44" i="5"/>
  <c r="H121" i="5"/>
  <c r="H200" i="5"/>
  <c r="H400" i="5"/>
  <c r="H7" i="5"/>
  <c r="Z1" i="13"/>
  <c r="AB3" i="36"/>
  <c r="I290" i="13"/>
  <c r="I56" i="13"/>
  <c r="I369" i="13" s="1"/>
  <c r="R48" i="26"/>
  <c r="S45" i="26"/>
  <c r="I293" i="13"/>
  <c r="I295" i="13"/>
  <c r="T6" i="26"/>
  <c r="S9" i="26"/>
  <c r="I45" i="13"/>
  <c r="I358" i="13" s="1"/>
  <c r="I312" i="13"/>
  <c r="I315" i="13"/>
  <c r="I308" i="13"/>
  <c r="I311" i="13"/>
  <c r="I314" i="13"/>
  <c r="I298" i="13"/>
  <c r="I307" i="13"/>
  <c r="I310" i="13"/>
  <c r="I313" i="13"/>
  <c r="I316" i="13"/>
  <c r="I303" i="13"/>
  <c r="I306" i="13"/>
  <c r="I302" i="13"/>
  <c r="I304" i="13"/>
  <c r="I289" i="13"/>
  <c r="I301" i="13"/>
  <c r="I309" i="13"/>
  <c r="I294" i="13"/>
  <c r="I297" i="13"/>
  <c r="I291" i="13"/>
  <c r="I285" i="13"/>
  <c r="I292" i="13"/>
  <c r="I284" i="13"/>
  <c r="I280" i="13"/>
  <c r="I288" i="13"/>
  <c r="I286" i="13"/>
  <c r="I283" i="13"/>
  <c r="I300" i="13"/>
  <c r="I305" i="13"/>
  <c r="I299" i="13"/>
  <c r="I296" i="13"/>
  <c r="I282" i="13"/>
  <c r="I279" i="13"/>
  <c r="I281" i="13"/>
  <c r="I287" i="13"/>
  <c r="I278" i="13"/>
  <c r="I128" i="13"/>
  <c r="I121" i="13"/>
  <c r="I117" i="13"/>
  <c r="I96" i="13"/>
  <c r="I124" i="13"/>
  <c r="I114" i="13"/>
  <c r="I119" i="13"/>
  <c r="I98" i="13"/>
  <c r="I116" i="13"/>
  <c r="I122" i="13"/>
  <c r="I110" i="13"/>
  <c r="I118" i="13"/>
  <c r="I97" i="13"/>
  <c r="I115" i="13"/>
  <c r="I94" i="13"/>
  <c r="I91" i="13"/>
  <c r="I106" i="13"/>
  <c r="I95" i="13"/>
  <c r="I93" i="13"/>
  <c r="I92" i="13"/>
  <c r="I107" i="13"/>
  <c r="I111" i="13"/>
  <c r="I112" i="13"/>
  <c r="I109" i="13"/>
  <c r="I120" i="13"/>
  <c r="I108" i="13"/>
  <c r="I113" i="13"/>
  <c r="I206" i="13"/>
  <c r="I195" i="13"/>
  <c r="I187" i="13"/>
  <c r="I202" i="13"/>
  <c r="I194" i="13"/>
  <c r="I186" i="13"/>
  <c r="I199" i="13"/>
  <c r="L14" i="36" s="1"/>
  <c r="I191" i="13"/>
  <c r="I201" i="13"/>
  <c r="I193" i="13"/>
  <c r="I185" i="13"/>
  <c r="I177" i="13"/>
  <c r="I198" i="13"/>
  <c r="L13" i="36" s="1"/>
  <c r="I182" i="13"/>
  <c r="I181" i="13"/>
  <c r="I196" i="13"/>
  <c r="I188" i="13"/>
  <c r="I171" i="13"/>
  <c r="I173" i="13"/>
  <c r="I162" i="13"/>
  <c r="I189" i="13"/>
  <c r="L16" i="36" s="1"/>
  <c r="I168" i="13"/>
  <c r="I165" i="13"/>
  <c r="I101" i="13"/>
  <c r="I184" i="13"/>
  <c r="I166" i="13"/>
  <c r="I197" i="13"/>
  <c r="L12" i="36" s="1"/>
  <c r="I167" i="13"/>
  <c r="I179" i="13"/>
  <c r="I200" i="13"/>
  <c r="L15" i="36" s="1"/>
  <c r="I172" i="13"/>
  <c r="I178" i="13"/>
  <c r="I102" i="13"/>
  <c r="I192" i="13"/>
  <c r="I183" i="13"/>
  <c r="I123" i="13"/>
  <c r="I132" i="13"/>
  <c r="I180" i="13"/>
  <c r="I190" i="13"/>
  <c r="I78" i="13"/>
  <c r="I391" i="13" s="1"/>
  <c r="L4" i="36" s="1"/>
  <c r="I72" i="13"/>
  <c r="I385" i="13" s="1"/>
  <c r="I44" i="13"/>
  <c r="I357" i="13" s="1"/>
  <c r="I81" i="13"/>
  <c r="I394" i="13" s="1"/>
  <c r="L7" i="36" s="1"/>
  <c r="I75" i="13"/>
  <c r="I69" i="13"/>
  <c r="I73" i="13"/>
  <c r="I70" i="13"/>
  <c r="I383" i="13" s="1"/>
  <c r="I54" i="13"/>
  <c r="I367" i="13" s="1"/>
  <c r="I49" i="13"/>
  <c r="I362" i="13" s="1"/>
  <c r="I82" i="13"/>
  <c r="I395" i="13" s="1"/>
  <c r="I80" i="13"/>
  <c r="I393" i="13" s="1"/>
  <c r="L6" i="36" s="1"/>
  <c r="I87" i="13"/>
  <c r="I400" i="13" s="1"/>
  <c r="I79" i="13"/>
  <c r="I392" i="13" s="1"/>
  <c r="L5" i="36" s="1"/>
  <c r="I48" i="13"/>
  <c r="I361" i="13" s="1"/>
  <c r="I76" i="13"/>
  <c r="I389" i="13" s="1"/>
  <c r="I47" i="13"/>
  <c r="I360" i="13" s="1"/>
  <c r="I127" i="13"/>
  <c r="I105" i="13"/>
  <c r="I174" i="13"/>
  <c r="I164" i="13"/>
  <c r="I53" i="13"/>
  <c r="I366" i="13" s="1"/>
  <c r="I46" i="13"/>
  <c r="I359" i="13" s="1"/>
  <c r="I163" i="13"/>
  <c r="I125" i="13"/>
  <c r="I103" i="13"/>
  <c r="I74" i="13"/>
  <c r="I387" i="13" s="1"/>
  <c r="I68" i="13"/>
  <c r="I381" i="13" s="1"/>
  <c r="I204" i="13"/>
  <c r="I67" i="13"/>
  <c r="I380" i="13" s="1"/>
  <c r="I176" i="13"/>
  <c r="I86" i="13"/>
  <c r="I399" i="13" s="1"/>
  <c r="I65" i="13"/>
  <c r="I378" i="13" s="1"/>
  <c r="I61" i="13"/>
  <c r="I374" i="13" s="1"/>
  <c r="I100" i="13"/>
  <c r="I83" i="13"/>
  <c r="I396" i="13" s="1"/>
  <c r="I77" i="13"/>
  <c r="I52" i="13"/>
  <c r="I365" i="13" s="1"/>
  <c r="I71" i="13"/>
  <c r="I384" i="13" s="1"/>
  <c r="I169" i="13"/>
  <c r="I203" i="13"/>
  <c r="I84" i="13"/>
  <c r="I397" i="13" s="1"/>
  <c r="I63" i="13"/>
  <c r="I59" i="13"/>
  <c r="I372" i="13" s="1"/>
  <c r="I129" i="13"/>
  <c r="I99" i="13"/>
  <c r="I64" i="13"/>
  <c r="I377" i="13" s="1"/>
  <c r="I207" i="13"/>
  <c r="I126" i="13"/>
  <c r="I104" i="13"/>
  <c r="I50" i="13"/>
  <c r="I363" i="13" s="1"/>
  <c r="I43" i="13"/>
  <c r="I356" i="13" s="1"/>
  <c r="I57" i="13"/>
  <c r="I370" i="13" s="1"/>
  <c r="I66" i="13"/>
  <c r="I60" i="13"/>
  <c r="I55" i="13"/>
  <c r="I368" i="13" s="1"/>
  <c r="I51" i="13"/>
  <c r="I364" i="13" s="1"/>
  <c r="I58" i="13"/>
  <c r="I371" i="13" s="1"/>
  <c r="I88" i="13"/>
  <c r="I85" i="13"/>
  <c r="I398" i="13" s="1"/>
  <c r="I170" i="13"/>
  <c r="I62" i="13"/>
  <c r="I375" i="13" s="1"/>
  <c r="I175" i="13"/>
  <c r="I205" i="13"/>
  <c r="H199" i="5"/>
  <c r="H442" i="5"/>
  <c r="H280" i="5"/>
  <c r="H399" i="5"/>
  <c r="J4" i="13"/>
  <c r="J293" i="13" s="1"/>
  <c r="H486" i="5"/>
  <c r="H120" i="5"/>
  <c r="I44" i="5" l="1"/>
  <c r="I281" i="5"/>
  <c r="I400" i="5"/>
  <c r="I443" i="5"/>
  <c r="I200" i="5"/>
  <c r="I43" i="5"/>
  <c r="J43" i="5" s="1"/>
  <c r="I486" i="5"/>
  <c r="I121" i="5"/>
  <c r="I7" i="5"/>
  <c r="AA1" i="13"/>
  <c r="AC3" i="36"/>
  <c r="U6" i="26"/>
  <c r="T9" i="26"/>
  <c r="T45" i="26"/>
  <c r="S48" i="26"/>
  <c r="J315" i="13"/>
  <c r="J308" i="13"/>
  <c r="J311" i="13"/>
  <c r="J314" i="13"/>
  <c r="J298" i="13"/>
  <c r="J301" i="13"/>
  <c r="J307" i="13"/>
  <c r="J310" i="13"/>
  <c r="J313" i="13"/>
  <c r="J316" i="13"/>
  <c r="J306" i="13"/>
  <c r="J309" i="13"/>
  <c r="J292" i="13"/>
  <c r="J297" i="13"/>
  <c r="J312" i="13"/>
  <c r="J284" i="13"/>
  <c r="J288" i="13"/>
  <c r="J286" i="13"/>
  <c r="J283" i="13"/>
  <c r="J300" i="13"/>
  <c r="J281" i="13"/>
  <c r="J279" i="13"/>
  <c r="J278" i="13"/>
  <c r="J289" i="13"/>
  <c r="J282" i="13"/>
  <c r="J299" i="13"/>
  <c r="J304" i="13"/>
  <c r="J303" i="13"/>
  <c r="J302" i="13"/>
  <c r="J305" i="13"/>
  <c r="J294" i="13"/>
  <c r="J295" i="13"/>
  <c r="J290" i="13"/>
  <c r="J296" i="13"/>
  <c r="J280" i="13"/>
  <c r="J291" i="13"/>
  <c r="J285" i="13"/>
  <c r="J287" i="13"/>
  <c r="J121" i="13"/>
  <c r="J117" i="13"/>
  <c r="J124" i="13"/>
  <c r="J119" i="13"/>
  <c r="J98" i="13"/>
  <c r="J116" i="13"/>
  <c r="J95" i="13"/>
  <c r="J122" i="13"/>
  <c r="J118" i="13"/>
  <c r="J97" i="13"/>
  <c r="J128" i="13"/>
  <c r="J110" i="13"/>
  <c r="J115" i="13"/>
  <c r="J96" i="13"/>
  <c r="J91" i="13"/>
  <c r="J106" i="13"/>
  <c r="J93" i="13"/>
  <c r="J114" i="13"/>
  <c r="J92" i="13"/>
  <c r="J94" i="13"/>
  <c r="J107" i="13"/>
  <c r="J112" i="13"/>
  <c r="J109" i="13"/>
  <c r="J120" i="13"/>
  <c r="J111" i="13"/>
  <c r="J108" i="13"/>
  <c r="J113" i="13"/>
  <c r="J202" i="13"/>
  <c r="J194" i="13"/>
  <c r="J186" i="13"/>
  <c r="J196" i="13"/>
  <c r="J188" i="13"/>
  <c r="J198" i="13"/>
  <c r="M13" i="36" s="1"/>
  <c r="J187" i="13"/>
  <c r="J182" i="13"/>
  <c r="J200" i="13"/>
  <c r="M15" i="36" s="1"/>
  <c r="J191" i="13"/>
  <c r="J185" i="13"/>
  <c r="J178" i="13"/>
  <c r="J201" i="13"/>
  <c r="J172" i="13"/>
  <c r="J171" i="13"/>
  <c r="J181" i="13"/>
  <c r="J189" i="13"/>
  <c r="M16" i="36" s="1"/>
  <c r="J180" i="13"/>
  <c r="J192" i="13"/>
  <c r="J190" i="13"/>
  <c r="J163" i="13"/>
  <c r="J123" i="13"/>
  <c r="J173" i="13"/>
  <c r="J83" i="13"/>
  <c r="J396" i="13" s="1"/>
  <c r="J132" i="13"/>
  <c r="J165" i="13"/>
  <c r="J164" i="13"/>
  <c r="J197" i="13"/>
  <c r="M12" i="36" s="1"/>
  <c r="J167" i="13"/>
  <c r="J179" i="13"/>
  <c r="J168" i="13"/>
  <c r="J162" i="13"/>
  <c r="J184" i="13"/>
  <c r="J195" i="13"/>
  <c r="J183" i="13"/>
  <c r="J177" i="13"/>
  <c r="J199" i="13"/>
  <c r="M14" i="36" s="1"/>
  <c r="J193" i="13"/>
  <c r="J87" i="13"/>
  <c r="J400" i="13" s="1"/>
  <c r="J82" i="13"/>
  <c r="J395" i="13" s="1"/>
  <c r="J74" i="13"/>
  <c r="J387" i="13" s="1"/>
  <c r="J54" i="13"/>
  <c r="J367" i="13" s="1"/>
  <c r="J206" i="13"/>
  <c r="J79" i="13"/>
  <c r="J392" i="13" s="1"/>
  <c r="M5" i="36" s="1"/>
  <c r="J71" i="13"/>
  <c r="J384" i="13" s="1"/>
  <c r="J49" i="13"/>
  <c r="J362" i="13" s="1"/>
  <c r="J204" i="13"/>
  <c r="J207" i="13"/>
  <c r="J80" i="13"/>
  <c r="J393" i="13" s="1"/>
  <c r="M6" i="36" s="1"/>
  <c r="J70" i="13"/>
  <c r="J383" i="13" s="1"/>
  <c r="J203" i="13"/>
  <c r="J170" i="13"/>
  <c r="J46" i="13"/>
  <c r="J359" i="13" s="1"/>
  <c r="J175" i="13"/>
  <c r="J78" i="13"/>
  <c r="J391" i="13" s="1"/>
  <c r="M4" i="36" s="1"/>
  <c r="J76" i="13"/>
  <c r="J389" i="13" s="1"/>
  <c r="J47" i="13"/>
  <c r="J360" i="13" s="1"/>
  <c r="J166" i="13"/>
  <c r="J101" i="13"/>
  <c r="J77" i="13"/>
  <c r="J44" i="13"/>
  <c r="J357" i="13" s="1"/>
  <c r="J68" i="13"/>
  <c r="J381" i="13" s="1"/>
  <c r="J53" i="13"/>
  <c r="J366" i="13" s="1"/>
  <c r="J169" i="13"/>
  <c r="J176" i="13"/>
  <c r="J102" i="13"/>
  <c r="J72" i="13"/>
  <c r="J385" i="13" s="1"/>
  <c r="J45" i="13"/>
  <c r="J358" i="13" s="1"/>
  <c r="J75" i="13"/>
  <c r="J127" i="13"/>
  <c r="J69" i="13"/>
  <c r="J126" i="13"/>
  <c r="J103" i="13"/>
  <c r="J88" i="13"/>
  <c r="J65" i="13"/>
  <c r="J378" i="13" s="1"/>
  <c r="J56" i="13"/>
  <c r="J369" i="13" s="1"/>
  <c r="J43" i="13"/>
  <c r="J356" i="13" s="1"/>
  <c r="J64" i="13"/>
  <c r="J377" i="13" s="1"/>
  <c r="J59" i="13"/>
  <c r="J372" i="13" s="1"/>
  <c r="J67" i="13"/>
  <c r="J380" i="13" s="1"/>
  <c r="J125" i="13"/>
  <c r="J174" i="13"/>
  <c r="J62" i="13"/>
  <c r="J375" i="13" s="1"/>
  <c r="J51" i="13"/>
  <c r="J364" i="13" s="1"/>
  <c r="J84" i="13"/>
  <c r="J397" i="13" s="1"/>
  <c r="J104" i="13"/>
  <c r="J99" i="13"/>
  <c r="J205" i="13"/>
  <c r="J129" i="13"/>
  <c r="J52" i="13"/>
  <c r="J365" i="13" s="1"/>
  <c r="J100" i="13"/>
  <c r="J61" i="13"/>
  <c r="J374" i="13" s="1"/>
  <c r="J57" i="13"/>
  <c r="J370" i="13" s="1"/>
  <c r="J105" i="13"/>
  <c r="J73" i="13"/>
  <c r="J86" i="13"/>
  <c r="J399" i="13" s="1"/>
  <c r="J85" i="13"/>
  <c r="J398" i="13" s="1"/>
  <c r="J63" i="13"/>
  <c r="J81" i="13"/>
  <c r="J394" i="13" s="1"/>
  <c r="M7" i="36" s="1"/>
  <c r="J58" i="13"/>
  <c r="J371" i="13" s="1"/>
  <c r="J66" i="13"/>
  <c r="J48" i="13"/>
  <c r="J361" i="13" s="1"/>
  <c r="J60" i="13"/>
  <c r="J55" i="13"/>
  <c r="J368" i="13" s="1"/>
  <c r="J50" i="13"/>
  <c r="J363" i="13" s="1"/>
  <c r="I399" i="5"/>
  <c r="I199" i="5"/>
  <c r="I280" i="5"/>
  <c r="I442" i="5"/>
  <c r="K4" i="13"/>
  <c r="J485" i="5"/>
  <c r="I120" i="5"/>
  <c r="J443" i="5" l="1"/>
  <c r="J400" i="5"/>
  <c r="J121" i="5"/>
  <c r="J281" i="5"/>
  <c r="J486" i="5"/>
  <c r="J44" i="5"/>
  <c r="J200" i="5"/>
  <c r="J199" i="5"/>
  <c r="J7" i="5"/>
  <c r="AB1" i="13"/>
  <c r="AD3" i="36"/>
  <c r="T48" i="26"/>
  <c r="U45" i="26"/>
  <c r="V6" i="26"/>
  <c r="U9" i="26"/>
  <c r="K305" i="13"/>
  <c r="K308" i="13"/>
  <c r="K311" i="13"/>
  <c r="K314" i="13"/>
  <c r="K298" i="13"/>
  <c r="E58" i="26" s="1"/>
  <c r="K301" i="13"/>
  <c r="K304" i="13"/>
  <c r="K310" i="13"/>
  <c r="K313" i="13"/>
  <c r="K316" i="13"/>
  <c r="K300" i="13"/>
  <c r="K309" i="13"/>
  <c r="K312" i="13"/>
  <c r="K299" i="13"/>
  <c r="K295" i="13"/>
  <c r="K284" i="13"/>
  <c r="K287" i="13"/>
  <c r="K306" i="13"/>
  <c r="K281" i="13"/>
  <c r="K315" i="13"/>
  <c r="K303" i="13"/>
  <c r="K292" i="13"/>
  <c r="K283" i="13"/>
  <c r="K282" i="13"/>
  <c r="K294" i="13"/>
  <c r="K289" i="13"/>
  <c r="K280" i="13"/>
  <c r="K307" i="13"/>
  <c r="K302" i="13"/>
  <c r="K297" i="13"/>
  <c r="E19" i="26" s="1"/>
  <c r="K286" i="13"/>
  <c r="K285" i="13"/>
  <c r="K296" i="13"/>
  <c r="K279" i="13"/>
  <c r="K290" i="13"/>
  <c r="K291" i="13"/>
  <c r="K288" i="13"/>
  <c r="K278" i="13"/>
  <c r="J399" i="5"/>
  <c r="K117" i="13"/>
  <c r="K124" i="13"/>
  <c r="K114" i="13"/>
  <c r="K119" i="13"/>
  <c r="K98" i="13"/>
  <c r="K116" i="13"/>
  <c r="K95" i="13"/>
  <c r="K122" i="13"/>
  <c r="K110" i="13"/>
  <c r="K118" i="13"/>
  <c r="K97" i="13"/>
  <c r="K115" i="13"/>
  <c r="K121" i="13"/>
  <c r="K106" i="13"/>
  <c r="K96" i="13"/>
  <c r="K91" i="13"/>
  <c r="K93" i="13"/>
  <c r="K128" i="13"/>
  <c r="K92" i="13"/>
  <c r="K94" i="13"/>
  <c r="K112" i="13"/>
  <c r="K107" i="13"/>
  <c r="K108" i="13"/>
  <c r="K111" i="13"/>
  <c r="K120" i="13"/>
  <c r="K109" i="13"/>
  <c r="K113" i="13"/>
  <c r="K200" i="13"/>
  <c r="F12" i="36" s="1"/>
  <c r="K192" i="13"/>
  <c r="K199" i="13"/>
  <c r="E12" i="36" s="1"/>
  <c r="K191" i="13"/>
  <c r="K196" i="13"/>
  <c r="K188" i="13"/>
  <c r="K198" i="13"/>
  <c r="N13" i="36" s="1"/>
  <c r="K190" i="13"/>
  <c r="K187" i="13"/>
  <c r="K182" i="13"/>
  <c r="K195" i="13"/>
  <c r="K179" i="13"/>
  <c r="K178" i="13"/>
  <c r="K193" i="13"/>
  <c r="K189" i="13"/>
  <c r="C12" i="36" s="1"/>
  <c r="K185" i="13"/>
  <c r="K197" i="13"/>
  <c r="D12" i="36" s="1"/>
  <c r="K166" i="13"/>
  <c r="K202" i="13"/>
  <c r="K183" i="13"/>
  <c r="K180" i="13"/>
  <c r="K186" i="13"/>
  <c r="K201" i="13"/>
  <c r="K194" i="13"/>
  <c r="K165" i="13"/>
  <c r="K172" i="13"/>
  <c r="K102" i="13"/>
  <c r="K184" i="13"/>
  <c r="K168" i="13"/>
  <c r="K163" i="13"/>
  <c r="K167" i="13"/>
  <c r="K162" i="13"/>
  <c r="K171" i="13"/>
  <c r="K173" i="13"/>
  <c r="K123" i="13"/>
  <c r="K177" i="13"/>
  <c r="K181" i="13"/>
  <c r="K132" i="13"/>
  <c r="K206" i="13"/>
  <c r="K100" i="13"/>
  <c r="K83" i="13"/>
  <c r="K396" i="13" s="1"/>
  <c r="K73" i="13"/>
  <c r="K67" i="13"/>
  <c r="K380" i="13" s="1"/>
  <c r="K47" i="13"/>
  <c r="K360" i="13" s="1"/>
  <c r="K76" i="13"/>
  <c r="K389" i="13" s="1"/>
  <c r="K70" i="13"/>
  <c r="K383" i="13" s="1"/>
  <c r="C4" i="36" s="1"/>
  <c r="K52" i="13"/>
  <c r="K365" i="13" s="1"/>
  <c r="K101" i="13"/>
  <c r="K77" i="13"/>
  <c r="K80" i="13"/>
  <c r="K393" i="13" s="1"/>
  <c r="E4" i="36" s="1"/>
  <c r="K205" i="13"/>
  <c r="K74" i="13"/>
  <c r="K387" i="13" s="1"/>
  <c r="K68" i="13"/>
  <c r="K381" i="13" s="1"/>
  <c r="K81" i="13"/>
  <c r="K394" i="13" s="1"/>
  <c r="F4" i="36" s="1"/>
  <c r="K48" i="13"/>
  <c r="K361" i="13" s="1"/>
  <c r="K75" i="13"/>
  <c r="K71" i="13"/>
  <c r="K384" i="13" s="1"/>
  <c r="K49" i="13"/>
  <c r="K362" i="13" s="1"/>
  <c r="K79" i="13"/>
  <c r="K392" i="13" s="1"/>
  <c r="N5" i="36" s="1"/>
  <c r="K54" i="13"/>
  <c r="K174" i="13"/>
  <c r="K164" i="13"/>
  <c r="K46" i="13"/>
  <c r="K359" i="13" s="1"/>
  <c r="K207" i="13"/>
  <c r="K126" i="13"/>
  <c r="E56" i="2" s="1"/>
  <c r="K104" i="13"/>
  <c r="K72" i="13"/>
  <c r="K385" i="13" s="1"/>
  <c r="K204" i="13"/>
  <c r="K129" i="13"/>
  <c r="K99" i="13"/>
  <c r="K53" i="13"/>
  <c r="K366" i="13" s="1"/>
  <c r="K175" i="13"/>
  <c r="K87" i="13"/>
  <c r="K400" i="13" s="1"/>
  <c r="K169" i="13"/>
  <c r="K85" i="13"/>
  <c r="K64" i="13"/>
  <c r="K377" i="13" s="1"/>
  <c r="K60" i="13"/>
  <c r="K57" i="13"/>
  <c r="K370" i="13" s="1"/>
  <c r="K203" i="13"/>
  <c r="K82" i="13"/>
  <c r="K395" i="13" s="1"/>
  <c r="K88" i="13"/>
  <c r="K66" i="13"/>
  <c r="K62" i="13"/>
  <c r="K375" i="13" s="1"/>
  <c r="K58" i="13"/>
  <c r="K371" i="13" s="1"/>
  <c r="K78" i="13"/>
  <c r="K391" i="13" s="1"/>
  <c r="D4" i="36" s="1"/>
  <c r="K45" i="13"/>
  <c r="K358" i="13" s="1"/>
  <c r="K176" i="13"/>
  <c r="K103" i="13"/>
  <c r="K69" i="13"/>
  <c r="K125" i="13"/>
  <c r="K86" i="13"/>
  <c r="K50" i="13"/>
  <c r="K363" i="13" s="1"/>
  <c r="K44" i="13"/>
  <c r="K357" i="13" s="1"/>
  <c r="K170" i="13"/>
  <c r="K51" i="13"/>
  <c r="K364" i="13" s="1"/>
  <c r="K61" i="13"/>
  <c r="K374" i="13" s="1"/>
  <c r="K43" i="13"/>
  <c r="K356" i="13" s="1"/>
  <c r="K105" i="13"/>
  <c r="K127" i="13"/>
  <c r="K84" i="13"/>
  <c r="K65" i="13"/>
  <c r="K378" i="13" s="1"/>
  <c r="K55" i="13"/>
  <c r="K59" i="13"/>
  <c r="K372" i="13" s="1"/>
  <c r="K293" i="13"/>
  <c r="K56" i="13"/>
  <c r="K369" i="13" s="1"/>
  <c r="K63" i="13"/>
  <c r="J442" i="5"/>
  <c r="J280" i="5"/>
  <c r="L4" i="13"/>
  <c r="K485" i="5"/>
  <c r="J120" i="5"/>
  <c r="K43" i="5"/>
  <c r="K398" i="13" l="1"/>
  <c r="E44" i="2"/>
  <c r="F44" i="2"/>
  <c r="F45" i="2" s="1"/>
  <c r="K368" i="13"/>
  <c r="E12" i="7"/>
  <c r="E13" i="7" s="1"/>
  <c r="K397" i="13"/>
  <c r="E12" i="2"/>
  <c r="F12" i="2"/>
  <c r="K399" i="13"/>
  <c r="F76" i="2"/>
  <c r="F77" i="2" s="1"/>
  <c r="E76" i="2"/>
  <c r="K199" i="5"/>
  <c r="L199" i="5" s="1"/>
  <c r="K486" i="5"/>
  <c r="K281" i="5"/>
  <c r="K121" i="5"/>
  <c r="K400" i="5"/>
  <c r="K443" i="5"/>
  <c r="K200" i="5"/>
  <c r="K44" i="5"/>
  <c r="K7" i="5"/>
  <c r="AC1" i="13"/>
  <c r="AE3" i="36"/>
  <c r="G241" i="6"/>
  <c r="K367" i="13"/>
  <c r="E11" i="26"/>
  <c r="E52" i="26"/>
  <c r="K115" i="6"/>
  <c r="X115" i="6"/>
  <c r="H115" i="6"/>
  <c r="M115" i="6"/>
  <c r="O115" i="6"/>
  <c r="E115" i="6"/>
  <c r="F115" i="6"/>
  <c r="T115" i="6"/>
  <c r="V115" i="6"/>
  <c r="R115" i="6"/>
  <c r="P115" i="6"/>
  <c r="U115" i="6"/>
  <c r="I115" i="6"/>
  <c r="J115" i="6"/>
  <c r="N115" i="6"/>
  <c r="W115" i="6"/>
  <c r="L115" i="6"/>
  <c r="Q115" i="6"/>
  <c r="G115" i="6"/>
  <c r="S115" i="6"/>
  <c r="D20" i="4"/>
  <c r="L10" i="6"/>
  <c r="S10" i="6"/>
  <c r="W10" i="6"/>
  <c r="H10" i="6"/>
  <c r="X10" i="6"/>
  <c r="E10" i="6"/>
  <c r="M10" i="6"/>
  <c r="O10" i="6"/>
  <c r="J10" i="6"/>
  <c r="K10" i="6"/>
  <c r="R10" i="6"/>
  <c r="V10" i="6"/>
  <c r="P10" i="6"/>
  <c r="I10" i="6"/>
  <c r="F10" i="6"/>
  <c r="T10" i="6"/>
  <c r="N10" i="6"/>
  <c r="U10" i="6"/>
  <c r="G10" i="6"/>
  <c r="Q10" i="6"/>
  <c r="D94" i="4"/>
  <c r="E13" i="26"/>
  <c r="E51" i="26"/>
  <c r="E12" i="26"/>
  <c r="I52" i="6"/>
  <c r="G52" i="6"/>
  <c r="V52" i="6"/>
  <c r="M52" i="6"/>
  <c r="L52" i="6"/>
  <c r="S52" i="6"/>
  <c r="W52" i="6"/>
  <c r="T52" i="6"/>
  <c r="J52" i="6"/>
  <c r="O52" i="6"/>
  <c r="U52" i="6"/>
  <c r="K52" i="6"/>
  <c r="H52" i="6"/>
  <c r="P52" i="6"/>
  <c r="E52" i="6"/>
  <c r="F52" i="6"/>
  <c r="Q52" i="6"/>
  <c r="N52" i="6"/>
  <c r="X52" i="6"/>
  <c r="R52" i="6"/>
  <c r="K178" i="6"/>
  <c r="W178" i="6"/>
  <c r="H178" i="6"/>
  <c r="R178" i="6"/>
  <c r="S178" i="6"/>
  <c r="Q178" i="6"/>
  <c r="P178" i="6"/>
  <c r="G178" i="6"/>
  <c r="M178" i="6"/>
  <c r="I178" i="6"/>
  <c r="L178" i="6"/>
  <c r="U178" i="6"/>
  <c r="O178" i="6"/>
  <c r="V178" i="6"/>
  <c r="N178" i="6"/>
  <c r="F178" i="6"/>
  <c r="E178" i="6"/>
  <c r="T178" i="6"/>
  <c r="X178" i="6"/>
  <c r="J178" i="6"/>
  <c r="D22" i="26"/>
  <c r="F31" i="6"/>
  <c r="R31" i="6"/>
  <c r="G31" i="6"/>
  <c r="T31" i="6"/>
  <c r="S31" i="6"/>
  <c r="K31" i="6"/>
  <c r="I31" i="6"/>
  <c r="E31" i="6"/>
  <c r="V31" i="6"/>
  <c r="Q31" i="6"/>
  <c r="L31" i="6"/>
  <c r="H31" i="6"/>
  <c r="J31" i="6"/>
  <c r="O31" i="6"/>
  <c r="N31" i="6"/>
  <c r="W31" i="6"/>
  <c r="P31" i="6"/>
  <c r="U31" i="6"/>
  <c r="X31" i="6"/>
  <c r="M31" i="6"/>
  <c r="E73" i="7"/>
  <c r="S73" i="6"/>
  <c r="E73" i="6"/>
  <c r="L73" i="6"/>
  <c r="G73" i="6"/>
  <c r="F73" i="6"/>
  <c r="K73" i="6"/>
  <c r="X73" i="6"/>
  <c r="P73" i="6"/>
  <c r="T73" i="6"/>
  <c r="Q73" i="6"/>
  <c r="O73" i="6"/>
  <c r="H73" i="6"/>
  <c r="M73" i="6"/>
  <c r="I73" i="6"/>
  <c r="W73" i="6"/>
  <c r="R73" i="6"/>
  <c r="V73" i="6"/>
  <c r="U73" i="6"/>
  <c r="N73" i="6"/>
  <c r="J73" i="6"/>
  <c r="F199" i="6"/>
  <c r="U199" i="6"/>
  <c r="I199" i="6"/>
  <c r="V199" i="6"/>
  <c r="M199" i="6"/>
  <c r="J199" i="6"/>
  <c r="T199" i="6"/>
  <c r="L199" i="6"/>
  <c r="E199" i="6"/>
  <c r="G199" i="6"/>
  <c r="K199" i="6"/>
  <c r="X199" i="6"/>
  <c r="N199" i="6"/>
  <c r="Q199" i="6"/>
  <c r="P199" i="6"/>
  <c r="S199" i="6"/>
  <c r="R199" i="6"/>
  <c r="O199" i="6"/>
  <c r="H199" i="6"/>
  <c r="W199" i="6"/>
  <c r="V9" i="26"/>
  <c r="W6" i="26"/>
  <c r="V157" i="6"/>
  <c r="E157" i="6"/>
  <c r="F157" i="6"/>
  <c r="G157" i="6"/>
  <c r="R157" i="6"/>
  <c r="M157" i="6"/>
  <c r="K157" i="6"/>
  <c r="Q157" i="6"/>
  <c r="H157" i="6"/>
  <c r="S157" i="6"/>
  <c r="L157" i="6"/>
  <c r="O157" i="6"/>
  <c r="P157" i="6"/>
  <c r="X157" i="6"/>
  <c r="I157" i="6"/>
  <c r="W157" i="6"/>
  <c r="U157" i="6"/>
  <c r="T157" i="6"/>
  <c r="J157" i="6"/>
  <c r="N157" i="6"/>
  <c r="V45" i="26"/>
  <c r="U48" i="26"/>
  <c r="V241" i="6"/>
  <c r="N241" i="6"/>
  <c r="U241" i="6"/>
  <c r="O241" i="6"/>
  <c r="Q241" i="6"/>
  <c r="M241" i="6"/>
  <c r="S241" i="6"/>
  <c r="P241" i="6"/>
  <c r="X241" i="6"/>
  <c r="W241" i="6"/>
  <c r="I241" i="6"/>
  <c r="J241" i="6"/>
  <c r="K241" i="6"/>
  <c r="F241" i="6"/>
  <c r="R241" i="6"/>
  <c r="H241" i="6"/>
  <c r="T241" i="6"/>
  <c r="E241" i="6"/>
  <c r="L241" i="6"/>
  <c r="E42" i="7"/>
  <c r="D57" i="4"/>
  <c r="W94" i="6"/>
  <c r="J94" i="6"/>
  <c r="F94" i="6"/>
  <c r="T94" i="6"/>
  <c r="N94" i="6"/>
  <c r="X94" i="6"/>
  <c r="O94" i="6"/>
  <c r="Q94" i="6"/>
  <c r="P94" i="6"/>
  <c r="M94" i="6"/>
  <c r="S94" i="6"/>
  <c r="R94" i="6"/>
  <c r="E94" i="6"/>
  <c r="H94" i="6"/>
  <c r="K94" i="6"/>
  <c r="V94" i="6"/>
  <c r="L94" i="6"/>
  <c r="I94" i="6"/>
  <c r="G94" i="6"/>
  <c r="U94" i="6"/>
  <c r="O136" i="6"/>
  <c r="E136" i="6"/>
  <c r="T136" i="6"/>
  <c r="N136" i="6"/>
  <c r="M136" i="6"/>
  <c r="Q136" i="6"/>
  <c r="U136" i="6"/>
  <c r="P136" i="6"/>
  <c r="R136" i="6"/>
  <c r="X136" i="6"/>
  <c r="V136" i="6"/>
  <c r="G136" i="6"/>
  <c r="S136" i="6"/>
  <c r="K136" i="6"/>
  <c r="H136" i="6"/>
  <c r="J136" i="6"/>
  <c r="W136" i="6"/>
  <c r="F136" i="6"/>
  <c r="L136" i="6"/>
  <c r="I136" i="6"/>
  <c r="D131" i="4"/>
  <c r="O220" i="6"/>
  <c r="R220" i="6"/>
  <c r="I220" i="6"/>
  <c r="U220" i="6"/>
  <c r="Q220" i="6"/>
  <c r="F220" i="6"/>
  <c r="W220" i="6"/>
  <c r="V220" i="6"/>
  <c r="P220" i="6"/>
  <c r="T220" i="6"/>
  <c r="H220" i="6"/>
  <c r="M220" i="6"/>
  <c r="G220" i="6"/>
  <c r="X220" i="6"/>
  <c r="N220" i="6"/>
  <c r="L220" i="6"/>
  <c r="E220" i="6"/>
  <c r="J220" i="6"/>
  <c r="S220" i="6"/>
  <c r="K220" i="6"/>
  <c r="D61" i="26"/>
  <c r="L308" i="13"/>
  <c r="L311" i="13"/>
  <c r="L314" i="13"/>
  <c r="L301" i="13"/>
  <c r="L304" i="13"/>
  <c r="L307" i="13"/>
  <c r="L310" i="13"/>
  <c r="L313" i="13"/>
  <c r="L316" i="13"/>
  <c r="L300" i="13"/>
  <c r="L303" i="13"/>
  <c r="L306" i="13"/>
  <c r="L309" i="13"/>
  <c r="L312" i="13"/>
  <c r="L315" i="13"/>
  <c r="L299" i="13"/>
  <c r="L294" i="13"/>
  <c r="L287" i="13"/>
  <c r="L298" i="13"/>
  <c r="F58" i="26" s="1"/>
  <c r="L290" i="13"/>
  <c r="L286" i="13"/>
  <c r="L289" i="13"/>
  <c r="L280" i="13"/>
  <c r="L278" i="13"/>
  <c r="L302" i="13"/>
  <c r="L297" i="13"/>
  <c r="F19" i="26" s="1"/>
  <c r="L305" i="13"/>
  <c r="L285" i="13"/>
  <c r="L283" i="13"/>
  <c r="L292" i="13"/>
  <c r="L291" i="13"/>
  <c r="L295" i="13"/>
  <c r="L296" i="13"/>
  <c r="L279" i="13"/>
  <c r="L284" i="13"/>
  <c r="L281" i="13"/>
  <c r="L288" i="13"/>
  <c r="L282" i="13"/>
  <c r="K399" i="5"/>
  <c r="L117" i="13"/>
  <c r="L124" i="13"/>
  <c r="L114" i="13"/>
  <c r="L119" i="13"/>
  <c r="L116" i="13"/>
  <c r="L95" i="13"/>
  <c r="L122" i="13"/>
  <c r="L110" i="13"/>
  <c r="L118" i="13"/>
  <c r="L115" i="13"/>
  <c r="L128" i="13"/>
  <c r="L91" i="13"/>
  <c r="L97" i="13"/>
  <c r="L106" i="13"/>
  <c r="L98" i="13"/>
  <c r="L93" i="13"/>
  <c r="L96" i="13"/>
  <c r="L92" i="13"/>
  <c r="L121" i="13"/>
  <c r="L94" i="13"/>
  <c r="L112" i="13"/>
  <c r="L108" i="13"/>
  <c r="L120" i="13"/>
  <c r="L107" i="13"/>
  <c r="L111" i="13"/>
  <c r="L109" i="13"/>
  <c r="L113" i="13"/>
  <c r="L199" i="13"/>
  <c r="O14" i="36" s="1"/>
  <c r="L191" i="13"/>
  <c r="L201" i="13"/>
  <c r="L193" i="13"/>
  <c r="L185" i="13"/>
  <c r="L206" i="13"/>
  <c r="L198" i="13"/>
  <c r="O13" i="36" s="1"/>
  <c r="L200" i="13"/>
  <c r="O15" i="36" s="1"/>
  <c r="L195" i="13"/>
  <c r="L179" i="13"/>
  <c r="L189" i="13"/>
  <c r="O16" i="36" s="1"/>
  <c r="L183" i="13"/>
  <c r="L167" i="13"/>
  <c r="L197" i="13"/>
  <c r="O12" i="36" s="1"/>
  <c r="L166" i="13"/>
  <c r="L186" i="13"/>
  <c r="L171" i="13"/>
  <c r="L172" i="13"/>
  <c r="L163" i="13"/>
  <c r="L196" i="13"/>
  <c r="L123" i="13"/>
  <c r="L194" i="13"/>
  <c r="L178" i="13"/>
  <c r="L187" i="13"/>
  <c r="L188" i="13"/>
  <c r="L182" i="13"/>
  <c r="L180" i="13"/>
  <c r="L164" i="13"/>
  <c r="L190" i="13"/>
  <c r="L177" i="13"/>
  <c r="L162" i="13"/>
  <c r="L168" i="13"/>
  <c r="L165" i="13"/>
  <c r="L184" i="13"/>
  <c r="L173" i="13"/>
  <c r="L202" i="13"/>
  <c r="L192" i="13"/>
  <c r="L181" i="13"/>
  <c r="L79" i="13"/>
  <c r="L392" i="13" s="1"/>
  <c r="O5" i="36" s="1"/>
  <c r="L71" i="13"/>
  <c r="L384" i="13" s="1"/>
  <c r="L49" i="13"/>
  <c r="L362" i="13" s="1"/>
  <c r="L76" i="13"/>
  <c r="L389" i="13" s="1"/>
  <c r="L68" i="13"/>
  <c r="L381" i="13" s="1"/>
  <c r="L46" i="13"/>
  <c r="L359" i="13" s="1"/>
  <c r="L74" i="13"/>
  <c r="L387" i="13" s="1"/>
  <c r="L67" i="13"/>
  <c r="L380" i="13" s="1"/>
  <c r="L81" i="13"/>
  <c r="L394" i="13" s="1"/>
  <c r="O7" i="36" s="1"/>
  <c r="L101" i="13"/>
  <c r="L77" i="13"/>
  <c r="L44" i="13"/>
  <c r="L357" i="13" s="1"/>
  <c r="L82" i="13"/>
  <c r="L395" i="13" s="1"/>
  <c r="L78" i="13"/>
  <c r="L391" i="13" s="1"/>
  <c r="O4" i="36" s="1"/>
  <c r="L72" i="13"/>
  <c r="L385" i="13" s="1"/>
  <c r="L132" i="13"/>
  <c r="L83" i="13"/>
  <c r="L396" i="13" s="1"/>
  <c r="L73" i="13"/>
  <c r="L53" i="13"/>
  <c r="L366" i="13" s="1"/>
  <c r="L52" i="13"/>
  <c r="L365" i="13" s="1"/>
  <c r="L48" i="13"/>
  <c r="L361" i="13" s="1"/>
  <c r="L80" i="13"/>
  <c r="L393" i="13" s="1"/>
  <c r="O6" i="36" s="1"/>
  <c r="L102" i="13"/>
  <c r="L75" i="13"/>
  <c r="L176" i="13"/>
  <c r="L204" i="13"/>
  <c r="L175" i="13"/>
  <c r="L100" i="13"/>
  <c r="L203" i="13"/>
  <c r="L105" i="13"/>
  <c r="L47" i="13"/>
  <c r="L360" i="13" s="1"/>
  <c r="L205" i="13"/>
  <c r="L170" i="13"/>
  <c r="L69" i="13"/>
  <c r="L174" i="13"/>
  <c r="L103" i="13"/>
  <c r="L126" i="13"/>
  <c r="L66" i="13"/>
  <c r="L99" i="13"/>
  <c r="L59" i="13"/>
  <c r="L372" i="13" s="1"/>
  <c r="L86" i="13"/>
  <c r="L399" i="13" s="1"/>
  <c r="L55" i="13"/>
  <c r="L368" i="13" s="1"/>
  <c r="L84" i="13"/>
  <c r="L397" i="13" s="1"/>
  <c r="L45" i="13"/>
  <c r="L358" i="13" s="1"/>
  <c r="L61" i="13"/>
  <c r="L374" i="13" s="1"/>
  <c r="L129" i="13"/>
  <c r="L51" i="13"/>
  <c r="L364" i="13" s="1"/>
  <c r="L62" i="13"/>
  <c r="L375" i="13" s="1"/>
  <c r="L207" i="13"/>
  <c r="L57" i="13"/>
  <c r="L370" i="13" s="1"/>
  <c r="L54" i="13"/>
  <c r="L367" i="13" s="1"/>
  <c r="L127" i="13"/>
  <c r="L125" i="13"/>
  <c r="L293" i="13"/>
  <c r="L58" i="13"/>
  <c r="L371" i="13" s="1"/>
  <c r="L87" i="13"/>
  <c r="L400" i="13" s="1"/>
  <c r="L88" i="13"/>
  <c r="L60" i="13"/>
  <c r="L70" i="13"/>
  <c r="L383" i="13" s="1"/>
  <c r="L169" i="13"/>
  <c r="L104" i="13"/>
  <c r="L56" i="13"/>
  <c r="L369" i="13" s="1"/>
  <c r="L63" i="13"/>
  <c r="L85" i="13"/>
  <c r="L398" i="13" s="1"/>
  <c r="L65" i="13"/>
  <c r="L378" i="13" s="1"/>
  <c r="L64" i="13"/>
  <c r="L377" i="13" s="1"/>
  <c r="L43" i="13"/>
  <c r="L356" i="13" s="1"/>
  <c r="L50" i="13"/>
  <c r="L363" i="13" s="1"/>
  <c r="K280" i="5"/>
  <c r="K442" i="5"/>
  <c r="M4" i="13"/>
  <c r="L485" i="5"/>
  <c r="K120" i="5"/>
  <c r="L43" i="5"/>
  <c r="F13" i="2" l="1"/>
  <c r="E13" i="2"/>
  <c r="L44" i="5"/>
  <c r="L200" i="5"/>
  <c r="L399" i="5"/>
  <c r="M399" i="5" s="1"/>
  <c r="L443" i="5"/>
  <c r="L400" i="5"/>
  <c r="L121" i="5"/>
  <c r="L281" i="5"/>
  <c r="L486" i="5"/>
  <c r="L7" i="5"/>
  <c r="AD1" i="13"/>
  <c r="AF3" i="36"/>
  <c r="L139" i="4"/>
  <c r="M139" i="4"/>
  <c r="K139" i="4"/>
  <c r="J139" i="4"/>
  <c r="I139" i="4"/>
  <c r="X139" i="4"/>
  <c r="H139" i="4"/>
  <c r="W139" i="4"/>
  <c r="G139" i="4"/>
  <c r="V139" i="4"/>
  <c r="F139" i="4"/>
  <c r="U139" i="4"/>
  <c r="E139" i="4"/>
  <c r="T139" i="4"/>
  <c r="S139" i="4"/>
  <c r="R139" i="4"/>
  <c r="Q139" i="4"/>
  <c r="P139" i="4"/>
  <c r="O139" i="4"/>
  <c r="N139" i="4"/>
  <c r="P102" i="4"/>
  <c r="O102" i="4"/>
  <c r="N102" i="4"/>
  <c r="M102" i="4"/>
  <c r="L102" i="4"/>
  <c r="K102" i="4"/>
  <c r="J102" i="4"/>
  <c r="I102" i="4"/>
  <c r="X102" i="4"/>
  <c r="H102" i="4"/>
  <c r="W102" i="4"/>
  <c r="G102" i="4"/>
  <c r="V102" i="4"/>
  <c r="F102" i="4"/>
  <c r="U102" i="4"/>
  <c r="E102" i="4"/>
  <c r="T102" i="4"/>
  <c r="S102" i="4"/>
  <c r="Q102" i="4"/>
  <c r="R102" i="4"/>
  <c r="L30" i="26"/>
  <c r="K30" i="26"/>
  <c r="J30" i="26"/>
  <c r="I30" i="26"/>
  <c r="X30" i="26"/>
  <c r="H30" i="26"/>
  <c r="W30" i="26"/>
  <c r="G30" i="26"/>
  <c r="V30" i="26"/>
  <c r="F30" i="26"/>
  <c r="U30" i="26"/>
  <c r="E30" i="26"/>
  <c r="T30" i="26"/>
  <c r="S30" i="26"/>
  <c r="R30" i="26"/>
  <c r="Q30" i="26"/>
  <c r="P30" i="26"/>
  <c r="M30" i="26"/>
  <c r="O30" i="26"/>
  <c r="N30" i="26"/>
  <c r="N28" i="4"/>
  <c r="R28" i="4"/>
  <c r="M28" i="4"/>
  <c r="Q28" i="4"/>
  <c r="S28" i="4"/>
  <c r="L28" i="4"/>
  <c r="P28" i="4"/>
  <c r="K28" i="4"/>
  <c r="O28" i="4"/>
  <c r="J28" i="4"/>
  <c r="I28" i="4"/>
  <c r="H28" i="4"/>
  <c r="G28" i="4"/>
  <c r="F28" i="4"/>
  <c r="E28" i="4"/>
  <c r="X28" i="4"/>
  <c r="W28" i="4"/>
  <c r="V28" i="4"/>
  <c r="U28" i="4"/>
  <c r="T28" i="4"/>
  <c r="T65" i="4"/>
  <c r="S65" i="4"/>
  <c r="R65" i="4"/>
  <c r="Q65" i="4"/>
  <c r="P65" i="4"/>
  <c r="O65" i="4"/>
  <c r="U65" i="4"/>
  <c r="N65" i="4"/>
  <c r="M65" i="4"/>
  <c r="L65" i="4"/>
  <c r="K65" i="4"/>
  <c r="E65" i="4"/>
  <c r="J65" i="4"/>
  <c r="I65" i="4"/>
  <c r="X65" i="4"/>
  <c r="H65" i="4"/>
  <c r="W65" i="4"/>
  <c r="G65" i="4"/>
  <c r="V65" i="4"/>
  <c r="F65" i="4"/>
  <c r="T69" i="26"/>
  <c r="S69" i="26"/>
  <c r="R69" i="26"/>
  <c r="Q69" i="26"/>
  <c r="P69" i="26"/>
  <c r="O69" i="26"/>
  <c r="N69" i="26"/>
  <c r="M69" i="26"/>
  <c r="L69" i="26"/>
  <c r="K69" i="26"/>
  <c r="J69" i="26"/>
  <c r="I69" i="26"/>
  <c r="U69" i="26"/>
  <c r="X69" i="26"/>
  <c r="H69" i="26"/>
  <c r="W69" i="26"/>
  <c r="G69" i="26"/>
  <c r="V69" i="26"/>
  <c r="F69" i="26"/>
  <c r="E69" i="26"/>
  <c r="F11" i="26"/>
  <c r="F52" i="26"/>
  <c r="W45" i="26"/>
  <c r="V48" i="26"/>
  <c r="M73" i="26"/>
  <c r="M74" i="26" s="1"/>
  <c r="S73" i="26"/>
  <c r="S74" i="26" s="1"/>
  <c r="X73" i="26"/>
  <c r="X74" i="26" s="1"/>
  <c r="V73" i="26"/>
  <c r="V74" i="26" s="1"/>
  <c r="Q73" i="26"/>
  <c r="Q74" i="26" s="1"/>
  <c r="H73" i="26"/>
  <c r="H74" i="26" s="1"/>
  <c r="D79" i="26"/>
  <c r="I73" i="26"/>
  <c r="I74" i="26" s="1"/>
  <c r="N73" i="26"/>
  <c r="N74" i="26" s="1"/>
  <c r="F73" i="26"/>
  <c r="F74" i="26" s="1"/>
  <c r="U73" i="26"/>
  <c r="U74" i="26" s="1"/>
  <c r="K73" i="26"/>
  <c r="K74" i="26" s="1"/>
  <c r="J73" i="26"/>
  <c r="J74" i="26" s="1"/>
  <c r="L73" i="26"/>
  <c r="L74" i="26" s="1"/>
  <c r="Y61" i="26"/>
  <c r="T73" i="26"/>
  <c r="T74" i="26" s="1"/>
  <c r="G73" i="26"/>
  <c r="G74" i="26" s="1"/>
  <c r="D72" i="26"/>
  <c r="E53" i="26" s="1"/>
  <c r="E54" i="26" s="1"/>
  <c r="E56" i="26" s="1"/>
  <c r="W73" i="26"/>
  <c r="W74" i="26" s="1"/>
  <c r="R73" i="26"/>
  <c r="R74" i="26" s="1"/>
  <c r="P73" i="26"/>
  <c r="P74" i="26" s="1"/>
  <c r="O73" i="26"/>
  <c r="O74" i="26" s="1"/>
  <c r="E73" i="26"/>
  <c r="E74" i="26" s="1"/>
  <c r="F13" i="26"/>
  <c r="F51" i="26"/>
  <c r="F12" i="26"/>
  <c r="X6" i="26"/>
  <c r="X9" i="26" s="1"/>
  <c r="W9" i="26"/>
  <c r="D40" i="26"/>
  <c r="S34" i="26"/>
  <c r="S35" i="26" s="1"/>
  <c r="Y22" i="26"/>
  <c r="T34" i="26"/>
  <c r="T35" i="26" s="1"/>
  <c r="G34" i="26"/>
  <c r="G35" i="26" s="1"/>
  <c r="R34" i="26"/>
  <c r="R35" i="26" s="1"/>
  <c r="F34" i="26"/>
  <c r="F35" i="26" s="1"/>
  <c r="K34" i="26"/>
  <c r="K35" i="26" s="1"/>
  <c r="L34" i="26"/>
  <c r="L35" i="26" s="1"/>
  <c r="M34" i="26"/>
  <c r="M35" i="26" s="1"/>
  <c r="I34" i="26"/>
  <c r="I35" i="26" s="1"/>
  <c r="P34" i="26"/>
  <c r="P35" i="26" s="1"/>
  <c r="J34" i="26"/>
  <c r="J35" i="26" s="1"/>
  <c r="U34" i="26"/>
  <c r="U35" i="26" s="1"/>
  <c r="O34" i="26"/>
  <c r="O35" i="26" s="1"/>
  <c r="X34" i="26"/>
  <c r="X35" i="26" s="1"/>
  <c r="E34" i="26"/>
  <c r="E35" i="26" s="1"/>
  <c r="W34" i="26"/>
  <c r="W35" i="26" s="1"/>
  <c r="Q34" i="26"/>
  <c r="Q35" i="26" s="1"/>
  <c r="D33" i="26"/>
  <c r="E14" i="26" s="1"/>
  <c r="E15" i="26" s="1"/>
  <c r="E17" i="26" s="1"/>
  <c r="V34" i="26"/>
  <c r="V35" i="26" s="1"/>
  <c r="H34" i="26"/>
  <c r="H35" i="26" s="1"/>
  <c r="N34" i="26"/>
  <c r="N35" i="26" s="1"/>
  <c r="M308" i="13"/>
  <c r="M311" i="13"/>
  <c r="M314" i="13"/>
  <c r="M304" i="13"/>
  <c r="M307" i="13"/>
  <c r="M310" i="13"/>
  <c r="M313" i="13"/>
  <c r="M316" i="13"/>
  <c r="M303" i="13"/>
  <c r="M306" i="13"/>
  <c r="M309" i="13"/>
  <c r="M312" i="13"/>
  <c r="M315" i="13"/>
  <c r="M299" i="13"/>
  <c r="M302" i="13"/>
  <c r="M295" i="13"/>
  <c r="M285" i="13"/>
  <c r="M297" i="13"/>
  <c r="G19" i="26" s="1"/>
  <c r="M298" i="13"/>
  <c r="G58" i="26" s="1"/>
  <c r="M290" i="13"/>
  <c r="M300" i="13"/>
  <c r="M279" i="13"/>
  <c r="M294" i="13"/>
  <c r="M280" i="13"/>
  <c r="M305" i="13"/>
  <c r="M283" i="13"/>
  <c r="M292" i="13"/>
  <c r="M291" i="13"/>
  <c r="M296" i="13"/>
  <c r="M284" i="13"/>
  <c r="M289" i="13"/>
  <c r="M278" i="13"/>
  <c r="M301" i="13"/>
  <c r="M288" i="13"/>
  <c r="M286" i="13"/>
  <c r="M287" i="13"/>
  <c r="M281" i="13"/>
  <c r="M282" i="13"/>
  <c r="M124" i="13"/>
  <c r="M119" i="13"/>
  <c r="M98" i="13"/>
  <c r="M116" i="13"/>
  <c r="M95" i="13"/>
  <c r="M122" i="13"/>
  <c r="M110" i="13"/>
  <c r="M118" i="13"/>
  <c r="M115" i="13"/>
  <c r="M128" i="13"/>
  <c r="M121" i="13"/>
  <c r="M106" i="13"/>
  <c r="M117" i="13"/>
  <c r="M96" i="13"/>
  <c r="M97" i="13"/>
  <c r="M93" i="13"/>
  <c r="M92" i="13"/>
  <c r="M114" i="13"/>
  <c r="M91" i="13"/>
  <c r="M94" i="13"/>
  <c r="M111" i="13"/>
  <c r="M120" i="13"/>
  <c r="M112" i="13"/>
  <c r="M107" i="13"/>
  <c r="M108" i="13"/>
  <c r="M113" i="13"/>
  <c r="M109" i="13"/>
  <c r="M197" i="13"/>
  <c r="P12" i="36" s="1"/>
  <c r="M189" i="13"/>
  <c r="P16" i="36" s="1"/>
  <c r="M196" i="13"/>
  <c r="M188" i="13"/>
  <c r="M201" i="13"/>
  <c r="M193" i="13"/>
  <c r="M185" i="13"/>
  <c r="M206" i="13"/>
  <c r="M195" i="13"/>
  <c r="M187" i="13"/>
  <c r="M200" i="13"/>
  <c r="P15" i="36" s="1"/>
  <c r="M179" i="13"/>
  <c r="M191" i="13"/>
  <c r="M202" i="13"/>
  <c r="M184" i="13"/>
  <c r="M183" i="13"/>
  <c r="M199" i="13"/>
  <c r="P14" i="36" s="1"/>
  <c r="M173" i="13"/>
  <c r="M164" i="13"/>
  <c r="M172" i="13"/>
  <c r="M163" i="13"/>
  <c r="M182" i="13"/>
  <c r="M168" i="13"/>
  <c r="M194" i="13"/>
  <c r="M171" i="13"/>
  <c r="M181" i="13"/>
  <c r="M186" i="13"/>
  <c r="M165" i="13"/>
  <c r="M87" i="13"/>
  <c r="M400" i="13" s="1"/>
  <c r="M166" i="13"/>
  <c r="M101" i="13"/>
  <c r="M198" i="13"/>
  <c r="P13" i="36" s="1"/>
  <c r="M178" i="13"/>
  <c r="M192" i="13"/>
  <c r="M123" i="13"/>
  <c r="M177" i="13"/>
  <c r="M132" i="13"/>
  <c r="M180" i="13"/>
  <c r="M100" i="13"/>
  <c r="M190" i="13"/>
  <c r="M167" i="13"/>
  <c r="M162" i="13"/>
  <c r="M79" i="13"/>
  <c r="M392" i="13" s="1"/>
  <c r="P5" i="36" s="1"/>
  <c r="M48" i="13"/>
  <c r="M361" i="13" s="1"/>
  <c r="M82" i="13"/>
  <c r="M395" i="13" s="1"/>
  <c r="M53" i="13"/>
  <c r="M366" i="13" s="1"/>
  <c r="M45" i="13"/>
  <c r="M358" i="13" s="1"/>
  <c r="M102" i="13"/>
  <c r="M83" i="13"/>
  <c r="M396" i="13" s="1"/>
  <c r="M71" i="13"/>
  <c r="M384" i="13" s="1"/>
  <c r="M68" i="13"/>
  <c r="M381" i="13" s="1"/>
  <c r="M81" i="13"/>
  <c r="M394" i="13" s="1"/>
  <c r="P7" i="36" s="1"/>
  <c r="M52" i="13"/>
  <c r="M365" i="13" s="1"/>
  <c r="M293" i="13"/>
  <c r="M78" i="13"/>
  <c r="M391" i="13" s="1"/>
  <c r="P4" i="36" s="1"/>
  <c r="M74" i="13"/>
  <c r="M387" i="13" s="1"/>
  <c r="M80" i="13"/>
  <c r="M393" i="13" s="1"/>
  <c r="P6" i="36" s="1"/>
  <c r="M70" i="13"/>
  <c r="M383" i="13" s="1"/>
  <c r="M75" i="13"/>
  <c r="M44" i="13"/>
  <c r="M357" i="13" s="1"/>
  <c r="M69" i="13"/>
  <c r="M67" i="13"/>
  <c r="M380" i="13" s="1"/>
  <c r="M207" i="13"/>
  <c r="M126" i="13"/>
  <c r="M104" i="13"/>
  <c r="M72" i="13"/>
  <c r="M385" i="13" s="1"/>
  <c r="M49" i="13"/>
  <c r="M362" i="13" s="1"/>
  <c r="M204" i="13"/>
  <c r="M129" i="13"/>
  <c r="M99" i="13"/>
  <c r="M76" i="13"/>
  <c r="M389" i="13" s="1"/>
  <c r="M170" i="13"/>
  <c r="M73" i="13"/>
  <c r="M169" i="13"/>
  <c r="M85" i="13"/>
  <c r="M398" i="13" s="1"/>
  <c r="M64" i="13"/>
  <c r="M377" i="13" s="1"/>
  <c r="M60" i="13"/>
  <c r="M47" i="13"/>
  <c r="M360" i="13" s="1"/>
  <c r="M205" i="13"/>
  <c r="M88" i="13"/>
  <c r="M66" i="13"/>
  <c r="M62" i="13"/>
  <c r="M375" i="13" s="1"/>
  <c r="M58" i="13"/>
  <c r="M371" i="13" s="1"/>
  <c r="M175" i="13"/>
  <c r="M46" i="13"/>
  <c r="M359" i="13" s="1"/>
  <c r="M125" i="13"/>
  <c r="M63" i="13"/>
  <c r="M50" i="13"/>
  <c r="M363" i="13" s="1"/>
  <c r="M176" i="13"/>
  <c r="M103" i="13"/>
  <c r="M57" i="13"/>
  <c r="M370" i="13" s="1"/>
  <c r="M77" i="13"/>
  <c r="M43" i="13"/>
  <c r="M356" i="13" s="1"/>
  <c r="M54" i="13"/>
  <c r="M367" i="13" s="1"/>
  <c r="M127" i="13"/>
  <c r="M105" i="13"/>
  <c r="M203" i="13"/>
  <c r="M56" i="13"/>
  <c r="M369" i="13" s="1"/>
  <c r="M51" i="13"/>
  <c r="M364" i="13" s="1"/>
  <c r="M174" i="13"/>
  <c r="M65" i="13"/>
  <c r="M378" i="13" s="1"/>
  <c r="M86" i="13"/>
  <c r="M399" i="13" s="1"/>
  <c r="M84" i="13"/>
  <c r="M397" i="13" s="1"/>
  <c r="M61" i="13"/>
  <c r="M374" i="13" s="1"/>
  <c r="M55" i="13"/>
  <c r="M368" i="13" s="1"/>
  <c r="M59" i="13"/>
  <c r="M372" i="13" s="1"/>
  <c r="L442" i="5"/>
  <c r="L280" i="5"/>
  <c r="N4" i="13"/>
  <c r="M485" i="5"/>
  <c r="M199" i="5"/>
  <c r="L120" i="5"/>
  <c r="M43" i="5"/>
  <c r="M281" i="5" l="1"/>
  <c r="M121" i="5"/>
  <c r="M400" i="5"/>
  <c r="M443" i="5"/>
  <c r="M486" i="5"/>
  <c r="M200" i="5"/>
  <c r="M44" i="5"/>
  <c r="M7" i="5"/>
  <c r="H441" i="5"/>
  <c r="H444" i="5" s="1"/>
  <c r="G484" i="5"/>
  <c r="G487" i="5" s="1"/>
  <c r="AE1" i="13"/>
  <c r="AG3" i="36"/>
  <c r="E70" i="26"/>
  <c r="E71" i="26" s="1"/>
  <c r="U70" i="26"/>
  <c r="U71" i="26" s="1"/>
  <c r="O70" i="26"/>
  <c r="O71" i="26" s="1"/>
  <c r="S70" i="26"/>
  <c r="S71" i="26" s="1"/>
  <c r="P70" i="26"/>
  <c r="P71" i="26" s="1"/>
  <c r="G70" i="26"/>
  <c r="G71" i="26" s="1"/>
  <c r="J70" i="26"/>
  <c r="J71" i="26" s="1"/>
  <c r="T70" i="26"/>
  <c r="T71" i="26" s="1"/>
  <c r="M70" i="26"/>
  <c r="M71" i="26" s="1"/>
  <c r="L70" i="26"/>
  <c r="L71" i="26" s="1"/>
  <c r="H70" i="26"/>
  <c r="H71" i="26" s="1"/>
  <c r="K70" i="26"/>
  <c r="K71" i="26" s="1"/>
  <c r="Q70" i="26"/>
  <c r="Q71" i="26" s="1"/>
  <c r="F70" i="26"/>
  <c r="F71" i="26" s="1"/>
  <c r="R70" i="26"/>
  <c r="R71" i="26" s="1"/>
  <c r="N70" i="26"/>
  <c r="N71" i="26" s="1"/>
  <c r="X70" i="26"/>
  <c r="X71" i="26" s="1"/>
  <c r="W70" i="26"/>
  <c r="W71" i="26" s="1"/>
  <c r="V70" i="26"/>
  <c r="V71" i="26" s="1"/>
  <c r="I70" i="26"/>
  <c r="I71" i="26" s="1"/>
  <c r="G51" i="26"/>
  <c r="L31" i="26"/>
  <c r="L32" i="26" s="1"/>
  <c r="O31" i="26"/>
  <c r="O32" i="26" s="1"/>
  <c r="M31" i="26"/>
  <c r="M32" i="26" s="1"/>
  <c r="J31" i="26"/>
  <c r="J32" i="26" s="1"/>
  <c r="F31" i="26"/>
  <c r="F32" i="26" s="1"/>
  <c r="T31" i="26"/>
  <c r="T32" i="26" s="1"/>
  <c r="H31" i="26"/>
  <c r="H32" i="26" s="1"/>
  <c r="S31" i="26"/>
  <c r="S32" i="26" s="1"/>
  <c r="V31" i="26"/>
  <c r="V32" i="26" s="1"/>
  <c r="P31" i="26"/>
  <c r="P32" i="26" s="1"/>
  <c r="G31" i="26"/>
  <c r="G32" i="26" s="1"/>
  <c r="N31" i="26"/>
  <c r="N32" i="26" s="1"/>
  <c r="Q31" i="26"/>
  <c r="Q32" i="26" s="1"/>
  <c r="I31" i="26"/>
  <c r="I32" i="26" s="1"/>
  <c r="K31" i="26"/>
  <c r="K32" i="26" s="1"/>
  <c r="U31" i="26"/>
  <c r="U32" i="26" s="1"/>
  <c r="W31" i="26"/>
  <c r="W32" i="26" s="1"/>
  <c r="X31" i="26"/>
  <c r="X32" i="26" s="1"/>
  <c r="R31" i="26"/>
  <c r="R32" i="26" s="1"/>
  <c r="E31" i="26"/>
  <c r="E32" i="26" s="1"/>
  <c r="D36" i="26"/>
  <c r="E36" i="26" s="1"/>
  <c r="Y23" i="26"/>
  <c r="Y33" i="26"/>
  <c r="E33" i="26" s="1"/>
  <c r="Y62" i="26"/>
  <c r="Y72" i="26"/>
  <c r="E72" i="26" s="1"/>
  <c r="X45" i="26"/>
  <c r="X48" i="26" s="1"/>
  <c r="W48" i="26"/>
  <c r="G52" i="26"/>
  <c r="G11" i="26"/>
  <c r="G12" i="26"/>
  <c r="G13" i="26"/>
  <c r="D75" i="26"/>
  <c r="E75" i="26" s="1"/>
  <c r="N311" i="13"/>
  <c r="N314" i="13"/>
  <c r="N307" i="13"/>
  <c r="N310" i="13"/>
  <c r="N313" i="13"/>
  <c r="N316" i="13"/>
  <c r="N306" i="13"/>
  <c r="N309" i="13"/>
  <c r="N312" i="13"/>
  <c r="N315" i="13"/>
  <c r="N302" i="13"/>
  <c r="N305" i="13"/>
  <c r="N304" i="13"/>
  <c r="N288" i="13"/>
  <c r="N303" i="13"/>
  <c r="N300" i="13"/>
  <c r="N296" i="13"/>
  <c r="N279" i="13"/>
  <c r="N282" i="13"/>
  <c r="N294" i="13"/>
  <c r="N290" i="13"/>
  <c r="N301" i="13"/>
  <c r="N281" i="13"/>
  <c r="N283" i="13"/>
  <c r="N292" i="13"/>
  <c r="N285" i="13"/>
  <c r="N291" i="13"/>
  <c r="N308" i="13"/>
  <c r="N295" i="13"/>
  <c r="N298" i="13"/>
  <c r="N299" i="13"/>
  <c r="N278" i="13"/>
  <c r="N297" i="13"/>
  <c r="H19" i="26" s="1"/>
  <c r="N289" i="13"/>
  <c r="N280" i="13"/>
  <c r="N287" i="13"/>
  <c r="N286" i="13"/>
  <c r="N284" i="13"/>
  <c r="N124" i="13"/>
  <c r="N114" i="13"/>
  <c r="N119" i="13"/>
  <c r="N116" i="13"/>
  <c r="N122" i="13"/>
  <c r="N110" i="13"/>
  <c r="N118" i="13"/>
  <c r="N97" i="13"/>
  <c r="N115" i="13"/>
  <c r="N128" i="13"/>
  <c r="N121" i="13"/>
  <c r="N106" i="13"/>
  <c r="N95" i="13"/>
  <c r="N93" i="13"/>
  <c r="N98" i="13"/>
  <c r="N92" i="13"/>
  <c r="N117" i="13"/>
  <c r="N94" i="13"/>
  <c r="N91" i="13"/>
  <c r="N96" i="13"/>
  <c r="N120" i="13"/>
  <c r="N111" i="13"/>
  <c r="N107" i="13"/>
  <c r="N112" i="13"/>
  <c r="N108" i="13"/>
  <c r="N113" i="13"/>
  <c r="N109" i="13"/>
  <c r="N196" i="13"/>
  <c r="N188" i="13"/>
  <c r="N198" i="13"/>
  <c r="Q13" i="36" s="1"/>
  <c r="N190" i="13"/>
  <c r="N200" i="13"/>
  <c r="Q15" i="36" s="1"/>
  <c r="N195" i="13"/>
  <c r="N191" i="13"/>
  <c r="N202" i="13"/>
  <c r="N184" i="13"/>
  <c r="N199" i="13"/>
  <c r="Q14" i="36" s="1"/>
  <c r="N193" i="13"/>
  <c r="N201" i="13"/>
  <c r="N197" i="13"/>
  <c r="Q12" i="36" s="1"/>
  <c r="N180" i="13"/>
  <c r="N194" i="13"/>
  <c r="N186" i="13"/>
  <c r="N173" i="13"/>
  <c r="N189" i="13"/>
  <c r="Q16" i="36" s="1"/>
  <c r="N181" i="13"/>
  <c r="N167" i="13"/>
  <c r="N182" i="13"/>
  <c r="N168" i="13"/>
  <c r="N187" i="13"/>
  <c r="N185" i="13"/>
  <c r="N163" i="13"/>
  <c r="N171" i="13"/>
  <c r="N100" i="13"/>
  <c r="N172" i="13"/>
  <c r="N177" i="13"/>
  <c r="N206" i="13"/>
  <c r="N192" i="13"/>
  <c r="N162" i="13"/>
  <c r="N101" i="13"/>
  <c r="N165" i="13"/>
  <c r="N179" i="13"/>
  <c r="N178" i="13"/>
  <c r="N183" i="13"/>
  <c r="N132" i="13"/>
  <c r="N166" i="13"/>
  <c r="N76" i="13"/>
  <c r="N389" i="13" s="1"/>
  <c r="N68" i="13"/>
  <c r="N381" i="13" s="1"/>
  <c r="N46" i="13"/>
  <c r="N359" i="13" s="1"/>
  <c r="N81" i="13"/>
  <c r="N394" i="13" s="1"/>
  <c r="Q7" i="36" s="1"/>
  <c r="N73" i="13"/>
  <c r="N53" i="13"/>
  <c r="N366" i="13" s="1"/>
  <c r="N203" i="13"/>
  <c r="N87" i="13"/>
  <c r="N400" i="13" s="1"/>
  <c r="N205" i="13"/>
  <c r="N78" i="13"/>
  <c r="N391" i="13" s="1"/>
  <c r="Q4" i="36" s="1"/>
  <c r="N47" i="13"/>
  <c r="N360" i="13" s="1"/>
  <c r="N176" i="13"/>
  <c r="N169" i="13"/>
  <c r="N75" i="13"/>
  <c r="N102" i="13"/>
  <c r="N83" i="13"/>
  <c r="N396" i="13" s="1"/>
  <c r="N71" i="13"/>
  <c r="N384" i="13" s="1"/>
  <c r="N174" i="13"/>
  <c r="N72" i="13"/>
  <c r="N385" i="13" s="1"/>
  <c r="N79" i="13"/>
  <c r="N392" i="13" s="1"/>
  <c r="Q5" i="36" s="1"/>
  <c r="N77" i="13"/>
  <c r="N49" i="13"/>
  <c r="N362" i="13" s="1"/>
  <c r="N44" i="13"/>
  <c r="N357" i="13" s="1"/>
  <c r="N175" i="13"/>
  <c r="N45" i="13"/>
  <c r="N358" i="13" s="1"/>
  <c r="N67" i="13"/>
  <c r="N380" i="13" s="1"/>
  <c r="N48" i="13"/>
  <c r="N361" i="13" s="1"/>
  <c r="N207" i="13"/>
  <c r="N52" i="13"/>
  <c r="N365" i="13" s="1"/>
  <c r="N105" i="13"/>
  <c r="N129" i="13"/>
  <c r="N82" i="13"/>
  <c r="N395" i="13" s="1"/>
  <c r="N170" i="13"/>
  <c r="N54" i="13"/>
  <c r="N367" i="13" s="1"/>
  <c r="N126" i="13"/>
  <c r="N123" i="13"/>
  <c r="N74" i="13"/>
  <c r="N387" i="13" s="1"/>
  <c r="N204" i="13"/>
  <c r="N125" i="13"/>
  <c r="N99" i="13"/>
  <c r="N86" i="13"/>
  <c r="N399" i="13" s="1"/>
  <c r="N64" i="13"/>
  <c r="N377" i="13" s="1"/>
  <c r="N55" i="13"/>
  <c r="N368" i="13" s="1"/>
  <c r="N63" i="13"/>
  <c r="N58" i="13"/>
  <c r="N371" i="13" s="1"/>
  <c r="N127" i="13"/>
  <c r="N104" i="13"/>
  <c r="N80" i="13"/>
  <c r="N393" i="13" s="1"/>
  <c r="Q6" i="36" s="1"/>
  <c r="N61" i="13"/>
  <c r="N374" i="13" s="1"/>
  <c r="N66" i="13"/>
  <c r="N62" i="13"/>
  <c r="N375" i="13" s="1"/>
  <c r="N50" i="13"/>
  <c r="N363" i="13" s="1"/>
  <c r="N69" i="13"/>
  <c r="N103" i="13"/>
  <c r="N293" i="13"/>
  <c r="N56" i="13"/>
  <c r="N369" i="13" s="1"/>
  <c r="N164" i="13"/>
  <c r="N70" i="13"/>
  <c r="N383" i="13" s="1"/>
  <c r="N65" i="13"/>
  <c r="N378" i="13" s="1"/>
  <c r="N85" i="13"/>
  <c r="N398" i="13" s="1"/>
  <c r="N84" i="13"/>
  <c r="N397" i="13" s="1"/>
  <c r="N88" i="13"/>
  <c r="N51" i="13"/>
  <c r="N364" i="13" s="1"/>
  <c r="N43" i="13"/>
  <c r="N356" i="13" s="1"/>
  <c r="N57" i="13"/>
  <c r="N370" i="13" s="1"/>
  <c r="N60" i="13"/>
  <c r="N59" i="13"/>
  <c r="N372" i="13" s="1"/>
  <c r="M280" i="5"/>
  <c r="M442" i="5"/>
  <c r="O4" i="13"/>
  <c r="N485" i="5"/>
  <c r="N399" i="5"/>
  <c r="N199" i="5"/>
  <c r="M120" i="5"/>
  <c r="N43" i="5"/>
  <c r="N44" i="5" l="1"/>
  <c r="N200" i="5"/>
  <c r="N486" i="5"/>
  <c r="N443" i="5"/>
  <c r="N400" i="5"/>
  <c r="N121" i="5"/>
  <c r="N281" i="5"/>
  <c r="N7" i="5"/>
  <c r="F279" i="5"/>
  <c r="F282" i="5" s="1"/>
  <c r="T441" i="5"/>
  <c r="J398" i="5"/>
  <c r="J401" i="5" s="1"/>
  <c r="P398" i="5"/>
  <c r="N198" i="5"/>
  <c r="R198" i="5"/>
  <c r="E42" i="5"/>
  <c r="V484" i="5"/>
  <c r="P42" i="5"/>
  <c r="W441" i="5"/>
  <c r="S42" i="5"/>
  <c r="H119" i="5"/>
  <c r="U398" i="5"/>
  <c r="X484" i="5"/>
  <c r="F441" i="5"/>
  <c r="F444" i="5" s="1"/>
  <c r="X198" i="5"/>
  <c r="J119" i="5"/>
  <c r="L42" i="5"/>
  <c r="T119" i="5"/>
  <c r="M119" i="5"/>
  <c r="W198" i="5"/>
  <c r="G279" i="5"/>
  <c r="G282" i="5" s="1"/>
  <c r="F198" i="5"/>
  <c r="I398" i="5"/>
  <c r="I401" i="5" s="1"/>
  <c r="R484" i="5"/>
  <c r="G119" i="5"/>
  <c r="Q398" i="5"/>
  <c r="K42" i="5"/>
  <c r="K198" i="5"/>
  <c r="U119" i="5"/>
  <c r="O119" i="5"/>
  <c r="J279" i="5"/>
  <c r="J282" i="5" s="1"/>
  <c r="P119" i="5"/>
  <c r="P441" i="5"/>
  <c r="H398" i="5"/>
  <c r="H401" i="5" s="1"/>
  <c r="I42" i="5"/>
  <c r="P279" i="5"/>
  <c r="S484" i="5"/>
  <c r="R42" i="5"/>
  <c r="T42" i="5"/>
  <c r="Q279" i="5"/>
  <c r="G198" i="5"/>
  <c r="E398" i="5"/>
  <c r="E401" i="5" s="1"/>
  <c r="I198" i="5"/>
  <c r="M279" i="5"/>
  <c r="M282" i="5" s="1"/>
  <c r="E441" i="5"/>
  <c r="E444" i="5" s="1"/>
  <c r="R398" i="5"/>
  <c r="L279" i="5"/>
  <c r="L282" i="5" s="1"/>
  <c r="H279" i="5"/>
  <c r="H282" i="5" s="1"/>
  <c r="U441" i="5"/>
  <c r="K441" i="5"/>
  <c r="K444" i="5" s="1"/>
  <c r="N441" i="5"/>
  <c r="AF1" i="13"/>
  <c r="AG1" i="13" s="1"/>
  <c r="AH1" i="13" s="1"/>
  <c r="AI1" i="13" s="1"/>
  <c r="AJ1" i="13" s="1"/>
  <c r="AK1" i="13" s="1"/>
  <c r="AL1" i="13" s="1"/>
  <c r="AM1" i="13" s="1"/>
  <c r="AN1" i="13" s="1"/>
  <c r="AO1" i="13" s="1"/>
  <c r="AP1" i="13" s="1"/>
  <c r="AQ1" i="13" s="1"/>
  <c r="AR1" i="13" s="1"/>
  <c r="AS1" i="13" s="1"/>
  <c r="AT1" i="13" s="1"/>
  <c r="AU1" i="13" s="1"/>
  <c r="AV1" i="13" s="1"/>
  <c r="AW1" i="13" s="1"/>
  <c r="AX1" i="13" s="1"/>
  <c r="AY1" i="13" s="1"/>
  <c r="AZ1" i="13" s="1"/>
  <c r="BA1" i="13" s="1"/>
  <c r="BB1" i="13" s="1"/>
  <c r="BC1" i="13" s="1"/>
  <c r="BD1" i="13" s="1"/>
  <c r="BE1" i="13" s="1"/>
  <c r="BF1" i="13" s="1"/>
  <c r="BG1" i="13" s="1"/>
  <c r="BH1" i="13" s="1"/>
  <c r="BI1" i="13" s="1"/>
  <c r="BJ1" i="13" s="1"/>
  <c r="BK1" i="13" s="1"/>
  <c r="BL1" i="13" s="1"/>
  <c r="BM1" i="13" s="1"/>
  <c r="BN1" i="13" s="1"/>
  <c r="BO1" i="13" s="1"/>
  <c r="BP1" i="13" s="1"/>
  <c r="BQ1" i="13" s="1"/>
  <c r="BR1" i="13" s="1"/>
  <c r="BS1" i="13" s="1"/>
  <c r="BT1" i="13" s="1"/>
  <c r="BU1" i="13" s="1"/>
  <c r="BV1" i="13" s="1"/>
  <c r="BW1" i="13" s="1"/>
  <c r="BX1" i="13" s="1"/>
  <c r="AH3" i="36"/>
  <c r="H12" i="26"/>
  <c r="H58" i="26"/>
  <c r="F33" i="26"/>
  <c r="F14" i="26"/>
  <c r="F15" i="26" s="1"/>
  <c r="F17" i="26" s="1"/>
  <c r="H51" i="26"/>
  <c r="F72" i="26"/>
  <c r="F53" i="26"/>
  <c r="F54" i="26" s="1"/>
  <c r="F56" i="26" s="1"/>
  <c r="H11" i="26"/>
  <c r="H52" i="26"/>
  <c r="H13" i="26"/>
  <c r="O314" i="13"/>
  <c r="O310" i="13"/>
  <c r="O313" i="13"/>
  <c r="O316" i="13"/>
  <c r="O300" i="13"/>
  <c r="O309" i="13"/>
  <c r="O312" i="13"/>
  <c r="O315" i="13"/>
  <c r="O305" i="13"/>
  <c r="O308" i="13"/>
  <c r="O307" i="13"/>
  <c r="O299" i="13"/>
  <c r="O291" i="13"/>
  <c r="O296" i="13"/>
  <c r="O303" i="13"/>
  <c r="O282" i="13"/>
  <c r="O295" i="13"/>
  <c r="O287" i="13"/>
  <c r="O311" i="13"/>
  <c r="O290" i="13"/>
  <c r="O304" i="13"/>
  <c r="O301" i="13"/>
  <c r="O297" i="13"/>
  <c r="I19" i="26" s="1"/>
  <c r="O288" i="13"/>
  <c r="O281" i="13"/>
  <c r="O302" i="13"/>
  <c r="O292" i="13"/>
  <c r="O285" i="13"/>
  <c r="O294" i="13"/>
  <c r="O306" i="13"/>
  <c r="O298" i="13"/>
  <c r="I58" i="26" s="1"/>
  <c r="O289" i="13"/>
  <c r="O280" i="13"/>
  <c r="O278" i="13"/>
  <c r="O286" i="13"/>
  <c r="O284" i="13"/>
  <c r="O283" i="13"/>
  <c r="O279" i="13"/>
  <c r="O119" i="13"/>
  <c r="O116" i="13"/>
  <c r="O95" i="13"/>
  <c r="O122" i="13"/>
  <c r="O110" i="13"/>
  <c r="O118" i="13"/>
  <c r="O97" i="13"/>
  <c r="O115" i="13"/>
  <c r="O128" i="13"/>
  <c r="O121" i="13"/>
  <c r="O106" i="13"/>
  <c r="O117" i="13"/>
  <c r="O96" i="13"/>
  <c r="O124" i="13"/>
  <c r="O114" i="13"/>
  <c r="O93" i="13"/>
  <c r="O98" i="13"/>
  <c r="O92" i="13"/>
  <c r="O94" i="13"/>
  <c r="O91" i="13"/>
  <c r="O120" i="13"/>
  <c r="O108" i="13"/>
  <c r="O109" i="13"/>
  <c r="O111" i="13"/>
  <c r="O107" i="13"/>
  <c r="O112" i="13"/>
  <c r="O113" i="13"/>
  <c r="O202" i="13"/>
  <c r="O194" i="13"/>
  <c r="O186" i="13"/>
  <c r="O201" i="13"/>
  <c r="O193" i="13"/>
  <c r="O185" i="13"/>
  <c r="O198" i="13"/>
  <c r="R13" i="36" s="1"/>
  <c r="O190" i="13"/>
  <c r="O200" i="13"/>
  <c r="R15" i="36" s="1"/>
  <c r="O192" i="13"/>
  <c r="O184" i="13"/>
  <c r="O181" i="13"/>
  <c r="O197" i="13"/>
  <c r="R12" i="36" s="1"/>
  <c r="O180" i="13"/>
  <c r="O206" i="13"/>
  <c r="O189" i="13"/>
  <c r="R16" i="36" s="1"/>
  <c r="O183" i="13"/>
  <c r="O182" i="13"/>
  <c r="O178" i="13"/>
  <c r="O177" i="13"/>
  <c r="O168" i="13"/>
  <c r="O187" i="13"/>
  <c r="O199" i="13"/>
  <c r="R14" i="36" s="1"/>
  <c r="O172" i="13"/>
  <c r="O173" i="13"/>
  <c r="O195" i="13"/>
  <c r="O167" i="13"/>
  <c r="O123" i="13"/>
  <c r="O166" i="13"/>
  <c r="O164" i="13"/>
  <c r="O179" i="13"/>
  <c r="O171" i="13"/>
  <c r="O101" i="13"/>
  <c r="O191" i="13"/>
  <c r="O102" i="13"/>
  <c r="O188" i="13"/>
  <c r="O132" i="13"/>
  <c r="O163" i="13"/>
  <c r="O196" i="13"/>
  <c r="O165" i="13"/>
  <c r="O80" i="13"/>
  <c r="O393" i="13" s="1"/>
  <c r="R6" i="36" s="1"/>
  <c r="O74" i="13"/>
  <c r="O387" i="13" s="1"/>
  <c r="O68" i="13"/>
  <c r="O381" i="13" s="1"/>
  <c r="O293" i="13"/>
  <c r="O162" i="13"/>
  <c r="O77" i="13"/>
  <c r="O71" i="13"/>
  <c r="O384" i="13" s="1"/>
  <c r="O87" i="13"/>
  <c r="O400" i="13" s="1"/>
  <c r="O75" i="13"/>
  <c r="O204" i="13"/>
  <c r="O72" i="13"/>
  <c r="O385" i="13" s="1"/>
  <c r="O76" i="13"/>
  <c r="O389" i="13" s="1"/>
  <c r="O70" i="13"/>
  <c r="O383" i="13" s="1"/>
  <c r="O45" i="13"/>
  <c r="O358" i="13" s="1"/>
  <c r="O73" i="13"/>
  <c r="O69" i="13"/>
  <c r="O52" i="13"/>
  <c r="O365" i="13" s="1"/>
  <c r="O54" i="13"/>
  <c r="O367" i="13" s="1"/>
  <c r="O53" i="13"/>
  <c r="O366" i="13" s="1"/>
  <c r="O46" i="13"/>
  <c r="O359" i="13" s="1"/>
  <c r="O125" i="13"/>
  <c r="O103" i="13"/>
  <c r="O100" i="13"/>
  <c r="O81" i="13"/>
  <c r="O394" i="13" s="1"/>
  <c r="R7" i="36" s="1"/>
  <c r="O83" i="13"/>
  <c r="O396" i="13" s="1"/>
  <c r="O170" i="13"/>
  <c r="O44" i="13"/>
  <c r="O357" i="13" s="1"/>
  <c r="O127" i="13"/>
  <c r="O105" i="13"/>
  <c r="O207" i="13"/>
  <c r="O79" i="13"/>
  <c r="O392" i="13" s="1"/>
  <c r="R5" i="36" s="1"/>
  <c r="O48" i="13"/>
  <c r="O361" i="13" s="1"/>
  <c r="O203" i="13"/>
  <c r="O82" i="13"/>
  <c r="O395" i="13" s="1"/>
  <c r="O47" i="13"/>
  <c r="O360" i="13" s="1"/>
  <c r="O205" i="13"/>
  <c r="O84" i="13"/>
  <c r="O397" i="13" s="1"/>
  <c r="O63" i="13"/>
  <c r="O59" i="13"/>
  <c r="O372" i="13" s="1"/>
  <c r="O86" i="13"/>
  <c r="O399" i="13" s="1"/>
  <c r="O65" i="13"/>
  <c r="O378" i="13" s="1"/>
  <c r="O61" i="13"/>
  <c r="O374" i="13" s="1"/>
  <c r="O175" i="13"/>
  <c r="O67" i="13"/>
  <c r="O380" i="13" s="1"/>
  <c r="O104" i="13"/>
  <c r="O169" i="13"/>
  <c r="O85" i="13"/>
  <c r="O398" i="13" s="1"/>
  <c r="O57" i="13"/>
  <c r="O370" i="13" s="1"/>
  <c r="O78" i="13"/>
  <c r="O391" i="13" s="1"/>
  <c r="R4" i="36" s="1"/>
  <c r="O126" i="13"/>
  <c r="O50" i="13"/>
  <c r="O363" i="13" s="1"/>
  <c r="O176" i="13"/>
  <c r="O56" i="13"/>
  <c r="O369" i="13" s="1"/>
  <c r="O58" i="13"/>
  <c r="O371" i="13" s="1"/>
  <c r="O49" i="13"/>
  <c r="O362" i="13" s="1"/>
  <c r="O51" i="13"/>
  <c r="O364" i="13" s="1"/>
  <c r="O129" i="13"/>
  <c r="O99" i="13"/>
  <c r="O62" i="13"/>
  <c r="O375" i="13" s="1"/>
  <c r="O88" i="13"/>
  <c r="O66" i="13"/>
  <c r="O64" i="13"/>
  <c r="O377" i="13" s="1"/>
  <c r="O43" i="13"/>
  <c r="O356" i="13" s="1"/>
  <c r="O60" i="13"/>
  <c r="O55" i="13"/>
  <c r="O368" i="13" s="1"/>
  <c r="O174" i="13"/>
  <c r="N442" i="5"/>
  <c r="N280" i="5"/>
  <c r="P4" i="13"/>
  <c r="O485" i="5"/>
  <c r="O399" i="5"/>
  <c r="O199" i="5"/>
  <c r="N120" i="5"/>
  <c r="O43" i="5"/>
  <c r="C20" i="36" l="1"/>
  <c r="C21" i="36"/>
  <c r="C22" i="36"/>
  <c r="C24" i="36"/>
  <c r="C23" i="36"/>
  <c r="E398" i="40"/>
  <c r="E413" i="40" s="1"/>
  <c r="J42" i="40"/>
  <c r="S42" i="40"/>
  <c r="K441" i="40"/>
  <c r="S398" i="40"/>
  <c r="R198" i="40"/>
  <c r="X42" i="40"/>
  <c r="K484" i="40"/>
  <c r="I119" i="40"/>
  <c r="I133" i="40" s="1"/>
  <c r="E160" i="40"/>
  <c r="E172" i="40" s="1"/>
  <c r="S279" i="40"/>
  <c r="M398" i="40"/>
  <c r="V42" i="40"/>
  <c r="X119" i="40"/>
  <c r="Q198" i="40"/>
  <c r="K398" i="40"/>
  <c r="P279" i="40"/>
  <c r="E42" i="40"/>
  <c r="E56" i="40" s="1"/>
  <c r="M484" i="40"/>
  <c r="S484" i="40"/>
  <c r="X441" i="40"/>
  <c r="H198" i="40"/>
  <c r="H213" i="40" s="1"/>
  <c r="G441" i="40"/>
  <c r="G456" i="40" s="1"/>
  <c r="M279" i="40"/>
  <c r="Q42" i="40"/>
  <c r="T279" i="40"/>
  <c r="O198" i="40"/>
  <c r="E484" i="40"/>
  <c r="E499" i="40" s="1"/>
  <c r="H484" i="40"/>
  <c r="H499" i="40" s="1"/>
  <c r="Q119" i="40"/>
  <c r="W198" i="40"/>
  <c r="T198" i="40"/>
  <c r="L398" i="40"/>
  <c r="L42" i="40"/>
  <c r="O279" i="40"/>
  <c r="F279" i="40"/>
  <c r="F294" i="40" s="1"/>
  <c r="V398" i="40"/>
  <c r="L119" i="40"/>
  <c r="G398" i="40"/>
  <c r="G413" i="40" s="1"/>
  <c r="N119" i="40"/>
  <c r="E322" i="40"/>
  <c r="E334" i="40" s="1"/>
  <c r="F441" i="40"/>
  <c r="F456" i="40" s="1"/>
  <c r="O119" i="40"/>
  <c r="E441" i="40"/>
  <c r="E456" i="40" s="1"/>
  <c r="F398" i="40"/>
  <c r="F413" i="40" s="1"/>
  <c r="N279" i="40"/>
  <c r="F198" i="40"/>
  <c r="F213" i="40" s="1"/>
  <c r="U119" i="40"/>
  <c r="H279" i="40"/>
  <c r="H294" i="40" s="1"/>
  <c r="T398" i="40"/>
  <c r="U198" i="40"/>
  <c r="I42" i="40"/>
  <c r="I56" i="40" s="1"/>
  <c r="H398" i="40"/>
  <c r="H413" i="40" s="1"/>
  <c r="L279" i="40"/>
  <c r="E119" i="40"/>
  <c r="E133" i="40" s="1"/>
  <c r="W398" i="40"/>
  <c r="E198" i="40"/>
  <c r="E213" i="40" s="1"/>
  <c r="X398" i="40"/>
  <c r="W484" i="40"/>
  <c r="E279" i="40"/>
  <c r="E294" i="40" s="1"/>
  <c r="N441" i="40"/>
  <c r="O441" i="40"/>
  <c r="J279" i="40"/>
  <c r="V119" i="40"/>
  <c r="S119" i="40"/>
  <c r="G198" i="40"/>
  <c r="G213" i="40" s="1"/>
  <c r="R42" i="40"/>
  <c r="H441" i="40"/>
  <c r="H456" i="40" s="1"/>
  <c r="G119" i="40"/>
  <c r="G133" i="40" s="1"/>
  <c r="T119" i="40"/>
  <c r="N42" i="40"/>
  <c r="R441" i="40"/>
  <c r="I198" i="40"/>
  <c r="I213" i="40" s="1"/>
  <c r="J198" i="40"/>
  <c r="P441" i="40"/>
  <c r="P119" i="40"/>
  <c r="M441" i="40"/>
  <c r="K198" i="40"/>
  <c r="W279" i="40"/>
  <c r="J119" i="40"/>
  <c r="J441" i="40"/>
  <c r="F119" i="40"/>
  <c r="F133" i="40" s="1"/>
  <c r="I398" i="40"/>
  <c r="I413" i="40" s="1"/>
  <c r="J398" i="40"/>
  <c r="M198" i="40"/>
  <c r="H119" i="40"/>
  <c r="H133" i="40" s="1"/>
  <c r="R279" i="40"/>
  <c r="K279" i="40"/>
  <c r="U398" i="40"/>
  <c r="V441" i="40"/>
  <c r="E6" i="5"/>
  <c r="L198" i="40"/>
  <c r="X198" i="40"/>
  <c r="T441" i="40"/>
  <c r="J484" i="40"/>
  <c r="P198" i="40"/>
  <c r="E6" i="40"/>
  <c r="E17" i="40" s="1"/>
  <c r="K42" i="40"/>
  <c r="E83" i="40"/>
  <c r="E94" i="40" s="1"/>
  <c r="U42" i="40"/>
  <c r="G42" i="40"/>
  <c r="G56" i="40" s="1"/>
  <c r="I441" i="40"/>
  <c r="I456" i="40" s="1"/>
  <c r="N398" i="40"/>
  <c r="Q279" i="40"/>
  <c r="Q484" i="40"/>
  <c r="N198" i="40"/>
  <c r="U279" i="40"/>
  <c r="R484" i="40"/>
  <c r="U441" i="40"/>
  <c r="X484" i="40"/>
  <c r="M119" i="40"/>
  <c r="V484" i="40"/>
  <c r="R398" i="40"/>
  <c r="U484" i="40"/>
  <c r="V198" i="40"/>
  <c r="F484" i="40"/>
  <c r="F499" i="40" s="1"/>
  <c r="F42" i="40"/>
  <c r="F56" i="40" s="1"/>
  <c r="V279" i="40"/>
  <c r="N484" i="40"/>
  <c r="S441" i="40"/>
  <c r="W441" i="40"/>
  <c r="I279" i="40"/>
  <c r="I294" i="40" s="1"/>
  <c r="X279" i="40"/>
  <c r="T42" i="40"/>
  <c r="T484" i="40"/>
  <c r="W42" i="40"/>
  <c r="O398" i="40"/>
  <c r="L484" i="40"/>
  <c r="S198" i="40"/>
  <c r="O42" i="40"/>
  <c r="W119" i="40"/>
  <c r="M42" i="40"/>
  <c r="G279" i="40"/>
  <c r="G294" i="40" s="1"/>
  <c r="O484" i="40"/>
  <c r="E360" i="40"/>
  <c r="E372" i="40" s="1"/>
  <c r="Q398" i="40"/>
  <c r="H42" i="40"/>
  <c r="H56" i="40" s="1"/>
  <c r="I484" i="40"/>
  <c r="I499" i="40" s="1"/>
  <c r="E241" i="40"/>
  <c r="E253" i="40" s="1"/>
  <c r="G484" i="40"/>
  <c r="G499" i="40" s="1"/>
  <c r="P398" i="40"/>
  <c r="R119" i="40"/>
  <c r="P42" i="40"/>
  <c r="K119" i="40"/>
  <c r="L441" i="40"/>
  <c r="P484" i="40"/>
  <c r="Q441" i="40"/>
  <c r="O281" i="5"/>
  <c r="O121" i="5"/>
  <c r="O400" i="5"/>
  <c r="O443" i="5"/>
  <c r="O486" i="5"/>
  <c r="O200" i="5"/>
  <c r="O44" i="5"/>
  <c r="O7" i="5"/>
  <c r="E40" i="7"/>
  <c r="X37" i="7" s="1"/>
  <c r="E83" i="5"/>
  <c r="E322" i="5"/>
  <c r="E241" i="5"/>
  <c r="E360" i="5"/>
  <c r="E160" i="5"/>
  <c r="I441" i="5"/>
  <c r="I444" i="5" s="1"/>
  <c r="Q198" i="5"/>
  <c r="N279" i="5"/>
  <c r="N282" i="5" s="1"/>
  <c r="T279" i="5"/>
  <c r="T398" i="5"/>
  <c r="H484" i="5"/>
  <c r="H487" i="5" s="1"/>
  <c r="O398" i="5"/>
  <c r="E198" i="5"/>
  <c r="T198" i="5"/>
  <c r="O42" i="5"/>
  <c r="Q119" i="5"/>
  <c r="V398" i="5"/>
  <c r="K398" i="5"/>
  <c r="K401" i="5" s="1"/>
  <c r="X441" i="5"/>
  <c r="L441" i="5"/>
  <c r="L444" i="5" s="1"/>
  <c r="V42" i="5"/>
  <c r="M441" i="5"/>
  <c r="M444" i="5" s="1"/>
  <c r="O441" i="5"/>
  <c r="L119" i="5"/>
  <c r="S398" i="5"/>
  <c r="F42" i="5"/>
  <c r="K279" i="5"/>
  <c r="K282" i="5" s="1"/>
  <c r="L484" i="5"/>
  <c r="L487" i="5" s="1"/>
  <c r="O198" i="5"/>
  <c r="J441" i="5"/>
  <c r="J444" i="5" s="1"/>
  <c r="U198" i="5"/>
  <c r="O484" i="5"/>
  <c r="P198" i="5"/>
  <c r="E484" i="5"/>
  <c r="E487" i="5" s="1"/>
  <c r="S198" i="5"/>
  <c r="X42" i="5"/>
  <c r="G398" i="5"/>
  <c r="G401" i="5" s="1"/>
  <c r="H42" i="5"/>
  <c r="W398" i="5"/>
  <c r="X398" i="5"/>
  <c r="V119" i="5"/>
  <c r="V279" i="5"/>
  <c r="V441" i="5"/>
  <c r="V198" i="5"/>
  <c r="Q441" i="5"/>
  <c r="N398" i="5"/>
  <c r="N401" i="5" s="1"/>
  <c r="R119" i="5"/>
  <c r="I279" i="5"/>
  <c r="I282" i="5" s="1"/>
  <c r="F119" i="5"/>
  <c r="E119" i="5"/>
  <c r="G42" i="5"/>
  <c r="W42" i="5"/>
  <c r="R441" i="5"/>
  <c r="M42" i="5"/>
  <c r="E279" i="5"/>
  <c r="E282" i="5" s="1"/>
  <c r="I484" i="5"/>
  <c r="I487" i="5" s="1"/>
  <c r="Q42" i="5"/>
  <c r="M484" i="5"/>
  <c r="M487" i="5" s="1"/>
  <c r="X279" i="5"/>
  <c r="P484" i="5"/>
  <c r="W484" i="5"/>
  <c r="Q484" i="5"/>
  <c r="H198" i="5"/>
  <c r="G441" i="5"/>
  <c r="G444" i="5" s="1"/>
  <c r="O279" i="5"/>
  <c r="X119" i="5"/>
  <c r="W279" i="5"/>
  <c r="N484" i="5"/>
  <c r="N487" i="5" s="1"/>
  <c r="L398" i="5"/>
  <c r="L401" i="5" s="1"/>
  <c r="J198" i="5"/>
  <c r="M398" i="5"/>
  <c r="M401" i="5" s="1"/>
  <c r="U484" i="5"/>
  <c r="L198" i="5"/>
  <c r="N119" i="5"/>
  <c r="I119" i="5"/>
  <c r="S119" i="5"/>
  <c r="J42" i="5"/>
  <c r="K484" i="5"/>
  <c r="K487" i="5" s="1"/>
  <c r="F484" i="5"/>
  <c r="F487" i="5" s="1"/>
  <c r="S279" i="5"/>
  <c r="N42" i="5"/>
  <c r="T484" i="5"/>
  <c r="J484" i="5"/>
  <c r="J487" i="5" s="1"/>
  <c r="K119" i="5"/>
  <c r="W119" i="5"/>
  <c r="F398" i="5"/>
  <c r="F401" i="5" s="1"/>
  <c r="R279" i="5"/>
  <c r="M198" i="5"/>
  <c r="S441" i="5"/>
  <c r="U42" i="5"/>
  <c r="U279" i="5"/>
  <c r="I12" i="26"/>
  <c r="I52" i="26"/>
  <c r="I51" i="26"/>
  <c r="I11" i="26"/>
  <c r="G53" i="26"/>
  <c r="G54" i="26" s="1"/>
  <c r="G56" i="26" s="1"/>
  <c r="G72" i="26"/>
  <c r="I13" i="26"/>
  <c r="G14" i="26"/>
  <c r="G15" i="26" s="1"/>
  <c r="G17" i="26" s="1"/>
  <c r="G33" i="26"/>
  <c r="P310" i="13"/>
  <c r="P313" i="13"/>
  <c r="P316" i="13"/>
  <c r="P300" i="13"/>
  <c r="P303" i="13"/>
  <c r="P309" i="13"/>
  <c r="P312" i="13"/>
  <c r="P315" i="13"/>
  <c r="P299" i="13"/>
  <c r="P308" i="13"/>
  <c r="P311" i="13"/>
  <c r="P301" i="13"/>
  <c r="P294" i="13"/>
  <c r="P298" i="13"/>
  <c r="P305" i="13"/>
  <c r="P286" i="13"/>
  <c r="P302" i="13"/>
  <c r="P280" i="13"/>
  <c r="P290" i="13"/>
  <c r="P314" i="13"/>
  <c r="P291" i="13"/>
  <c r="P304" i="13"/>
  <c r="P284" i="13"/>
  <c r="P296" i="13"/>
  <c r="P295" i="13"/>
  <c r="P306" i="13"/>
  <c r="P278" i="13"/>
  <c r="P297" i="13"/>
  <c r="J19" i="26" s="1"/>
  <c r="P281" i="13"/>
  <c r="P287" i="13"/>
  <c r="P307" i="13"/>
  <c r="P288" i="13"/>
  <c r="P279" i="13"/>
  <c r="P285" i="13"/>
  <c r="P283" i="13"/>
  <c r="P292" i="13"/>
  <c r="P289" i="13"/>
  <c r="P282" i="13"/>
  <c r="P119" i="13"/>
  <c r="P116" i="13"/>
  <c r="P122" i="13"/>
  <c r="P118" i="13"/>
  <c r="P97" i="13"/>
  <c r="P115" i="13"/>
  <c r="P128" i="13"/>
  <c r="P121" i="13"/>
  <c r="P117" i="13"/>
  <c r="P96" i="13"/>
  <c r="P98" i="13"/>
  <c r="P106" i="13"/>
  <c r="P124" i="13"/>
  <c r="P92" i="13"/>
  <c r="P93" i="13"/>
  <c r="P114" i="13"/>
  <c r="P94" i="13"/>
  <c r="P91" i="13"/>
  <c r="P110" i="13"/>
  <c r="P95" i="13"/>
  <c r="P120" i="13"/>
  <c r="P112" i="13"/>
  <c r="P111" i="13"/>
  <c r="P107" i="13"/>
  <c r="P108" i="13"/>
  <c r="P113" i="13"/>
  <c r="P109" i="13"/>
  <c r="P201" i="13"/>
  <c r="P193" i="13"/>
  <c r="P185" i="13"/>
  <c r="P206" i="13"/>
  <c r="P195" i="13"/>
  <c r="P187" i="13"/>
  <c r="P202" i="13"/>
  <c r="P181" i="13"/>
  <c r="P192" i="13"/>
  <c r="P188" i="13"/>
  <c r="P186" i="13"/>
  <c r="P177" i="13"/>
  <c r="P171" i="13"/>
  <c r="P183" i="13"/>
  <c r="P182" i="13"/>
  <c r="P178" i="13"/>
  <c r="P168" i="13"/>
  <c r="P190" i="13"/>
  <c r="P184" i="13"/>
  <c r="P180" i="13"/>
  <c r="P179" i="13"/>
  <c r="P199" i="13"/>
  <c r="E13" i="36" s="1"/>
  <c r="P166" i="13"/>
  <c r="P165" i="13"/>
  <c r="P198" i="13"/>
  <c r="S13" i="36" s="1"/>
  <c r="P200" i="13"/>
  <c r="F13" i="36" s="1"/>
  <c r="P197" i="13"/>
  <c r="D13" i="36" s="1"/>
  <c r="P102" i="13"/>
  <c r="P196" i="13"/>
  <c r="P189" i="13"/>
  <c r="C13" i="36" s="1"/>
  <c r="P163" i="13"/>
  <c r="P162" i="13"/>
  <c r="P101" i="13"/>
  <c r="P191" i="13"/>
  <c r="P194" i="13"/>
  <c r="P173" i="13"/>
  <c r="P172" i="13"/>
  <c r="P81" i="13"/>
  <c r="P394" i="13" s="1"/>
  <c r="F5" i="36" s="1"/>
  <c r="P73" i="13"/>
  <c r="P53" i="13"/>
  <c r="P366" i="13" s="1"/>
  <c r="P167" i="13"/>
  <c r="P78" i="13"/>
  <c r="P391" i="13" s="1"/>
  <c r="D5" i="36" s="1"/>
  <c r="P70" i="13"/>
  <c r="P383" i="13" s="1"/>
  <c r="C5" i="36" s="1"/>
  <c r="P48" i="13"/>
  <c r="P361" i="13" s="1"/>
  <c r="P132" i="13"/>
  <c r="P82" i="13"/>
  <c r="P395" i="13" s="1"/>
  <c r="P72" i="13"/>
  <c r="P385" i="13" s="1"/>
  <c r="P69" i="13"/>
  <c r="P87" i="13"/>
  <c r="P400" i="13" s="1"/>
  <c r="P68" i="13"/>
  <c r="P381" i="13" s="1"/>
  <c r="P207" i="13"/>
  <c r="P74" i="13"/>
  <c r="P387" i="13" s="1"/>
  <c r="P123" i="13"/>
  <c r="P100" i="13"/>
  <c r="P83" i="13"/>
  <c r="P396" i="13" s="1"/>
  <c r="P164" i="13"/>
  <c r="P67" i="13"/>
  <c r="P380" i="13" s="1"/>
  <c r="P77" i="13"/>
  <c r="P80" i="13"/>
  <c r="P393" i="13" s="1"/>
  <c r="E5" i="36" s="1"/>
  <c r="P71" i="13"/>
  <c r="P384" i="13" s="1"/>
  <c r="P175" i="13"/>
  <c r="P45" i="13"/>
  <c r="P358" i="13" s="1"/>
  <c r="P205" i="13"/>
  <c r="P52" i="13"/>
  <c r="P365" i="13" s="1"/>
  <c r="P203" i="13"/>
  <c r="P79" i="13"/>
  <c r="P392" i="13" s="1"/>
  <c r="S5" i="36" s="1"/>
  <c r="P176" i="13"/>
  <c r="P129" i="13"/>
  <c r="E154" i="2" s="1"/>
  <c r="P170" i="13"/>
  <c r="P104" i="13"/>
  <c r="P54" i="13"/>
  <c r="P367" i="13" s="1"/>
  <c r="P76" i="13"/>
  <c r="P389" i="13" s="1"/>
  <c r="P293" i="13"/>
  <c r="P46" i="13"/>
  <c r="P359" i="13" s="1"/>
  <c r="P99" i="13"/>
  <c r="P65" i="13"/>
  <c r="P378" i="13" s="1"/>
  <c r="P204" i="13"/>
  <c r="P58" i="13"/>
  <c r="P371" i="13" s="1"/>
  <c r="P169" i="13"/>
  <c r="P127" i="13"/>
  <c r="E88" i="2" s="1"/>
  <c r="P85" i="13"/>
  <c r="P398" i="13" s="1"/>
  <c r="P51" i="13"/>
  <c r="P364" i="13" s="1"/>
  <c r="P103" i="13"/>
  <c r="P66" i="13"/>
  <c r="P60" i="13"/>
  <c r="P56" i="13"/>
  <c r="P369" i="13" s="1"/>
  <c r="P43" i="13"/>
  <c r="P356" i="13" s="1"/>
  <c r="P59" i="13"/>
  <c r="P372" i="13" s="1"/>
  <c r="P75" i="13"/>
  <c r="P61" i="13"/>
  <c r="P374" i="13" s="1"/>
  <c r="P57" i="13"/>
  <c r="P370" i="13" s="1"/>
  <c r="P125" i="13"/>
  <c r="E24" i="2" s="1"/>
  <c r="P47" i="13"/>
  <c r="P360" i="13" s="1"/>
  <c r="P44" i="13"/>
  <c r="P357" i="13" s="1"/>
  <c r="P126" i="13"/>
  <c r="P50" i="13"/>
  <c r="P363" i="13" s="1"/>
  <c r="P105" i="13"/>
  <c r="P88" i="13"/>
  <c r="P84" i="13"/>
  <c r="P397" i="13" s="1"/>
  <c r="P64" i="13"/>
  <c r="P377" i="13" s="1"/>
  <c r="P63" i="13"/>
  <c r="P86" i="13"/>
  <c r="P399" i="13" s="1"/>
  <c r="P62" i="13"/>
  <c r="P375" i="13" s="1"/>
  <c r="P49" i="13"/>
  <c r="P362" i="13" s="1"/>
  <c r="P55" i="13"/>
  <c r="P368" i="13" s="1"/>
  <c r="P174" i="13"/>
  <c r="E121" i="2"/>
  <c r="O280" i="5"/>
  <c r="O442" i="5"/>
  <c r="N444" i="5"/>
  <c r="Q4" i="13"/>
  <c r="P485" i="5"/>
  <c r="P399" i="5"/>
  <c r="P199" i="5"/>
  <c r="O120" i="5"/>
  <c r="P43" i="5"/>
  <c r="T37" i="7" l="1"/>
  <c r="O487" i="5"/>
  <c r="J413" i="40"/>
  <c r="J213" i="40"/>
  <c r="J456" i="40"/>
  <c r="J133" i="40"/>
  <c r="J499" i="40"/>
  <c r="J294" i="40"/>
  <c r="J56" i="40"/>
  <c r="F37" i="7"/>
  <c r="M37" i="7"/>
  <c r="H37" i="7"/>
  <c r="J37" i="7"/>
  <c r="Q37" i="7"/>
  <c r="G37" i="7"/>
  <c r="U37" i="7"/>
  <c r="W37" i="7"/>
  <c r="R37" i="7"/>
  <c r="V37" i="7"/>
  <c r="L37" i="7"/>
  <c r="S37" i="7"/>
  <c r="I37" i="7"/>
  <c r="K37" i="7"/>
  <c r="O37" i="7"/>
  <c r="P37" i="7"/>
  <c r="N37" i="7"/>
  <c r="E37" i="7"/>
  <c r="O401" i="5"/>
  <c r="P50" i="40"/>
  <c r="P45" i="40"/>
  <c r="V287" i="40"/>
  <c r="V282" i="40"/>
  <c r="R406" i="40"/>
  <c r="R401" i="40"/>
  <c r="G50" i="40"/>
  <c r="G45" i="40"/>
  <c r="J449" i="40"/>
  <c r="J444" i="40"/>
  <c r="I45" i="40"/>
  <c r="I50" i="40"/>
  <c r="F449" i="40"/>
  <c r="F444" i="40"/>
  <c r="G449" i="40"/>
  <c r="G444" i="40"/>
  <c r="Q206" i="40"/>
  <c r="Q201" i="40"/>
  <c r="E162" i="40"/>
  <c r="E166" i="40" s="1"/>
  <c r="F160" i="40"/>
  <c r="F172" i="40" s="1"/>
  <c r="I122" i="40"/>
  <c r="I127" i="40"/>
  <c r="G492" i="40"/>
  <c r="G487" i="40"/>
  <c r="U449" i="40"/>
  <c r="U444" i="40"/>
  <c r="U45" i="40"/>
  <c r="U50" i="40"/>
  <c r="X206" i="40"/>
  <c r="X201" i="40"/>
  <c r="R287" i="40"/>
  <c r="R282" i="40"/>
  <c r="H449" i="40"/>
  <c r="H444" i="40"/>
  <c r="U122" i="40"/>
  <c r="U127" i="40"/>
  <c r="T492" i="40"/>
  <c r="T487" i="40"/>
  <c r="R492" i="40"/>
  <c r="R487" i="40"/>
  <c r="W287" i="40"/>
  <c r="W282" i="40"/>
  <c r="O449" i="40"/>
  <c r="O444" i="40"/>
  <c r="F206" i="40"/>
  <c r="F201" i="40"/>
  <c r="I492" i="40"/>
  <c r="I487" i="40"/>
  <c r="O45" i="40"/>
  <c r="O50" i="40"/>
  <c r="U287" i="40"/>
  <c r="U282" i="40"/>
  <c r="I206" i="40"/>
  <c r="I201" i="40"/>
  <c r="E206" i="40"/>
  <c r="E201" i="40"/>
  <c r="O287" i="40"/>
  <c r="O282" i="40"/>
  <c r="R206" i="40"/>
  <c r="R201" i="40"/>
  <c r="Q406" i="40"/>
  <c r="Q401" i="40"/>
  <c r="S206" i="40"/>
  <c r="S201" i="40"/>
  <c r="T45" i="40"/>
  <c r="T50" i="40"/>
  <c r="F45" i="40"/>
  <c r="F50" i="40"/>
  <c r="L206" i="40"/>
  <c r="L201" i="40"/>
  <c r="H122" i="40"/>
  <c r="H127" i="40"/>
  <c r="K206" i="40"/>
  <c r="K201" i="40"/>
  <c r="N287" i="40"/>
  <c r="N282" i="40"/>
  <c r="E324" i="40"/>
  <c r="F322" i="40"/>
  <c r="F334" i="40" s="1"/>
  <c r="L45" i="40"/>
  <c r="L50" i="40"/>
  <c r="O206" i="40"/>
  <c r="O201" i="40"/>
  <c r="H206" i="40"/>
  <c r="H201" i="40"/>
  <c r="S406" i="40"/>
  <c r="S401" i="40"/>
  <c r="F360" i="40"/>
  <c r="F372" i="40" s="1"/>
  <c r="E362" i="40"/>
  <c r="E366" i="40" s="1"/>
  <c r="N206" i="40"/>
  <c r="N201" i="40"/>
  <c r="E85" i="40"/>
  <c r="E89" i="40" s="1"/>
  <c r="F83" i="40"/>
  <c r="F94" i="40" s="1"/>
  <c r="U406" i="40"/>
  <c r="U401" i="40"/>
  <c r="R449" i="40"/>
  <c r="R444" i="40"/>
  <c r="L406" i="40"/>
  <c r="L401" i="40"/>
  <c r="T287" i="40"/>
  <c r="T282" i="40"/>
  <c r="X122" i="40"/>
  <c r="X127" i="40"/>
  <c r="P492" i="40"/>
  <c r="P487" i="40"/>
  <c r="R122" i="40"/>
  <c r="R127" i="40"/>
  <c r="X287" i="40"/>
  <c r="X282" i="40"/>
  <c r="F492" i="40"/>
  <c r="F487" i="40"/>
  <c r="K287" i="40"/>
  <c r="K282" i="40"/>
  <c r="M206" i="40"/>
  <c r="M201" i="40"/>
  <c r="M449" i="40"/>
  <c r="M444" i="40"/>
  <c r="R45" i="40"/>
  <c r="R50" i="40"/>
  <c r="W406" i="40"/>
  <c r="W401" i="40"/>
  <c r="U206" i="40"/>
  <c r="U201" i="40"/>
  <c r="V50" i="40"/>
  <c r="V45" i="40"/>
  <c r="K449" i="40"/>
  <c r="K444" i="40"/>
  <c r="L492" i="40"/>
  <c r="L487" i="40"/>
  <c r="V492" i="40"/>
  <c r="V487" i="40"/>
  <c r="K45" i="40"/>
  <c r="K50" i="40"/>
  <c r="J406" i="40"/>
  <c r="J401" i="40"/>
  <c r="N50" i="40"/>
  <c r="N45" i="40"/>
  <c r="F406" i="40"/>
  <c r="F401" i="40"/>
  <c r="T206" i="40"/>
  <c r="T201" i="40"/>
  <c r="X449" i="40"/>
  <c r="X444" i="40"/>
  <c r="M406" i="40"/>
  <c r="M401" i="40"/>
  <c r="K492" i="40"/>
  <c r="K487" i="40"/>
  <c r="S45" i="40"/>
  <c r="S50" i="40"/>
  <c r="L449" i="40"/>
  <c r="L444" i="40"/>
  <c r="F241" i="40"/>
  <c r="F253" i="40" s="1"/>
  <c r="E243" i="40"/>
  <c r="E247" i="40" s="1"/>
  <c r="M122" i="40"/>
  <c r="M127" i="40"/>
  <c r="F6" i="40"/>
  <c r="F17" i="40" s="1"/>
  <c r="E8" i="40"/>
  <c r="E12" i="40" s="1"/>
  <c r="P122" i="40"/>
  <c r="P127" i="40"/>
  <c r="N449" i="40"/>
  <c r="N444" i="40"/>
  <c r="L122" i="40"/>
  <c r="L127" i="40"/>
  <c r="W206" i="40"/>
  <c r="W201" i="40"/>
  <c r="S492" i="40"/>
  <c r="S487" i="40"/>
  <c r="E50" i="40"/>
  <c r="E45" i="40"/>
  <c r="Q449" i="40"/>
  <c r="Q444" i="40"/>
  <c r="O492" i="40"/>
  <c r="O487" i="40"/>
  <c r="Q492" i="40"/>
  <c r="Q487" i="40"/>
  <c r="I406" i="40"/>
  <c r="I401" i="40"/>
  <c r="P449" i="40"/>
  <c r="P444" i="40"/>
  <c r="G206" i="40"/>
  <c r="G201" i="40"/>
  <c r="N122" i="40"/>
  <c r="N127" i="40"/>
  <c r="V406" i="40"/>
  <c r="V401" i="40"/>
  <c r="G287" i="40"/>
  <c r="G282" i="40"/>
  <c r="V206" i="40"/>
  <c r="V201" i="40"/>
  <c r="P206" i="40"/>
  <c r="P201" i="40"/>
  <c r="E122" i="40"/>
  <c r="E127" i="40"/>
  <c r="E449" i="40"/>
  <c r="E444" i="40"/>
  <c r="P287" i="40"/>
  <c r="P282" i="40"/>
  <c r="M50" i="40"/>
  <c r="M45" i="40"/>
  <c r="O406" i="40"/>
  <c r="O401" i="40"/>
  <c r="I287" i="40"/>
  <c r="I282" i="40"/>
  <c r="Q287" i="40"/>
  <c r="Q282" i="40"/>
  <c r="J492" i="40"/>
  <c r="J487" i="40"/>
  <c r="V449" i="40"/>
  <c r="V444" i="40"/>
  <c r="J122" i="40"/>
  <c r="J127" i="40"/>
  <c r="T406" i="40"/>
  <c r="T401" i="40"/>
  <c r="G406" i="40"/>
  <c r="G401" i="40"/>
  <c r="M492" i="40"/>
  <c r="M487" i="40"/>
  <c r="J45" i="40"/>
  <c r="J50" i="40"/>
  <c r="W449" i="40"/>
  <c r="W444" i="40"/>
  <c r="T122" i="40"/>
  <c r="T127" i="40"/>
  <c r="S122" i="40"/>
  <c r="S127" i="40"/>
  <c r="Q122" i="40"/>
  <c r="Q127" i="40"/>
  <c r="Q45" i="40"/>
  <c r="Q50" i="40"/>
  <c r="S287" i="40"/>
  <c r="S282" i="40"/>
  <c r="K122" i="40"/>
  <c r="K127" i="40"/>
  <c r="P406" i="40"/>
  <c r="P401" i="40"/>
  <c r="W45" i="40"/>
  <c r="W50" i="40"/>
  <c r="S449" i="40"/>
  <c r="S444" i="40"/>
  <c r="U492" i="40"/>
  <c r="U487" i="40"/>
  <c r="X492" i="40"/>
  <c r="X487" i="40"/>
  <c r="F127" i="40"/>
  <c r="F122" i="40"/>
  <c r="J206" i="40"/>
  <c r="J201" i="40"/>
  <c r="G122" i="40"/>
  <c r="G127" i="40"/>
  <c r="V122" i="40"/>
  <c r="V127" i="40"/>
  <c r="E287" i="40"/>
  <c r="E282" i="40"/>
  <c r="W492" i="40"/>
  <c r="W487" i="40"/>
  <c r="L287" i="40"/>
  <c r="L282" i="40"/>
  <c r="H492" i="40"/>
  <c r="H487" i="40"/>
  <c r="E401" i="40"/>
  <c r="E406" i="40"/>
  <c r="N492" i="40"/>
  <c r="N487" i="40"/>
  <c r="N406" i="40"/>
  <c r="N401" i="40"/>
  <c r="X406" i="40"/>
  <c r="X401" i="40"/>
  <c r="H406" i="40"/>
  <c r="H401" i="40"/>
  <c r="E492" i="40"/>
  <c r="E487" i="40"/>
  <c r="H50" i="40"/>
  <c r="H45" i="40"/>
  <c r="W122" i="40"/>
  <c r="W127" i="40"/>
  <c r="I449" i="40"/>
  <c r="I444" i="40"/>
  <c r="T449" i="40"/>
  <c r="T444" i="40"/>
  <c r="J287" i="40"/>
  <c r="J282" i="40"/>
  <c r="H287" i="40"/>
  <c r="H282" i="40"/>
  <c r="O122" i="40"/>
  <c r="O127" i="40"/>
  <c r="F287" i="40"/>
  <c r="F282" i="40"/>
  <c r="M287" i="40"/>
  <c r="M282" i="40"/>
  <c r="K406" i="40"/>
  <c r="K401" i="40"/>
  <c r="X45" i="40"/>
  <c r="X50" i="40"/>
  <c r="P44" i="5"/>
  <c r="P200" i="5"/>
  <c r="P486" i="5"/>
  <c r="P487" i="5" s="1"/>
  <c r="P443" i="5"/>
  <c r="P400" i="5"/>
  <c r="P121" i="5"/>
  <c r="P281" i="5"/>
  <c r="P7" i="5"/>
  <c r="E8" i="5"/>
  <c r="F6" i="5"/>
  <c r="J52" i="26"/>
  <c r="J12" i="26"/>
  <c r="H53" i="26"/>
  <c r="H54" i="26" s="1"/>
  <c r="H56" i="26" s="1"/>
  <c r="H72" i="26"/>
  <c r="H33" i="26"/>
  <c r="H14" i="26"/>
  <c r="H15" i="26" s="1"/>
  <c r="H17" i="26" s="1"/>
  <c r="J11" i="26"/>
  <c r="J13" i="26"/>
  <c r="J51" i="26"/>
  <c r="J58" i="26"/>
  <c r="E109" i="2"/>
  <c r="E142" i="2"/>
  <c r="Q307" i="13"/>
  <c r="Q310" i="13"/>
  <c r="K456" i="40" s="1"/>
  <c r="Q313" i="13"/>
  <c r="Q316" i="13"/>
  <c r="Q300" i="13"/>
  <c r="K56" i="40" s="1"/>
  <c r="Q303" i="13"/>
  <c r="Q306" i="13"/>
  <c r="K294" i="40" s="1"/>
  <c r="Q312" i="13"/>
  <c r="Q315" i="13"/>
  <c r="Q299" i="13"/>
  <c r="Q302" i="13"/>
  <c r="K133" i="40" s="1"/>
  <c r="Q305" i="13"/>
  <c r="Q308" i="13"/>
  <c r="Q311" i="13"/>
  <c r="K499" i="40" s="1"/>
  <c r="Q314" i="13"/>
  <c r="Q298" i="13"/>
  <c r="Q297" i="13"/>
  <c r="K19" i="26" s="1"/>
  <c r="Q286" i="13"/>
  <c r="Q289" i="13"/>
  <c r="Q292" i="13"/>
  <c r="Q283" i="13"/>
  <c r="Q295" i="13"/>
  <c r="Q294" i="13"/>
  <c r="Q304" i="13"/>
  <c r="K213" i="40" s="1"/>
  <c r="Q284" i="13"/>
  <c r="Q301" i="13"/>
  <c r="Q296" i="13"/>
  <c r="Q291" i="13"/>
  <c r="Q287" i="13"/>
  <c r="Q309" i="13"/>
  <c r="K413" i="40" s="1"/>
  <c r="Q280" i="13"/>
  <c r="Q288" i="13"/>
  <c r="Q281" i="13"/>
  <c r="Q285" i="13"/>
  <c r="Q278" i="13"/>
  <c r="Q282" i="13"/>
  <c r="Q279" i="13"/>
  <c r="Q290" i="13"/>
  <c r="Q116" i="13"/>
  <c r="Q122" i="13"/>
  <c r="Q110" i="13"/>
  <c r="Q118" i="13"/>
  <c r="Q97" i="13"/>
  <c r="Q115" i="13"/>
  <c r="Q128" i="13"/>
  <c r="Q121" i="13"/>
  <c r="Q106" i="13"/>
  <c r="Q117" i="13"/>
  <c r="Q96" i="13"/>
  <c r="Q124" i="13"/>
  <c r="Q114" i="13"/>
  <c r="Q119" i="13"/>
  <c r="Q98" i="13"/>
  <c r="Q92" i="13"/>
  <c r="Q94" i="13"/>
  <c r="Q91" i="13"/>
  <c r="Q93" i="13"/>
  <c r="Q95" i="13"/>
  <c r="Q107" i="13"/>
  <c r="Q112" i="13"/>
  <c r="Q120" i="13"/>
  <c r="Q111" i="13"/>
  <c r="Q108" i="13"/>
  <c r="Q109" i="13"/>
  <c r="Q113" i="13"/>
  <c r="Q199" i="13"/>
  <c r="T14" i="36" s="1"/>
  <c r="Q191" i="13"/>
  <c r="Q198" i="13"/>
  <c r="T13" i="36" s="1"/>
  <c r="Q190" i="13"/>
  <c r="Q206" i="13"/>
  <c r="Q195" i="13"/>
  <c r="Q187" i="13"/>
  <c r="Q197" i="13"/>
  <c r="T12" i="36" s="1"/>
  <c r="Q189" i="13"/>
  <c r="T16" i="36" s="1"/>
  <c r="Q181" i="13"/>
  <c r="Q192" i="13"/>
  <c r="Q188" i="13"/>
  <c r="Q178" i="13"/>
  <c r="Q201" i="13"/>
  <c r="Q186" i="13"/>
  <c r="Q177" i="13"/>
  <c r="Q184" i="13"/>
  <c r="Q180" i="13"/>
  <c r="Q179" i="13"/>
  <c r="Q166" i="13"/>
  <c r="Q165" i="13"/>
  <c r="Q185" i="13"/>
  <c r="Q173" i="13"/>
  <c r="Q202" i="13"/>
  <c r="Q193" i="13"/>
  <c r="Q183" i="13"/>
  <c r="Q132" i="13"/>
  <c r="Q168" i="13"/>
  <c r="Q102" i="13"/>
  <c r="Q194" i="13"/>
  <c r="Q171" i="13"/>
  <c r="Q101" i="13"/>
  <c r="Q172" i="13"/>
  <c r="Q164" i="13"/>
  <c r="Q200" i="13"/>
  <c r="T15" i="36" s="1"/>
  <c r="Q182" i="13"/>
  <c r="Q163" i="13"/>
  <c r="Q196" i="13"/>
  <c r="Q100" i="13"/>
  <c r="Q167" i="13"/>
  <c r="Q162" i="13"/>
  <c r="Q75" i="13"/>
  <c r="Q69" i="13"/>
  <c r="Q49" i="13"/>
  <c r="Q362" i="13" s="1"/>
  <c r="Q123" i="13"/>
  <c r="Q72" i="13"/>
  <c r="Q385" i="13" s="1"/>
  <c r="Q54" i="13"/>
  <c r="Q367" i="13" s="1"/>
  <c r="Q46" i="13"/>
  <c r="Q359" i="13" s="1"/>
  <c r="Q44" i="13"/>
  <c r="Q357" i="13" s="1"/>
  <c r="Q79" i="13"/>
  <c r="Q392" i="13" s="1"/>
  <c r="T5" i="36" s="1"/>
  <c r="Q82" i="13"/>
  <c r="Q395" i="13" s="1"/>
  <c r="Q53" i="13"/>
  <c r="Q366" i="13" s="1"/>
  <c r="Q48" i="13"/>
  <c r="Q361" i="13" s="1"/>
  <c r="Q45" i="13"/>
  <c r="Q358" i="13" s="1"/>
  <c r="Q71" i="13"/>
  <c r="Q384" i="13" s="1"/>
  <c r="Q47" i="13"/>
  <c r="Q360" i="13" s="1"/>
  <c r="Q125" i="13"/>
  <c r="Q103" i="13"/>
  <c r="Q81" i="13"/>
  <c r="Q394" i="13" s="1"/>
  <c r="T7" i="36" s="1"/>
  <c r="Q52" i="13"/>
  <c r="Q365" i="13" s="1"/>
  <c r="Q169" i="13"/>
  <c r="Q73" i="13"/>
  <c r="Q76" i="13"/>
  <c r="Q389" i="13" s="1"/>
  <c r="Q67" i="13"/>
  <c r="Q380" i="13" s="1"/>
  <c r="Q127" i="13"/>
  <c r="Q105" i="13"/>
  <c r="Q77" i="13"/>
  <c r="Q68" i="13"/>
  <c r="Q381" i="13" s="1"/>
  <c r="Q293" i="13"/>
  <c r="Q176" i="13"/>
  <c r="Q87" i="13"/>
  <c r="Q400" i="13" s="1"/>
  <c r="Q84" i="13"/>
  <c r="Q397" i="13" s="1"/>
  <c r="Q63" i="13"/>
  <c r="Q59" i="13"/>
  <c r="Q372" i="13" s="1"/>
  <c r="Q70" i="13"/>
  <c r="Q383" i="13" s="1"/>
  <c r="Q174" i="13"/>
  <c r="Q80" i="13"/>
  <c r="Q393" i="13" s="1"/>
  <c r="T6" i="36" s="1"/>
  <c r="Q204" i="13"/>
  <c r="Q175" i="13"/>
  <c r="Q86" i="13"/>
  <c r="Q399" i="13" s="1"/>
  <c r="Q65" i="13"/>
  <c r="Q378" i="13" s="1"/>
  <c r="Q61" i="13"/>
  <c r="Q374" i="13" s="1"/>
  <c r="Q207" i="13"/>
  <c r="Q88" i="13"/>
  <c r="Q74" i="13"/>
  <c r="Q387" i="13" s="1"/>
  <c r="Q203" i="13"/>
  <c r="Q126" i="13"/>
  <c r="Q205" i="13"/>
  <c r="Q170" i="13"/>
  <c r="Q83" i="13"/>
  <c r="Q396" i="13" s="1"/>
  <c r="Q58" i="13"/>
  <c r="Q371" i="13" s="1"/>
  <c r="Q64" i="13"/>
  <c r="Q377" i="13" s="1"/>
  <c r="Q55" i="13"/>
  <c r="Q368" i="13" s="1"/>
  <c r="Q62" i="13"/>
  <c r="Q375" i="13" s="1"/>
  <c r="Q78" i="13"/>
  <c r="Q391" i="13" s="1"/>
  <c r="T4" i="36" s="1"/>
  <c r="Q56" i="13"/>
  <c r="Q369" i="13" s="1"/>
  <c r="Q85" i="13"/>
  <c r="Q398" i="13" s="1"/>
  <c r="Q66" i="13"/>
  <c r="Q51" i="13"/>
  <c r="Q364" i="13" s="1"/>
  <c r="Q129" i="13"/>
  <c r="Q99" i="13"/>
  <c r="Q43" i="13"/>
  <c r="Q356" i="13" s="1"/>
  <c r="Q57" i="13"/>
  <c r="Q370" i="13" s="1"/>
  <c r="Q60" i="13"/>
  <c r="Q104" i="13"/>
  <c r="Q50" i="13"/>
  <c r="Q363" i="13" s="1"/>
  <c r="O444" i="5"/>
  <c r="P442" i="5"/>
  <c r="O282" i="5"/>
  <c r="P280" i="5"/>
  <c r="R4" i="13"/>
  <c r="Q485" i="5"/>
  <c r="Q399" i="5"/>
  <c r="Q199" i="5"/>
  <c r="P120" i="5"/>
  <c r="Q43" i="5"/>
  <c r="G360" i="40" l="1"/>
  <c r="G372" i="40" s="1"/>
  <c r="F362" i="40"/>
  <c r="F366" i="40" s="1"/>
  <c r="F243" i="40"/>
  <c r="F247" i="40" s="1"/>
  <c r="G241" i="40"/>
  <c r="G253" i="40" s="1"/>
  <c r="F162" i="40"/>
  <c r="F166" i="40" s="1"/>
  <c r="G160" i="40"/>
  <c r="G172" i="40" s="1"/>
  <c r="G83" i="40"/>
  <c r="G94" i="40" s="1"/>
  <c r="F85" i="40"/>
  <c r="F89" i="40" s="1"/>
  <c r="G6" i="40"/>
  <c r="G17" i="40" s="1"/>
  <c r="F8" i="40"/>
  <c r="F12" i="40" s="1"/>
  <c r="G322" i="40"/>
  <c r="G334" i="40" s="1"/>
  <c r="F324" i="40"/>
  <c r="F328" i="40" s="1"/>
  <c r="E328" i="40"/>
  <c r="Q121" i="5"/>
  <c r="Q400" i="5"/>
  <c r="Q401" i="5" s="1"/>
  <c r="Q443" i="5"/>
  <c r="Q486" i="5"/>
  <c r="Q487" i="5" s="1"/>
  <c r="Q200" i="5"/>
  <c r="P401" i="5"/>
  <c r="Q44" i="5"/>
  <c r="Q281" i="5"/>
  <c r="Q7" i="5"/>
  <c r="G6" i="5"/>
  <c r="F8" i="5"/>
  <c r="K58" i="26"/>
  <c r="K52" i="26"/>
  <c r="K12" i="26"/>
  <c r="I33" i="26"/>
  <c r="I14" i="26"/>
  <c r="I15" i="26" s="1"/>
  <c r="I17" i="26" s="1"/>
  <c r="K13" i="26"/>
  <c r="I53" i="26"/>
  <c r="I54" i="26" s="1"/>
  <c r="I56" i="26" s="1"/>
  <c r="I72" i="26"/>
  <c r="K11" i="26"/>
  <c r="K51" i="26"/>
  <c r="R307" i="13"/>
  <c r="R310" i="13"/>
  <c r="L456" i="40" s="1"/>
  <c r="R313" i="13"/>
  <c r="R316" i="13"/>
  <c r="R303" i="13"/>
  <c r="R306" i="13"/>
  <c r="L294" i="40" s="1"/>
  <c r="R309" i="13"/>
  <c r="L413" i="40" s="1"/>
  <c r="R312" i="13"/>
  <c r="R315" i="13"/>
  <c r="R302" i="13"/>
  <c r="L133" i="40" s="1"/>
  <c r="R305" i="13"/>
  <c r="R308" i="13"/>
  <c r="R311" i="13"/>
  <c r="L499" i="40" s="1"/>
  <c r="R314" i="13"/>
  <c r="R298" i="13"/>
  <c r="L58" i="26" s="1"/>
  <c r="R301" i="13"/>
  <c r="R294" i="13"/>
  <c r="R284" i="13"/>
  <c r="R296" i="13"/>
  <c r="R300" i="13"/>
  <c r="L56" i="40" s="1"/>
  <c r="R289" i="13"/>
  <c r="R292" i="13"/>
  <c r="R290" i="13"/>
  <c r="R288" i="13"/>
  <c r="R295" i="13"/>
  <c r="R291" i="13"/>
  <c r="R287" i="13"/>
  <c r="R285" i="13"/>
  <c r="R278" i="13"/>
  <c r="R304" i="13"/>
  <c r="L213" i="40" s="1"/>
  <c r="R281" i="13"/>
  <c r="R299" i="13"/>
  <c r="R297" i="13"/>
  <c r="L19" i="26" s="1"/>
  <c r="R282" i="13"/>
  <c r="R286" i="13"/>
  <c r="R283" i="13"/>
  <c r="R280" i="13"/>
  <c r="R279" i="13"/>
  <c r="R116" i="13"/>
  <c r="R122" i="13"/>
  <c r="R118" i="13"/>
  <c r="R115" i="13"/>
  <c r="R128" i="13"/>
  <c r="R121" i="13"/>
  <c r="R106" i="13"/>
  <c r="R117" i="13"/>
  <c r="R124" i="13"/>
  <c r="R114" i="13"/>
  <c r="R97" i="13"/>
  <c r="R119" i="13"/>
  <c r="R98" i="13"/>
  <c r="R92" i="13"/>
  <c r="R94" i="13"/>
  <c r="R91" i="13"/>
  <c r="R95" i="13"/>
  <c r="R96" i="13"/>
  <c r="R110" i="13"/>
  <c r="R93" i="13"/>
  <c r="R107" i="13"/>
  <c r="R120" i="13"/>
  <c r="R109" i="13"/>
  <c r="R112" i="13"/>
  <c r="R111" i="13"/>
  <c r="R108" i="13"/>
  <c r="R113" i="13"/>
  <c r="R198" i="13"/>
  <c r="U13" i="36" s="1"/>
  <c r="R190" i="13"/>
  <c r="R200" i="13"/>
  <c r="U15" i="36" s="1"/>
  <c r="R192" i="13"/>
  <c r="R202" i="13"/>
  <c r="R188" i="13"/>
  <c r="R178" i="13"/>
  <c r="R196" i="13"/>
  <c r="R206" i="13"/>
  <c r="R194" i="13"/>
  <c r="R182" i="13"/>
  <c r="R166" i="13"/>
  <c r="R181" i="13"/>
  <c r="R177" i="13"/>
  <c r="R201" i="13"/>
  <c r="R185" i="13"/>
  <c r="R184" i="13"/>
  <c r="R162" i="13"/>
  <c r="R199" i="13"/>
  <c r="U14" i="36" s="1"/>
  <c r="R189" i="13"/>
  <c r="U16" i="36" s="1"/>
  <c r="R102" i="13"/>
  <c r="R180" i="13"/>
  <c r="R163" i="13"/>
  <c r="R101" i="13"/>
  <c r="R187" i="13"/>
  <c r="R171" i="13"/>
  <c r="R168" i="13"/>
  <c r="R191" i="13"/>
  <c r="R172" i="13"/>
  <c r="R164" i="13"/>
  <c r="R173" i="13"/>
  <c r="R195" i="13"/>
  <c r="R183" i="13"/>
  <c r="R193" i="13"/>
  <c r="R186" i="13"/>
  <c r="R167" i="13"/>
  <c r="R78" i="13"/>
  <c r="R391" i="13" s="1"/>
  <c r="U4" i="36" s="1"/>
  <c r="R70" i="13"/>
  <c r="R383" i="13" s="1"/>
  <c r="R48" i="13"/>
  <c r="R361" i="13" s="1"/>
  <c r="R197" i="13"/>
  <c r="U12" i="36" s="1"/>
  <c r="R179" i="13"/>
  <c r="R75" i="13"/>
  <c r="R67" i="13"/>
  <c r="R380" i="13" s="1"/>
  <c r="R45" i="13"/>
  <c r="R358" i="13" s="1"/>
  <c r="R207" i="13"/>
  <c r="R204" i="13"/>
  <c r="R165" i="13"/>
  <c r="R123" i="13"/>
  <c r="R100" i="13"/>
  <c r="R76" i="13"/>
  <c r="R389" i="13" s="1"/>
  <c r="R69" i="13"/>
  <c r="R175" i="13"/>
  <c r="R79" i="13"/>
  <c r="R392" i="13" s="1"/>
  <c r="U5" i="36" s="1"/>
  <c r="R170" i="13"/>
  <c r="R68" i="13"/>
  <c r="R381" i="13" s="1"/>
  <c r="R47" i="13"/>
  <c r="R360" i="13" s="1"/>
  <c r="R46" i="13"/>
  <c r="R359" i="13" s="1"/>
  <c r="R54" i="13"/>
  <c r="R367" i="13" s="1"/>
  <c r="R53" i="13"/>
  <c r="R366" i="13" s="1"/>
  <c r="R205" i="13"/>
  <c r="R73" i="13"/>
  <c r="R82" i="13"/>
  <c r="R395" i="13" s="1"/>
  <c r="R44" i="13"/>
  <c r="R357" i="13" s="1"/>
  <c r="R203" i="13"/>
  <c r="R174" i="13"/>
  <c r="R83" i="13"/>
  <c r="R396" i="13" s="1"/>
  <c r="R77" i="13"/>
  <c r="R104" i="13"/>
  <c r="R71" i="13"/>
  <c r="R384" i="13" s="1"/>
  <c r="R127" i="13"/>
  <c r="R293" i="13"/>
  <c r="R74" i="13"/>
  <c r="R387" i="13" s="1"/>
  <c r="R125" i="13"/>
  <c r="R176" i="13"/>
  <c r="R129" i="13"/>
  <c r="R105" i="13"/>
  <c r="R85" i="13"/>
  <c r="R398" i="13" s="1"/>
  <c r="R63" i="13"/>
  <c r="R51" i="13"/>
  <c r="R364" i="13" s="1"/>
  <c r="R62" i="13"/>
  <c r="R375" i="13" s="1"/>
  <c r="R87" i="13"/>
  <c r="R400" i="13" s="1"/>
  <c r="R72" i="13"/>
  <c r="R385" i="13" s="1"/>
  <c r="R52" i="13"/>
  <c r="R365" i="13" s="1"/>
  <c r="R60" i="13"/>
  <c r="R56" i="13"/>
  <c r="R369" i="13" s="1"/>
  <c r="R43" i="13"/>
  <c r="R356" i="13" s="1"/>
  <c r="R88" i="13"/>
  <c r="R65" i="13"/>
  <c r="R378" i="13" s="1"/>
  <c r="R59" i="13"/>
  <c r="R372" i="13" s="1"/>
  <c r="R80" i="13"/>
  <c r="R393" i="13" s="1"/>
  <c r="U6" i="36" s="1"/>
  <c r="R64" i="13"/>
  <c r="R377" i="13" s="1"/>
  <c r="R55" i="13"/>
  <c r="R368" i="13" s="1"/>
  <c r="R84" i="13"/>
  <c r="R397" i="13" s="1"/>
  <c r="R66" i="13"/>
  <c r="R49" i="13"/>
  <c r="R362" i="13" s="1"/>
  <c r="R81" i="13"/>
  <c r="R394" i="13" s="1"/>
  <c r="U7" i="36" s="1"/>
  <c r="R99" i="13"/>
  <c r="R50" i="13"/>
  <c r="R363" i="13" s="1"/>
  <c r="R132" i="13"/>
  <c r="R58" i="13"/>
  <c r="R371" i="13" s="1"/>
  <c r="R86" i="13"/>
  <c r="R399" i="13" s="1"/>
  <c r="R57" i="13"/>
  <c r="R370" i="13" s="1"/>
  <c r="R61" i="13"/>
  <c r="R374" i="13" s="1"/>
  <c r="R103" i="13"/>
  <c r="R169" i="13"/>
  <c r="R126" i="13"/>
  <c r="P282" i="5"/>
  <c r="Q280" i="5"/>
  <c r="Q442" i="5"/>
  <c r="P444" i="5"/>
  <c r="S4" i="13"/>
  <c r="R485" i="5"/>
  <c r="R399" i="5"/>
  <c r="R199" i="5"/>
  <c r="Q120" i="5"/>
  <c r="R43" i="5"/>
  <c r="H322" i="40" l="1"/>
  <c r="H334" i="40" s="1"/>
  <c r="G324" i="40"/>
  <c r="G328" i="40" s="1"/>
  <c r="H83" i="40"/>
  <c r="H94" i="40" s="1"/>
  <c r="G85" i="40"/>
  <c r="G89" i="40" s="1"/>
  <c r="G162" i="40"/>
  <c r="G166" i="40" s="1"/>
  <c r="H160" i="40"/>
  <c r="H172" i="40" s="1"/>
  <c r="H6" i="40"/>
  <c r="H17" i="40" s="1"/>
  <c r="G8" i="40"/>
  <c r="G12" i="40" s="1"/>
  <c r="H360" i="40"/>
  <c r="H372" i="40" s="1"/>
  <c r="G362" i="40"/>
  <c r="G366" i="40" s="1"/>
  <c r="H241" i="40"/>
  <c r="H253" i="40" s="1"/>
  <c r="G243" i="40"/>
  <c r="G247" i="40" s="1"/>
  <c r="R44" i="5"/>
  <c r="R200" i="5"/>
  <c r="R486" i="5"/>
  <c r="R487" i="5" s="1"/>
  <c r="R443" i="5"/>
  <c r="R400" i="5"/>
  <c r="R121" i="5"/>
  <c r="R281" i="5"/>
  <c r="R7" i="5"/>
  <c r="G8" i="5"/>
  <c r="H6" i="5"/>
  <c r="L11" i="26"/>
  <c r="J53" i="26"/>
  <c r="J54" i="26" s="1"/>
  <c r="J56" i="26" s="1"/>
  <c r="J72" i="26"/>
  <c r="L51" i="26"/>
  <c r="L13" i="26"/>
  <c r="L12" i="26"/>
  <c r="J33" i="26"/>
  <c r="J14" i="26"/>
  <c r="J15" i="26" s="1"/>
  <c r="J17" i="26" s="1"/>
  <c r="L52" i="26"/>
  <c r="D38" i="26"/>
  <c r="E37" i="26"/>
  <c r="D39" i="26"/>
  <c r="S310" i="13"/>
  <c r="M456" i="40" s="1"/>
  <c r="S313" i="13"/>
  <c r="S316" i="13"/>
  <c r="S306" i="13"/>
  <c r="M294" i="40" s="1"/>
  <c r="S309" i="13"/>
  <c r="M413" i="40" s="1"/>
  <c r="S312" i="13"/>
  <c r="S315" i="13"/>
  <c r="S305" i="13"/>
  <c r="S308" i="13"/>
  <c r="S311" i="13"/>
  <c r="M499" i="40" s="1"/>
  <c r="S314" i="13"/>
  <c r="S301" i="13"/>
  <c r="S304" i="13"/>
  <c r="M213" i="40" s="1"/>
  <c r="S297" i="13"/>
  <c r="S287" i="13"/>
  <c r="S292" i="13"/>
  <c r="S302" i="13"/>
  <c r="M133" i="40" s="1"/>
  <c r="S295" i="13"/>
  <c r="S299" i="13"/>
  <c r="S286" i="13"/>
  <c r="S284" i="13"/>
  <c r="S294" i="13"/>
  <c r="S291" i="13"/>
  <c r="S285" i="13"/>
  <c r="S296" i="13"/>
  <c r="S289" i="13"/>
  <c r="S281" i="13"/>
  <c r="S288" i="13"/>
  <c r="S278" i="13"/>
  <c r="S298" i="13"/>
  <c r="M58" i="26" s="1"/>
  <c r="S300" i="13"/>
  <c r="M56" i="40" s="1"/>
  <c r="S282" i="13"/>
  <c r="S303" i="13"/>
  <c r="S279" i="13"/>
  <c r="S290" i="13"/>
  <c r="S307" i="13"/>
  <c r="S283" i="13"/>
  <c r="S280" i="13"/>
  <c r="S122" i="13"/>
  <c r="S118" i="13"/>
  <c r="S97" i="13"/>
  <c r="S115" i="13"/>
  <c r="S128" i="13"/>
  <c r="S121" i="13"/>
  <c r="S106" i="13"/>
  <c r="S117" i="13"/>
  <c r="S124" i="13"/>
  <c r="S114" i="13"/>
  <c r="S119" i="13"/>
  <c r="S98" i="13"/>
  <c r="S116" i="13"/>
  <c r="S95" i="13"/>
  <c r="S92" i="13"/>
  <c r="S91" i="13"/>
  <c r="S94" i="13"/>
  <c r="S110" i="13"/>
  <c r="S96" i="13"/>
  <c r="S93" i="13"/>
  <c r="S107" i="13"/>
  <c r="S112" i="13"/>
  <c r="S108" i="13"/>
  <c r="S120" i="13"/>
  <c r="S111" i="13"/>
  <c r="S109" i="13"/>
  <c r="S113" i="13"/>
  <c r="S196" i="13"/>
  <c r="S188" i="13"/>
  <c r="S206" i="13"/>
  <c r="S195" i="13"/>
  <c r="S187" i="13"/>
  <c r="S200" i="13"/>
  <c r="V15" i="36" s="1"/>
  <c r="S192" i="13"/>
  <c r="S202" i="13"/>
  <c r="S194" i="13"/>
  <c r="S186" i="13"/>
  <c r="S178" i="13"/>
  <c r="S183" i="13"/>
  <c r="S182" i="13"/>
  <c r="S190" i="13"/>
  <c r="S201" i="13"/>
  <c r="S172" i="13"/>
  <c r="S197" i="13"/>
  <c r="V12" i="36" s="1"/>
  <c r="S163" i="13"/>
  <c r="S184" i="13"/>
  <c r="S162" i="13"/>
  <c r="S191" i="13"/>
  <c r="S193" i="13"/>
  <c r="S164" i="13"/>
  <c r="S179" i="13"/>
  <c r="S199" i="13"/>
  <c r="V14" i="36" s="1"/>
  <c r="S83" i="13"/>
  <c r="S396" i="13" s="1"/>
  <c r="S173" i="13"/>
  <c r="S101" i="13"/>
  <c r="S102" i="13"/>
  <c r="S123" i="13"/>
  <c r="S198" i="13"/>
  <c r="V13" i="36" s="1"/>
  <c r="S185" i="13"/>
  <c r="S189" i="13"/>
  <c r="V16" i="36" s="1"/>
  <c r="S177" i="13"/>
  <c r="S181" i="13"/>
  <c r="S180" i="13"/>
  <c r="S166" i="13"/>
  <c r="S165" i="13"/>
  <c r="S171" i="13"/>
  <c r="S168" i="13"/>
  <c r="S100" i="13"/>
  <c r="S81" i="13"/>
  <c r="S394" i="13" s="1"/>
  <c r="V7" i="36" s="1"/>
  <c r="S52" i="13"/>
  <c r="S365" i="13" s="1"/>
  <c r="S78" i="13"/>
  <c r="S391" i="13" s="1"/>
  <c r="V4" i="36" s="1"/>
  <c r="S47" i="13"/>
  <c r="S360" i="13" s="1"/>
  <c r="S73" i="13"/>
  <c r="S54" i="13"/>
  <c r="S367" i="13" s="1"/>
  <c r="S80" i="13"/>
  <c r="S393" i="13" s="1"/>
  <c r="V6" i="36" s="1"/>
  <c r="S76" i="13"/>
  <c r="S389" i="13" s="1"/>
  <c r="S203" i="13"/>
  <c r="S45" i="13"/>
  <c r="S358" i="13" s="1"/>
  <c r="S67" i="13"/>
  <c r="S380" i="13" s="1"/>
  <c r="S87" i="13"/>
  <c r="S400" i="13" s="1"/>
  <c r="S69" i="13"/>
  <c r="S167" i="13"/>
  <c r="S72" i="13"/>
  <c r="S385" i="13" s="1"/>
  <c r="S169" i="13"/>
  <c r="S82" i="13"/>
  <c r="S395" i="13" s="1"/>
  <c r="S176" i="13"/>
  <c r="S129" i="13"/>
  <c r="S99" i="13"/>
  <c r="S74" i="13"/>
  <c r="S387" i="13" s="1"/>
  <c r="S77" i="13"/>
  <c r="S48" i="13"/>
  <c r="S361" i="13" s="1"/>
  <c r="S293" i="13"/>
  <c r="S126" i="13"/>
  <c r="S104" i="13"/>
  <c r="S205" i="13"/>
  <c r="S170" i="13"/>
  <c r="S88" i="13"/>
  <c r="S66" i="13"/>
  <c r="S62" i="13"/>
  <c r="S375" i="13" s="1"/>
  <c r="S58" i="13"/>
  <c r="S371" i="13" s="1"/>
  <c r="S70" i="13"/>
  <c r="S383" i="13" s="1"/>
  <c r="S174" i="13"/>
  <c r="S132" i="13"/>
  <c r="S49" i="13"/>
  <c r="S362" i="13" s="1"/>
  <c r="S79" i="13"/>
  <c r="S392" i="13" s="1"/>
  <c r="V5" i="36" s="1"/>
  <c r="S68" i="13"/>
  <c r="S381" i="13" s="1"/>
  <c r="S53" i="13"/>
  <c r="S366" i="13" s="1"/>
  <c r="S85" i="13"/>
  <c r="S398" i="13" s="1"/>
  <c r="S64" i="13"/>
  <c r="S377" i="13" s="1"/>
  <c r="S60" i="13"/>
  <c r="S50" i="13"/>
  <c r="S363" i="13" s="1"/>
  <c r="S84" i="13"/>
  <c r="S397" i="13" s="1"/>
  <c r="S207" i="13"/>
  <c r="S105" i="13"/>
  <c r="S75" i="13"/>
  <c r="S46" i="13"/>
  <c r="S359" i="13" s="1"/>
  <c r="S43" i="13"/>
  <c r="S356" i="13" s="1"/>
  <c r="S175" i="13"/>
  <c r="S103" i="13"/>
  <c r="S56" i="13"/>
  <c r="S369" i="13" s="1"/>
  <c r="S55" i="13"/>
  <c r="S368" i="13" s="1"/>
  <c r="S71" i="13"/>
  <c r="S384" i="13" s="1"/>
  <c r="S86" i="13"/>
  <c r="S399" i="13" s="1"/>
  <c r="S65" i="13"/>
  <c r="S378" i="13" s="1"/>
  <c r="S63" i="13"/>
  <c r="S204" i="13"/>
  <c r="S59" i="13"/>
  <c r="S372" i="13" s="1"/>
  <c r="S127" i="13"/>
  <c r="S51" i="13"/>
  <c r="S364" i="13" s="1"/>
  <c r="S44" i="13"/>
  <c r="S357" i="13" s="1"/>
  <c r="S57" i="13"/>
  <c r="S370" i="13" s="1"/>
  <c r="S61" i="13"/>
  <c r="S374" i="13" s="1"/>
  <c r="S125" i="13"/>
  <c r="Q444" i="5"/>
  <c r="R442" i="5"/>
  <c r="Q282" i="5"/>
  <c r="R280" i="5"/>
  <c r="T4" i="13"/>
  <c r="S485" i="5"/>
  <c r="S399" i="5"/>
  <c r="S199" i="5"/>
  <c r="R120" i="5"/>
  <c r="S43" i="5"/>
  <c r="I360" i="40" l="1"/>
  <c r="I372" i="40" s="1"/>
  <c r="H362" i="40"/>
  <c r="H366" i="40" s="1"/>
  <c r="I6" i="40"/>
  <c r="I17" i="40" s="1"/>
  <c r="H8" i="40"/>
  <c r="H12" i="40" s="1"/>
  <c r="H162" i="40"/>
  <c r="H166" i="40" s="1"/>
  <c r="I160" i="40"/>
  <c r="I172" i="40" s="1"/>
  <c r="I83" i="40"/>
  <c r="I94" i="40" s="1"/>
  <c r="H85" i="40"/>
  <c r="H89" i="40" s="1"/>
  <c r="H243" i="40"/>
  <c r="H247" i="40" s="1"/>
  <c r="I241" i="40"/>
  <c r="I253" i="40" s="1"/>
  <c r="H324" i="40"/>
  <c r="H328" i="40" s="1"/>
  <c r="I322" i="40"/>
  <c r="I334" i="40" s="1"/>
  <c r="S121" i="5"/>
  <c r="S400" i="5"/>
  <c r="S401" i="5" s="1"/>
  <c r="S281" i="5"/>
  <c r="S443" i="5"/>
  <c r="S486" i="5"/>
  <c r="S487" i="5" s="1"/>
  <c r="S200" i="5"/>
  <c r="R401" i="5"/>
  <c r="S44" i="5"/>
  <c r="S7" i="5"/>
  <c r="H8" i="5"/>
  <c r="I6" i="5"/>
  <c r="L26" i="26"/>
  <c r="K26" i="26"/>
  <c r="J26" i="26"/>
  <c r="N26" i="26"/>
  <c r="I26" i="26"/>
  <c r="X26" i="26"/>
  <c r="H26" i="26"/>
  <c r="W26" i="26"/>
  <c r="G26" i="26"/>
  <c r="V26" i="26"/>
  <c r="F26" i="26"/>
  <c r="U26" i="26"/>
  <c r="E26" i="26"/>
  <c r="T26" i="26"/>
  <c r="S26" i="26"/>
  <c r="R26" i="26"/>
  <c r="M26" i="26"/>
  <c r="Q26" i="26"/>
  <c r="P26" i="26"/>
  <c r="O26" i="26"/>
  <c r="M11" i="26"/>
  <c r="D28" i="26"/>
  <c r="E25" i="26" s="1"/>
  <c r="E18" i="26" s="1"/>
  <c r="E20" i="26" s="1"/>
  <c r="E22" i="26" s="1"/>
  <c r="E38" i="26"/>
  <c r="M52" i="26"/>
  <c r="K14" i="26"/>
  <c r="K15" i="26" s="1"/>
  <c r="K17" i="26" s="1"/>
  <c r="K33" i="26"/>
  <c r="M13" i="26"/>
  <c r="M51" i="26"/>
  <c r="K53" i="26"/>
  <c r="K54" i="26" s="1"/>
  <c r="K56" i="26" s="1"/>
  <c r="K72" i="26"/>
  <c r="D41" i="26"/>
  <c r="M12" i="26"/>
  <c r="D23" i="26"/>
  <c r="E39" i="26"/>
  <c r="T313" i="13"/>
  <c r="T316" i="13"/>
  <c r="T309" i="13"/>
  <c r="N413" i="40" s="1"/>
  <c r="T312" i="13"/>
  <c r="T315" i="13"/>
  <c r="T299" i="13"/>
  <c r="T308" i="13"/>
  <c r="T311" i="13"/>
  <c r="N499" i="40" s="1"/>
  <c r="T314" i="13"/>
  <c r="T304" i="13"/>
  <c r="N213" i="40" s="1"/>
  <c r="T307" i="13"/>
  <c r="T301" i="13"/>
  <c r="T310" i="13"/>
  <c r="N456" i="40" s="1"/>
  <c r="T290" i="13"/>
  <c r="T305" i="13"/>
  <c r="T302" i="13"/>
  <c r="N133" i="40" s="1"/>
  <c r="T295" i="13"/>
  <c r="T296" i="13"/>
  <c r="T289" i="13"/>
  <c r="T287" i="13"/>
  <c r="T281" i="13"/>
  <c r="T297" i="13"/>
  <c r="T282" i="13"/>
  <c r="T280" i="13"/>
  <c r="T291" i="13"/>
  <c r="T298" i="13"/>
  <c r="N58" i="26" s="1"/>
  <c r="T285" i="13"/>
  <c r="T283" i="13"/>
  <c r="T279" i="13"/>
  <c r="T303" i="13"/>
  <c r="T292" i="13"/>
  <c r="T294" i="13"/>
  <c r="T306" i="13"/>
  <c r="N294" i="40" s="1"/>
  <c r="T288" i="13"/>
  <c r="T286" i="13"/>
  <c r="T300" i="13"/>
  <c r="N56" i="40" s="1"/>
  <c r="T284" i="13"/>
  <c r="T278" i="13"/>
  <c r="T122" i="13"/>
  <c r="T110" i="13"/>
  <c r="T118" i="13"/>
  <c r="T115" i="13"/>
  <c r="T128" i="13"/>
  <c r="T121" i="13"/>
  <c r="T106" i="13"/>
  <c r="T117" i="13"/>
  <c r="T96" i="13"/>
  <c r="T124" i="13"/>
  <c r="T114" i="13"/>
  <c r="T119" i="13"/>
  <c r="T98" i="13"/>
  <c r="T94" i="13"/>
  <c r="T92" i="13"/>
  <c r="T91" i="13"/>
  <c r="T95" i="13"/>
  <c r="T93" i="13"/>
  <c r="T97" i="13"/>
  <c r="T116" i="13"/>
  <c r="T120" i="13"/>
  <c r="T112" i="13"/>
  <c r="T107" i="13"/>
  <c r="T108" i="13"/>
  <c r="T111" i="13"/>
  <c r="T113" i="13"/>
  <c r="T109" i="13"/>
  <c r="T206" i="13"/>
  <c r="T195" i="13"/>
  <c r="T187" i="13"/>
  <c r="T197" i="13"/>
  <c r="W12" i="36" s="1"/>
  <c r="T189" i="13"/>
  <c r="W16" i="36" s="1"/>
  <c r="T199" i="13"/>
  <c r="W14" i="36" s="1"/>
  <c r="T192" i="13"/>
  <c r="T196" i="13"/>
  <c r="T183" i="13"/>
  <c r="T185" i="13"/>
  <c r="T194" i="13"/>
  <c r="T190" i="13"/>
  <c r="T179" i="13"/>
  <c r="T173" i="13"/>
  <c r="T200" i="13"/>
  <c r="W15" i="36" s="1"/>
  <c r="T172" i="13"/>
  <c r="T198" i="13"/>
  <c r="W13" i="36" s="1"/>
  <c r="T191" i="13"/>
  <c r="T201" i="13"/>
  <c r="T177" i="13"/>
  <c r="T180" i="13"/>
  <c r="T132" i="13"/>
  <c r="T87" i="13"/>
  <c r="T400" i="13" s="1"/>
  <c r="T188" i="13"/>
  <c r="T184" i="13"/>
  <c r="T182" i="13"/>
  <c r="T162" i="13"/>
  <c r="T102" i="13"/>
  <c r="T171" i="13"/>
  <c r="T167" i="13"/>
  <c r="T123" i="13"/>
  <c r="T164" i="13"/>
  <c r="T178" i="13"/>
  <c r="T202" i="13"/>
  <c r="T163" i="13"/>
  <c r="T181" i="13"/>
  <c r="T193" i="13"/>
  <c r="T186" i="13"/>
  <c r="T165" i="13"/>
  <c r="T75" i="13"/>
  <c r="T67" i="13"/>
  <c r="T380" i="13" s="1"/>
  <c r="T45" i="13"/>
  <c r="T358" i="13" s="1"/>
  <c r="T168" i="13"/>
  <c r="T101" i="13"/>
  <c r="T80" i="13"/>
  <c r="T393" i="13" s="1"/>
  <c r="W6" i="36" s="1"/>
  <c r="T72" i="13"/>
  <c r="T385" i="13" s="1"/>
  <c r="T52" i="13"/>
  <c r="T365" i="13" s="1"/>
  <c r="T83" i="13"/>
  <c r="T396" i="13" s="1"/>
  <c r="T70" i="13"/>
  <c r="T383" i="13" s="1"/>
  <c r="T49" i="13"/>
  <c r="T362" i="13" s="1"/>
  <c r="T205" i="13"/>
  <c r="T77" i="13"/>
  <c r="T100" i="13"/>
  <c r="T73" i="13"/>
  <c r="T46" i="13"/>
  <c r="T359" i="13" s="1"/>
  <c r="T44" i="13"/>
  <c r="T357" i="13" s="1"/>
  <c r="T78" i="13"/>
  <c r="T391" i="13" s="1"/>
  <c r="W4" i="36" s="1"/>
  <c r="T54" i="13"/>
  <c r="T367" i="13" s="1"/>
  <c r="T81" i="13"/>
  <c r="T394" i="13" s="1"/>
  <c r="W7" i="36" s="1"/>
  <c r="T74" i="13"/>
  <c r="T387" i="13" s="1"/>
  <c r="T68" i="13"/>
  <c r="T381" i="13" s="1"/>
  <c r="T174" i="13"/>
  <c r="T69" i="13"/>
  <c r="T47" i="13"/>
  <c r="T360" i="13" s="1"/>
  <c r="T48" i="13"/>
  <c r="T361" i="13" s="1"/>
  <c r="T169" i="13"/>
  <c r="T166" i="13"/>
  <c r="T71" i="13"/>
  <c r="T384" i="13" s="1"/>
  <c r="T127" i="13"/>
  <c r="T293" i="13"/>
  <c r="T103" i="13"/>
  <c r="T76" i="13"/>
  <c r="T389" i="13" s="1"/>
  <c r="T207" i="13"/>
  <c r="T170" i="13"/>
  <c r="T64" i="13"/>
  <c r="T377" i="13" s="1"/>
  <c r="T79" i="13"/>
  <c r="T392" i="13" s="1"/>
  <c r="W5" i="36" s="1"/>
  <c r="T104" i="13"/>
  <c r="T203" i="13"/>
  <c r="T84" i="13"/>
  <c r="T397" i="13" s="1"/>
  <c r="T53" i="13"/>
  <c r="T366" i="13" s="1"/>
  <c r="T176" i="13"/>
  <c r="T65" i="13"/>
  <c r="T378" i="13" s="1"/>
  <c r="T129" i="13"/>
  <c r="T59" i="13"/>
  <c r="T372" i="13" s="1"/>
  <c r="T55" i="13"/>
  <c r="T368" i="13" s="1"/>
  <c r="T43" i="13"/>
  <c r="T356" i="13" s="1"/>
  <c r="T57" i="13"/>
  <c r="T370" i="13" s="1"/>
  <c r="T125" i="13"/>
  <c r="T105" i="13"/>
  <c r="T58" i="13"/>
  <c r="T371" i="13" s="1"/>
  <c r="T82" i="13"/>
  <c r="T395" i="13" s="1"/>
  <c r="T86" i="13"/>
  <c r="T399" i="13" s="1"/>
  <c r="T66" i="13"/>
  <c r="T63" i="13"/>
  <c r="T88" i="13"/>
  <c r="T85" i="13"/>
  <c r="T398" i="13" s="1"/>
  <c r="T60" i="13"/>
  <c r="T126" i="13"/>
  <c r="T56" i="13"/>
  <c r="T369" i="13" s="1"/>
  <c r="T51" i="13"/>
  <c r="T364" i="13" s="1"/>
  <c r="T204" i="13"/>
  <c r="T99" i="13"/>
  <c r="T62" i="13"/>
  <c r="T375" i="13" s="1"/>
  <c r="T61" i="13"/>
  <c r="T374" i="13" s="1"/>
  <c r="T175" i="13"/>
  <c r="T50" i="13"/>
  <c r="T363" i="13" s="1"/>
  <c r="S280" i="5"/>
  <c r="R282" i="5"/>
  <c r="R444" i="5"/>
  <c r="S442" i="5"/>
  <c r="U4" i="13"/>
  <c r="T485" i="5"/>
  <c r="T399" i="5"/>
  <c r="T199" i="5"/>
  <c r="S120" i="5"/>
  <c r="T43" i="5"/>
  <c r="J241" i="40" l="1"/>
  <c r="J253" i="40" s="1"/>
  <c r="I243" i="40"/>
  <c r="I247" i="40" s="1"/>
  <c r="J83" i="40"/>
  <c r="J94" i="40" s="1"/>
  <c r="I85" i="40"/>
  <c r="I89" i="40" s="1"/>
  <c r="I162" i="40"/>
  <c r="I166" i="40" s="1"/>
  <c r="J160" i="40"/>
  <c r="J172" i="40" s="1"/>
  <c r="J6" i="40"/>
  <c r="J17" i="40" s="1"/>
  <c r="I8" i="40"/>
  <c r="I12" i="40" s="1"/>
  <c r="J322" i="40"/>
  <c r="J334" i="40" s="1"/>
  <c r="I324" i="40"/>
  <c r="I328" i="40" s="1"/>
  <c r="J360" i="40"/>
  <c r="J372" i="40" s="1"/>
  <c r="I362" i="40"/>
  <c r="I366" i="40" s="1"/>
  <c r="T44" i="5"/>
  <c r="T200" i="5"/>
  <c r="T486" i="5"/>
  <c r="T487" i="5" s="1"/>
  <c r="T443" i="5"/>
  <c r="T281" i="5"/>
  <c r="T400" i="5"/>
  <c r="T121" i="5"/>
  <c r="T7" i="5"/>
  <c r="J6" i="5"/>
  <c r="I8" i="5"/>
  <c r="E27" i="26"/>
  <c r="E28" i="26" s="1"/>
  <c r="F25" i="26" s="1"/>
  <c r="F18" i="26" s="1"/>
  <c r="F20" i="26" s="1"/>
  <c r="F22" i="26" s="1"/>
  <c r="L33" i="26"/>
  <c r="L14" i="26"/>
  <c r="L15" i="26" s="1"/>
  <c r="L17" i="26" s="1"/>
  <c r="N11" i="26"/>
  <c r="N12" i="26"/>
  <c r="N51" i="26"/>
  <c r="E76" i="26"/>
  <c r="D78" i="26"/>
  <c r="D77" i="26"/>
  <c r="L53" i="26"/>
  <c r="L54" i="26" s="1"/>
  <c r="L56" i="26" s="1"/>
  <c r="L72" i="26"/>
  <c r="N13" i="26"/>
  <c r="N52" i="26"/>
  <c r="U316" i="13"/>
  <c r="U309" i="13"/>
  <c r="U312" i="13"/>
  <c r="U315" i="13"/>
  <c r="U299" i="13"/>
  <c r="U302" i="13"/>
  <c r="U308" i="13"/>
  <c r="U311" i="13"/>
  <c r="U314" i="13"/>
  <c r="U298" i="13"/>
  <c r="U307" i="13"/>
  <c r="U310" i="13"/>
  <c r="U303" i="13"/>
  <c r="U300" i="13"/>
  <c r="U306" i="13"/>
  <c r="U285" i="13"/>
  <c r="U279" i="13"/>
  <c r="U297" i="13"/>
  <c r="U301" i="13"/>
  <c r="U296" i="13"/>
  <c r="U283" i="13"/>
  <c r="U281" i="13"/>
  <c r="U292" i="13"/>
  <c r="U286" i="13"/>
  <c r="U304" i="13"/>
  <c r="U305" i="13"/>
  <c r="U291" i="13"/>
  <c r="U295" i="13"/>
  <c r="U290" i="13"/>
  <c r="U284" i="13"/>
  <c r="U313" i="13"/>
  <c r="U287" i="13"/>
  <c r="U282" i="13"/>
  <c r="U288" i="13"/>
  <c r="U280" i="13"/>
  <c r="U278" i="13"/>
  <c r="U289" i="13"/>
  <c r="U294" i="13"/>
  <c r="U118" i="13"/>
  <c r="U115" i="13"/>
  <c r="U128" i="13"/>
  <c r="U121" i="13"/>
  <c r="U106" i="13"/>
  <c r="U117" i="13"/>
  <c r="U96" i="13"/>
  <c r="U124" i="13"/>
  <c r="U114" i="13"/>
  <c r="U119" i="13"/>
  <c r="U98" i="13"/>
  <c r="U116" i="13"/>
  <c r="U95" i="13"/>
  <c r="U122" i="13"/>
  <c r="U110" i="13"/>
  <c r="U92" i="13"/>
  <c r="U94" i="13"/>
  <c r="U91" i="13"/>
  <c r="U97" i="13"/>
  <c r="U93" i="13"/>
  <c r="U108" i="13"/>
  <c r="U120" i="13"/>
  <c r="U107" i="13"/>
  <c r="U109" i="13"/>
  <c r="U111" i="13"/>
  <c r="U112" i="13"/>
  <c r="U113" i="13"/>
  <c r="U201" i="13"/>
  <c r="U193" i="13"/>
  <c r="U185" i="13"/>
  <c r="U206" i="13"/>
  <c r="U200" i="13"/>
  <c r="F14" i="36" s="1"/>
  <c r="U192" i="13"/>
  <c r="U197" i="13"/>
  <c r="D14" i="36" s="1"/>
  <c r="U189" i="13"/>
  <c r="C14" i="36" s="1"/>
  <c r="U199" i="13"/>
  <c r="E14" i="36" s="1"/>
  <c r="U191" i="13"/>
  <c r="U196" i="13"/>
  <c r="U183" i="13"/>
  <c r="U180" i="13"/>
  <c r="U179" i="13"/>
  <c r="U195" i="13"/>
  <c r="U187" i="13"/>
  <c r="U198" i="13"/>
  <c r="X13" i="36" s="1"/>
  <c r="U190" i="13"/>
  <c r="U167" i="13"/>
  <c r="U178" i="13"/>
  <c r="U172" i="13"/>
  <c r="U177" i="13"/>
  <c r="U173" i="13"/>
  <c r="U181" i="13"/>
  <c r="U202" i="13"/>
  <c r="U164" i="13"/>
  <c r="U194" i="13"/>
  <c r="U102" i="13"/>
  <c r="U123" i="13"/>
  <c r="U188" i="13"/>
  <c r="U184" i="13"/>
  <c r="U182" i="13"/>
  <c r="U186" i="13"/>
  <c r="U166" i="13"/>
  <c r="U162" i="13"/>
  <c r="U168" i="13"/>
  <c r="U171" i="13"/>
  <c r="U82" i="13"/>
  <c r="U395" i="13" s="1"/>
  <c r="U76" i="13"/>
  <c r="U389" i="13" s="1"/>
  <c r="U70" i="13"/>
  <c r="U383" i="13" s="1"/>
  <c r="C6" i="36" s="1"/>
  <c r="U79" i="13"/>
  <c r="U392" i="13" s="1"/>
  <c r="X5" i="36" s="1"/>
  <c r="U73" i="13"/>
  <c r="O409" i="40" s="1"/>
  <c r="U67" i="13"/>
  <c r="U380" i="13" s="1"/>
  <c r="U132" i="13"/>
  <c r="U80" i="13"/>
  <c r="U393" i="13" s="1"/>
  <c r="E6" i="36" s="1"/>
  <c r="U77" i="13"/>
  <c r="O495" i="40" s="1"/>
  <c r="U46" i="13"/>
  <c r="U359" i="13" s="1"/>
  <c r="U44" i="13"/>
  <c r="U357" i="13" s="1"/>
  <c r="U163" i="13"/>
  <c r="U74" i="13"/>
  <c r="U387" i="13" s="1"/>
  <c r="U165" i="13"/>
  <c r="U47" i="13"/>
  <c r="U360" i="13" s="1"/>
  <c r="U87" i="13"/>
  <c r="U400" i="13" s="1"/>
  <c r="U48" i="13"/>
  <c r="U361" i="13" s="1"/>
  <c r="U101" i="13"/>
  <c r="U52" i="13"/>
  <c r="U365" i="13" s="1"/>
  <c r="U176" i="13"/>
  <c r="U129" i="13"/>
  <c r="U99" i="13"/>
  <c r="U100" i="13"/>
  <c r="U204" i="13"/>
  <c r="U49" i="13"/>
  <c r="U362" i="13" s="1"/>
  <c r="U126" i="13"/>
  <c r="U104" i="13"/>
  <c r="U78" i="13"/>
  <c r="U391" i="13" s="1"/>
  <c r="D6" i="36" s="1"/>
  <c r="U54" i="13"/>
  <c r="U367" i="13" s="1"/>
  <c r="U207" i="13"/>
  <c r="U169" i="13"/>
  <c r="U88" i="13"/>
  <c r="U66" i="13"/>
  <c r="O209" i="40" s="1"/>
  <c r="U62" i="13"/>
  <c r="U375" i="13" s="1"/>
  <c r="U58" i="13"/>
  <c r="U371" i="13" s="1"/>
  <c r="U174" i="13"/>
  <c r="U81" i="13"/>
  <c r="U394" i="13" s="1"/>
  <c r="F6" i="36" s="1"/>
  <c r="U53" i="13"/>
  <c r="U366" i="13" s="1"/>
  <c r="U85" i="13"/>
  <c r="U398" i="13" s="1"/>
  <c r="U64" i="13"/>
  <c r="U377" i="13" s="1"/>
  <c r="U60" i="13"/>
  <c r="O52" i="40" s="1"/>
  <c r="U57" i="13"/>
  <c r="U370" i="13" s="1"/>
  <c r="U83" i="13"/>
  <c r="U396" i="13" s="1"/>
  <c r="U71" i="13"/>
  <c r="U384" i="13" s="1"/>
  <c r="U205" i="13"/>
  <c r="U86" i="13"/>
  <c r="U399" i="13" s="1"/>
  <c r="U127" i="13"/>
  <c r="U50" i="13"/>
  <c r="U363" i="13" s="1"/>
  <c r="U72" i="13"/>
  <c r="U385" i="13" s="1"/>
  <c r="U68" i="13"/>
  <c r="U381" i="13" s="1"/>
  <c r="U105" i="13"/>
  <c r="U170" i="13"/>
  <c r="U75" i="13"/>
  <c r="O452" i="40" s="1"/>
  <c r="U61" i="13"/>
  <c r="U374" i="13" s="1"/>
  <c r="U69" i="13"/>
  <c r="O290" i="40" s="1"/>
  <c r="U45" i="13"/>
  <c r="U358" i="13" s="1"/>
  <c r="U293" i="13"/>
  <c r="U63" i="13"/>
  <c r="O129" i="40" s="1"/>
  <c r="U203" i="13"/>
  <c r="U84" i="13"/>
  <c r="U397" i="13" s="1"/>
  <c r="U65" i="13"/>
  <c r="U378" i="13" s="1"/>
  <c r="U51" i="13"/>
  <c r="U364" i="13" s="1"/>
  <c r="U43" i="13"/>
  <c r="U356" i="13" s="1"/>
  <c r="U175" i="13"/>
  <c r="U125" i="13"/>
  <c r="U103" i="13"/>
  <c r="U55" i="13"/>
  <c r="U368" i="13" s="1"/>
  <c r="U59" i="13"/>
  <c r="U372" i="13" s="1"/>
  <c r="U56" i="13"/>
  <c r="U369" i="13" s="1"/>
  <c r="S444" i="5"/>
  <c r="T442" i="5"/>
  <c r="S282" i="5"/>
  <c r="T280" i="5"/>
  <c r="V4" i="13"/>
  <c r="U485" i="5"/>
  <c r="U399" i="5"/>
  <c r="U199" i="5"/>
  <c r="T120" i="5"/>
  <c r="U43" i="5"/>
  <c r="V426" i="40" l="1"/>
  <c r="U421" i="40"/>
  <c r="T426" i="40"/>
  <c r="X426" i="40"/>
  <c r="U430" i="40"/>
  <c r="U431" i="40" s="1"/>
  <c r="T421" i="40"/>
  <c r="P421" i="40"/>
  <c r="R421" i="40"/>
  <c r="R426" i="40"/>
  <c r="R430" i="40"/>
  <c r="R431" i="40" s="1"/>
  <c r="S426" i="40"/>
  <c r="Q421" i="40"/>
  <c r="T430" i="40"/>
  <c r="T431" i="40" s="1"/>
  <c r="Q430" i="40"/>
  <c r="Q431" i="40" s="1"/>
  <c r="O426" i="40"/>
  <c r="Q426" i="40"/>
  <c r="V430" i="40"/>
  <c r="V431" i="40" s="1"/>
  <c r="P430" i="40"/>
  <c r="P431" i="40" s="1"/>
  <c r="O421" i="40"/>
  <c r="W421" i="40"/>
  <c r="U426" i="40"/>
  <c r="S430" i="40"/>
  <c r="S431" i="40" s="1"/>
  <c r="P426" i="40"/>
  <c r="S421" i="40"/>
  <c r="W430" i="40"/>
  <c r="W431" i="40" s="1"/>
  <c r="W426" i="40"/>
  <c r="X421" i="40"/>
  <c r="X430" i="40"/>
  <c r="X431" i="40" s="1"/>
  <c r="V421" i="40"/>
  <c r="O430" i="40"/>
  <c r="O431" i="40" s="1"/>
  <c r="S464" i="40"/>
  <c r="U464" i="40"/>
  <c r="S469" i="40"/>
  <c r="U469" i="40"/>
  <c r="O469" i="40"/>
  <c r="S473" i="40"/>
  <c r="S474" i="40" s="1"/>
  <c r="X473" i="40"/>
  <c r="X474" i="40" s="1"/>
  <c r="Q473" i="40"/>
  <c r="Q474" i="40" s="1"/>
  <c r="R464" i="40"/>
  <c r="T469" i="40"/>
  <c r="V464" i="40"/>
  <c r="O473" i="40"/>
  <c r="O474" i="40" s="1"/>
  <c r="Q464" i="40"/>
  <c r="W464" i="40"/>
  <c r="R473" i="40"/>
  <c r="R474" i="40" s="1"/>
  <c r="P473" i="40"/>
  <c r="P474" i="40" s="1"/>
  <c r="V473" i="40"/>
  <c r="V474" i="40" s="1"/>
  <c r="Q469" i="40"/>
  <c r="W469" i="40"/>
  <c r="P464" i="40"/>
  <c r="V469" i="40"/>
  <c r="X469" i="40"/>
  <c r="O464" i="40"/>
  <c r="T464" i="40"/>
  <c r="U473" i="40"/>
  <c r="U474" i="40" s="1"/>
  <c r="T473" i="40"/>
  <c r="T474" i="40" s="1"/>
  <c r="R469" i="40"/>
  <c r="P469" i="40"/>
  <c r="X464" i="40"/>
  <c r="W473" i="40"/>
  <c r="W474" i="40" s="1"/>
  <c r="O146" i="40"/>
  <c r="R149" i="40"/>
  <c r="R150" i="40" s="1"/>
  <c r="Q146" i="40"/>
  <c r="O141" i="40"/>
  <c r="P149" i="40"/>
  <c r="P150" i="40" s="1"/>
  <c r="Q141" i="40"/>
  <c r="T141" i="40"/>
  <c r="W149" i="40"/>
  <c r="W150" i="40" s="1"/>
  <c r="W141" i="40"/>
  <c r="T149" i="40"/>
  <c r="T150" i="40" s="1"/>
  <c r="P141" i="40"/>
  <c r="W146" i="40"/>
  <c r="S149" i="40"/>
  <c r="S150" i="40" s="1"/>
  <c r="X146" i="40"/>
  <c r="X149" i="40"/>
  <c r="X150" i="40" s="1"/>
  <c r="P146" i="40"/>
  <c r="V141" i="40"/>
  <c r="O149" i="40"/>
  <c r="O150" i="40" s="1"/>
  <c r="U146" i="40"/>
  <c r="S141" i="40"/>
  <c r="R146" i="40"/>
  <c r="Q149" i="40"/>
  <c r="Q150" i="40" s="1"/>
  <c r="T146" i="40"/>
  <c r="V146" i="40"/>
  <c r="V149" i="40"/>
  <c r="V150" i="40" s="1"/>
  <c r="R141" i="40"/>
  <c r="U141" i="40"/>
  <c r="S146" i="40"/>
  <c r="U149" i="40"/>
  <c r="U150" i="40" s="1"/>
  <c r="X141" i="40"/>
  <c r="T311" i="40"/>
  <c r="T312" i="40" s="1"/>
  <c r="V311" i="40"/>
  <c r="V312" i="40" s="1"/>
  <c r="Q302" i="40"/>
  <c r="O307" i="40"/>
  <c r="V307" i="40"/>
  <c r="X307" i="40"/>
  <c r="Q311" i="40"/>
  <c r="Q312" i="40" s="1"/>
  <c r="R311" i="40"/>
  <c r="R312" i="40" s="1"/>
  <c r="R307" i="40"/>
  <c r="P311" i="40"/>
  <c r="P312" i="40" s="1"/>
  <c r="X302" i="40"/>
  <c r="S302" i="40"/>
  <c r="U302" i="40"/>
  <c r="W302" i="40"/>
  <c r="O311" i="40"/>
  <c r="O312" i="40" s="1"/>
  <c r="T307" i="40"/>
  <c r="P307" i="40"/>
  <c r="V302" i="40"/>
  <c r="P302" i="40"/>
  <c r="S307" i="40"/>
  <c r="Q307" i="40"/>
  <c r="R302" i="40"/>
  <c r="U307" i="40"/>
  <c r="S311" i="40"/>
  <c r="S312" i="40" s="1"/>
  <c r="U311" i="40"/>
  <c r="U312" i="40" s="1"/>
  <c r="O302" i="40"/>
  <c r="T302" i="40"/>
  <c r="X311" i="40"/>
  <c r="X312" i="40" s="1"/>
  <c r="W307" i="40"/>
  <c r="W311" i="40"/>
  <c r="W312" i="40" s="1"/>
  <c r="R230" i="40"/>
  <c r="R231" i="40" s="1"/>
  <c r="O226" i="40"/>
  <c r="T230" i="40"/>
  <c r="T231" i="40" s="1"/>
  <c r="V230" i="40"/>
  <c r="V231" i="40" s="1"/>
  <c r="U221" i="40"/>
  <c r="S221" i="40"/>
  <c r="V226" i="40"/>
  <c r="U230" i="40"/>
  <c r="U231" i="40" s="1"/>
  <c r="Q230" i="40"/>
  <c r="Q231" i="40" s="1"/>
  <c r="R221" i="40"/>
  <c r="O230" i="40"/>
  <c r="O231" i="40" s="1"/>
  <c r="S226" i="40"/>
  <c r="S230" i="40"/>
  <c r="S231" i="40" s="1"/>
  <c r="P226" i="40"/>
  <c r="T226" i="40"/>
  <c r="P221" i="40"/>
  <c r="W226" i="40"/>
  <c r="Q226" i="40"/>
  <c r="X221" i="40"/>
  <c r="R226" i="40"/>
  <c r="X226" i="40"/>
  <c r="W221" i="40"/>
  <c r="V221" i="40"/>
  <c r="Q221" i="40"/>
  <c r="U226" i="40"/>
  <c r="P230" i="40"/>
  <c r="P231" i="40" s="1"/>
  <c r="O221" i="40"/>
  <c r="T221" i="40"/>
  <c r="X230" i="40"/>
  <c r="X231" i="40" s="1"/>
  <c r="W230" i="40"/>
  <c r="W231" i="40" s="1"/>
  <c r="W512" i="40"/>
  <c r="O507" i="40"/>
  <c r="Q512" i="40"/>
  <c r="Q516" i="40"/>
  <c r="Q517" i="40" s="1"/>
  <c r="T516" i="40"/>
  <c r="T517" i="40" s="1"/>
  <c r="T507" i="40"/>
  <c r="P507" i="40"/>
  <c r="S512" i="40"/>
  <c r="R507" i="40"/>
  <c r="X516" i="40"/>
  <c r="X517" i="40" s="1"/>
  <c r="V512" i="40"/>
  <c r="O516" i="40"/>
  <c r="O517" i="40" s="1"/>
  <c r="V507" i="40"/>
  <c r="P512" i="40"/>
  <c r="W516" i="40"/>
  <c r="W517" i="40" s="1"/>
  <c r="S516" i="40"/>
  <c r="S517" i="40" s="1"/>
  <c r="P516" i="40"/>
  <c r="P517" i="40" s="1"/>
  <c r="S507" i="40"/>
  <c r="V516" i="40"/>
  <c r="V517" i="40" s="1"/>
  <c r="U512" i="40"/>
  <c r="R512" i="40"/>
  <c r="O512" i="40"/>
  <c r="X512" i="40"/>
  <c r="X507" i="40"/>
  <c r="U507" i="40"/>
  <c r="Q507" i="40"/>
  <c r="U516" i="40"/>
  <c r="U517" i="40" s="1"/>
  <c r="R516" i="40"/>
  <c r="R517" i="40" s="1"/>
  <c r="W507" i="40"/>
  <c r="T512" i="40"/>
  <c r="W72" i="40"/>
  <c r="W73" i="40" s="1"/>
  <c r="T64" i="40"/>
  <c r="T69" i="40"/>
  <c r="V69" i="40"/>
  <c r="V72" i="40"/>
  <c r="V73" i="40" s="1"/>
  <c r="S64" i="40"/>
  <c r="U72" i="40"/>
  <c r="U73" i="40" s="1"/>
  <c r="P64" i="40"/>
  <c r="W69" i="40"/>
  <c r="O64" i="40"/>
  <c r="T72" i="40"/>
  <c r="T73" i="40" s="1"/>
  <c r="R69" i="40"/>
  <c r="S72" i="40"/>
  <c r="S73" i="40" s="1"/>
  <c r="P72" i="40"/>
  <c r="P73" i="40" s="1"/>
  <c r="R72" i="40"/>
  <c r="R73" i="40" s="1"/>
  <c r="Q69" i="40"/>
  <c r="O69" i="40"/>
  <c r="O72" i="40"/>
  <c r="O73" i="40" s="1"/>
  <c r="X64" i="40"/>
  <c r="R64" i="40"/>
  <c r="X72" i="40"/>
  <c r="X73" i="40" s="1"/>
  <c r="V64" i="40"/>
  <c r="U64" i="40"/>
  <c r="P69" i="40"/>
  <c r="U69" i="40"/>
  <c r="X69" i="40"/>
  <c r="Q64" i="40"/>
  <c r="W64" i="40"/>
  <c r="S69" i="40"/>
  <c r="Q72" i="40"/>
  <c r="Q73" i="40" s="1"/>
  <c r="K322" i="40"/>
  <c r="K334" i="40" s="1"/>
  <c r="J324" i="40"/>
  <c r="J328" i="40" s="1"/>
  <c r="K6" i="40"/>
  <c r="K17" i="40" s="1"/>
  <c r="J8" i="40"/>
  <c r="J12" i="40" s="1"/>
  <c r="J162" i="40"/>
  <c r="J166" i="40" s="1"/>
  <c r="K160" i="40"/>
  <c r="K172" i="40" s="1"/>
  <c r="K83" i="40"/>
  <c r="K94" i="40" s="1"/>
  <c r="J85" i="40"/>
  <c r="J89" i="40" s="1"/>
  <c r="K360" i="40"/>
  <c r="K372" i="40" s="1"/>
  <c r="J362" i="40"/>
  <c r="J366" i="40" s="1"/>
  <c r="K241" i="40"/>
  <c r="K253" i="40" s="1"/>
  <c r="J243" i="40"/>
  <c r="J247" i="40" s="1"/>
  <c r="U121" i="5"/>
  <c r="U400" i="5"/>
  <c r="U401" i="5" s="1"/>
  <c r="U281" i="5"/>
  <c r="U443" i="5"/>
  <c r="U486" i="5"/>
  <c r="U487" i="5" s="1"/>
  <c r="U200" i="5"/>
  <c r="T401" i="5"/>
  <c r="U44" i="5"/>
  <c r="U7" i="5"/>
  <c r="K6" i="5"/>
  <c r="J8" i="5"/>
  <c r="D80" i="26"/>
  <c r="E65" i="26"/>
  <c r="I65" i="26"/>
  <c r="X65" i="26"/>
  <c r="H65" i="26"/>
  <c r="W65" i="26"/>
  <c r="G65" i="26"/>
  <c r="V65" i="26"/>
  <c r="F65" i="26"/>
  <c r="U65" i="26"/>
  <c r="T65" i="26"/>
  <c r="S65" i="26"/>
  <c r="K65" i="26"/>
  <c r="R65" i="26"/>
  <c r="Q65" i="26"/>
  <c r="P65" i="26"/>
  <c r="O65" i="26"/>
  <c r="N65" i="26"/>
  <c r="M65" i="26"/>
  <c r="J65" i="26"/>
  <c r="L65" i="26"/>
  <c r="E23" i="26"/>
  <c r="F27" i="26"/>
  <c r="F28" i="26" s="1"/>
  <c r="G25" i="26" s="1"/>
  <c r="D67" i="26"/>
  <c r="E64" i="26" s="1"/>
  <c r="E57" i="26" s="1"/>
  <c r="E59" i="26" s="1"/>
  <c r="E61" i="26" s="1"/>
  <c r="E77" i="26"/>
  <c r="O13" i="26"/>
  <c r="O52" i="26"/>
  <c r="E78" i="26"/>
  <c r="D62" i="26"/>
  <c r="O11" i="26"/>
  <c r="M53" i="26"/>
  <c r="M54" i="26" s="1"/>
  <c r="M56" i="26" s="1"/>
  <c r="M72" i="26"/>
  <c r="O51" i="26"/>
  <c r="O12" i="26"/>
  <c r="M33" i="26"/>
  <c r="M14" i="26"/>
  <c r="M15" i="26" s="1"/>
  <c r="M17" i="26" s="1"/>
  <c r="V306" i="13"/>
  <c r="V309" i="13"/>
  <c r="V312" i="13"/>
  <c r="V315" i="13"/>
  <c r="V299" i="13"/>
  <c r="V302" i="13"/>
  <c r="V305" i="13"/>
  <c r="V311" i="13"/>
  <c r="V314" i="13"/>
  <c r="V298" i="13"/>
  <c r="V301" i="13"/>
  <c r="V310" i="13"/>
  <c r="V313" i="13"/>
  <c r="V308" i="13"/>
  <c r="V296" i="13"/>
  <c r="V285" i="13"/>
  <c r="V304" i="13"/>
  <c r="V288" i="13"/>
  <c r="V282" i="13"/>
  <c r="V297" i="13"/>
  <c r="V307" i="13"/>
  <c r="V281" i="13"/>
  <c r="V279" i="13"/>
  <c r="V286" i="13"/>
  <c r="V292" i="13"/>
  <c r="V294" i="13"/>
  <c r="V291" i="13"/>
  <c r="V295" i="13"/>
  <c r="V290" i="13"/>
  <c r="V284" i="13"/>
  <c r="V289" i="13"/>
  <c r="V316" i="13"/>
  <c r="V300" i="13"/>
  <c r="V287" i="13"/>
  <c r="V303" i="13"/>
  <c r="V283" i="13"/>
  <c r="V280" i="13"/>
  <c r="V278" i="13"/>
  <c r="V118" i="13"/>
  <c r="V115" i="13"/>
  <c r="V128" i="13"/>
  <c r="V121" i="13"/>
  <c r="V117" i="13"/>
  <c r="V96" i="13"/>
  <c r="V124" i="13"/>
  <c r="V114" i="13"/>
  <c r="V119" i="13"/>
  <c r="V116" i="13"/>
  <c r="V95" i="13"/>
  <c r="V106" i="13"/>
  <c r="V94" i="13"/>
  <c r="V91" i="13"/>
  <c r="V92" i="13"/>
  <c r="V122" i="13"/>
  <c r="V93" i="13"/>
  <c r="V110" i="13"/>
  <c r="V98" i="13"/>
  <c r="V97" i="13"/>
  <c r="V120" i="13"/>
  <c r="V107" i="13"/>
  <c r="V108" i="13"/>
  <c r="V109" i="13"/>
  <c r="V111" i="13"/>
  <c r="V112" i="13"/>
  <c r="V113" i="13"/>
  <c r="V200" i="13"/>
  <c r="Y15" i="36" s="1"/>
  <c r="V192" i="13"/>
  <c r="V202" i="13"/>
  <c r="V194" i="13"/>
  <c r="V186" i="13"/>
  <c r="V185" i="13"/>
  <c r="V180" i="13"/>
  <c r="V189" i="13"/>
  <c r="Y16" i="36" s="1"/>
  <c r="V206" i="13"/>
  <c r="V184" i="13"/>
  <c r="V168" i="13"/>
  <c r="V191" i="13"/>
  <c r="V167" i="13"/>
  <c r="V193" i="13"/>
  <c r="V173" i="13"/>
  <c r="V171" i="13"/>
  <c r="V164" i="13"/>
  <c r="V187" i="13"/>
  <c r="V182" i="13"/>
  <c r="V197" i="13"/>
  <c r="Y12" i="36" s="1"/>
  <c r="V132" i="13"/>
  <c r="V188" i="13"/>
  <c r="V162" i="13"/>
  <c r="V101" i="13"/>
  <c r="V201" i="13"/>
  <c r="V165" i="13"/>
  <c r="V177" i="13"/>
  <c r="V102" i="13"/>
  <c r="V190" i="13"/>
  <c r="V123" i="13"/>
  <c r="V172" i="13"/>
  <c r="V178" i="13"/>
  <c r="V198" i="13"/>
  <c r="Y13" i="36" s="1"/>
  <c r="V195" i="13"/>
  <c r="V183" i="13"/>
  <c r="V181" i="13"/>
  <c r="V196" i="13"/>
  <c r="V166" i="13"/>
  <c r="V199" i="13"/>
  <c r="Y14" i="36" s="1"/>
  <c r="V80" i="13"/>
  <c r="V393" i="13" s="1"/>
  <c r="Y6" i="36" s="1"/>
  <c r="V72" i="13"/>
  <c r="V385" i="13" s="1"/>
  <c r="V52" i="13"/>
  <c r="V365" i="13" s="1"/>
  <c r="V179" i="13"/>
  <c r="V77" i="13"/>
  <c r="V69" i="13"/>
  <c r="V47" i="13"/>
  <c r="V360" i="13" s="1"/>
  <c r="V205" i="13"/>
  <c r="V203" i="13"/>
  <c r="V163" i="13"/>
  <c r="V74" i="13"/>
  <c r="V387" i="13" s="1"/>
  <c r="V174" i="13"/>
  <c r="V71" i="13"/>
  <c r="V384" i="13" s="1"/>
  <c r="V70" i="13"/>
  <c r="V383" i="13" s="1"/>
  <c r="V293" i="13"/>
  <c r="V176" i="13"/>
  <c r="V169" i="13"/>
  <c r="V100" i="13"/>
  <c r="V81" i="13"/>
  <c r="V394" i="13" s="1"/>
  <c r="Y7" i="36" s="1"/>
  <c r="V49" i="13"/>
  <c r="V362" i="13" s="1"/>
  <c r="V82" i="13"/>
  <c r="V395" i="13" s="1"/>
  <c r="V79" i="13"/>
  <c r="V392" i="13" s="1"/>
  <c r="Y5" i="36" s="1"/>
  <c r="V45" i="13"/>
  <c r="V358" i="13" s="1"/>
  <c r="V170" i="13"/>
  <c r="V87" i="13"/>
  <c r="V400" i="13" s="1"/>
  <c r="V73" i="13"/>
  <c r="V78" i="13"/>
  <c r="V391" i="13" s="1"/>
  <c r="Y4" i="36" s="1"/>
  <c r="V129" i="13"/>
  <c r="V103" i="13"/>
  <c r="V76" i="13"/>
  <c r="V389" i="13" s="1"/>
  <c r="V54" i="13"/>
  <c r="V367" i="13" s="1"/>
  <c r="V126" i="13"/>
  <c r="V75" i="13"/>
  <c r="V44" i="13"/>
  <c r="V357" i="13" s="1"/>
  <c r="V175" i="13"/>
  <c r="V68" i="13"/>
  <c r="V381" i="13" s="1"/>
  <c r="V48" i="13"/>
  <c r="V361" i="13" s="1"/>
  <c r="V105" i="13"/>
  <c r="V125" i="13"/>
  <c r="V99" i="13"/>
  <c r="V84" i="13"/>
  <c r="V397" i="13" s="1"/>
  <c r="V62" i="13"/>
  <c r="V375" i="13" s="1"/>
  <c r="V61" i="13"/>
  <c r="V374" i="13" s="1"/>
  <c r="V57" i="13"/>
  <c r="V370" i="13" s="1"/>
  <c r="V88" i="13"/>
  <c r="V59" i="13"/>
  <c r="V372" i="13" s="1"/>
  <c r="V55" i="13"/>
  <c r="V368" i="13" s="1"/>
  <c r="V83" i="13"/>
  <c r="V396" i="13" s="1"/>
  <c r="V86" i="13"/>
  <c r="V399" i="13" s="1"/>
  <c r="V64" i="13"/>
  <c r="V377" i="13" s="1"/>
  <c r="V67" i="13"/>
  <c r="V380" i="13" s="1"/>
  <c r="V46" i="13"/>
  <c r="V359" i="13" s="1"/>
  <c r="V127" i="13"/>
  <c r="V66" i="13"/>
  <c r="V65" i="13"/>
  <c r="V378" i="13" s="1"/>
  <c r="V85" i="13"/>
  <c r="V398" i="13" s="1"/>
  <c r="V60" i="13"/>
  <c r="V51" i="13"/>
  <c r="V364" i="13" s="1"/>
  <c r="V104" i="13"/>
  <c r="V58" i="13"/>
  <c r="V371" i="13" s="1"/>
  <c r="V63" i="13"/>
  <c r="V204" i="13"/>
  <c r="V43" i="13"/>
  <c r="V356" i="13" s="1"/>
  <c r="V53" i="13"/>
  <c r="V366" i="13" s="1"/>
  <c r="V207" i="13"/>
  <c r="V50" i="13"/>
  <c r="V363" i="13" s="1"/>
  <c r="V56" i="13"/>
  <c r="V369" i="13" s="1"/>
  <c r="U280" i="5"/>
  <c r="T282" i="5"/>
  <c r="U442" i="5"/>
  <c r="T444" i="5"/>
  <c r="W4" i="13"/>
  <c r="V485" i="5"/>
  <c r="V399" i="5"/>
  <c r="V199" i="5"/>
  <c r="U120" i="5"/>
  <c r="V43" i="5"/>
  <c r="L360" i="40" l="1"/>
  <c r="L372" i="40" s="1"/>
  <c r="K362" i="40"/>
  <c r="K366" i="40" s="1"/>
  <c r="K85" i="40"/>
  <c r="K89" i="40" s="1"/>
  <c r="L83" i="40"/>
  <c r="L94" i="40" s="1"/>
  <c r="K162" i="40"/>
  <c r="K166" i="40" s="1"/>
  <c r="L160" i="40"/>
  <c r="L172" i="40" s="1"/>
  <c r="L6" i="40"/>
  <c r="L17" i="40" s="1"/>
  <c r="K8" i="40"/>
  <c r="K12" i="40" s="1"/>
  <c r="L241" i="40"/>
  <c r="L253" i="40" s="1"/>
  <c r="K243" i="40"/>
  <c r="K247" i="40" s="1"/>
  <c r="L322" i="40"/>
  <c r="L334" i="40" s="1"/>
  <c r="K324" i="40"/>
  <c r="K328" i="40" s="1"/>
  <c r="V44" i="5"/>
  <c r="V200" i="5"/>
  <c r="V486" i="5"/>
  <c r="V487" i="5" s="1"/>
  <c r="V443" i="5"/>
  <c r="V281" i="5"/>
  <c r="V400" i="5"/>
  <c r="V121" i="5"/>
  <c r="V7" i="5"/>
  <c r="K8" i="5"/>
  <c r="L6" i="5"/>
  <c r="G18" i="26"/>
  <c r="G20" i="26" s="1"/>
  <c r="G22" i="26" s="1"/>
  <c r="G27" i="26"/>
  <c r="G28" i="26" s="1"/>
  <c r="H25" i="26" s="1"/>
  <c r="F23" i="26"/>
  <c r="E66" i="26"/>
  <c r="E67" i="26" s="1"/>
  <c r="F64" i="26" s="1"/>
  <c r="F57" i="26" s="1"/>
  <c r="F59" i="26" s="1"/>
  <c r="F61" i="26" s="1"/>
  <c r="P13" i="26"/>
  <c r="P12" i="26"/>
  <c r="P11" i="26"/>
  <c r="N33" i="26"/>
  <c r="N14" i="26"/>
  <c r="N15" i="26" s="1"/>
  <c r="N17" i="26" s="1"/>
  <c r="P52" i="26"/>
  <c r="P51" i="26"/>
  <c r="N72" i="26"/>
  <c r="N53" i="26"/>
  <c r="N54" i="26" s="1"/>
  <c r="N56" i="26" s="1"/>
  <c r="W309" i="13"/>
  <c r="W312" i="13"/>
  <c r="W315" i="13"/>
  <c r="W302" i="13"/>
  <c r="W305" i="13"/>
  <c r="W308" i="13"/>
  <c r="W311" i="13"/>
  <c r="W314" i="13"/>
  <c r="W301" i="13"/>
  <c r="W304" i="13"/>
  <c r="W307" i="13"/>
  <c r="W310" i="13"/>
  <c r="W313" i="13"/>
  <c r="W316" i="13"/>
  <c r="W300" i="13"/>
  <c r="W303" i="13"/>
  <c r="W295" i="13"/>
  <c r="W306" i="13"/>
  <c r="W288" i="13"/>
  <c r="W291" i="13"/>
  <c r="W289" i="13"/>
  <c r="W298" i="13"/>
  <c r="W292" i="13"/>
  <c r="W285" i="13"/>
  <c r="W286" i="13"/>
  <c r="W283" i="13"/>
  <c r="W294" i="13"/>
  <c r="W290" i="13"/>
  <c r="W284" i="13"/>
  <c r="W279" i="13"/>
  <c r="W280" i="13"/>
  <c r="W278" i="13"/>
  <c r="W296" i="13"/>
  <c r="W299" i="13"/>
  <c r="W297" i="13"/>
  <c r="W287" i="13"/>
  <c r="W282" i="13"/>
  <c r="W281" i="13"/>
  <c r="W115" i="13"/>
  <c r="W128" i="13"/>
  <c r="W121" i="13"/>
  <c r="W106" i="13"/>
  <c r="W117" i="13"/>
  <c r="W96" i="13"/>
  <c r="W124" i="13"/>
  <c r="W114" i="13"/>
  <c r="W119" i="13"/>
  <c r="W116" i="13"/>
  <c r="W95" i="13"/>
  <c r="W122" i="13"/>
  <c r="W110" i="13"/>
  <c r="W118" i="13"/>
  <c r="W97" i="13"/>
  <c r="W94" i="13"/>
  <c r="W91" i="13"/>
  <c r="W93" i="13"/>
  <c r="W92" i="13"/>
  <c r="W98" i="13"/>
  <c r="W112" i="13"/>
  <c r="W111" i="13"/>
  <c r="W120" i="13"/>
  <c r="W107" i="13"/>
  <c r="W108" i="13"/>
  <c r="W109" i="13"/>
  <c r="W113" i="13"/>
  <c r="W198" i="13"/>
  <c r="Z13" i="36" s="1"/>
  <c r="W190" i="13"/>
  <c r="W197" i="13"/>
  <c r="Z12" i="36" s="1"/>
  <c r="W189" i="13"/>
  <c r="Z16" i="36" s="1"/>
  <c r="W202" i="13"/>
  <c r="W194" i="13"/>
  <c r="W186" i="13"/>
  <c r="W196" i="13"/>
  <c r="W188" i="13"/>
  <c r="W185" i="13"/>
  <c r="W180" i="13"/>
  <c r="W199" i="13"/>
  <c r="Z14" i="36" s="1"/>
  <c r="W193" i="13"/>
  <c r="W177" i="13"/>
  <c r="W184" i="13"/>
  <c r="W191" i="13"/>
  <c r="W187" i="13"/>
  <c r="W206" i="13"/>
  <c r="W200" i="13"/>
  <c r="Z15" i="36" s="1"/>
  <c r="W195" i="13"/>
  <c r="W168" i="13"/>
  <c r="W165" i="13"/>
  <c r="W171" i="13"/>
  <c r="W164" i="13"/>
  <c r="W179" i="13"/>
  <c r="W183" i="13"/>
  <c r="W201" i="13"/>
  <c r="W100" i="13"/>
  <c r="W178" i="13"/>
  <c r="W172" i="13"/>
  <c r="W102" i="13"/>
  <c r="W123" i="13"/>
  <c r="W173" i="13"/>
  <c r="W132" i="13"/>
  <c r="W192" i="13"/>
  <c r="W182" i="13"/>
  <c r="W181" i="13"/>
  <c r="W166" i="13"/>
  <c r="W167" i="13"/>
  <c r="W101" i="13"/>
  <c r="W83" i="13"/>
  <c r="W396" i="13" s="1"/>
  <c r="W87" i="13"/>
  <c r="W400" i="13" s="1"/>
  <c r="W71" i="13"/>
  <c r="W384" i="13" s="1"/>
  <c r="W53" i="13"/>
  <c r="W366" i="13" s="1"/>
  <c r="W45" i="13"/>
  <c r="W358" i="13" s="1"/>
  <c r="W163" i="13"/>
  <c r="W74" i="13"/>
  <c r="W387" i="13" s="1"/>
  <c r="W68" i="13"/>
  <c r="W381" i="13" s="1"/>
  <c r="W48" i="13"/>
  <c r="W361" i="13" s="1"/>
  <c r="W293" i="13"/>
  <c r="W81" i="13"/>
  <c r="W394" i="13" s="1"/>
  <c r="Z7" i="36" s="1"/>
  <c r="W67" i="13"/>
  <c r="W380" i="13" s="1"/>
  <c r="W44" i="13"/>
  <c r="W357" i="13" s="1"/>
  <c r="W79" i="13"/>
  <c r="W392" i="13" s="1"/>
  <c r="Z5" i="36" s="1"/>
  <c r="W78" i="13"/>
  <c r="W391" i="13" s="1"/>
  <c r="Z4" i="36" s="1"/>
  <c r="W70" i="13"/>
  <c r="W383" i="13" s="1"/>
  <c r="W82" i="13"/>
  <c r="W395" i="13" s="1"/>
  <c r="W73" i="13"/>
  <c r="W204" i="13"/>
  <c r="W49" i="13"/>
  <c r="W362" i="13" s="1"/>
  <c r="W127" i="13"/>
  <c r="W105" i="13"/>
  <c r="W75" i="13"/>
  <c r="W69" i="13"/>
  <c r="W54" i="13"/>
  <c r="W367" i="13" s="1"/>
  <c r="W207" i="13"/>
  <c r="W175" i="13"/>
  <c r="W125" i="13"/>
  <c r="W103" i="13"/>
  <c r="W129" i="13"/>
  <c r="W203" i="13"/>
  <c r="W162" i="13"/>
  <c r="W47" i="13"/>
  <c r="W360" i="13" s="1"/>
  <c r="W86" i="13"/>
  <c r="W399" i="13" s="1"/>
  <c r="W65" i="13"/>
  <c r="W378" i="13" s="1"/>
  <c r="W61" i="13"/>
  <c r="W374" i="13" s="1"/>
  <c r="W176" i="13"/>
  <c r="W169" i="13"/>
  <c r="W84" i="13"/>
  <c r="W397" i="13" s="1"/>
  <c r="W63" i="13"/>
  <c r="W59" i="13"/>
  <c r="W372" i="13" s="1"/>
  <c r="W52" i="13"/>
  <c r="W365" i="13" s="1"/>
  <c r="W77" i="13"/>
  <c r="W66" i="13"/>
  <c r="W205" i="13"/>
  <c r="W99" i="13"/>
  <c r="W57" i="13"/>
  <c r="W370" i="13" s="1"/>
  <c r="W174" i="13"/>
  <c r="W56" i="13"/>
  <c r="W369" i="13" s="1"/>
  <c r="W72" i="13"/>
  <c r="W385" i="13" s="1"/>
  <c r="W80" i="13"/>
  <c r="W393" i="13" s="1"/>
  <c r="Z6" i="36" s="1"/>
  <c r="W55" i="13"/>
  <c r="W368" i="13" s="1"/>
  <c r="W85" i="13"/>
  <c r="W398" i="13" s="1"/>
  <c r="W64" i="13"/>
  <c r="W377" i="13" s="1"/>
  <c r="W60" i="13"/>
  <c r="W51" i="13"/>
  <c r="W364" i="13" s="1"/>
  <c r="W88" i="13"/>
  <c r="W76" i="13"/>
  <c r="W389" i="13" s="1"/>
  <c r="W43" i="13"/>
  <c r="W356" i="13" s="1"/>
  <c r="W46" i="13"/>
  <c r="W359" i="13" s="1"/>
  <c r="W170" i="13"/>
  <c r="W62" i="13"/>
  <c r="W375" i="13" s="1"/>
  <c r="W50" i="13"/>
  <c r="W363" i="13" s="1"/>
  <c r="W126" i="13"/>
  <c r="W104" i="13"/>
  <c r="W58" i="13"/>
  <c r="W371" i="13" s="1"/>
  <c r="U444" i="5"/>
  <c r="V442" i="5"/>
  <c r="V280" i="5"/>
  <c r="U282" i="5"/>
  <c r="X4" i="13"/>
  <c r="W485" i="5"/>
  <c r="W399" i="5"/>
  <c r="W199" i="5"/>
  <c r="V120" i="5"/>
  <c r="W43" i="5"/>
  <c r="M241" i="40" l="1"/>
  <c r="M253" i="40" s="1"/>
  <c r="L243" i="40"/>
  <c r="L247" i="40" s="1"/>
  <c r="M6" i="40"/>
  <c r="M17" i="40" s="1"/>
  <c r="L8" i="40"/>
  <c r="L12" i="40" s="1"/>
  <c r="L162" i="40"/>
  <c r="L166" i="40" s="1"/>
  <c r="M160" i="40"/>
  <c r="M172" i="40" s="1"/>
  <c r="M322" i="40"/>
  <c r="M334" i="40" s="1"/>
  <c r="L324" i="40"/>
  <c r="L328" i="40" s="1"/>
  <c r="L85" i="40"/>
  <c r="L89" i="40" s="1"/>
  <c r="M83" i="40"/>
  <c r="M94" i="40" s="1"/>
  <c r="M360" i="40"/>
  <c r="M372" i="40" s="1"/>
  <c r="L362" i="40"/>
  <c r="L366" i="40" s="1"/>
  <c r="W121" i="5"/>
  <c r="W400" i="5"/>
  <c r="W401" i="5" s="1"/>
  <c r="W281" i="5"/>
  <c r="W443" i="5"/>
  <c r="W486" i="5"/>
  <c r="W200" i="5"/>
  <c r="V401" i="5"/>
  <c r="W44" i="5"/>
  <c r="W7" i="5"/>
  <c r="E62" i="26"/>
  <c r="M6" i="5"/>
  <c r="L8" i="5"/>
  <c r="G23" i="26"/>
  <c r="H18" i="26"/>
  <c r="H20" i="26" s="1"/>
  <c r="H22" i="26" s="1"/>
  <c r="H27" i="26"/>
  <c r="H28" i="26" s="1"/>
  <c r="I25" i="26" s="1"/>
  <c r="F66" i="26"/>
  <c r="Q52" i="26"/>
  <c r="Q11" i="26"/>
  <c r="Q12" i="26"/>
  <c r="O14" i="26"/>
  <c r="O15" i="26" s="1"/>
  <c r="O17" i="26" s="1"/>
  <c r="O33" i="26"/>
  <c r="Q51" i="26"/>
  <c r="O72" i="26"/>
  <c r="O53" i="26"/>
  <c r="O54" i="26" s="1"/>
  <c r="O56" i="26" s="1"/>
  <c r="Q13" i="26"/>
  <c r="X309" i="13"/>
  <c r="X312" i="13"/>
  <c r="X315" i="13"/>
  <c r="X305" i="13"/>
  <c r="X308" i="13"/>
  <c r="X311" i="13"/>
  <c r="X314" i="13"/>
  <c r="X304" i="13"/>
  <c r="X307" i="13"/>
  <c r="X310" i="13"/>
  <c r="X313" i="13"/>
  <c r="X316" i="13"/>
  <c r="X300" i="13"/>
  <c r="X303" i="13"/>
  <c r="X296" i="13"/>
  <c r="X298" i="13"/>
  <c r="X286" i="13"/>
  <c r="X291" i="13"/>
  <c r="X294" i="13"/>
  <c r="X280" i="13"/>
  <c r="X306" i="13"/>
  <c r="X302" i="13"/>
  <c r="X295" i="13"/>
  <c r="X290" i="13"/>
  <c r="X284" i="13"/>
  <c r="X279" i="13"/>
  <c r="X278" i="13"/>
  <c r="X289" i="13"/>
  <c r="X299" i="13"/>
  <c r="X297" i="13"/>
  <c r="X282" i="13"/>
  <c r="X301" i="13"/>
  <c r="X283" i="13"/>
  <c r="X285" i="13"/>
  <c r="X287" i="13"/>
  <c r="X288" i="13"/>
  <c r="X292" i="13"/>
  <c r="X281" i="13"/>
  <c r="X115" i="13"/>
  <c r="X128" i="13"/>
  <c r="X121" i="13"/>
  <c r="X117" i="13"/>
  <c r="X124" i="13"/>
  <c r="X114" i="13"/>
  <c r="X119" i="13"/>
  <c r="X98" i="13"/>
  <c r="X116" i="13"/>
  <c r="X122" i="13"/>
  <c r="X110" i="13"/>
  <c r="X106" i="13"/>
  <c r="X94" i="13"/>
  <c r="X91" i="13"/>
  <c r="X118" i="13"/>
  <c r="X93" i="13"/>
  <c r="X95" i="13"/>
  <c r="X92" i="13"/>
  <c r="X97" i="13"/>
  <c r="X96" i="13"/>
  <c r="X111" i="13"/>
  <c r="X108" i="13"/>
  <c r="X112" i="13"/>
  <c r="X107" i="13"/>
  <c r="X120" i="13"/>
  <c r="X109" i="13"/>
  <c r="X113" i="13"/>
  <c r="X197" i="13"/>
  <c r="AA12" i="36" s="1"/>
  <c r="X189" i="13"/>
  <c r="AA16" i="36" s="1"/>
  <c r="X199" i="13"/>
  <c r="AA14" i="36" s="1"/>
  <c r="X191" i="13"/>
  <c r="X201" i="13"/>
  <c r="X193" i="13"/>
  <c r="X177" i="13"/>
  <c r="X187" i="13"/>
  <c r="X198" i="13"/>
  <c r="AA13" i="36" s="1"/>
  <c r="X181" i="13"/>
  <c r="X202" i="13"/>
  <c r="X196" i="13"/>
  <c r="X188" i="13"/>
  <c r="X182" i="13"/>
  <c r="X180" i="13"/>
  <c r="X166" i="13"/>
  <c r="X179" i="13"/>
  <c r="X195" i="13"/>
  <c r="X184" i="13"/>
  <c r="X200" i="13"/>
  <c r="AA15" i="36" s="1"/>
  <c r="X185" i="13"/>
  <c r="X162" i="13"/>
  <c r="X101" i="13"/>
  <c r="X192" i="13"/>
  <c r="X123" i="13"/>
  <c r="X173" i="13"/>
  <c r="X171" i="13"/>
  <c r="X167" i="13"/>
  <c r="X132" i="13"/>
  <c r="X164" i="13"/>
  <c r="X178" i="13"/>
  <c r="X183" i="13"/>
  <c r="X186" i="13"/>
  <c r="X165" i="13"/>
  <c r="X168" i="13"/>
  <c r="X206" i="13"/>
  <c r="X190" i="13"/>
  <c r="X77" i="13"/>
  <c r="X69" i="13"/>
  <c r="X47" i="13"/>
  <c r="X360" i="13" s="1"/>
  <c r="X194" i="13"/>
  <c r="X172" i="13"/>
  <c r="X102" i="13"/>
  <c r="X82" i="13"/>
  <c r="X395" i="13" s="1"/>
  <c r="X74" i="13"/>
  <c r="X387" i="13" s="1"/>
  <c r="X54" i="13"/>
  <c r="X367" i="13" s="1"/>
  <c r="X78" i="13"/>
  <c r="X391" i="13" s="1"/>
  <c r="AA4" i="36" s="1"/>
  <c r="X71" i="13"/>
  <c r="X384" i="13" s="1"/>
  <c r="X83" i="13"/>
  <c r="X396" i="13" s="1"/>
  <c r="X68" i="13"/>
  <c r="X381" i="13" s="1"/>
  <c r="X81" i="13"/>
  <c r="X394" i="13" s="1"/>
  <c r="AA7" i="36" s="1"/>
  <c r="X52" i="13"/>
  <c r="X365" i="13" s="1"/>
  <c r="X204" i="13"/>
  <c r="X87" i="13"/>
  <c r="X400" i="13" s="1"/>
  <c r="X49" i="13"/>
  <c r="X362" i="13" s="1"/>
  <c r="X48" i="13"/>
  <c r="X361" i="13" s="1"/>
  <c r="X75" i="13"/>
  <c r="X80" i="13"/>
  <c r="X393" i="13" s="1"/>
  <c r="AA6" i="36" s="1"/>
  <c r="X76" i="13"/>
  <c r="X389" i="13" s="1"/>
  <c r="X53" i="13"/>
  <c r="X366" i="13" s="1"/>
  <c r="X46" i="13"/>
  <c r="X359" i="13" s="1"/>
  <c r="X170" i="13"/>
  <c r="X79" i="13"/>
  <c r="X392" i="13" s="1"/>
  <c r="AA5" i="36" s="1"/>
  <c r="X70" i="13"/>
  <c r="X383" i="13" s="1"/>
  <c r="X163" i="13"/>
  <c r="X203" i="13"/>
  <c r="X72" i="13"/>
  <c r="X385" i="13" s="1"/>
  <c r="X67" i="13"/>
  <c r="X380" i="13" s="1"/>
  <c r="X45" i="13"/>
  <c r="X358" i="13" s="1"/>
  <c r="X293" i="13"/>
  <c r="X174" i="13"/>
  <c r="X126" i="13"/>
  <c r="X99" i="13"/>
  <c r="X44" i="13"/>
  <c r="X357" i="13" s="1"/>
  <c r="X175" i="13"/>
  <c r="X73" i="13"/>
  <c r="X129" i="13"/>
  <c r="X100" i="13"/>
  <c r="X63" i="13"/>
  <c r="X169" i="13"/>
  <c r="X57" i="13"/>
  <c r="X370" i="13" s="1"/>
  <c r="X66" i="13"/>
  <c r="X56" i="13"/>
  <c r="X369" i="13" s="1"/>
  <c r="X43" i="13"/>
  <c r="X356" i="13" s="1"/>
  <c r="X64" i="13"/>
  <c r="X377" i="13" s="1"/>
  <c r="X125" i="13"/>
  <c r="X58" i="13"/>
  <c r="X371" i="13" s="1"/>
  <c r="X51" i="13"/>
  <c r="X364" i="13" s="1"/>
  <c r="X61" i="13"/>
  <c r="X374" i="13" s="1"/>
  <c r="X88" i="13"/>
  <c r="X86" i="13"/>
  <c r="X399" i="13" s="1"/>
  <c r="X84" i="13"/>
  <c r="X397" i="13" s="1"/>
  <c r="X50" i="13"/>
  <c r="X363" i="13" s="1"/>
  <c r="X59" i="13"/>
  <c r="X372" i="13" s="1"/>
  <c r="X205" i="13"/>
  <c r="X127" i="13"/>
  <c r="X105" i="13"/>
  <c r="X176" i="13"/>
  <c r="X85" i="13"/>
  <c r="X398" i="13" s="1"/>
  <c r="X65" i="13"/>
  <c r="X378" i="13" s="1"/>
  <c r="X62" i="13"/>
  <c r="X375" i="13" s="1"/>
  <c r="X207" i="13"/>
  <c r="X103" i="13"/>
  <c r="X55" i="13"/>
  <c r="X368" i="13" s="1"/>
  <c r="X60" i="13"/>
  <c r="X104" i="13"/>
  <c r="V282" i="5"/>
  <c r="W280" i="5"/>
  <c r="V444" i="5"/>
  <c r="W442" i="5"/>
  <c r="Y4" i="13"/>
  <c r="X485" i="5"/>
  <c r="X399" i="5"/>
  <c r="X199" i="5"/>
  <c r="W120" i="5"/>
  <c r="X43" i="5"/>
  <c r="N83" i="40" l="1"/>
  <c r="N94" i="40" s="1"/>
  <c r="D111" i="40" s="1"/>
  <c r="M85" i="40"/>
  <c r="M89" i="40" s="1"/>
  <c r="N322" i="40"/>
  <c r="N334" i="40" s="1"/>
  <c r="M324" i="40"/>
  <c r="M328" i="40" s="1"/>
  <c r="M162" i="40"/>
  <c r="M166" i="40" s="1"/>
  <c r="N160" i="40"/>
  <c r="N172" i="40" s="1"/>
  <c r="N6" i="40"/>
  <c r="N17" i="40" s="1"/>
  <c r="D34" i="40" s="1"/>
  <c r="M8" i="40"/>
  <c r="M12" i="40" s="1"/>
  <c r="N360" i="40"/>
  <c r="N372" i="40" s="1"/>
  <c r="M362" i="40"/>
  <c r="M366" i="40" s="1"/>
  <c r="M243" i="40"/>
  <c r="M247" i="40" s="1"/>
  <c r="N241" i="40"/>
  <c r="N253" i="40" s="1"/>
  <c r="X44" i="5"/>
  <c r="X200" i="5"/>
  <c r="X486" i="5"/>
  <c r="X487" i="5" s="1"/>
  <c r="X443" i="5"/>
  <c r="X281" i="5"/>
  <c r="X400" i="5"/>
  <c r="W487" i="5"/>
  <c r="X121" i="5"/>
  <c r="X7" i="5"/>
  <c r="N6" i="5"/>
  <c r="M8" i="5"/>
  <c r="H23" i="26"/>
  <c r="I18" i="26"/>
  <c r="I20" i="26" s="1"/>
  <c r="I22" i="26" s="1"/>
  <c r="I27" i="26"/>
  <c r="I28" i="26" s="1"/>
  <c r="J25" i="26" s="1"/>
  <c r="F67" i="26"/>
  <c r="G64" i="26" s="1"/>
  <c r="F62" i="26"/>
  <c r="R11" i="26"/>
  <c r="R51" i="26"/>
  <c r="P33" i="26"/>
  <c r="P14" i="26"/>
  <c r="P15" i="26" s="1"/>
  <c r="P17" i="26" s="1"/>
  <c r="R52" i="26"/>
  <c r="R13" i="26"/>
  <c r="R12" i="26"/>
  <c r="P72" i="26"/>
  <c r="P53" i="26"/>
  <c r="P54" i="26" s="1"/>
  <c r="P56" i="26" s="1"/>
  <c r="Y312" i="13"/>
  <c r="Y315" i="13"/>
  <c r="Y308" i="13"/>
  <c r="Y311" i="13"/>
  <c r="Y314" i="13"/>
  <c r="Y298" i="13"/>
  <c r="Y307" i="13"/>
  <c r="Y310" i="13"/>
  <c r="Y313" i="13"/>
  <c r="Y316" i="13"/>
  <c r="Y303" i="13"/>
  <c r="Y306" i="13"/>
  <c r="Y289" i="13"/>
  <c r="Y304" i="13"/>
  <c r="Y294" i="13"/>
  <c r="Y297" i="13"/>
  <c r="Y280" i="13"/>
  <c r="Y301" i="13"/>
  <c r="Y283" i="13"/>
  <c r="Y290" i="13"/>
  <c r="Y302" i="13"/>
  <c r="Y299" i="13"/>
  <c r="Y286" i="13"/>
  <c r="Y287" i="13"/>
  <c r="Y305" i="13"/>
  <c r="Y295" i="13"/>
  <c r="Y309" i="13"/>
  <c r="Y278" i="13"/>
  <c r="Y296" i="13"/>
  <c r="Y300" i="13"/>
  <c r="Y285" i="13"/>
  <c r="Y291" i="13"/>
  <c r="Y284" i="13"/>
  <c r="Y288" i="13"/>
  <c r="Y292" i="13"/>
  <c r="Y282" i="13"/>
  <c r="Y279" i="13"/>
  <c r="Y281" i="13"/>
  <c r="Y128" i="13"/>
  <c r="Y121" i="13"/>
  <c r="Y117" i="13"/>
  <c r="Y96" i="13"/>
  <c r="Y124" i="13"/>
  <c r="Y114" i="13"/>
  <c r="Y119" i="13"/>
  <c r="Y98" i="13"/>
  <c r="Y116" i="13"/>
  <c r="Y122" i="13"/>
  <c r="Y110" i="13"/>
  <c r="Y118" i="13"/>
  <c r="Y97" i="13"/>
  <c r="Y115" i="13"/>
  <c r="Y94" i="13"/>
  <c r="Y91" i="13"/>
  <c r="Y95" i="13"/>
  <c r="Y106" i="13"/>
  <c r="Y93" i="13"/>
  <c r="Y92" i="13"/>
  <c r="Y112" i="13"/>
  <c r="Y107" i="13"/>
  <c r="Y111" i="13"/>
  <c r="Y120" i="13"/>
  <c r="Y108" i="13"/>
  <c r="Y109" i="13"/>
  <c r="Y113" i="13"/>
  <c r="Y206" i="13"/>
  <c r="Y195" i="13"/>
  <c r="Y187" i="13"/>
  <c r="Y202" i="13"/>
  <c r="Y194" i="13"/>
  <c r="Y186" i="13"/>
  <c r="Y199" i="13"/>
  <c r="AB14" i="36" s="1"/>
  <c r="Y191" i="13"/>
  <c r="Y201" i="13"/>
  <c r="Y193" i="13"/>
  <c r="Y185" i="13"/>
  <c r="Y177" i="13"/>
  <c r="Y189" i="13"/>
  <c r="AB16" i="36" s="1"/>
  <c r="Y182" i="13"/>
  <c r="Y198" i="13"/>
  <c r="AB13" i="36" s="1"/>
  <c r="Y181" i="13"/>
  <c r="Y184" i="13"/>
  <c r="Y183" i="13"/>
  <c r="Y179" i="13"/>
  <c r="Y178" i="13"/>
  <c r="Y171" i="13"/>
  <c r="Y162" i="13"/>
  <c r="Y196" i="13"/>
  <c r="Y167" i="13"/>
  <c r="Y166" i="13"/>
  <c r="Y197" i="13"/>
  <c r="AB12" i="36" s="1"/>
  <c r="Y172" i="13"/>
  <c r="Y190" i="13"/>
  <c r="Y192" i="13"/>
  <c r="Y200" i="13"/>
  <c r="AB15" i="36" s="1"/>
  <c r="Y123" i="13"/>
  <c r="Y173" i="13"/>
  <c r="Y132" i="13"/>
  <c r="Y188" i="13"/>
  <c r="Y163" i="13"/>
  <c r="Y165" i="13"/>
  <c r="Y180" i="13"/>
  <c r="Y101" i="13"/>
  <c r="Y83" i="13"/>
  <c r="Y396" i="13" s="1"/>
  <c r="Y164" i="13"/>
  <c r="Y77" i="13"/>
  <c r="Y46" i="13"/>
  <c r="Y359" i="13" s="1"/>
  <c r="Y44" i="13"/>
  <c r="Y357" i="13" s="1"/>
  <c r="Y102" i="13"/>
  <c r="Y80" i="13"/>
  <c r="Y393" i="13" s="1"/>
  <c r="AB6" i="36" s="1"/>
  <c r="Y49" i="13"/>
  <c r="Y362" i="13" s="1"/>
  <c r="Y75" i="13"/>
  <c r="Y68" i="13"/>
  <c r="Y381" i="13" s="1"/>
  <c r="Y207" i="13"/>
  <c r="Y87" i="13"/>
  <c r="Y400" i="13" s="1"/>
  <c r="Y78" i="13"/>
  <c r="Y391" i="13" s="1"/>
  <c r="AB4" i="36" s="1"/>
  <c r="Y47" i="13"/>
  <c r="Y360" i="13" s="1"/>
  <c r="Y79" i="13"/>
  <c r="Y392" i="13" s="1"/>
  <c r="AB5" i="36" s="1"/>
  <c r="Y73" i="13"/>
  <c r="Y53" i="13"/>
  <c r="Y366" i="13" s="1"/>
  <c r="Y52" i="13"/>
  <c r="Y365" i="13" s="1"/>
  <c r="Y82" i="13"/>
  <c r="Y395" i="13" s="1"/>
  <c r="Y72" i="13"/>
  <c r="Y385" i="13" s="1"/>
  <c r="Y71" i="13"/>
  <c r="Y384" i="13" s="1"/>
  <c r="Y100" i="13"/>
  <c r="Y127" i="13"/>
  <c r="Y105" i="13"/>
  <c r="Y175" i="13"/>
  <c r="Y125" i="13"/>
  <c r="Y103" i="13"/>
  <c r="Y67" i="13"/>
  <c r="Y380" i="13" s="1"/>
  <c r="Y45" i="13"/>
  <c r="Y358" i="13" s="1"/>
  <c r="Y205" i="13"/>
  <c r="Y170" i="13"/>
  <c r="Y76" i="13"/>
  <c r="Y389" i="13" s="1"/>
  <c r="Y86" i="13"/>
  <c r="Y399" i="13" s="1"/>
  <c r="Y65" i="13"/>
  <c r="Y378" i="13" s="1"/>
  <c r="Y61" i="13"/>
  <c r="Y374" i="13" s="1"/>
  <c r="Y70" i="13"/>
  <c r="Y383" i="13" s="1"/>
  <c r="Y81" i="13"/>
  <c r="Y394" i="13" s="1"/>
  <c r="AB7" i="36" s="1"/>
  <c r="Y204" i="13"/>
  <c r="Y169" i="13"/>
  <c r="Y84" i="13"/>
  <c r="Y397" i="13" s="1"/>
  <c r="Y63" i="13"/>
  <c r="Y59" i="13"/>
  <c r="Y372" i="13" s="1"/>
  <c r="Y168" i="13"/>
  <c r="Y203" i="13"/>
  <c r="Y85" i="13"/>
  <c r="Y398" i="13" s="1"/>
  <c r="Y293" i="13"/>
  <c r="Y174" i="13"/>
  <c r="Y48" i="13"/>
  <c r="Y361" i="13" s="1"/>
  <c r="Y56" i="13"/>
  <c r="Y369" i="13" s="1"/>
  <c r="Y69" i="13"/>
  <c r="Y176" i="13"/>
  <c r="Y60" i="13"/>
  <c r="Y74" i="13"/>
  <c r="Y387" i="13" s="1"/>
  <c r="Y50" i="13"/>
  <c r="Y363" i="13" s="1"/>
  <c r="Y62" i="13"/>
  <c r="Y375" i="13" s="1"/>
  <c r="Y129" i="13"/>
  <c r="Y57" i="13"/>
  <c r="Y370" i="13" s="1"/>
  <c r="Y88" i="13"/>
  <c r="Y66" i="13"/>
  <c r="Y64" i="13"/>
  <c r="Y377" i="13" s="1"/>
  <c r="Y51" i="13"/>
  <c r="Y364" i="13" s="1"/>
  <c r="Y99" i="13"/>
  <c r="Y54" i="13"/>
  <c r="Y367" i="13" s="1"/>
  <c r="Y43" i="13"/>
  <c r="Y356" i="13" s="1"/>
  <c r="Y55" i="13"/>
  <c r="Y368" i="13" s="1"/>
  <c r="Y104" i="13"/>
  <c r="Y126" i="13"/>
  <c r="Y58" i="13"/>
  <c r="Y371" i="13" s="1"/>
  <c r="W444" i="5"/>
  <c r="X442" i="5"/>
  <c r="W282" i="5"/>
  <c r="X280" i="5"/>
  <c r="Z4" i="13"/>
  <c r="X120" i="5"/>
  <c r="O360" i="40" l="1"/>
  <c r="N362" i="40"/>
  <c r="N366" i="40" s="1"/>
  <c r="O6" i="40"/>
  <c r="N8" i="40"/>
  <c r="N12" i="40" s="1"/>
  <c r="N162" i="40"/>
  <c r="N166" i="40" s="1"/>
  <c r="O160" i="40"/>
  <c r="O322" i="40"/>
  <c r="N324" i="40"/>
  <c r="N328" i="40" s="1"/>
  <c r="N243" i="40"/>
  <c r="N247" i="40" s="1"/>
  <c r="O241" i="40"/>
  <c r="N85" i="40"/>
  <c r="N89" i="40" s="1"/>
  <c r="O83" i="40"/>
  <c r="X401" i="5"/>
  <c r="N8" i="5"/>
  <c r="O6" i="5"/>
  <c r="I23" i="26"/>
  <c r="J18" i="26"/>
  <c r="J20" i="26" s="1"/>
  <c r="J22" i="26" s="1"/>
  <c r="J27" i="26"/>
  <c r="J28" i="26" s="1"/>
  <c r="K25" i="26" s="1"/>
  <c r="G57" i="26"/>
  <c r="G59" i="26" s="1"/>
  <c r="G61" i="26" s="1"/>
  <c r="G66" i="26"/>
  <c r="G67" i="26" s="1"/>
  <c r="H64" i="26" s="1"/>
  <c r="S11" i="26"/>
  <c r="S13" i="26"/>
  <c r="S51" i="26"/>
  <c r="Q14" i="26"/>
  <c r="Q15" i="26" s="1"/>
  <c r="Q17" i="26" s="1"/>
  <c r="Q33" i="26"/>
  <c r="S52" i="26"/>
  <c r="S12" i="26"/>
  <c r="Q53" i="26"/>
  <c r="Q54" i="26" s="1"/>
  <c r="Q56" i="26" s="1"/>
  <c r="Q72" i="26"/>
  <c r="Z315" i="13"/>
  <c r="Z308" i="13"/>
  <c r="Z311" i="13"/>
  <c r="Z314" i="13"/>
  <c r="Z298" i="13"/>
  <c r="Z301" i="13"/>
  <c r="Z307" i="13"/>
  <c r="Z310" i="13"/>
  <c r="Z313" i="13"/>
  <c r="Z316" i="13"/>
  <c r="Z306" i="13"/>
  <c r="Z309" i="13"/>
  <c r="Z292" i="13"/>
  <c r="Z305" i="13"/>
  <c r="Z302" i="13"/>
  <c r="Z312" i="13"/>
  <c r="Z297" i="13"/>
  <c r="Z299" i="13"/>
  <c r="Z284" i="13"/>
  <c r="Z283" i="13"/>
  <c r="Z304" i="13"/>
  <c r="Z278" i="13"/>
  <c r="Z287" i="13"/>
  <c r="Z303" i="13"/>
  <c r="Z295" i="13"/>
  <c r="Z291" i="13"/>
  <c r="Z280" i="13"/>
  <c r="Z289" i="13"/>
  <c r="Z296" i="13"/>
  <c r="Z288" i="13"/>
  <c r="Z300" i="13"/>
  <c r="Z286" i="13"/>
  <c r="Z285" i="13"/>
  <c r="Z282" i="13"/>
  <c r="Z294" i="13"/>
  <c r="Z279" i="13"/>
  <c r="Z290" i="13"/>
  <c r="Z281" i="13"/>
  <c r="Z121" i="13"/>
  <c r="Z106" i="13"/>
  <c r="Z117" i="13"/>
  <c r="Z124" i="13"/>
  <c r="Z114" i="13"/>
  <c r="Z119" i="13"/>
  <c r="Z98" i="13"/>
  <c r="Z116" i="13"/>
  <c r="Z95" i="13"/>
  <c r="Z122" i="13"/>
  <c r="Z118" i="13"/>
  <c r="Z97" i="13"/>
  <c r="Z128" i="13"/>
  <c r="Z94" i="13"/>
  <c r="Z115" i="13"/>
  <c r="Z91" i="13"/>
  <c r="Z93" i="13"/>
  <c r="Z110" i="13"/>
  <c r="Z96" i="13"/>
  <c r="Z92" i="13"/>
  <c r="Z107" i="13"/>
  <c r="Z112" i="13"/>
  <c r="Z120" i="13"/>
  <c r="Z109" i="13"/>
  <c r="Z111" i="13"/>
  <c r="Z108" i="13"/>
  <c r="Z113" i="13"/>
  <c r="Z202" i="13"/>
  <c r="Z194" i="13"/>
  <c r="Z186" i="13"/>
  <c r="Z196" i="13"/>
  <c r="Z188" i="13"/>
  <c r="Z198" i="13"/>
  <c r="AC13" i="36" s="1"/>
  <c r="Z193" i="13"/>
  <c r="Z189" i="13"/>
  <c r="C15" i="36" s="1"/>
  <c r="Z199" i="13"/>
  <c r="E15" i="36" s="1"/>
  <c r="Z182" i="13"/>
  <c r="Z201" i="13"/>
  <c r="Z197" i="13"/>
  <c r="D15" i="36" s="1"/>
  <c r="Z191" i="13"/>
  <c r="Z200" i="13"/>
  <c r="F15" i="36" s="1"/>
  <c r="Z195" i="13"/>
  <c r="Z178" i="13"/>
  <c r="Z181" i="13"/>
  <c r="Z180" i="13"/>
  <c r="Z172" i="13"/>
  <c r="Z171" i="13"/>
  <c r="Z192" i="13"/>
  <c r="Z167" i="13"/>
  <c r="Z206" i="13"/>
  <c r="Z123" i="13"/>
  <c r="Z168" i="13"/>
  <c r="Z164" i="13"/>
  <c r="Z163" i="13"/>
  <c r="Z83" i="13"/>
  <c r="Z396" i="13" s="1"/>
  <c r="Z173" i="13"/>
  <c r="Z132" i="13"/>
  <c r="Z100" i="13"/>
  <c r="Z184" i="13"/>
  <c r="Z183" i="13"/>
  <c r="Z185" i="13"/>
  <c r="Z177" i="13"/>
  <c r="Z165" i="13"/>
  <c r="Z162" i="13"/>
  <c r="Z190" i="13"/>
  <c r="Z179" i="13"/>
  <c r="Z102" i="13"/>
  <c r="Z82" i="13"/>
  <c r="Z395" i="13" s="1"/>
  <c r="Z74" i="13"/>
  <c r="Z387" i="13" s="1"/>
  <c r="Z54" i="13"/>
  <c r="Z367" i="13" s="1"/>
  <c r="Z187" i="13"/>
  <c r="Z87" i="13"/>
  <c r="Z400" i="13" s="1"/>
  <c r="Z79" i="13"/>
  <c r="Z392" i="13" s="1"/>
  <c r="AC5" i="36" s="1"/>
  <c r="Z71" i="13"/>
  <c r="Z384" i="13" s="1"/>
  <c r="Z49" i="13"/>
  <c r="Z362" i="13" s="1"/>
  <c r="Z166" i="13"/>
  <c r="Z204" i="13"/>
  <c r="Z207" i="13"/>
  <c r="Z72" i="13"/>
  <c r="Z385" i="13" s="1"/>
  <c r="Z53" i="13"/>
  <c r="Z366" i="13" s="1"/>
  <c r="Z170" i="13"/>
  <c r="Z75" i="13"/>
  <c r="Z175" i="13"/>
  <c r="Z81" i="13"/>
  <c r="Z394" i="13" s="1"/>
  <c r="F7" i="36" s="1"/>
  <c r="Z77" i="13"/>
  <c r="Z69" i="13"/>
  <c r="Z101" i="13"/>
  <c r="Z76" i="13"/>
  <c r="Z389" i="13" s="1"/>
  <c r="Z70" i="13"/>
  <c r="Z383" i="13" s="1"/>
  <c r="C7" i="36" s="1"/>
  <c r="Z203" i="13"/>
  <c r="Z78" i="13"/>
  <c r="Z391" i="13" s="1"/>
  <c r="D7" i="36" s="1"/>
  <c r="Z47" i="13"/>
  <c r="Z360" i="13" s="1"/>
  <c r="Z46" i="13"/>
  <c r="Z359" i="13" s="1"/>
  <c r="Z205" i="13"/>
  <c r="Z169" i="13"/>
  <c r="Z99" i="13"/>
  <c r="Z44" i="13"/>
  <c r="Z357" i="13" s="1"/>
  <c r="Z125" i="13"/>
  <c r="Z48" i="13"/>
  <c r="Z361" i="13" s="1"/>
  <c r="Z129" i="13"/>
  <c r="Z105" i="13"/>
  <c r="Z67" i="13"/>
  <c r="Z380" i="13" s="1"/>
  <c r="Z45" i="13"/>
  <c r="Z358" i="13" s="1"/>
  <c r="Z104" i="13"/>
  <c r="Z66" i="13"/>
  <c r="Z61" i="13"/>
  <c r="Z374" i="13" s="1"/>
  <c r="Z56" i="13"/>
  <c r="Z369" i="13" s="1"/>
  <c r="Z43" i="13"/>
  <c r="Z356" i="13" s="1"/>
  <c r="Z293" i="13"/>
  <c r="Z174" i="13"/>
  <c r="Z60" i="13"/>
  <c r="Z126" i="13"/>
  <c r="Z103" i="13"/>
  <c r="Z73" i="13"/>
  <c r="Z86" i="13"/>
  <c r="Z399" i="13" s="1"/>
  <c r="Z58" i="13"/>
  <c r="Z371" i="13" s="1"/>
  <c r="Z51" i="13"/>
  <c r="Z364" i="13" s="1"/>
  <c r="Z85" i="13"/>
  <c r="Z398" i="13" s="1"/>
  <c r="Z63" i="13"/>
  <c r="Z80" i="13"/>
  <c r="Z393" i="13" s="1"/>
  <c r="E7" i="36" s="1"/>
  <c r="Z52" i="13"/>
  <c r="Z365" i="13" s="1"/>
  <c r="Z88" i="13"/>
  <c r="Z65" i="13"/>
  <c r="Z378" i="13" s="1"/>
  <c r="Z64" i="13"/>
  <c r="Z377" i="13" s="1"/>
  <c r="Z50" i="13"/>
  <c r="Z363" i="13" s="1"/>
  <c r="Z62" i="13"/>
  <c r="Z375" i="13" s="1"/>
  <c r="Z68" i="13"/>
  <c r="Z381" i="13" s="1"/>
  <c r="Z176" i="13"/>
  <c r="Z84" i="13"/>
  <c r="Z397" i="13" s="1"/>
  <c r="Z57" i="13"/>
  <c r="Z370" i="13" s="1"/>
  <c r="Z55" i="13"/>
  <c r="Z368" i="13" s="1"/>
  <c r="Z59" i="13"/>
  <c r="Z372" i="13" s="1"/>
  <c r="Z127" i="13"/>
  <c r="X444" i="5"/>
  <c r="X282" i="5"/>
  <c r="AA4" i="13"/>
  <c r="P322" i="40" l="1"/>
  <c r="O324" i="40"/>
  <c r="O328" i="40" s="1"/>
  <c r="O162" i="40"/>
  <c r="O166" i="40" s="1"/>
  <c r="P160" i="40"/>
  <c r="P6" i="40"/>
  <c r="O8" i="40"/>
  <c r="O12" i="40" s="1"/>
  <c r="P83" i="40"/>
  <c r="O85" i="40"/>
  <c r="O89" i="40" s="1"/>
  <c r="P360" i="40"/>
  <c r="O362" i="40"/>
  <c r="O366" i="40" s="1"/>
  <c r="P241" i="40"/>
  <c r="O243" i="40"/>
  <c r="O247" i="40" s="1"/>
  <c r="P6" i="5"/>
  <c r="O8" i="5"/>
  <c r="J23" i="26"/>
  <c r="K18" i="26"/>
  <c r="K20" i="26" s="1"/>
  <c r="K22" i="26" s="1"/>
  <c r="K27" i="26"/>
  <c r="K28" i="26" s="1"/>
  <c r="L25" i="26" s="1"/>
  <c r="G62" i="26"/>
  <c r="H57" i="26"/>
  <c r="H59" i="26" s="1"/>
  <c r="H61" i="26" s="1"/>
  <c r="H66" i="26"/>
  <c r="H67" i="26" s="1"/>
  <c r="I64" i="26" s="1"/>
  <c r="T11" i="26"/>
  <c r="T12" i="26"/>
  <c r="R33" i="26"/>
  <c r="R14" i="26"/>
  <c r="R15" i="26" s="1"/>
  <c r="R17" i="26" s="1"/>
  <c r="T52" i="26"/>
  <c r="T13" i="26"/>
  <c r="T51" i="26"/>
  <c r="R53" i="26"/>
  <c r="R54" i="26" s="1"/>
  <c r="R56" i="26" s="1"/>
  <c r="R72" i="26"/>
  <c r="AA305" i="13"/>
  <c r="AA308" i="13"/>
  <c r="AA311" i="13"/>
  <c r="AA314" i="13"/>
  <c r="AA298" i="13"/>
  <c r="AA301" i="13"/>
  <c r="AA304" i="13"/>
  <c r="AA310" i="13"/>
  <c r="AA313" i="13"/>
  <c r="AA316" i="13"/>
  <c r="AA300" i="13"/>
  <c r="AA309" i="13"/>
  <c r="AA312" i="13"/>
  <c r="AA295" i="13"/>
  <c r="AA299" i="13"/>
  <c r="AA284" i="13"/>
  <c r="AA287" i="13"/>
  <c r="AA281" i="13"/>
  <c r="AA315" i="13"/>
  <c r="AA307" i="13"/>
  <c r="AA290" i="13"/>
  <c r="AA306" i="13"/>
  <c r="AA302" i="13"/>
  <c r="AA294" i="13"/>
  <c r="AA285" i="13"/>
  <c r="AA280" i="13"/>
  <c r="AA289" i="13"/>
  <c r="AA296" i="13"/>
  <c r="AA288" i="13"/>
  <c r="AA297" i="13"/>
  <c r="AA303" i="13"/>
  <c r="AA286" i="13"/>
  <c r="AA283" i="13"/>
  <c r="AA292" i="13"/>
  <c r="AA291" i="13"/>
  <c r="AA278" i="13"/>
  <c r="AA282" i="13"/>
  <c r="AA279" i="13"/>
  <c r="AA117" i="13"/>
  <c r="AA124" i="13"/>
  <c r="AA114" i="13"/>
  <c r="AA119" i="13"/>
  <c r="AA98" i="13"/>
  <c r="AA116" i="13"/>
  <c r="AA95" i="13"/>
  <c r="AA122" i="13"/>
  <c r="AA110" i="13"/>
  <c r="AA118" i="13"/>
  <c r="AA97" i="13"/>
  <c r="AA115" i="13"/>
  <c r="AA121" i="13"/>
  <c r="AA106" i="13"/>
  <c r="AA94" i="13"/>
  <c r="AA91" i="13"/>
  <c r="AA93" i="13"/>
  <c r="AA96" i="13"/>
  <c r="AA92" i="13"/>
  <c r="AA128" i="13"/>
  <c r="AA112" i="13"/>
  <c r="AA107" i="13"/>
  <c r="AA108" i="13"/>
  <c r="AA111" i="13"/>
  <c r="AA120" i="13"/>
  <c r="AA113" i="13"/>
  <c r="AA109" i="13"/>
  <c r="AA200" i="13"/>
  <c r="AD15" i="36" s="1"/>
  <c r="AA192" i="13"/>
  <c r="AA199" i="13"/>
  <c r="AD14" i="36" s="1"/>
  <c r="AA191" i="13"/>
  <c r="AA196" i="13"/>
  <c r="AA188" i="13"/>
  <c r="AA198" i="13"/>
  <c r="AD13" i="36" s="1"/>
  <c r="AA190" i="13"/>
  <c r="AA182" i="13"/>
  <c r="AA201" i="13"/>
  <c r="AA197" i="13"/>
  <c r="AD12" i="36" s="1"/>
  <c r="AA179" i="13"/>
  <c r="AA195" i="13"/>
  <c r="AA178" i="13"/>
  <c r="AA177" i="13"/>
  <c r="AA166" i="13"/>
  <c r="AA194" i="13"/>
  <c r="AA181" i="13"/>
  <c r="AA193" i="13"/>
  <c r="AA189" i="13"/>
  <c r="AD16" i="36" s="1"/>
  <c r="AA101" i="13"/>
  <c r="AA202" i="13"/>
  <c r="AA206" i="13"/>
  <c r="AA183" i="13"/>
  <c r="AA173" i="13"/>
  <c r="AA132" i="13"/>
  <c r="AA184" i="13"/>
  <c r="AA163" i="13"/>
  <c r="AA185" i="13"/>
  <c r="AA186" i="13"/>
  <c r="AA167" i="13"/>
  <c r="AA162" i="13"/>
  <c r="AA180" i="13"/>
  <c r="AA168" i="13"/>
  <c r="AA102" i="13"/>
  <c r="AA171" i="13"/>
  <c r="AA187" i="13"/>
  <c r="AA172" i="13"/>
  <c r="AA123" i="13"/>
  <c r="AA78" i="13"/>
  <c r="AA391" i="13" s="1"/>
  <c r="AD4" i="36" s="1"/>
  <c r="AA72" i="13"/>
  <c r="AA385" i="13" s="1"/>
  <c r="AA54" i="13"/>
  <c r="AA367" i="13" s="1"/>
  <c r="AA81" i="13"/>
  <c r="AA394" i="13" s="1"/>
  <c r="AD7" i="36" s="1"/>
  <c r="AA75" i="13"/>
  <c r="AA69" i="13"/>
  <c r="AA87" i="13"/>
  <c r="AA400" i="13" s="1"/>
  <c r="AA83" i="13"/>
  <c r="AA396" i="13" s="1"/>
  <c r="AA48" i="13"/>
  <c r="AA361" i="13" s="1"/>
  <c r="AA82" i="13"/>
  <c r="AA395" i="13" s="1"/>
  <c r="AA79" i="13"/>
  <c r="AA392" i="13" s="1"/>
  <c r="AD5" i="36" s="1"/>
  <c r="AA76" i="13"/>
  <c r="AA389" i="13" s="1"/>
  <c r="AA73" i="13"/>
  <c r="AA52" i="13"/>
  <c r="AA365" i="13" s="1"/>
  <c r="AA71" i="13"/>
  <c r="AA384" i="13" s="1"/>
  <c r="AA80" i="13"/>
  <c r="AA393" i="13" s="1"/>
  <c r="AD6" i="36" s="1"/>
  <c r="AA74" i="13"/>
  <c r="AA387" i="13" s="1"/>
  <c r="AA68" i="13"/>
  <c r="AA381" i="13" s="1"/>
  <c r="AA45" i="13"/>
  <c r="AA358" i="13" s="1"/>
  <c r="AA164" i="13"/>
  <c r="AA293" i="13"/>
  <c r="AA174" i="13"/>
  <c r="AA126" i="13"/>
  <c r="AA104" i="13"/>
  <c r="AA67" i="13"/>
  <c r="AA380" i="13" s="1"/>
  <c r="AA44" i="13"/>
  <c r="AA357" i="13" s="1"/>
  <c r="AA70" i="13"/>
  <c r="AA383" i="13" s="1"/>
  <c r="AA165" i="13"/>
  <c r="AA53" i="13"/>
  <c r="AA366" i="13" s="1"/>
  <c r="AA129" i="13"/>
  <c r="AA99" i="13"/>
  <c r="AA205" i="13"/>
  <c r="AA170" i="13"/>
  <c r="AA175" i="13"/>
  <c r="AA85" i="13"/>
  <c r="AA398" i="13" s="1"/>
  <c r="AA64" i="13"/>
  <c r="AA377" i="13" s="1"/>
  <c r="AA60" i="13"/>
  <c r="AA57" i="13"/>
  <c r="AA370" i="13" s="1"/>
  <c r="AA49" i="13"/>
  <c r="AA362" i="13" s="1"/>
  <c r="AA204" i="13"/>
  <c r="AA46" i="13"/>
  <c r="AA359" i="13" s="1"/>
  <c r="AA176" i="13"/>
  <c r="AA88" i="13"/>
  <c r="AA66" i="13"/>
  <c r="AA62" i="13"/>
  <c r="AA375" i="13" s="1"/>
  <c r="AA58" i="13"/>
  <c r="AA371" i="13" s="1"/>
  <c r="AA203" i="13"/>
  <c r="AA77" i="13"/>
  <c r="AA103" i="13"/>
  <c r="AA47" i="13"/>
  <c r="AA360" i="13" s="1"/>
  <c r="AA65" i="13"/>
  <c r="AA378" i="13" s="1"/>
  <c r="AA100" i="13"/>
  <c r="AA50" i="13"/>
  <c r="AA363" i="13" s="1"/>
  <c r="AA55" i="13"/>
  <c r="AA368" i="13" s="1"/>
  <c r="AA84" i="13"/>
  <c r="AA397" i="13" s="1"/>
  <c r="AA63" i="13"/>
  <c r="AA51" i="13"/>
  <c r="AA364" i="13" s="1"/>
  <c r="AA169" i="13"/>
  <c r="AA61" i="13"/>
  <c r="AA374" i="13" s="1"/>
  <c r="AA56" i="13"/>
  <c r="AA369" i="13" s="1"/>
  <c r="AA86" i="13"/>
  <c r="AA399" i="13" s="1"/>
  <c r="AA43" i="13"/>
  <c r="AA356" i="13" s="1"/>
  <c r="AA207" i="13"/>
  <c r="AA125" i="13"/>
  <c r="AA59" i="13"/>
  <c r="AA372" i="13" s="1"/>
  <c r="AA127" i="13"/>
  <c r="AA105" i="13"/>
  <c r="AB4" i="13"/>
  <c r="Q360" i="40" l="1"/>
  <c r="P362" i="40"/>
  <c r="P366" i="40" s="1"/>
  <c r="P85" i="40"/>
  <c r="P89" i="40" s="1"/>
  <c r="Q83" i="40"/>
  <c r="Q6" i="40"/>
  <c r="P8" i="40"/>
  <c r="P12" i="40" s="1"/>
  <c r="P162" i="40"/>
  <c r="P166" i="40" s="1"/>
  <c r="Q160" i="40"/>
  <c r="Q241" i="40"/>
  <c r="P243" i="40"/>
  <c r="P247" i="40" s="1"/>
  <c r="Q322" i="40"/>
  <c r="P324" i="40"/>
  <c r="P328" i="40" s="1"/>
  <c r="P8" i="5"/>
  <c r="Q6" i="5"/>
  <c r="K23" i="26"/>
  <c r="L18" i="26"/>
  <c r="L20" i="26" s="1"/>
  <c r="L22" i="26" s="1"/>
  <c r="L27" i="26"/>
  <c r="L28" i="26" s="1"/>
  <c r="M25" i="26" s="1"/>
  <c r="I57" i="26"/>
  <c r="I59" i="26" s="1"/>
  <c r="I61" i="26" s="1"/>
  <c r="I66" i="26"/>
  <c r="I67" i="26" s="1"/>
  <c r="J64" i="26" s="1"/>
  <c r="H62" i="26"/>
  <c r="S33" i="26"/>
  <c r="S14" i="26"/>
  <c r="S15" i="26" s="1"/>
  <c r="S17" i="26" s="1"/>
  <c r="U11" i="26"/>
  <c r="U12" i="26"/>
  <c r="U13" i="26"/>
  <c r="U52" i="26"/>
  <c r="U51" i="26"/>
  <c r="S53" i="26"/>
  <c r="S54" i="26" s="1"/>
  <c r="S56" i="26" s="1"/>
  <c r="S72" i="26"/>
  <c r="AB308" i="13"/>
  <c r="AB311" i="13"/>
  <c r="AB314" i="13"/>
  <c r="AB301" i="13"/>
  <c r="AB304" i="13"/>
  <c r="AB307" i="13"/>
  <c r="AB310" i="13"/>
  <c r="AB313" i="13"/>
  <c r="AB316" i="13"/>
  <c r="AB300" i="13"/>
  <c r="AB303" i="13"/>
  <c r="AB306" i="13"/>
  <c r="AB309" i="13"/>
  <c r="AB312" i="13"/>
  <c r="AB315" i="13"/>
  <c r="AB299" i="13"/>
  <c r="AB294" i="13"/>
  <c r="AB287" i="13"/>
  <c r="AB290" i="13"/>
  <c r="AB305" i="13"/>
  <c r="AB291" i="13"/>
  <c r="AB289" i="13"/>
  <c r="AB285" i="13"/>
  <c r="AB298" i="13"/>
  <c r="AB292" i="13"/>
  <c r="AB288" i="13"/>
  <c r="AB286" i="13"/>
  <c r="AB284" i="13"/>
  <c r="AB295" i="13"/>
  <c r="AB296" i="13"/>
  <c r="AB281" i="13"/>
  <c r="AB282" i="13"/>
  <c r="AB297" i="13"/>
  <c r="AB283" i="13"/>
  <c r="AB302" i="13"/>
  <c r="AB278" i="13"/>
  <c r="AB280" i="13"/>
  <c r="AB279" i="13"/>
  <c r="AB117" i="13"/>
  <c r="AB124" i="13"/>
  <c r="V52" i="26" s="1"/>
  <c r="AB114" i="13"/>
  <c r="AB119" i="13"/>
  <c r="AB116" i="13"/>
  <c r="AB95" i="13"/>
  <c r="AB122" i="13"/>
  <c r="AB110" i="13"/>
  <c r="AB118" i="13"/>
  <c r="AB115" i="13"/>
  <c r="AB128" i="13"/>
  <c r="AB91" i="13"/>
  <c r="AB93" i="13"/>
  <c r="AB96" i="13"/>
  <c r="AB92" i="13"/>
  <c r="AB121" i="13"/>
  <c r="AB97" i="13"/>
  <c r="AB106" i="13"/>
  <c r="AB98" i="13"/>
  <c r="AB94" i="13"/>
  <c r="AB120" i="13"/>
  <c r="AB112" i="13"/>
  <c r="AB107" i="13"/>
  <c r="AB108" i="13"/>
  <c r="AB111" i="13"/>
  <c r="AB113" i="13"/>
  <c r="AB109" i="13"/>
  <c r="AB199" i="13"/>
  <c r="AE14" i="36" s="1"/>
  <c r="AB191" i="13"/>
  <c r="AB201" i="13"/>
  <c r="V12" i="26" s="1"/>
  <c r="AB193" i="13"/>
  <c r="AB185" i="13"/>
  <c r="AB206" i="13"/>
  <c r="AB197" i="13"/>
  <c r="AE12" i="36" s="1"/>
  <c r="AB179" i="13"/>
  <c r="AB190" i="13"/>
  <c r="AB186" i="13"/>
  <c r="AB200" i="13"/>
  <c r="AE15" i="36" s="1"/>
  <c r="AB183" i="13"/>
  <c r="AB167" i="13"/>
  <c r="AB192" i="13"/>
  <c r="AB166" i="13"/>
  <c r="AB202" i="13"/>
  <c r="V51" i="26" s="1"/>
  <c r="AB184" i="13"/>
  <c r="AB182" i="13"/>
  <c r="AB173" i="13"/>
  <c r="AB196" i="13"/>
  <c r="AB194" i="13"/>
  <c r="AB181" i="13"/>
  <c r="AB198" i="13"/>
  <c r="AE13" i="36" s="1"/>
  <c r="AB163" i="13"/>
  <c r="AB188" i="13"/>
  <c r="AB123" i="13"/>
  <c r="V13" i="26" s="1"/>
  <c r="AB165" i="13"/>
  <c r="AB189" i="13"/>
  <c r="AE16" i="36" s="1"/>
  <c r="AB171" i="13"/>
  <c r="AB132" i="13"/>
  <c r="V11" i="26" s="1"/>
  <c r="AB178" i="13"/>
  <c r="AB195" i="13"/>
  <c r="AB177" i="13"/>
  <c r="AB162" i="13"/>
  <c r="AB180" i="13"/>
  <c r="AB168" i="13"/>
  <c r="AB101" i="13"/>
  <c r="AB187" i="13"/>
  <c r="AB172" i="13"/>
  <c r="AB164" i="13"/>
  <c r="AB87" i="13"/>
  <c r="AB400" i="13" s="1"/>
  <c r="AB79" i="13"/>
  <c r="AB392" i="13" s="1"/>
  <c r="AE5" i="36" s="1"/>
  <c r="AB71" i="13"/>
  <c r="AB384" i="13" s="1"/>
  <c r="AB49" i="13"/>
  <c r="AB362" i="13" s="1"/>
  <c r="AB76" i="13"/>
  <c r="AB389" i="13" s="1"/>
  <c r="AB68" i="13"/>
  <c r="AB381" i="13" s="1"/>
  <c r="AB46" i="13"/>
  <c r="AB359" i="13" s="1"/>
  <c r="AB69" i="13"/>
  <c r="AB82" i="13"/>
  <c r="AB395" i="13" s="1"/>
  <c r="AB45" i="13"/>
  <c r="AB358" i="13" s="1"/>
  <c r="AB203" i="13"/>
  <c r="AB73" i="13"/>
  <c r="AB72" i="13"/>
  <c r="AB385" i="13" s="1"/>
  <c r="AB77" i="13"/>
  <c r="AB53" i="13"/>
  <c r="AB366" i="13" s="1"/>
  <c r="AB67" i="13"/>
  <c r="AB380" i="13" s="1"/>
  <c r="AB54" i="13"/>
  <c r="AB367" i="13" s="1"/>
  <c r="AB78" i="13"/>
  <c r="AB391" i="13" s="1"/>
  <c r="AE4" i="36" s="1"/>
  <c r="AB70" i="13"/>
  <c r="AB383" i="13" s="1"/>
  <c r="AB80" i="13"/>
  <c r="AB393" i="13" s="1"/>
  <c r="AE6" i="36" s="1"/>
  <c r="AB74" i="13"/>
  <c r="AB387" i="13" s="1"/>
  <c r="AB75" i="13"/>
  <c r="AB44" i="13"/>
  <c r="AB357" i="13" s="1"/>
  <c r="AB83" i="13"/>
  <c r="AB396" i="13" s="1"/>
  <c r="AB48" i="13"/>
  <c r="AB361" i="13" s="1"/>
  <c r="AB205" i="13"/>
  <c r="AB169" i="13"/>
  <c r="AB176" i="13"/>
  <c r="AB52" i="13"/>
  <c r="AB365" i="13" s="1"/>
  <c r="AB125" i="13"/>
  <c r="AB81" i="13"/>
  <c r="AB394" i="13" s="1"/>
  <c r="AE7" i="36" s="1"/>
  <c r="AB204" i="13"/>
  <c r="AB207" i="13"/>
  <c r="AB170" i="13"/>
  <c r="AB127" i="13"/>
  <c r="AB104" i="13"/>
  <c r="AB47" i="13"/>
  <c r="AB360" i="13" s="1"/>
  <c r="AB126" i="13"/>
  <c r="AB65" i="13"/>
  <c r="AB378" i="13" s="1"/>
  <c r="AB55" i="13"/>
  <c r="AB368" i="13" s="1"/>
  <c r="AB102" i="13"/>
  <c r="AB88" i="13"/>
  <c r="AB129" i="13"/>
  <c r="AB99" i="13"/>
  <c r="AB63" i="13"/>
  <c r="AB174" i="13"/>
  <c r="AB58" i="13"/>
  <c r="AB371" i="13" s="1"/>
  <c r="AB86" i="13"/>
  <c r="AB399" i="13" s="1"/>
  <c r="AB85" i="13"/>
  <c r="AB398" i="13" s="1"/>
  <c r="AB66" i="13"/>
  <c r="AB100" i="13"/>
  <c r="AB62" i="13"/>
  <c r="AB375" i="13" s="1"/>
  <c r="AB57" i="13"/>
  <c r="AB370" i="13" s="1"/>
  <c r="AB84" i="13"/>
  <c r="AB397" i="13" s="1"/>
  <c r="AB64" i="13"/>
  <c r="AB377" i="13" s="1"/>
  <c r="AB51" i="13"/>
  <c r="AB364" i="13" s="1"/>
  <c r="AB293" i="13"/>
  <c r="AB43" i="13"/>
  <c r="AB356" i="13" s="1"/>
  <c r="AB61" i="13"/>
  <c r="AB374" i="13" s="1"/>
  <c r="AB175" i="13"/>
  <c r="AB103" i="13"/>
  <c r="AB60" i="13"/>
  <c r="AB50" i="13"/>
  <c r="AB363" i="13" s="1"/>
  <c r="AB59" i="13"/>
  <c r="AB372" i="13" s="1"/>
  <c r="AB56" i="13"/>
  <c r="AB369" i="13" s="1"/>
  <c r="AB105" i="13"/>
  <c r="AC4" i="13"/>
  <c r="Q243" i="40" l="1"/>
  <c r="Q247" i="40" s="1"/>
  <c r="R241" i="40"/>
  <c r="Q162" i="40"/>
  <c r="Q166" i="40" s="1"/>
  <c r="R160" i="40"/>
  <c r="R6" i="40"/>
  <c r="Q8" i="40"/>
  <c r="Q12" i="40" s="1"/>
  <c r="R83" i="40"/>
  <c r="Q85" i="40"/>
  <c r="Q89" i="40" s="1"/>
  <c r="R322" i="40"/>
  <c r="Q324" i="40"/>
  <c r="Q328" i="40" s="1"/>
  <c r="R360" i="40"/>
  <c r="Q362" i="40"/>
  <c r="Q366" i="40" s="1"/>
  <c r="R6" i="5"/>
  <c r="Q8" i="5"/>
  <c r="L23" i="26"/>
  <c r="M27" i="26"/>
  <c r="M28" i="26" s="1"/>
  <c r="N25" i="26" s="1"/>
  <c r="M18" i="26"/>
  <c r="M20" i="26" s="1"/>
  <c r="M22" i="26" s="1"/>
  <c r="J66" i="26"/>
  <c r="J67" i="26" s="1"/>
  <c r="K64" i="26" s="1"/>
  <c r="J57" i="26"/>
  <c r="J59" i="26" s="1"/>
  <c r="J61" i="26" s="1"/>
  <c r="I62" i="26"/>
  <c r="T72" i="26"/>
  <c r="T53" i="26"/>
  <c r="T54" i="26" s="1"/>
  <c r="T56" i="26" s="1"/>
  <c r="T33" i="26"/>
  <c r="T14" i="26"/>
  <c r="T15" i="26" s="1"/>
  <c r="T17" i="26" s="1"/>
  <c r="AC308" i="13"/>
  <c r="AC311" i="13"/>
  <c r="AC314" i="13"/>
  <c r="AC304" i="13"/>
  <c r="AC307" i="13"/>
  <c r="AC310" i="13"/>
  <c r="AC313" i="13"/>
  <c r="AC316" i="13"/>
  <c r="AC303" i="13"/>
  <c r="AC306" i="13"/>
  <c r="AC309" i="13"/>
  <c r="AC312" i="13"/>
  <c r="AC315" i="13"/>
  <c r="AC299" i="13"/>
  <c r="AC302" i="13"/>
  <c r="AC298" i="13"/>
  <c r="AC295" i="13"/>
  <c r="AC300" i="13"/>
  <c r="AC285" i="13"/>
  <c r="AC297" i="13"/>
  <c r="AC290" i="13"/>
  <c r="AC296" i="13"/>
  <c r="AC294" i="13"/>
  <c r="AC287" i="13"/>
  <c r="AC301" i="13"/>
  <c r="AC292" i="13"/>
  <c r="AC288" i="13"/>
  <c r="AC286" i="13"/>
  <c r="AC284" i="13"/>
  <c r="AC279" i="13"/>
  <c r="AC305" i="13"/>
  <c r="AC282" i="13"/>
  <c r="AC289" i="13"/>
  <c r="AC281" i="13"/>
  <c r="AC280" i="13"/>
  <c r="AC278" i="13"/>
  <c r="AC283" i="13"/>
  <c r="AC291" i="13"/>
  <c r="AC124" i="13"/>
  <c r="W52" i="26" s="1"/>
  <c r="AC119" i="13"/>
  <c r="AC98" i="13"/>
  <c r="AC116" i="13"/>
  <c r="AC95" i="13"/>
  <c r="AC122" i="13"/>
  <c r="AC110" i="13"/>
  <c r="AC118" i="13"/>
  <c r="AC115" i="13"/>
  <c r="AC128" i="13"/>
  <c r="AC121" i="13"/>
  <c r="AC106" i="13"/>
  <c r="AC117" i="13"/>
  <c r="AC96" i="13"/>
  <c r="AC91" i="13"/>
  <c r="AC93" i="13"/>
  <c r="AC92" i="13"/>
  <c r="AC114" i="13"/>
  <c r="AC97" i="13"/>
  <c r="AC94" i="13"/>
  <c r="AC111" i="13"/>
  <c r="AC120" i="13"/>
  <c r="AC112" i="13"/>
  <c r="AC107" i="13"/>
  <c r="AC108" i="13"/>
  <c r="AC109" i="13"/>
  <c r="AC113" i="13"/>
  <c r="AC197" i="13"/>
  <c r="AF12" i="36" s="1"/>
  <c r="AC189" i="13"/>
  <c r="AF16" i="36" s="1"/>
  <c r="AC196" i="13"/>
  <c r="AC188" i="13"/>
  <c r="AC201" i="13"/>
  <c r="W12" i="26" s="1"/>
  <c r="AC193" i="13"/>
  <c r="AC185" i="13"/>
  <c r="AC206" i="13"/>
  <c r="AC195" i="13"/>
  <c r="AC187" i="13"/>
  <c r="AC199" i="13"/>
  <c r="AF14" i="36" s="1"/>
  <c r="AC179" i="13"/>
  <c r="AC190" i="13"/>
  <c r="AC186" i="13"/>
  <c r="AC184" i="13"/>
  <c r="AC183" i="13"/>
  <c r="AC202" i="13"/>
  <c r="W51" i="26" s="1"/>
  <c r="AC173" i="13"/>
  <c r="AC200" i="13"/>
  <c r="AF15" i="36" s="1"/>
  <c r="AC164" i="13"/>
  <c r="AC198" i="13"/>
  <c r="AF13" i="36" s="1"/>
  <c r="AC163" i="13"/>
  <c r="AC192" i="13"/>
  <c r="AC166" i="13"/>
  <c r="AC168" i="13"/>
  <c r="AC167" i="13"/>
  <c r="AC102" i="13"/>
  <c r="AC87" i="13"/>
  <c r="AC400" i="13" s="1"/>
  <c r="AC191" i="13"/>
  <c r="AC194" i="13"/>
  <c r="AC181" i="13"/>
  <c r="AC165" i="13"/>
  <c r="AC132" i="13"/>
  <c r="W11" i="26" s="1"/>
  <c r="AC178" i="13"/>
  <c r="AC182" i="13"/>
  <c r="AC177" i="13"/>
  <c r="AC180" i="13"/>
  <c r="AC101" i="13"/>
  <c r="AC172" i="13"/>
  <c r="AC171" i="13"/>
  <c r="AC100" i="13"/>
  <c r="AC73" i="13"/>
  <c r="AC67" i="13"/>
  <c r="AC380" i="13" s="1"/>
  <c r="AC47" i="13"/>
  <c r="AC360" i="13" s="1"/>
  <c r="AC70" i="13"/>
  <c r="AC383" i="13" s="1"/>
  <c r="AC52" i="13"/>
  <c r="AC365" i="13" s="1"/>
  <c r="AC79" i="13"/>
  <c r="AC392" i="13" s="1"/>
  <c r="AF5" i="36" s="1"/>
  <c r="AC76" i="13"/>
  <c r="AC389" i="13" s="1"/>
  <c r="AC123" i="13"/>
  <c r="W13" i="26" s="1"/>
  <c r="AC69" i="13"/>
  <c r="AC205" i="13"/>
  <c r="AC75" i="13"/>
  <c r="AC83" i="13"/>
  <c r="AC396" i="13" s="1"/>
  <c r="AC74" i="13"/>
  <c r="AC387" i="13" s="1"/>
  <c r="AC46" i="13"/>
  <c r="AC359" i="13" s="1"/>
  <c r="AC49" i="13"/>
  <c r="AC362" i="13" s="1"/>
  <c r="AC293" i="13"/>
  <c r="AC203" i="13"/>
  <c r="AC174" i="13"/>
  <c r="AC126" i="13"/>
  <c r="AC104" i="13"/>
  <c r="AC48" i="13"/>
  <c r="AC361" i="13" s="1"/>
  <c r="AC129" i="13"/>
  <c r="AC99" i="13"/>
  <c r="AC80" i="13"/>
  <c r="AC393" i="13" s="1"/>
  <c r="AF6" i="36" s="1"/>
  <c r="AC71" i="13"/>
  <c r="AC384" i="13" s="1"/>
  <c r="AC78" i="13"/>
  <c r="AC391" i="13" s="1"/>
  <c r="AF4" i="36" s="1"/>
  <c r="AC72" i="13"/>
  <c r="AC385" i="13" s="1"/>
  <c r="AC82" i="13"/>
  <c r="AC395" i="13" s="1"/>
  <c r="AC54" i="13"/>
  <c r="AC367" i="13" s="1"/>
  <c r="AC175" i="13"/>
  <c r="AC85" i="13"/>
  <c r="AC398" i="13" s="1"/>
  <c r="AC64" i="13"/>
  <c r="AC377" i="13" s="1"/>
  <c r="AC60" i="13"/>
  <c r="AC57" i="13"/>
  <c r="AC370" i="13" s="1"/>
  <c r="AC207" i="13"/>
  <c r="AC176" i="13"/>
  <c r="AC88" i="13"/>
  <c r="AC66" i="13"/>
  <c r="AC62" i="13"/>
  <c r="AC375" i="13" s="1"/>
  <c r="AC58" i="13"/>
  <c r="AC371" i="13" s="1"/>
  <c r="AC162" i="13"/>
  <c r="AC127" i="13"/>
  <c r="AC84" i="13"/>
  <c r="AC397" i="13" s="1"/>
  <c r="AC103" i="13"/>
  <c r="AC45" i="13"/>
  <c r="AC358" i="13" s="1"/>
  <c r="AC170" i="13"/>
  <c r="AC125" i="13"/>
  <c r="AC50" i="13"/>
  <c r="AC363" i="13" s="1"/>
  <c r="AC55" i="13"/>
  <c r="AC368" i="13" s="1"/>
  <c r="AC105" i="13"/>
  <c r="AC77" i="13"/>
  <c r="AC68" i="13"/>
  <c r="AC381" i="13" s="1"/>
  <c r="AC59" i="13"/>
  <c r="AC372" i="13" s="1"/>
  <c r="AC43" i="13"/>
  <c r="AC356" i="13" s="1"/>
  <c r="AC81" i="13"/>
  <c r="AC394" i="13" s="1"/>
  <c r="AF7" i="36" s="1"/>
  <c r="AC53" i="13"/>
  <c r="AC366" i="13" s="1"/>
  <c r="AC44" i="13"/>
  <c r="AC357" i="13" s="1"/>
  <c r="AC61" i="13"/>
  <c r="AC374" i="13" s="1"/>
  <c r="AC56" i="13"/>
  <c r="AC369" i="13" s="1"/>
  <c r="AC86" i="13"/>
  <c r="AC399" i="13" s="1"/>
  <c r="AC65" i="13"/>
  <c r="AC378" i="13" s="1"/>
  <c r="AC63" i="13"/>
  <c r="AC204" i="13"/>
  <c r="AC169" i="13"/>
  <c r="AC51" i="13"/>
  <c r="AC364" i="13" s="1"/>
  <c r="AD4" i="13"/>
  <c r="R85" i="40" l="1"/>
  <c r="R89" i="40" s="1"/>
  <c r="S83" i="40"/>
  <c r="S6" i="40"/>
  <c r="R8" i="40"/>
  <c r="R12" i="40" s="1"/>
  <c r="R162" i="40"/>
  <c r="R166" i="40" s="1"/>
  <c r="S160" i="40"/>
  <c r="S360" i="40"/>
  <c r="R362" i="40"/>
  <c r="R366" i="40" s="1"/>
  <c r="S241" i="40"/>
  <c r="R243" i="40"/>
  <c r="R247" i="40" s="1"/>
  <c r="S322" i="40"/>
  <c r="R324" i="40"/>
  <c r="R328" i="40" s="1"/>
  <c r="R8" i="5"/>
  <c r="S6" i="5"/>
  <c r="J62" i="26"/>
  <c r="M23" i="26"/>
  <c r="N27" i="26"/>
  <c r="N28" i="26" s="1"/>
  <c r="O25" i="26" s="1"/>
  <c r="N18" i="26"/>
  <c r="N20" i="26" s="1"/>
  <c r="N22" i="26" s="1"/>
  <c r="K57" i="26"/>
  <c r="K59" i="26" s="1"/>
  <c r="K61" i="26" s="1"/>
  <c r="K66" i="26"/>
  <c r="K67" i="26" s="1"/>
  <c r="L64" i="26" s="1"/>
  <c r="U14" i="26"/>
  <c r="U15" i="26" s="1"/>
  <c r="U17" i="26" s="1"/>
  <c r="U33" i="26"/>
  <c r="U53" i="26"/>
  <c r="U54" i="26" s="1"/>
  <c r="U56" i="26" s="1"/>
  <c r="U72" i="26"/>
  <c r="AD311" i="13"/>
  <c r="AD314" i="13"/>
  <c r="AD307" i="13"/>
  <c r="AD310" i="13"/>
  <c r="AD313" i="13"/>
  <c r="AD297" i="13"/>
  <c r="AD316" i="13"/>
  <c r="AD306" i="13"/>
  <c r="AD309" i="13"/>
  <c r="AD312" i="13"/>
  <c r="AD315" i="13"/>
  <c r="AD302" i="13"/>
  <c r="AD305" i="13"/>
  <c r="AD288" i="13"/>
  <c r="AD296" i="13"/>
  <c r="AD308" i="13"/>
  <c r="AD295" i="13"/>
  <c r="AD304" i="13"/>
  <c r="AD298" i="13"/>
  <c r="AD290" i="13"/>
  <c r="AD284" i="13"/>
  <c r="AD279" i="13"/>
  <c r="AD282" i="13"/>
  <c r="AD299" i="13"/>
  <c r="AD291" i="13"/>
  <c r="AD283" i="13"/>
  <c r="AD281" i="13"/>
  <c r="AD287" i="13"/>
  <c r="AD303" i="13"/>
  <c r="AD280" i="13"/>
  <c r="AD292" i="13"/>
  <c r="AD300" i="13"/>
  <c r="AD286" i="13"/>
  <c r="AD285" i="13"/>
  <c r="AD294" i="13"/>
  <c r="AD301" i="13"/>
  <c r="AD278" i="13"/>
  <c r="AD289" i="13"/>
  <c r="AD124" i="13"/>
  <c r="X52" i="26" s="1"/>
  <c r="AD114" i="13"/>
  <c r="AD119" i="13"/>
  <c r="AD116" i="13"/>
  <c r="AD122" i="13"/>
  <c r="AD110" i="13"/>
  <c r="AD118" i="13"/>
  <c r="AD97" i="13"/>
  <c r="AD115" i="13"/>
  <c r="AD128" i="13"/>
  <c r="AD121" i="13"/>
  <c r="AD106" i="13"/>
  <c r="AD93" i="13"/>
  <c r="AD96" i="13"/>
  <c r="AD95" i="13"/>
  <c r="AD92" i="13"/>
  <c r="AD117" i="13"/>
  <c r="AD98" i="13"/>
  <c r="AD94" i="13"/>
  <c r="AD91" i="13"/>
  <c r="AD120" i="13"/>
  <c r="AD111" i="13"/>
  <c r="AD107" i="13"/>
  <c r="AD112" i="13"/>
  <c r="AD108" i="13"/>
  <c r="AD113" i="13"/>
  <c r="AD109" i="13"/>
  <c r="AD196" i="13"/>
  <c r="AD188" i="13"/>
  <c r="AD198" i="13"/>
  <c r="AG13" i="36" s="1"/>
  <c r="AD190" i="13"/>
  <c r="AD206" i="13"/>
  <c r="AD200" i="13"/>
  <c r="AG15" i="36" s="1"/>
  <c r="AD201" i="13"/>
  <c r="X12" i="26" s="1"/>
  <c r="AD186" i="13"/>
  <c r="AD184" i="13"/>
  <c r="AD194" i="13"/>
  <c r="AD202" i="13"/>
  <c r="X51" i="26" s="1"/>
  <c r="AD192" i="13"/>
  <c r="AD180" i="13"/>
  <c r="AD199" i="13"/>
  <c r="AG14" i="36" s="1"/>
  <c r="AD197" i="13"/>
  <c r="AG12" i="36" s="1"/>
  <c r="AD189" i="13"/>
  <c r="AG16" i="36" s="1"/>
  <c r="AD173" i="13"/>
  <c r="AD191" i="13"/>
  <c r="AD187" i="13"/>
  <c r="AD183" i="13"/>
  <c r="AD165" i="13"/>
  <c r="AD178" i="13"/>
  <c r="AD177" i="13"/>
  <c r="AD166" i="13"/>
  <c r="AD162" i="13"/>
  <c r="AD100" i="13"/>
  <c r="AD167" i="13"/>
  <c r="AD193" i="13"/>
  <c r="AD163" i="13"/>
  <c r="AD195" i="13"/>
  <c r="AD185" i="13"/>
  <c r="AD182" i="13"/>
  <c r="AD181" i="13"/>
  <c r="AD168" i="13"/>
  <c r="AD101" i="13"/>
  <c r="AD102" i="13"/>
  <c r="AD172" i="13"/>
  <c r="AD171" i="13"/>
  <c r="AD179" i="13"/>
  <c r="AD164" i="13"/>
  <c r="AD123" i="13"/>
  <c r="X13" i="26" s="1"/>
  <c r="AD76" i="13"/>
  <c r="AD389" i="13" s="1"/>
  <c r="AD68" i="13"/>
  <c r="AD381" i="13" s="1"/>
  <c r="AD46" i="13"/>
  <c r="AD359" i="13" s="1"/>
  <c r="AD132" i="13"/>
  <c r="X11" i="26" s="1"/>
  <c r="AD81" i="13"/>
  <c r="AD394" i="13" s="1"/>
  <c r="AG7" i="36" s="1"/>
  <c r="AD73" i="13"/>
  <c r="AD53" i="13"/>
  <c r="AD366" i="13" s="1"/>
  <c r="AD203" i="13"/>
  <c r="AD205" i="13"/>
  <c r="AD80" i="13"/>
  <c r="AD393" i="13" s="1"/>
  <c r="AG6" i="36" s="1"/>
  <c r="AD176" i="13"/>
  <c r="AD169" i="13"/>
  <c r="AD70" i="13"/>
  <c r="AD383" i="13" s="1"/>
  <c r="AD54" i="13"/>
  <c r="AD367" i="13" s="1"/>
  <c r="AD44" i="13"/>
  <c r="AD357" i="13" s="1"/>
  <c r="AD174" i="13"/>
  <c r="AD71" i="13"/>
  <c r="AD384" i="13" s="1"/>
  <c r="AD72" i="13"/>
  <c r="AD385" i="13" s="1"/>
  <c r="AD45" i="13"/>
  <c r="AD358" i="13" s="1"/>
  <c r="AD83" i="13"/>
  <c r="AD396" i="13" s="1"/>
  <c r="AD67" i="13"/>
  <c r="AD380" i="13" s="1"/>
  <c r="AD52" i="13"/>
  <c r="AD365" i="13" s="1"/>
  <c r="AD77" i="13"/>
  <c r="AD293" i="13"/>
  <c r="AD204" i="13"/>
  <c r="AD49" i="13"/>
  <c r="AD362" i="13" s="1"/>
  <c r="AD207" i="13"/>
  <c r="AD75" i="13"/>
  <c r="AD69" i="13"/>
  <c r="AD79" i="13"/>
  <c r="AD392" i="13" s="1"/>
  <c r="AG5" i="36" s="1"/>
  <c r="AD170" i="13"/>
  <c r="AD127" i="13"/>
  <c r="AD104" i="13"/>
  <c r="AD78" i="13"/>
  <c r="AD391" i="13" s="1"/>
  <c r="AG4" i="36" s="1"/>
  <c r="AD103" i="13"/>
  <c r="AD175" i="13"/>
  <c r="AD65" i="13"/>
  <c r="AD378" i="13" s="1"/>
  <c r="AD60" i="13"/>
  <c r="AD55" i="13"/>
  <c r="AD368" i="13" s="1"/>
  <c r="AD87" i="13"/>
  <c r="AD400" i="13" s="1"/>
  <c r="AD88" i="13"/>
  <c r="AD59" i="13"/>
  <c r="AD372" i="13" s="1"/>
  <c r="AD82" i="13"/>
  <c r="AD395" i="13" s="1"/>
  <c r="AD105" i="13"/>
  <c r="AD85" i="13"/>
  <c r="AD398" i="13" s="1"/>
  <c r="AD84" i="13"/>
  <c r="AD397" i="13" s="1"/>
  <c r="AD62" i="13"/>
  <c r="AD375" i="13" s="1"/>
  <c r="AD58" i="13"/>
  <c r="AD371" i="13" s="1"/>
  <c r="AD48" i="13"/>
  <c r="AD361" i="13" s="1"/>
  <c r="AD50" i="13"/>
  <c r="AD363" i="13" s="1"/>
  <c r="AD47" i="13"/>
  <c r="AD360" i="13" s="1"/>
  <c r="AD43" i="13"/>
  <c r="AD356" i="13" s="1"/>
  <c r="AD66" i="13"/>
  <c r="AD99" i="13"/>
  <c r="AD129" i="13"/>
  <c r="AD61" i="13"/>
  <c r="AD374" i="13" s="1"/>
  <c r="AD57" i="13"/>
  <c r="AD370" i="13" s="1"/>
  <c r="AD125" i="13"/>
  <c r="AD126" i="13"/>
  <c r="AD56" i="13"/>
  <c r="AD369" i="13" s="1"/>
  <c r="AD74" i="13"/>
  <c r="AD387" i="13" s="1"/>
  <c r="AD51" i="13"/>
  <c r="AD364" i="13" s="1"/>
  <c r="AD86" i="13"/>
  <c r="AD399" i="13" s="1"/>
  <c r="AD64" i="13"/>
  <c r="AD377" i="13" s="1"/>
  <c r="AD63" i="13"/>
  <c r="AE4" i="13"/>
  <c r="T241" i="40" l="1"/>
  <c r="S243" i="40"/>
  <c r="S247" i="40" s="1"/>
  <c r="T360" i="40"/>
  <c r="S362" i="40"/>
  <c r="S366" i="40" s="1"/>
  <c r="S162" i="40"/>
  <c r="S166" i="40" s="1"/>
  <c r="T160" i="40"/>
  <c r="T6" i="40"/>
  <c r="S8" i="40"/>
  <c r="S12" i="40" s="1"/>
  <c r="T322" i="40"/>
  <c r="S324" i="40"/>
  <c r="S328" i="40" s="1"/>
  <c r="T83" i="40"/>
  <c r="S85" i="40"/>
  <c r="S89" i="40" s="1"/>
  <c r="T6" i="5"/>
  <c r="S8" i="5"/>
  <c r="N23" i="26"/>
  <c r="O27" i="26"/>
  <c r="O28" i="26" s="1"/>
  <c r="P25" i="26" s="1"/>
  <c r="O18" i="26"/>
  <c r="O20" i="26" s="1"/>
  <c r="O22" i="26" s="1"/>
  <c r="K62" i="26"/>
  <c r="L66" i="26"/>
  <c r="L67" i="26" s="1"/>
  <c r="M64" i="26" s="1"/>
  <c r="L57" i="26"/>
  <c r="L59" i="26" s="1"/>
  <c r="L61" i="26" s="1"/>
  <c r="V72" i="26"/>
  <c r="V53" i="26"/>
  <c r="V54" i="26" s="1"/>
  <c r="V56" i="26" s="1"/>
  <c r="V33" i="26"/>
  <c r="V14" i="26"/>
  <c r="V15" i="26" s="1"/>
  <c r="V17" i="26" s="1"/>
  <c r="AE314" i="13"/>
  <c r="AE310" i="13"/>
  <c r="AE313" i="13"/>
  <c r="AE297" i="13"/>
  <c r="AE316" i="13"/>
  <c r="AE300" i="13"/>
  <c r="AE309" i="13"/>
  <c r="AE312" i="13"/>
  <c r="AE315" i="13"/>
  <c r="AE305" i="13"/>
  <c r="AE308" i="13"/>
  <c r="AE291" i="13"/>
  <c r="AE306" i="13"/>
  <c r="AE304" i="13"/>
  <c r="AE296" i="13"/>
  <c r="AE301" i="13"/>
  <c r="AE303" i="13"/>
  <c r="AE307" i="13"/>
  <c r="AE282" i="13"/>
  <c r="AE311" i="13"/>
  <c r="AE279" i="13"/>
  <c r="AE280" i="13"/>
  <c r="AE288" i="13"/>
  <c r="AE295" i="13"/>
  <c r="AE294" i="13"/>
  <c r="AE290" i="13"/>
  <c r="AE289" i="13"/>
  <c r="AE281" i="13"/>
  <c r="AE299" i="13"/>
  <c r="AE298" i="13"/>
  <c r="AE278" i="13"/>
  <c r="AE302" i="13"/>
  <c r="AE285" i="13"/>
  <c r="AE292" i="13"/>
  <c r="AE286" i="13"/>
  <c r="AE284" i="13"/>
  <c r="AE287" i="13"/>
  <c r="AE283" i="13"/>
  <c r="AE119" i="13"/>
  <c r="AE116" i="13"/>
  <c r="E405" i="40" s="1"/>
  <c r="AE95" i="13"/>
  <c r="AE122" i="13"/>
  <c r="AE110" i="13"/>
  <c r="E165" i="40" s="1"/>
  <c r="AE118" i="13"/>
  <c r="E491" i="40" s="1"/>
  <c r="AE97" i="13"/>
  <c r="AE115" i="13"/>
  <c r="E365" i="40" s="1"/>
  <c r="AE128" i="13"/>
  <c r="AE121" i="13"/>
  <c r="AE106" i="13"/>
  <c r="E11" i="40" s="1"/>
  <c r="AE117" i="13"/>
  <c r="E448" i="40" s="1"/>
  <c r="AE96" i="13"/>
  <c r="AE124" i="13"/>
  <c r="AE114" i="13"/>
  <c r="E327" i="40" s="1"/>
  <c r="AE93" i="13"/>
  <c r="AE92" i="13"/>
  <c r="AE98" i="13"/>
  <c r="AE94" i="13"/>
  <c r="AE91" i="13"/>
  <c r="AE120" i="13"/>
  <c r="AE108" i="13"/>
  <c r="E88" i="40" s="1"/>
  <c r="AE111" i="13"/>
  <c r="E205" i="40" s="1"/>
  <c r="AE109" i="13"/>
  <c r="E126" i="40" s="1"/>
  <c r="AE107" i="13"/>
  <c r="E49" i="40" s="1"/>
  <c r="AE112" i="13"/>
  <c r="E246" i="40" s="1"/>
  <c r="AE113" i="13"/>
  <c r="E286" i="40" s="1"/>
  <c r="AE202" i="13"/>
  <c r="AE194" i="13"/>
  <c r="E447" i="40" s="1"/>
  <c r="AE186" i="13"/>
  <c r="E245" i="40" s="1"/>
  <c r="AE201" i="13"/>
  <c r="AE193" i="13"/>
  <c r="E446" i="40" s="1"/>
  <c r="AE185" i="13"/>
  <c r="E204" i="40" s="1"/>
  <c r="AE198" i="13"/>
  <c r="AH13" i="36" s="1"/>
  <c r="AE190" i="13"/>
  <c r="E364" i="40" s="1"/>
  <c r="AE200" i="13"/>
  <c r="F16" i="36" s="1"/>
  <c r="AE192" i="13"/>
  <c r="E404" i="40" s="1"/>
  <c r="AE184" i="13"/>
  <c r="E203" i="40" s="1"/>
  <c r="AE181" i="13"/>
  <c r="E124" i="40" s="1"/>
  <c r="AE180" i="13"/>
  <c r="E87" i="40" s="1"/>
  <c r="AE188" i="13"/>
  <c r="E285" i="40" s="1"/>
  <c r="AE168" i="13"/>
  <c r="AE189" i="13"/>
  <c r="AE177" i="13"/>
  <c r="E10" i="40" s="1"/>
  <c r="AE171" i="13"/>
  <c r="AE183" i="13"/>
  <c r="E164" i="40" s="1"/>
  <c r="AE172" i="13"/>
  <c r="AE197" i="13"/>
  <c r="D16" i="36" s="1"/>
  <c r="AE206" i="13"/>
  <c r="AE167" i="13"/>
  <c r="AE196" i="13"/>
  <c r="E490" i="40" s="1"/>
  <c r="AE163" i="13"/>
  <c r="AE178" i="13"/>
  <c r="E47" i="40" s="1"/>
  <c r="AE195" i="13"/>
  <c r="E489" i="40" s="1"/>
  <c r="AE191" i="13"/>
  <c r="E403" i="40" s="1"/>
  <c r="AE182" i="13"/>
  <c r="E125" i="40" s="1"/>
  <c r="AE102" i="13"/>
  <c r="AE199" i="13"/>
  <c r="E16" i="36" s="1"/>
  <c r="AE179" i="13"/>
  <c r="E48" i="40" s="1"/>
  <c r="AE187" i="13"/>
  <c r="E284" i="40" s="1"/>
  <c r="AE123" i="13"/>
  <c r="AE173" i="13"/>
  <c r="AE83" i="13"/>
  <c r="AE396" i="13" s="1"/>
  <c r="AE79" i="13"/>
  <c r="AE392" i="13" s="1"/>
  <c r="AH5" i="36" s="1"/>
  <c r="AE48" i="13"/>
  <c r="AE361" i="13" s="1"/>
  <c r="AE293" i="13"/>
  <c r="AE101" i="13"/>
  <c r="AE100" i="13"/>
  <c r="AE82" i="13"/>
  <c r="AE395" i="13" s="1"/>
  <c r="AE76" i="13"/>
  <c r="AE45" i="13"/>
  <c r="AE358" i="13" s="1"/>
  <c r="AE77" i="13"/>
  <c r="D512" i="40" s="1"/>
  <c r="AE73" i="13"/>
  <c r="D426" i="40" s="1"/>
  <c r="AE70" i="13"/>
  <c r="AE132" i="13"/>
  <c r="AE80" i="13"/>
  <c r="AE393" i="13" s="1"/>
  <c r="E8" i="36" s="1"/>
  <c r="AE49" i="13"/>
  <c r="AE362" i="13" s="1"/>
  <c r="AE165" i="13"/>
  <c r="AE69" i="13"/>
  <c r="D307" i="40" s="1"/>
  <c r="AE67" i="13"/>
  <c r="AE54" i="13"/>
  <c r="AE367" i="13" s="1"/>
  <c r="AE166" i="13"/>
  <c r="AE164" i="13"/>
  <c r="AE68" i="13"/>
  <c r="AE47" i="13"/>
  <c r="AE360" i="13" s="1"/>
  <c r="AE44" i="13"/>
  <c r="AE357" i="13" s="1"/>
  <c r="AE81" i="13"/>
  <c r="AE394" i="13" s="1"/>
  <c r="F8" i="36" s="1"/>
  <c r="AE72" i="13"/>
  <c r="AE52" i="13"/>
  <c r="AE365" i="13" s="1"/>
  <c r="AE75" i="13"/>
  <c r="D469" i="40" s="1"/>
  <c r="AE207" i="13"/>
  <c r="AE125" i="13"/>
  <c r="AE103" i="13"/>
  <c r="AE87" i="13"/>
  <c r="AE400" i="13" s="1"/>
  <c r="AE53" i="13"/>
  <c r="AE366" i="13" s="1"/>
  <c r="AE46" i="13"/>
  <c r="AE359" i="13" s="1"/>
  <c r="AE176" i="13"/>
  <c r="AE204" i="13"/>
  <c r="AE170" i="13"/>
  <c r="AE127" i="13"/>
  <c r="AE105" i="13"/>
  <c r="AE174" i="13"/>
  <c r="AE84" i="13"/>
  <c r="AE397" i="13" s="1"/>
  <c r="AE63" i="13"/>
  <c r="D146" i="40" s="1"/>
  <c r="AE59" i="13"/>
  <c r="AE203" i="13"/>
  <c r="AE205" i="13"/>
  <c r="AE86" i="13"/>
  <c r="AE399" i="13" s="1"/>
  <c r="AE65" i="13"/>
  <c r="AE61" i="13"/>
  <c r="AE126" i="13"/>
  <c r="AE64" i="13"/>
  <c r="AE78" i="13"/>
  <c r="AE391" i="13" s="1"/>
  <c r="D8" i="36" s="1"/>
  <c r="AE162" i="13"/>
  <c r="AE71" i="13"/>
  <c r="AE175" i="13"/>
  <c r="AE104" i="13"/>
  <c r="AE51" i="13"/>
  <c r="AE364" i="13" s="1"/>
  <c r="AE74" i="13"/>
  <c r="AE43" i="13"/>
  <c r="AE356" i="13" s="1"/>
  <c r="AE99" i="13"/>
  <c r="AE58" i="13"/>
  <c r="AE55" i="13"/>
  <c r="AE368" i="13" s="1"/>
  <c r="AE88" i="13"/>
  <c r="AE85" i="13"/>
  <c r="AE398" i="13" s="1"/>
  <c r="AE62" i="13"/>
  <c r="AE129" i="13"/>
  <c r="AE57" i="13"/>
  <c r="AE370" i="13" s="1"/>
  <c r="AE60" i="13"/>
  <c r="D69" i="40" s="1"/>
  <c r="AE50" i="13"/>
  <c r="AE363" i="13" s="1"/>
  <c r="AE169" i="13"/>
  <c r="AE56" i="13"/>
  <c r="AE369" i="13" s="1"/>
  <c r="AE66" i="13"/>
  <c r="D226" i="40" s="1"/>
  <c r="AF4" i="13"/>
  <c r="E90" i="40" l="1"/>
  <c r="E92" i="40" s="1"/>
  <c r="E13" i="40"/>
  <c r="E15" i="40" s="1"/>
  <c r="E51" i="40"/>
  <c r="E54" i="40" s="1"/>
  <c r="F469" i="40"/>
  <c r="K469" i="40"/>
  <c r="H469" i="40"/>
  <c r="M469" i="40"/>
  <c r="J469" i="40"/>
  <c r="G469" i="40"/>
  <c r="E469" i="40"/>
  <c r="I469" i="40"/>
  <c r="L469" i="40"/>
  <c r="N469" i="40"/>
  <c r="AE383" i="13"/>
  <c r="C8" i="36" s="1"/>
  <c r="D337" i="40"/>
  <c r="T324" i="40"/>
  <c r="T328" i="40" s="1"/>
  <c r="U322" i="40"/>
  <c r="E128" i="40"/>
  <c r="E131" i="40" s="1"/>
  <c r="U6" i="40"/>
  <c r="T8" i="40"/>
  <c r="T12" i="40" s="1"/>
  <c r="E426" i="40"/>
  <c r="H426" i="40"/>
  <c r="M426" i="40"/>
  <c r="L426" i="40"/>
  <c r="K426" i="40"/>
  <c r="J426" i="40"/>
  <c r="I426" i="40"/>
  <c r="F426" i="40"/>
  <c r="G426" i="40"/>
  <c r="N426" i="40"/>
  <c r="AE381" i="13"/>
  <c r="D306" i="40"/>
  <c r="T162" i="40"/>
  <c r="T166" i="40" s="1"/>
  <c r="U160" i="40"/>
  <c r="M146" i="40"/>
  <c r="K146" i="40"/>
  <c r="F146" i="40"/>
  <c r="J146" i="40"/>
  <c r="N146" i="40"/>
  <c r="H146" i="40"/>
  <c r="L146" i="40"/>
  <c r="E146" i="40"/>
  <c r="G146" i="40"/>
  <c r="I146" i="40"/>
  <c r="AE384" i="13"/>
  <c r="D375" i="40"/>
  <c r="F512" i="40"/>
  <c r="N512" i="40"/>
  <c r="L512" i="40"/>
  <c r="K512" i="40"/>
  <c r="J512" i="40"/>
  <c r="I512" i="40"/>
  <c r="G512" i="40"/>
  <c r="H512" i="40"/>
  <c r="M512" i="40"/>
  <c r="E512" i="40"/>
  <c r="M69" i="40"/>
  <c r="N69" i="40"/>
  <c r="L69" i="40"/>
  <c r="J69" i="40"/>
  <c r="E69" i="40"/>
  <c r="I69" i="40"/>
  <c r="H69" i="40"/>
  <c r="F69" i="40"/>
  <c r="K69" i="40"/>
  <c r="G69" i="40"/>
  <c r="AE385" i="13"/>
  <c r="D425" i="40"/>
  <c r="AE380" i="13"/>
  <c r="D256" i="40"/>
  <c r="AE372" i="13"/>
  <c r="D68" i="40"/>
  <c r="AE377" i="13"/>
  <c r="D175" i="40"/>
  <c r="F307" i="40"/>
  <c r="I307" i="40"/>
  <c r="M307" i="40"/>
  <c r="L307" i="40"/>
  <c r="H307" i="40"/>
  <c r="G307" i="40"/>
  <c r="K307" i="40"/>
  <c r="E307" i="40"/>
  <c r="N307" i="40"/>
  <c r="J307" i="40"/>
  <c r="U360" i="40"/>
  <c r="T362" i="40"/>
  <c r="T366" i="40" s="1"/>
  <c r="AE375" i="13"/>
  <c r="D145" i="40"/>
  <c r="AE374" i="13"/>
  <c r="D97" i="40"/>
  <c r="AE387" i="13"/>
  <c r="D468" i="40"/>
  <c r="AE389" i="13"/>
  <c r="D511" i="40"/>
  <c r="AE378" i="13"/>
  <c r="D225" i="40"/>
  <c r="T85" i="40"/>
  <c r="T89" i="40" s="1"/>
  <c r="U83" i="40"/>
  <c r="U241" i="40"/>
  <c r="T243" i="40"/>
  <c r="T247" i="40" s="1"/>
  <c r="AE371" i="13"/>
  <c r="D20" i="40"/>
  <c r="H226" i="40"/>
  <c r="I226" i="40"/>
  <c r="L226" i="40"/>
  <c r="M226" i="40"/>
  <c r="E226" i="40"/>
  <c r="K226" i="40"/>
  <c r="G226" i="40"/>
  <c r="F226" i="40"/>
  <c r="N226" i="40"/>
  <c r="J226" i="40"/>
  <c r="C16" i="36"/>
  <c r="E326" i="40"/>
  <c r="U6" i="5"/>
  <c r="T8" i="5"/>
  <c r="L62" i="26"/>
  <c r="O23" i="26"/>
  <c r="P27" i="26"/>
  <c r="P28" i="26" s="1"/>
  <c r="Q25" i="26" s="1"/>
  <c r="P18" i="26"/>
  <c r="P20" i="26" s="1"/>
  <c r="P22" i="26" s="1"/>
  <c r="M57" i="26"/>
  <c r="M59" i="26" s="1"/>
  <c r="M61" i="26" s="1"/>
  <c r="M66" i="26"/>
  <c r="M67" i="26" s="1"/>
  <c r="N64" i="26" s="1"/>
  <c r="W14" i="26"/>
  <c r="W15" i="26" s="1"/>
  <c r="W17" i="26" s="1"/>
  <c r="W33" i="26"/>
  <c r="W53" i="26"/>
  <c r="W54" i="26" s="1"/>
  <c r="W56" i="26" s="1"/>
  <c r="W72" i="26"/>
  <c r="D375" i="5"/>
  <c r="D69" i="5"/>
  <c r="E69" i="5" s="1"/>
  <c r="D256" i="5"/>
  <c r="D20" i="5"/>
  <c r="D469" i="5"/>
  <c r="D337" i="5"/>
  <c r="D97" i="5"/>
  <c r="D426" i="5"/>
  <c r="D175" i="5"/>
  <c r="D146" i="5"/>
  <c r="D512" i="5"/>
  <c r="D307" i="5"/>
  <c r="D226" i="5"/>
  <c r="AF310" i="13"/>
  <c r="AF313" i="13"/>
  <c r="AF297" i="13"/>
  <c r="AF316" i="13"/>
  <c r="AF300" i="13"/>
  <c r="AF303" i="13"/>
  <c r="AF309" i="13"/>
  <c r="AF312" i="13"/>
  <c r="AF315" i="13"/>
  <c r="AF299" i="13"/>
  <c r="AF308" i="13"/>
  <c r="AF311" i="13"/>
  <c r="AF314" i="13"/>
  <c r="AF302" i="13"/>
  <c r="AF294" i="13"/>
  <c r="AF301" i="13"/>
  <c r="AF307" i="13"/>
  <c r="AF286" i="13"/>
  <c r="AF280" i="13"/>
  <c r="AF305" i="13"/>
  <c r="AF285" i="13"/>
  <c r="AF295" i="13"/>
  <c r="AF282" i="13"/>
  <c r="AF288" i="13"/>
  <c r="AF289" i="13"/>
  <c r="AF278" i="13"/>
  <c r="AF304" i="13"/>
  <c r="AF296" i="13"/>
  <c r="AF306" i="13"/>
  <c r="AF298" i="13"/>
  <c r="AF292" i="13"/>
  <c r="AF291" i="13"/>
  <c r="AF279" i="13"/>
  <c r="AF287" i="13"/>
  <c r="AF283" i="13"/>
  <c r="AF290" i="13"/>
  <c r="AF281" i="13"/>
  <c r="AF284" i="13"/>
  <c r="AF119" i="13"/>
  <c r="AF116" i="13"/>
  <c r="F405" i="40" s="1"/>
  <c r="AF122" i="13"/>
  <c r="AF118" i="13"/>
  <c r="F491" i="40" s="1"/>
  <c r="AF97" i="13"/>
  <c r="AF115" i="13"/>
  <c r="F365" i="40" s="1"/>
  <c r="AF128" i="13"/>
  <c r="AF121" i="13"/>
  <c r="AF117" i="13"/>
  <c r="F448" i="40" s="1"/>
  <c r="AF96" i="13"/>
  <c r="AF93" i="13"/>
  <c r="AF124" i="13"/>
  <c r="AF92" i="13"/>
  <c r="AF95" i="13"/>
  <c r="AF114" i="13"/>
  <c r="F327" i="40" s="1"/>
  <c r="AF110" i="13"/>
  <c r="F165" i="40" s="1"/>
  <c r="AF98" i="13"/>
  <c r="AF94" i="13"/>
  <c r="AF91" i="13"/>
  <c r="AF106" i="13"/>
  <c r="F11" i="40" s="1"/>
  <c r="AF120" i="13"/>
  <c r="AF111" i="13"/>
  <c r="F205" i="40" s="1"/>
  <c r="AF107" i="13"/>
  <c r="F49" i="40" s="1"/>
  <c r="AF112" i="13"/>
  <c r="F246" i="40" s="1"/>
  <c r="AF108" i="13"/>
  <c r="F88" i="40" s="1"/>
  <c r="AF113" i="13"/>
  <c r="F286" i="40" s="1"/>
  <c r="AF109" i="13"/>
  <c r="F126" i="40" s="1"/>
  <c r="AF201" i="13"/>
  <c r="AF193" i="13"/>
  <c r="F446" i="40" s="1"/>
  <c r="AF185" i="13"/>
  <c r="F204" i="40" s="1"/>
  <c r="AF206" i="13"/>
  <c r="AF195" i="13"/>
  <c r="F489" i="40" s="1"/>
  <c r="AF187" i="13"/>
  <c r="F284" i="40" s="1"/>
  <c r="AF190" i="13"/>
  <c r="F364" i="40" s="1"/>
  <c r="AF194" i="13"/>
  <c r="F447" i="40" s="1"/>
  <c r="AF181" i="13"/>
  <c r="F124" i="40" s="1"/>
  <c r="AF192" i="13"/>
  <c r="F404" i="40" s="1"/>
  <c r="AF188" i="13"/>
  <c r="F285" i="40" s="1"/>
  <c r="AF177" i="13"/>
  <c r="F10" i="40" s="1"/>
  <c r="AF171" i="13"/>
  <c r="AF202" i="13"/>
  <c r="AF168" i="13"/>
  <c r="AF199" i="13"/>
  <c r="AF172" i="13"/>
  <c r="AF165" i="13"/>
  <c r="AF186" i="13"/>
  <c r="F245" i="40" s="1"/>
  <c r="AF178" i="13"/>
  <c r="F47" i="40" s="1"/>
  <c r="AF182" i="13"/>
  <c r="F125" i="40" s="1"/>
  <c r="AF180" i="13"/>
  <c r="F87" i="40" s="1"/>
  <c r="AF179" i="13"/>
  <c r="F48" i="40" s="1"/>
  <c r="AF102" i="13"/>
  <c r="AF191" i="13"/>
  <c r="F403" i="40" s="1"/>
  <c r="AF164" i="13"/>
  <c r="AF101" i="13"/>
  <c r="AF163" i="13"/>
  <c r="AF184" i="13"/>
  <c r="F203" i="40" s="1"/>
  <c r="AF183" i="13"/>
  <c r="F164" i="40" s="1"/>
  <c r="AF200" i="13"/>
  <c r="AF198" i="13"/>
  <c r="AF166" i="13"/>
  <c r="AF196" i="13"/>
  <c r="F490" i="40" s="1"/>
  <c r="AF189" i="13"/>
  <c r="F326" i="40" s="1"/>
  <c r="AF167" i="13"/>
  <c r="AF132" i="13"/>
  <c r="AF100" i="13"/>
  <c r="AF81" i="13"/>
  <c r="AF73" i="13"/>
  <c r="AF53" i="13"/>
  <c r="AF197" i="13"/>
  <c r="AF173" i="13"/>
  <c r="AF78" i="13"/>
  <c r="AF70" i="13"/>
  <c r="AF48" i="13"/>
  <c r="AF74" i="13"/>
  <c r="AF67" i="13"/>
  <c r="AF293" i="13"/>
  <c r="AF77" i="13"/>
  <c r="AF46" i="13"/>
  <c r="AF83" i="13"/>
  <c r="AF162" i="13"/>
  <c r="AF45" i="13"/>
  <c r="AF44" i="13"/>
  <c r="AF175" i="13"/>
  <c r="AF76" i="13"/>
  <c r="AF68" i="13"/>
  <c r="AF79" i="13"/>
  <c r="AF71" i="13"/>
  <c r="AF72" i="13"/>
  <c r="AF52" i="13"/>
  <c r="AF174" i="13"/>
  <c r="AF47" i="13"/>
  <c r="AF75" i="13"/>
  <c r="AF176" i="13"/>
  <c r="AF69" i="13"/>
  <c r="AF80" i="13"/>
  <c r="AF169" i="13"/>
  <c r="AF126" i="13"/>
  <c r="AF54" i="13"/>
  <c r="AF204" i="13"/>
  <c r="AF123" i="13"/>
  <c r="AF88" i="13"/>
  <c r="AF82" i="13"/>
  <c r="AF105" i="13"/>
  <c r="AF64" i="13"/>
  <c r="AF51" i="13"/>
  <c r="AF86" i="13"/>
  <c r="AF205" i="13"/>
  <c r="AF62" i="13"/>
  <c r="AF127" i="13"/>
  <c r="AF57" i="13"/>
  <c r="AF56" i="13"/>
  <c r="AF43" i="13"/>
  <c r="AF207" i="13"/>
  <c r="AF125" i="13"/>
  <c r="AF103" i="13"/>
  <c r="AF203" i="13"/>
  <c r="AF99" i="13"/>
  <c r="AF59" i="13"/>
  <c r="AF104" i="13"/>
  <c r="AF49" i="13"/>
  <c r="AF87" i="13"/>
  <c r="AF129" i="13"/>
  <c r="AF61" i="13"/>
  <c r="AF170" i="13"/>
  <c r="AF55" i="13"/>
  <c r="AF60" i="13"/>
  <c r="AF50" i="13"/>
  <c r="AF58" i="13"/>
  <c r="AF66" i="13"/>
  <c r="AF63" i="13"/>
  <c r="AF85" i="13"/>
  <c r="AF84" i="13"/>
  <c r="AF65" i="13"/>
  <c r="AG4" i="13"/>
  <c r="F13" i="40" l="1"/>
  <c r="F15" i="40" s="1"/>
  <c r="F128" i="40"/>
  <c r="F131" i="40" s="1"/>
  <c r="M306" i="40"/>
  <c r="J306" i="40"/>
  <c r="H306" i="40"/>
  <c r="G306" i="40"/>
  <c r="S306" i="40"/>
  <c r="I306" i="40"/>
  <c r="Q306" i="40"/>
  <c r="T306" i="40"/>
  <c r="U306" i="40"/>
  <c r="P306" i="40"/>
  <c r="O306" i="40"/>
  <c r="D297" i="40"/>
  <c r="V306" i="40"/>
  <c r="F306" i="40"/>
  <c r="R306" i="40"/>
  <c r="N306" i="40"/>
  <c r="K306" i="40"/>
  <c r="W306" i="40"/>
  <c r="X306" i="40"/>
  <c r="L306" i="40"/>
  <c r="E306" i="40"/>
  <c r="V468" i="40"/>
  <c r="N468" i="40"/>
  <c r="K468" i="40"/>
  <c r="J468" i="40"/>
  <c r="H468" i="40"/>
  <c r="W468" i="40"/>
  <c r="T468" i="40"/>
  <c r="D459" i="40"/>
  <c r="M468" i="40"/>
  <c r="R468" i="40"/>
  <c r="G468" i="40"/>
  <c r="U468" i="40"/>
  <c r="F468" i="40"/>
  <c r="Q468" i="40"/>
  <c r="P468" i="40"/>
  <c r="I468" i="40"/>
  <c r="S468" i="40"/>
  <c r="L468" i="40"/>
  <c r="X468" i="40"/>
  <c r="O468" i="40"/>
  <c r="E468" i="40"/>
  <c r="P387" i="40"/>
  <c r="P388" i="40" s="1"/>
  <c r="F383" i="40"/>
  <c r="T387" i="40"/>
  <c r="T388" i="40" s="1"/>
  <c r="O387" i="40"/>
  <c r="O388" i="40" s="1"/>
  <c r="X383" i="40"/>
  <c r="I387" i="40"/>
  <c r="I388" i="40" s="1"/>
  <c r="D386" i="40"/>
  <c r="F387" i="40"/>
  <c r="F388" i="40" s="1"/>
  <c r="X387" i="40"/>
  <c r="X388" i="40" s="1"/>
  <c r="S383" i="40"/>
  <c r="U387" i="40"/>
  <c r="U388" i="40" s="1"/>
  <c r="K387" i="40"/>
  <c r="K388" i="40" s="1"/>
  <c r="M383" i="40"/>
  <c r="N383" i="40"/>
  <c r="R383" i="40"/>
  <c r="V383" i="40"/>
  <c r="G383" i="40"/>
  <c r="G387" i="40"/>
  <c r="G388" i="40" s="1"/>
  <c r="D393" i="40"/>
  <c r="L387" i="40"/>
  <c r="L388" i="40" s="1"/>
  <c r="Y375" i="40"/>
  <c r="W387" i="40"/>
  <c r="W388" i="40" s="1"/>
  <c r="P383" i="40"/>
  <c r="U383" i="40"/>
  <c r="H383" i="40"/>
  <c r="I383" i="40"/>
  <c r="Q387" i="40"/>
  <c r="Q388" i="40" s="1"/>
  <c r="H387" i="40"/>
  <c r="H388" i="40" s="1"/>
  <c r="J387" i="40"/>
  <c r="J388" i="40" s="1"/>
  <c r="O383" i="40"/>
  <c r="T383" i="40"/>
  <c r="L383" i="40"/>
  <c r="S387" i="40"/>
  <c r="S388" i="40" s="1"/>
  <c r="Q383" i="40"/>
  <c r="E383" i="40"/>
  <c r="K383" i="40"/>
  <c r="D390" i="40"/>
  <c r="V387" i="40"/>
  <c r="V388" i="40" s="1"/>
  <c r="J383" i="40"/>
  <c r="R387" i="40"/>
  <c r="R388" i="40" s="1"/>
  <c r="E387" i="40"/>
  <c r="E388" i="40" s="1"/>
  <c r="W383" i="40"/>
  <c r="M387" i="40"/>
  <c r="M388" i="40" s="1"/>
  <c r="N387" i="40"/>
  <c r="N388" i="40" s="1"/>
  <c r="V322" i="40"/>
  <c r="U324" i="40"/>
  <c r="U328" i="40" s="1"/>
  <c r="T108" i="40"/>
  <c r="T109" i="40" s="1"/>
  <c r="G108" i="40"/>
  <c r="G109" i="40" s="1"/>
  <c r="I105" i="40"/>
  <c r="F105" i="40"/>
  <c r="W108" i="40"/>
  <c r="W109" i="40" s="1"/>
  <c r="F108" i="40"/>
  <c r="F109" i="40" s="1"/>
  <c r="O108" i="40"/>
  <c r="O109" i="40" s="1"/>
  <c r="Y97" i="40"/>
  <c r="Y98" i="40" s="1"/>
  <c r="K105" i="40"/>
  <c r="U105" i="40"/>
  <c r="E105" i="40"/>
  <c r="H108" i="40"/>
  <c r="H109" i="40" s="1"/>
  <c r="R108" i="40"/>
  <c r="R109" i="40" s="1"/>
  <c r="X105" i="40"/>
  <c r="H105" i="40"/>
  <c r="J105" i="40"/>
  <c r="X108" i="40"/>
  <c r="X109" i="40" s="1"/>
  <c r="N105" i="40"/>
  <c r="E111" i="40"/>
  <c r="L105" i="40"/>
  <c r="K108" i="40"/>
  <c r="K109" i="40" s="1"/>
  <c r="S105" i="40"/>
  <c r="T105" i="40"/>
  <c r="P108" i="40"/>
  <c r="P109" i="40" s="1"/>
  <c r="I108" i="40"/>
  <c r="I109" i="40" s="1"/>
  <c r="D114" i="40"/>
  <c r="S108" i="40"/>
  <c r="S109" i="40" s="1"/>
  <c r="Q105" i="40"/>
  <c r="U108" i="40"/>
  <c r="U109" i="40" s="1"/>
  <c r="R105" i="40"/>
  <c r="M108" i="40"/>
  <c r="M109" i="40" s="1"/>
  <c r="M105" i="40"/>
  <c r="N108" i="40"/>
  <c r="N109" i="40" s="1"/>
  <c r="Q108" i="40"/>
  <c r="Q109" i="40" s="1"/>
  <c r="E108" i="40"/>
  <c r="E109" i="40" s="1"/>
  <c r="J108" i="40"/>
  <c r="J109" i="40" s="1"/>
  <c r="G105" i="40"/>
  <c r="P105" i="40"/>
  <c r="V105" i="40"/>
  <c r="W105" i="40"/>
  <c r="L108" i="40"/>
  <c r="L109" i="40" s="1"/>
  <c r="O105" i="40"/>
  <c r="V108" i="40"/>
  <c r="V109" i="40" s="1"/>
  <c r="D355" i="40"/>
  <c r="J345" i="40"/>
  <c r="O349" i="40"/>
  <c r="O350" i="40" s="1"/>
  <c r="N349" i="40"/>
  <c r="N350" i="40" s="1"/>
  <c r="S345" i="40"/>
  <c r="M345" i="40"/>
  <c r="H345" i="40"/>
  <c r="X349" i="40"/>
  <c r="X350" i="40" s="1"/>
  <c r="H349" i="40"/>
  <c r="H350" i="40" s="1"/>
  <c r="L349" i="40"/>
  <c r="L350" i="40" s="1"/>
  <c r="Q345" i="40"/>
  <c r="E345" i="40"/>
  <c r="N345" i="40"/>
  <c r="S349" i="40"/>
  <c r="S350" i="40" s="1"/>
  <c r="F349" i="40"/>
  <c r="F350" i="40" s="1"/>
  <c r="M349" i="40"/>
  <c r="M350" i="40" s="1"/>
  <c r="W349" i="40"/>
  <c r="W350" i="40" s="1"/>
  <c r="X345" i="40"/>
  <c r="T349" i="40"/>
  <c r="T350" i="40" s="1"/>
  <c r="R345" i="40"/>
  <c r="O345" i="40"/>
  <c r="V345" i="40"/>
  <c r="D352" i="40"/>
  <c r="E352" i="40" s="1"/>
  <c r="F345" i="40"/>
  <c r="G345" i="40"/>
  <c r="D348" i="40"/>
  <c r="E329" i="40" s="1"/>
  <c r="E330" i="40" s="1"/>
  <c r="E332" i="40" s="1"/>
  <c r="K349" i="40"/>
  <c r="K350" i="40" s="1"/>
  <c r="I349" i="40"/>
  <c r="I350" i="40" s="1"/>
  <c r="T345" i="40"/>
  <c r="W345" i="40"/>
  <c r="G349" i="40"/>
  <c r="G350" i="40" s="1"/>
  <c r="Q349" i="40"/>
  <c r="Q350" i="40" s="1"/>
  <c r="U349" i="40"/>
  <c r="U350" i="40" s="1"/>
  <c r="U345" i="40"/>
  <c r="R349" i="40"/>
  <c r="R350" i="40" s="1"/>
  <c r="L345" i="40"/>
  <c r="P349" i="40"/>
  <c r="P350" i="40" s="1"/>
  <c r="K345" i="40"/>
  <c r="V349" i="40"/>
  <c r="V350" i="40" s="1"/>
  <c r="P345" i="40"/>
  <c r="Y337" i="40"/>
  <c r="I345" i="40"/>
  <c r="E349" i="40"/>
  <c r="E350" i="40" s="1"/>
  <c r="J349" i="40"/>
  <c r="J350" i="40" s="1"/>
  <c r="O31" i="40"/>
  <c r="O32" i="40" s="1"/>
  <c r="T28" i="40"/>
  <c r="O28" i="40"/>
  <c r="V28" i="40"/>
  <c r="M28" i="40"/>
  <c r="W28" i="40"/>
  <c r="Q28" i="40"/>
  <c r="D37" i="40"/>
  <c r="E34" i="40" s="1"/>
  <c r="H31" i="40"/>
  <c r="H32" i="40" s="1"/>
  <c r="Y20" i="40"/>
  <c r="Y21" i="40" s="1"/>
  <c r="G28" i="40"/>
  <c r="F31" i="40"/>
  <c r="F32" i="40" s="1"/>
  <c r="V31" i="40"/>
  <c r="V32" i="40" s="1"/>
  <c r="U31" i="40"/>
  <c r="U32" i="40" s="1"/>
  <c r="U28" i="40"/>
  <c r="I28" i="40"/>
  <c r="L28" i="40"/>
  <c r="G31" i="40"/>
  <c r="G32" i="40" s="1"/>
  <c r="S28" i="40"/>
  <c r="M31" i="40"/>
  <c r="M32" i="40" s="1"/>
  <c r="I31" i="40"/>
  <c r="I32" i="40" s="1"/>
  <c r="N31" i="40"/>
  <c r="N32" i="40" s="1"/>
  <c r="K31" i="40"/>
  <c r="K32" i="40" s="1"/>
  <c r="N28" i="40"/>
  <c r="J31" i="40"/>
  <c r="J32" i="40" s="1"/>
  <c r="R31" i="40"/>
  <c r="R32" i="40" s="1"/>
  <c r="R28" i="40"/>
  <c r="Q31" i="40"/>
  <c r="Q32" i="40" s="1"/>
  <c r="X31" i="40"/>
  <c r="X32" i="40" s="1"/>
  <c r="K28" i="40"/>
  <c r="L31" i="40"/>
  <c r="L32" i="40" s="1"/>
  <c r="P31" i="40"/>
  <c r="P32" i="40" s="1"/>
  <c r="E28" i="40"/>
  <c r="X28" i="40"/>
  <c r="H28" i="40"/>
  <c r="F28" i="40"/>
  <c r="S31" i="40"/>
  <c r="S32" i="40" s="1"/>
  <c r="W31" i="40"/>
  <c r="W32" i="40" s="1"/>
  <c r="T31" i="40"/>
  <c r="T32" i="40" s="1"/>
  <c r="P28" i="40"/>
  <c r="E31" i="40"/>
  <c r="E32" i="40" s="1"/>
  <c r="J28" i="40"/>
  <c r="W187" i="40"/>
  <c r="W188" i="40" s="1"/>
  <c r="O183" i="40"/>
  <c r="D190" i="40"/>
  <c r="V187" i="40"/>
  <c r="V188" i="40" s="1"/>
  <c r="T187" i="40"/>
  <c r="T188" i="40" s="1"/>
  <c r="K183" i="40"/>
  <c r="Q187" i="40"/>
  <c r="Q188" i="40" s="1"/>
  <c r="I183" i="40"/>
  <c r="I187" i="40"/>
  <c r="I188" i="40" s="1"/>
  <c r="O187" i="40"/>
  <c r="O188" i="40" s="1"/>
  <c r="H183" i="40"/>
  <c r="L187" i="40"/>
  <c r="L188" i="40" s="1"/>
  <c r="F183" i="40"/>
  <c r="K187" i="40"/>
  <c r="K188" i="40" s="1"/>
  <c r="E183" i="40"/>
  <c r="H187" i="40"/>
  <c r="H188" i="40" s="1"/>
  <c r="G187" i="40"/>
  <c r="G188" i="40" s="1"/>
  <c r="F187" i="40"/>
  <c r="F188" i="40" s="1"/>
  <c r="J183" i="40"/>
  <c r="X183" i="40"/>
  <c r="N183" i="40"/>
  <c r="D193" i="40"/>
  <c r="V183" i="40"/>
  <c r="Q183" i="40"/>
  <c r="S187" i="40"/>
  <c r="S188" i="40" s="1"/>
  <c r="S183" i="40"/>
  <c r="U183" i="40"/>
  <c r="U187" i="40"/>
  <c r="U188" i="40" s="1"/>
  <c r="W183" i="40"/>
  <c r="E187" i="40"/>
  <c r="E188" i="40" s="1"/>
  <c r="P183" i="40"/>
  <c r="M187" i="40"/>
  <c r="M188" i="40" s="1"/>
  <c r="M183" i="40"/>
  <c r="N187" i="40"/>
  <c r="N188" i="40" s="1"/>
  <c r="P187" i="40"/>
  <c r="P188" i="40" s="1"/>
  <c r="X187" i="40"/>
  <c r="X188" i="40" s="1"/>
  <c r="D186" i="40"/>
  <c r="R183" i="40"/>
  <c r="J187" i="40"/>
  <c r="J188" i="40" s="1"/>
  <c r="L183" i="40"/>
  <c r="Y175" i="40"/>
  <c r="R187" i="40"/>
  <c r="R188" i="40" s="1"/>
  <c r="T183" i="40"/>
  <c r="G183" i="40"/>
  <c r="P145" i="40"/>
  <c r="T145" i="40"/>
  <c r="O145" i="40"/>
  <c r="K145" i="40"/>
  <c r="I145" i="40"/>
  <c r="F145" i="40"/>
  <c r="W145" i="40"/>
  <c r="Q145" i="40"/>
  <c r="J145" i="40"/>
  <c r="L145" i="40"/>
  <c r="N145" i="40"/>
  <c r="S145" i="40"/>
  <c r="M145" i="40"/>
  <c r="U145" i="40"/>
  <c r="E145" i="40"/>
  <c r="X145" i="40"/>
  <c r="H145" i="40"/>
  <c r="D136" i="40"/>
  <c r="R145" i="40"/>
  <c r="V145" i="40"/>
  <c r="G145" i="40"/>
  <c r="L68" i="40"/>
  <c r="Q68" i="40"/>
  <c r="R68" i="40"/>
  <c r="P68" i="40"/>
  <c r="O68" i="40"/>
  <c r="J68" i="40"/>
  <c r="M68" i="40"/>
  <c r="I68" i="40"/>
  <c r="K68" i="40"/>
  <c r="H68" i="40"/>
  <c r="G68" i="40"/>
  <c r="F68" i="40"/>
  <c r="W68" i="40"/>
  <c r="U68" i="40"/>
  <c r="E68" i="40"/>
  <c r="X68" i="40"/>
  <c r="T68" i="40"/>
  <c r="S68" i="40"/>
  <c r="V68" i="40"/>
  <c r="D59" i="40"/>
  <c r="N68" i="40"/>
  <c r="F90" i="40"/>
  <c r="F92" i="40" s="1"/>
  <c r="V241" i="40"/>
  <c r="U243" i="40"/>
  <c r="U247" i="40" s="1"/>
  <c r="W264" i="40"/>
  <c r="L268" i="40"/>
  <c r="L269" i="40" s="1"/>
  <c r="E268" i="40"/>
  <c r="E269" i="40" s="1"/>
  <c r="I268" i="40"/>
  <c r="I269" i="40" s="1"/>
  <c r="V264" i="40"/>
  <c r="F264" i="40"/>
  <c r="O264" i="40"/>
  <c r="M264" i="40"/>
  <c r="J264" i="40"/>
  <c r="X268" i="40"/>
  <c r="X269" i="40" s="1"/>
  <c r="D271" i="40"/>
  <c r="E271" i="40" s="1"/>
  <c r="W268" i="40"/>
  <c r="W269" i="40" s="1"/>
  <c r="M268" i="40"/>
  <c r="M269" i="40" s="1"/>
  <c r="T268" i="40"/>
  <c r="T269" i="40" s="1"/>
  <c r="O268" i="40"/>
  <c r="O269" i="40" s="1"/>
  <c r="N268" i="40"/>
  <c r="N269" i="40" s="1"/>
  <c r="I264" i="40"/>
  <c r="N264" i="40"/>
  <c r="R264" i="40"/>
  <c r="X264" i="40"/>
  <c r="D274" i="40"/>
  <c r="H264" i="40"/>
  <c r="T264" i="40"/>
  <c r="S264" i="40"/>
  <c r="Q268" i="40"/>
  <c r="Q269" i="40" s="1"/>
  <c r="G264" i="40"/>
  <c r="H268" i="40"/>
  <c r="H269" i="40" s="1"/>
  <c r="K268" i="40"/>
  <c r="K269" i="40" s="1"/>
  <c r="K264" i="40"/>
  <c r="P268" i="40"/>
  <c r="P269" i="40" s="1"/>
  <c r="U264" i="40"/>
  <c r="Q264" i="40"/>
  <c r="V268" i="40"/>
  <c r="V269" i="40" s="1"/>
  <c r="F268" i="40"/>
  <c r="F269" i="40" s="1"/>
  <c r="R268" i="40"/>
  <c r="R269" i="40" s="1"/>
  <c r="Y256" i="40"/>
  <c r="U268" i="40"/>
  <c r="U269" i="40" s="1"/>
  <c r="E264" i="40"/>
  <c r="J268" i="40"/>
  <c r="J269" i="40" s="1"/>
  <c r="L264" i="40"/>
  <c r="P264" i="40"/>
  <c r="D267" i="40"/>
  <c r="E248" i="40" s="1"/>
  <c r="E249" i="40" s="1"/>
  <c r="E251" i="40" s="1"/>
  <c r="G268" i="40"/>
  <c r="G269" i="40" s="1"/>
  <c r="S268" i="40"/>
  <c r="S269" i="40" s="1"/>
  <c r="F51" i="40"/>
  <c r="F54" i="40" s="1"/>
  <c r="V360" i="40"/>
  <c r="U362" i="40"/>
  <c r="U366" i="40" s="1"/>
  <c r="V83" i="40"/>
  <c r="U85" i="40"/>
  <c r="U89" i="40" s="1"/>
  <c r="I425" i="40"/>
  <c r="U425" i="40"/>
  <c r="R425" i="40"/>
  <c r="H425" i="40"/>
  <c r="V425" i="40"/>
  <c r="J425" i="40"/>
  <c r="E425" i="40"/>
  <c r="W425" i="40"/>
  <c r="F425" i="40"/>
  <c r="Q425" i="40"/>
  <c r="M425" i="40"/>
  <c r="K425" i="40"/>
  <c r="P425" i="40"/>
  <c r="N425" i="40"/>
  <c r="S425" i="40"/>
  <c r="D416" i="40"/>
  <c r="L425" i="40"/>
  <c r="G425" i="40"/>
  <c r="X425" i="40"/>
  <c r="T425" i="40"/>
  <c r="O425" i="40"/>
  <c r="P225" i="40"/>
  <c r="L225" i="40"/>
  <c r="J225" i="40"/>
  <c r="H225" i="40"/>
  <c r="Q225" i="40"/>
  <c r="N225" i="40"/>
  <c r="R225" i="40"/>
  <c r="D216" i="40"/>
  <c r="I225" i="40"/>
  <c r="U225" i="40"/>
  <c r="X225" i="40"/>
  <c r="F225" i="40"/>
  <c r="S225" i="40"/>
  <c r="O225" i="40"/>
  <c r="K225" i="40"/>
  <c r="T225" i="40"/>
  <c r="V225" i="40"/>
  <c r="E225" i="40"/>
  <c r="W225" i="40"/>
  <c r="M225" i="40"/>
  <c r="G225" i="40"/>
  <c r="U162" i="40"/>
  <c r="U166" i="40" s="1"/>
  <c r="V160" i="40"/>
  <c r="V6" i="40"/>
  <c r="U8" i="40"/>
  <c r="U12" i="40" s="1"/>
  <c r="O511" i="40"/>
  <c r="Q511" i="40"/>
  <c r="I511" i="40"/>
  <c r="T511" i="40"/>
  <c r="S511" i="40"/>
  <c r="J511" i="40"/>
  <c r="P511" i="40"/>
  <c r="F511" i="40"/>
  <c r="E511" i="40"/>
  <c r="K511" i="40"/>
  <c r="U511" i="40"/>
  <c r="D502" i="40"/>
  <c r="L511" i="40"/>
  <c r="G511" i="40"/>
  <c r="W511" i="40"/>
  <c r="H511" i="40"/>
  <c r="X511" i="40"/>
  <c r="M511" i="40"/>
  <c r="N511" i="40"/>
  <c r="R511" i="40"/>
  <c r="V511" i="40"/>
  <c r="D37" i="5"/>
  <c r="E31" i="5"/>
  <c r="F28" i="5"/>
  <c r="E28" i="5"/>
  <c r="V6" i="5"/>
  <c r="U8" i="5"/>
  <c r="P23" i="26"/>
  <c r="N426" i="5"/>
  <c r="M426" i="5"/>
  <c r="L426" i="5"/>
  <c r="K426" i="5"/>
  <c r="J426" i="5"/>
  <c r="I426" i="5"/>
  <c r="H426" i="5"/>
  <c r="G426" i="5"/>
  <c r="F426" i="5"/>
  <c r="E426" i="5"/>
  <c r="P105" i="5"/>
  <c r="O105" i="5"/>
  <c r="N105" i="5"/>
  <c r="M105" i="5"/>
  <c r="L105" i="5"/>
  <c r="K105" i="5"/>
  <c r="J105" i="5"/>
  <c r="I105" i="5"/>
  <c r="X105" i="5"/>
  <c r="H105" i="5"/>
  <c r="W105" i="5"/>
  <c r="G105" i="5"/>
  <c r="V105" i="5"/>
  <c r="F105" i="5"/>
  <c r="U105" i="5"/>
  <c r="E105" i="5"/>
  <c r="T105" i="5"/>
  <c r="S105" i="5"/>
  <c r="Q105" i="5"/>
  <c r="R105" i="5"/>
  <c r="X345" i="5"/>
  <c r="H345" i="5"/>
  <c r="W345" i="5"/>
  <c r="G345" i="5"/>
  <c r="V345" i="5"/>
  <c r="F345" i="5"/>
  <c r="U345" i="5"/>
  <c r="E345" i="5"/>
  <c r="T345" i="5"/>
  <c r="S345" i="5"/>
  <c r="R345" i="5"/>
  <c r="Q345" i="5"/>
  <c r="P345" i="5"/>
  <c r="O345" i="5"/>
  <c r="N345" i="5"/>
  <c r="M345" i="5"/>
  <c r="L345" i="5"/>
  <c r="K345" i="5"/>
  <c r="I345" i="5"/>
  <c r="J345" i="5"/>
  <c r="L469" i="5"/>
  <c r="K469" i="5"/>
  <c r="J469" i="5"/>
  <c r="I469" i="5"/>
  <c r="H469" i="5"/>
  <c r="G469" i="5"/>
  <c r="F469" i="5"/>
  <c r="E469" i="5"/>
  <c r="M469" i="5"/>
  <c r="N469" i="5"/>
  <c r="X28" i="5"/>
  <c r="H28" i="5"/>
  <c r="W28" i="5"/>
  <c r="G28" i="5"/>
  <c r="V28" i="5"/>
  <c r="U28" i="5"/>
  <c r="T28" i="5"/>
  <c r="S28" i="5"/>
  <c r="R28" i="5"/>
  <c r="Q28" i="5"/>
  <c r="P28" i="5"/>
  <c r="I28" i="5"/>
  <c r="O28" i="5"/>
  <c r="N28" i="5"/>
  <c r="M28" i="5"/>
  <c r="L28" i="5"/>
  <c r="K28" i="5"/>
  <c r="J28" i="5"/>
  <c r="P264" i="5"/>
  <c r="O264" i="5"/>
  <c r="N264" i="5"/>
  <c r="M264" i="5"/>
  <c r="L264" i="5"/>
  <c r="K264" i="5"/>
  <c r="J264" i="5"/>
  <c r="I264" i="5"/>
  <c r="X264" i="5"/>
  <c r="H264" i="5"/>
  <c r="W264" i="5"/>
  <c r="G264" i="5"/>
  <c r="V264" i="5"/>
  <c r="F264" i="5"/>
  <c r="U264" i="5"/>
  <c r="E264" i="5"/>
  <c r="T264" i="5"/>
  <c r="S264" i="5"/>
  <c r="Q264" i="5"/>
  <c r="R264" i="5"/>
  <c r="N69" i="5"/>
  <c r="M69" i="5"/>
  <c r="L69" i="5"/>
  <c r="K69" i="5"/>
  <c r="J69" i="5"/>
  <c r="I69" i="5"/>
  <c r="H69" i="5"/>
  <c r="G69" i="5"/>
  <c r="F69" i="5"/>
  <c r="T383" i="5"/>
  <c r="S383" i="5"/>
  <c r="R383" i="5"/>
  <c r="Q383" i="5"/>
  <c r="P383" i="5"/>
  <c r="O383" i="5"/>
  <c r="U383" i="5"/>
  <c r="N383" i="5"/>
  <c r="M383" i="5"/>
  <c r="L383" i="5"/>
  <c r="E383" i="5"/>
  <c r="K383" i="5"/>
  <c r="J383" i="5"/>
  <c r="I383" i="5"/>
  <c r="X383" i="5"/>
  <c r="H383" i="5"/>
  <c r="W383" i="5"/>
  <c r="G383" i="5"/>
  <c r="V383" i="5"/>
  <c r="F383" i="5"/>
  <c r="H226" i="5"/>
  <c r="G226" i="5"/>
  <c r="F226" i="5"/>
  <c r="E226" i="5"/>
  <c r="I226" i="5"/>
  <c r="N226" i="5"/>
  <c r="M226" i="5"/>
  <c r="L226" i="5"/>
  <c r="K226" i="5"/>
  <c r="J226" i="5"/>
  <c r="N307" i="5"/>
  <c r="M307" i="5"/>
  <c r="L307" i="5"/>
  <c r="K307" i="5"/>
  <c r="J307" i="5"/>
  <c r="I307" i="5"/>
  <c r="H307" i="5"/>
  <c r="E307" i="5"/>
  <c r="G307" i="5"/>
  <c r="F307" i="5"/>
  <c r="H512" i="5"/>
  <c r="G512" i="5"/>
  <c r="F512" i="5"/>
  <c r="E512" i="5"/>
  <c r="N512" i="5"/>
  <c r="M512" i="5"/>
  <c r="L512" i="5"/>
  <c r="K512" i="5"/>
  <c r="I512" i="5"/>
  <c r="J512" i="5"/>
  <c r="L146" i="5"/>
  <c r="M146" i="5"/>
  <c r="K146" i="5"/>
  <c r="J146" i="5"/>
  <c r="I146" i="5"/>
  <c r="H146" i="5"/>
  <c r="G146" i="5"/>
  <c r="F146" i="5"/>
  <c r="E146" i="5"/>
  <c r="N146" i="5"/>
  <c r="X183" i="5"/>
  <c r="H183" i="5"/>
  <c r="W183" i="5"/>
  <c r="G183" i="5"/>
  <c r="V183" i="5"/>
  <c r="F183" i="5"/>
  <c r="U183" i="5"/>
  <c r="E183" i="5"/>
  <c r="T183" i="5"/>
  <c r="S183" i="5"/>
  <c r="R183" i="5"/>
  <c r="Q183" i="5"/>
  <c r="P183" i="5"/>
  <c r="O183" i="5"/>
  <c r="N183" i="5"/>
  <c r="M183" i="5"/>
  <c r="L183" i="5"/>
  <c r="K183" i="5"/>
  <c r="I183" i="5"/>
  <c r="J183" i="5"/>
  <c r="Q27" i="26"/>
  <c r="Q28" i="26" s="1"/>
  <c r="R25" i="26" s="1"/>
  <c r="Q18" i="26"/>
  <c r="Q20" i="26" s="1"/>
  <c r="Q22" i="26" s="1"/>
  <c r="N57" i="26"/>
  <c r="N59" i="26" s="1"/>
  <c r="N61" i="26" s="1"/>
  <c r="N66" i="26"/>
  <c r="N67" i="26" s="1"/>
  <c r="O64" i="26" s="1"/>
  <c r="M62" i="26"/>
  <c r="X72" i="26"/>
  <c r="X53" i="26"/>
  <c r="X54" i="26" s="1"/>
  <c r="X56" i="26" s="1"/>
  <c r="X14" i="26"/>
  <c r="X15" i="26" s="1"/>
  <c r="X17" i="26" s="1"/>
  <c r="X33" i="26"/>
  <c r="R108" i="5"/>
  <c r="F108" i="5"/>
  <c r="Q108" i="5"/>
  <c r="U108" i="5"/>
  <c r="P108" i="5"/>
  <c r="E108" i="5"/>
  <c r="E94" i="5"/>
  <c r="L108" i="5"/>
  <c r="J108" i="5"/>
  <c r="X108" i="5"/>
  <c r="O108" i="5"/>
  <c r="H108" i="5"/>
  <c r="N108" i="5"/>
  <c r="W108" i="5"/>
  <c r="M108" i="5"/>
  <c r="S108" i="5"/>
  <c r="K108" i="5"/>
  <c r="V108" i="5"/>
  <c r="I108" i="5"/>
  <c r="T108" i="5"/>
  <c r="G108" i="5"/>
  <c r="W349" i="5"/>
  <c r="J349" i="5"/>
  <c r="H349" i="5"/>
  <c r="E334" i="5"/>
  <c r="X349" i="5"/>
  <c r="M349" i="5"/>
  <c r="I349" i="5"/>
  <c r="E349" i="5"/>
  <c r="G349" i="5"/>
  <c r="P349" i="5"/>
  <c r="F349" i="5"/>
  <c r="S349" i="5"/>
  <c r="U349" i="5"/>
  <c r="T349" i="5"/>
  <c r="R349" i="5"/>
  <c r="O349" i="5"/>
  <c r="Q349" i="5"/>
  <c r="N349" i="5"/>
  <c r="V349" i="5"/>
  <c r="L349" i="5"/>
  <c r="K349" i="5"/>
  <c r="E17" i="5"/>
  <c r="D34" i="5" s="1"/>
  <c r="Q31" i="5"/>
  <c r="F31" i="5"/>
  <c r="R31" i="5"/>
  <c r="U31" i="5"/>
  <c r="P31" i="5"/>
  <c r="O31" i="5"/>
  <c r="N31" i="5"/>
  <c r="T31" i="5"/>
  <c r="M31" i="5"/>
  <c r="S31" i="5"/>
  <c r="K31" i="5"/>
  <c r="J31" i="5"/>
  <c r="I31" i="5"/>
  <c r="H31" i="5"/>
  <c r="W31" i="5"/>
  <c r="L31" i="5"/>
  <c r="X31" i="5"/>
  <c r="G31" i="5"/>
  <c r="V31" i="5"/>
  <c r="T268" i="5"/>
  <c r="S268" i="5"/>
  <c r="N268" i="5"/>
  <c r="I268" i="5"/>
  <c r="E253" i="5"/>
  <c r="Q268" i="5"/>
  <c r="R268" i="5"/>
  <c r="W268" i="5"/>
  <c r="X268" i="5"/>
  <c r="J268" i="5"/>
  <c r="M268" i="5"/>
  <c r="P268" i="5"/>
  <c r="U268" i="5"/>
  <c r="L268" i="5"/>
  <c r="O268" i="5"/>
  <c r="H268" i="5"/>
  <c r="E268" i="5"/>
  <c r="G268" i="5"/>
  <c r="K268" i="5"/>
  <c r="V268" i="5"/>
  <c r="F268" i="5"/>
  <c r="G187" i="5"/>
  <c r="V187" i="5"/>
  <c r="S187" i="5"/>
  <c r="R187" i="5"/>
  <c r="Q187" i="5"/>
  <c r="P187" i="5"/>
  <c r="O187" i="5"/>
  <c r="J187" i="5"/>
  <c r="X187" i="5"/>
  <c r="L187" i="5"/>
  <c r="N187" i="5"/>
  <c r="F187" i="5"/>
  <c r="E172" i="5"/>
  <c r="U187" i="5"/>
  <c r="M187" i="5"/>
  <c r="H187" i="5"/>
  <c r="K187" i="5"/>
  <c r="E187" i="5"/>
  <c r="I187" i="5"/>
  <c r="W187" i="5"/>
  <c r="T187" i="5"/>
  <c r="K387" i="5"/>
  <c r="R387" i="5"/>
  <c r="O387" i="5"/>
  <c r="J387" i="5"/>
  <c r="Q387" i="5"/>
  <c r="V387" i="5"/>
  <c r="P387" i="5"/>
  <c r="I387" i="5"/>
  <c r="F387" i="5"/>
  <c r="X387" i="5"/>
  <c r="E387" i="5"/>
  <c r="U387" i="5"/>
  <c r="H387" i="5"/>
  <c r="W387" i="5"/>
  <c r="T387" i="5"/>
  <c r="G387" i="5"/>
  <c r="E372" i="5"/>
  <c r="L387" i="5"/>
  <c r="S387" i="5"/>
  <c r="M387" i="5"/>
  <c r="N387" i="5"/>
  <c r="AG307" i="13"/>
  <c r="AG310" i="13"/>
  <c r="AG313" i="13"/>
  <c r="AG316" i="13"/>
  <c r="AG300" i="13"/>
  <c r="AG303" i="13"/>
  <c r="AG306" i="13"/>
  <c r="AG312" i="13"/>
  <c r="AG315" i="13"/>
  <c r="AG299" i="13"/>
  <c r="AG302" i="13"/>
  <c r="AG305" i="13"/>
  <c r="AG308" i="13"/>
  <c r="AG311" i="13"/>
  <c r="AG314" i="13"/>
  <c r="AG298" i="13"/>
  <c r="AG309" i="13"/>
  <c r="AG286" i="13"/>
  <c r="AG289" i="13"/>
  <c r="AG283" i="13"/>
  <c r="AG296" i="13"/>
  <c r="AG292" i="13"/>
  <c r="AG288" i="13"/>
  <c r="AG304" i="13"/>
  <c r="AG291" i="13"/>
  <c r="AG295" i="13"/>
  <c r="AG282" i="13"/>
  <c r="AG297" i="13"/>
  <c r="AG287" i="13"/>
  <c r="AG301" i="13"/>
  <c r="AG285" i="13"/>
  <c r="AG279" i="13"/>
  <c r="AG294" i="13"/>
  <c r="AG278" i="13"/>
  <c r="AG284" i="13"/>
  <c r="AG280" i="13"/>
  <c r="AG290" i="13"/>
  <c r="AG281" i="13"/>
  <c r="AG116" i="13"/>
  <c r="G405" i="40" s="1"/>
  <c r="AG122" i="13"/>
  <c r="AG110" i="13"/>
  <c r="G165" i="40" s="1"/>
  <c r="AG118" i="13"/>
  <c r="G491" i="40" s="1"/>
  <c r="AG97" i="13"/>
  <c r="AG115" i="13"/>
  <c r="G365" i="40" s="1"/>
  <c r="AG128" i="13"/>
  <c r="AG121" i="13"/>
  <c r="AG106" i="13"/>
  <c r="G11" i="40" s="1"/>
  <c r="AG117" i="13"/>
  <c r="G448" i="40" s="1"/>
  <c r="AG96" i="13"/>
  <c r="AG124" i="13"/>
  <c r="AG114" i="13"/>
  <c r="G327" i="40" s="1"/>
  <c r="AG119" i="13"/>
  <c r="AG98" i="13"/>
  <c r="AG93" i="13"/>
  <c r="AG94" i="13"/>
  <c r="AG92" i="13"/>
  <c r="AG95" i="13"/>
  <c r="AG91" i="13"/>
  <c r="AG107" i="13"/>
  <c r="G49" i="40" s="1"/>
  <c r="AG108" i="13"/>
  <c r="G88" i="40" s="1"/>
  <c r="AG120" i="13"/>
  <c r="AG112" i="13"/>
  <c r="G246" i="40" s="1"/>
  <c r="AG111" i="13"/>
  <c r="G205" i="40" s="1"/>
  <c r="AG113" i="13"/>
  <c r="G286" i="40" s="1"/>
  <c r="AG109" i="13"/>
  <c r="G126" i="40" s="1"/>
  <c r="AG199" i="13"/>
  <c r="AG191" i="13"/>
  <c r="G403" i="40" s="1"/>
  <c r="AG198" i="13"/>
  <c r="AG190" i="13"/>
  <c r="G364" i="40" s="1"/>
  <c r="AG206" i="13"/>
  <c r="AG195" i="13"/>
  <c r="G489" i="40" s="1"/>
  <c r="AG187" i="13"/>
  <c r="G284" i="40" s="1"/>
  <c r="AG197" i="13"/>
  <c r="AG189" i="13"/>
  <c r="G326" i="40" s="1"/>
  <c r="AG194" i="13"/>
  <c r="G447" i="40" s="1"/>
  <c r="AG181" i="13"/>
  <c r="G124" i="40" s="1"/>
  <c r="AG178" i="13"/>
  <c r="G47" i="40" s="1"/>
  <c r="AG177" i="13"/>
  <c r="G10" i="40" s="1"/>
  <c r="AG196" i="13"/>
  <c r="G490" i="40" s="1"/>
  <c r="AG193" i="13"/>
  <c r="G446" i="40" s="1"/>
  <c r="AG185" i="13"/>
  <c r="G204" i="40" s="1"/>
  <c r="AG167" i="13"/>
  <c r="AG192" i="13"/>
  <c r="G404" i="40" s="1"/>
  <c r="AG165" i="13"/>
  <c r="AG202" i="13"/>
  <c r="AG168" i="13"/>
  <c r="AG163" i="13"/>
  <c r="AG183" i="13"/>
  <c r="G164" i="40" s="1"/>
  <c r="AG123" i="13"/>
  <c r="AG200" i="13"/>
  <c r="AG179" i="13"/>
  <c r="G48" i="40" s="1"/>
  <c r="AG172" i="13"/>
  <c r="AG184" i="13"/>
  <c r="G203" i="40" s="1"/>
  <c r="AG188" i="13"/>
  <c r="G285" i="40" s="1"/>
  <c r="AG182" i="13"/>
  <c r="G125" i="40" s="1"/>
  <c r="AG186" i="13"/>
  <c r="G245" i="40" s="1"/>
  <c r="AG180" i="13"/>
  <c r="G87" i="40" s="1"/>
  <c r="AG102" i="13"/>
  <c r="AG171" i="13"/>
  <c r="AG164" i="13"/>
  <c r="AG201" i="13"/>
  <c r="AG132" i="13"/>
  <c r="AG173" i="13"/>
  <c r="AG80" i="13"/>
  <c r="AG74" i="13"/>
  <c r="AG68" i="13"/>
  <c r="AG77" i="13"/>
  <c r="AG71" i="13"/>
  <c r="AG53" i="13"/>
  <c r="AG44" i="13"/>
  <c r="AG162" i="13"/>
  <c r="AG52" i="13"/>
  <c r="AG204" i="13"/>
  <c r="AG100" i="13"/>
  <c r="AG47" i="13"/>
  <c r="AG46" i="13"/>
  <c r="AG48" i="13"/>
  <c r="AG207" i="13"/>
  <c r="AG125" i="13"/>
  <c r="AG103" i="13"/>
  <c r="AG76" i="13"/>
  <c r="AG166" i="13"/>
  <c r="AG170" i="13"/>
  <c r="AG127" i="13"/>
  <c r="AG105" i="13"/>
  <c r="AG81" i="13"/>
  <c r="AG45" i="13"/>
  <c r="AG293" i="13"/>
  <c r="AG87" i="13"/>
  <c r="AG49" i="13"/>
  <c r="AG84" i="13"/>
  <c r="AG63" i="13"/>
  <c r="AG59" i="13"/>
  <c r="AG69" i="13"/>
  <c r="AG169" i="13"/>
  <c r="AG129" i="13"/>
  <c r="AG101" i="13"/>
  <c r="AG78" i="13"/>
  <c r="AG73" i="13"/>
  <c r="AG205" i="13"/>
  <c r="AG86" i="13"/>
  <c r="AG65" i="13"/>
  <c r="AG61" i="13"/>
  <c r="AG72" i="13"/>
  <c r="AG174" i="13"/>
  <c r="AG66" i="13"/>
  <c r="AG67" i="13"/>
  <c r="AG104" i="13"/>
  <c r="AG54" i="13"/>
  <c r="AG51" i="13"/>
  <c r="AG83" i="13"/>
  <c r="AG175" i="13"/>
  <c r="AG60" i="13"/>
  <c r="AG62" i="13"/>
  <c r="AG82" i="13"/>
  <c r="AG99" i="13"/>
  <c r="AG79" i="13"/>
  <c r="AG126" i="13"/>
  <c r="AG70" i="13"/>
  <c r="AG58" i="13"/>
  <c r="AG55" i="13"/>
  <c r="AG75" i="13"/>
  <c r="AG43" i="13"/>
  <c r="AG57" i="13"/>
  <c r="AG50" i="13"/>
  <c r="AG203" i="13"/>
  <c r="AG56" i="13"/>
  <c r="AG85" i="13"/>
  <c r="AG64" i="13"/>
  <c r="AG176" i="13"/>
  <c r="AG88" i="13"/>
  <c r="AH4" i="13"/>
  <c r="F70" i="40" l="1"/>
  <c r="G427" i="40"/>
  <c r="E390" i="40"/>
  <c r="G90" i="40"/>
  <c r="G92" i="40" s="1"/>
  <c r="G13" i="40"/>
  <c r="G15" i="40" s="1"/>
  <c r="P106" i="40"/>
  <c r="P107" i="40" s="1"/>
  <c r="G51" i="40"/>
  <c r="G54" i="40" s="1"/>
  <c r="D33" i="40"/>
  <c r="E33" i="40" s="1"/>
  <c r="Q184" i="40"/>
  <c r="Q185" i="40" s="1"/>
  <c r="W360" i="40"/>
  <c r="V362" i="40"/>
  <c r="V366" i="40" s="1"/>
  <c r="E227" i="40"/>
  <c r="E228" i="40" s="1"/>
  <c r="J227" i="40"/>
  <c r="J228" i="40" s="1"/>
  <c r="I227" i="40"/>
  <c r="I228" i="40" s="1"/>
  <c r="N227" i="40"/>
  <c r="N228" i="40" s="1"/>
  <c r="L227" i="40"/>
  <c r="L228" i="40" s="1"/>
  <c r="M227" i="40"/>
  <c r="M228" i="40" s="1"/>
  <c r="F227" i="40"/>
  <c r="F228" i="40" s="1"/>
  <c r="H227" i="40"/>
  <c r="H228" i="40" s="1"/>
  <c r="K227" i="40"/>
  <c r="K228" i="40" s="1"/>
  <c r="U227" i="40"/>
  <c r="U228" i="40" s="1"/>
  <c r="R227" i="40"/>
  <c r="R228" i="40" s="1"/>
  <c r="V227" i="40"/>
  <c r="V228" i="40" s="1"/>
  <c r="S227" i="40"/>
  <c r="S228" i="40" s="1"/>
  <c r="O227" i="40"/>
  <c r="O228" i="40" s="1"/>
  <c r="Q227" i="40"/>
  <c r="Q228" i="40" s="1"/>
  <c r="T227" i="40"/>
  <c r="T228" i="40" s="1"/>
  <c r="W227" i="40"/>
  <c r="W228" i="40" s="1"/>
  <c r="X227" i="40"/>
  <c r="X228" i="40" s="1"/>
  <c r="P227" i="40"/>
  <c r="P228" i="40" s="1"/>
  <c r="L147" i="40"/>
  <c r="L148" i="40" s="1"/>
  <c r="K147" i="40"/>
  <c r="K148" i="40" s="1"/>
  <c r="J147" i="40"/>
  <c r="J148" i="40" s="1"/>
  <c r="G147" i="40"/>
  <c r="G148" i="40" s="1"/>
  <c r="M147" i="40"/>
  <c r="M148" i="40" s="1"/>
  <c r="E147" i="40"/>
  <c r="E148" i="40" s="1"/>
  <c r="N147" i="40"/>
  <c r="N148" i="40" s="1"/>
  <c r="I147" i="40"/>
  <c r="H147" i="40"/>
  <c r="H148" i="40" s="1"/>
  <c r="F147" i="40"/>
  <c r="P147" i="40"/>
  <c r="P148" i="40" s="1"/>
  <c r="Q147" i="40"/>
  <c r="Q148" i="40" s="1"/>
  <c r="R147" i="40"/>
  <c r="R148" i="40" s="1"/>
  <c r="T147" i="40"/>
  <c r="T148" i="40" s="1"/>
  <c r="V147" i="40"/>
  <c r="V148" i="40" s="1"/>
  <c r="X147" i="40"/>
  <c r="X148" i="40" s="1"/>
  <c r="O147" i="40"/>
  <c r="O148" i="40" s="1"/>
  <c r="U147" i="40"/>
  <c r="U148" i="40" s="1"/>
  <c r="S147" i="40"/>
  <c r="S148" i="40" s="1"/>
  <c r="W147" i="40"/>
  <c r="W148" i="40" s="1"/>
  <c r="Y376" i="40"/>
  <c r="Y386" i="40"/>
  <c r="E386" i="40" s="1"/>
  <c r="H427" i="40"/>
  <c r="E427" i="40"/>
  <c r="M427" i="40"/>
  <c r="K427" i="40"/>
  <c r="K428" i="40" s="1"/>
  <c r="I427" i="40"/>
  <c r="I428" i="40" s="1"/>
  <c r="N427" i="40"/>
  <c r="N428" i="40" s="1"/>
  <c r="L427" i="40"/>
  <c r="L428" i="40" s="1"/>
  <c r="O427" i="40"/>
  <c r="O428" i="40" s="1"/>
  <c r="X427" i="40"/>
  <c r="X428" i="40" s="1"/>
  <c r="T427" i="40"/>
  <c r="T428" i="40" s="1"/>
  <c r="Q427" i="40"/>
  <c r="Q428" i="40" s="1"/>
  <c r="P427" i="40"/>
  <c r="P428" i="40" s="1"/>
  <c r="V427" i="40"/>
  <c r="V428" i="40" s="1"/>
  <c r="R427" i="40"/>
  <c r="R428" i="40" s="1"/>
  <c r="S427" i="40"/>
  <c r="S428" i="40" s="1"/>
  <c r="U427" i="40"/>
  <c r="U428" i="40" s="1"/>
  <c r="W427" i="40"/>
  <c r="W428" i="40" s="1"/>
  <c r="W241" i="40"/>
  <c r="V243" i="40"/>
  <c r="V247" i="40" s="1"/>
  <c r="D110" i="40"/>
  <c r="G227" i="40"/>
  <c r="G228" i="40" s="1"/>
  <c r="J427" i="40"/>
  <c r="J428" i="40" s="1"/>
  <c r="D36" i="40"/>
  <c r="D35" i="40"/>
  <c r="O384" i="40"/>
  <c r="O385" i="40" s="1"/>
  <c r="E384" i="40"/>
  <c r="E385" i="40" s="1"/>
  <c r="J384" i="40"/>
  <c r="J385" i="40" s="1"/>
  <c r="G384" i="40"/>
  <c r="G385" i="40" s="1"/>
  <c r="N384" i="40"/>
  <c r="N385" i="40" s="1"/>
  <c r="Q384" i="40"/>
  <c r="Q385" i="40" s="1"/>
  <c r="M384" i="40"/>
  <c r="M385" i="40" s="1"/>
  <c r="L384" i="40"/>
  <c r="L385" i="40" s="1"/>
  <c r="S384" i="40"/>
  <c r="S385" i="40" s="1"/>
  <c r="H384" i="40"/>
  <c r="H385" i="40" s="1"/>
  <c r="X384" i="40"/>
  <c r="X385" i="40" s="1"/>
  <c r="W384" i="40"/>
  <c r="W385" i="40" s="1"/>
  <c r="F384" i="40"/>
  <c r="F385" i="40" s="1"/>
  <c r="I384" i="40"/>
  <c r="I385" i="40" s="1"/>
  <c r="U384" i="40"/>
  <c r="U385" i="40" s="1"/>
  <c r="R384" i="40"/>
  <c r="R385" i="40" s="1"/>
  <c r="K384" i="40"/>
  <c r="K385" i="40" s="1"/>
  <c r="V384" i="40"/>
  <c r="V385" i="40" s="1"/>
  <c r="T384" i="40"/>
  <c r="T385" i="40" s="1"/>
  <c r="P384" i="40"/>
  <c r="P385" i="40" s="1"/>
  <c r="M473" i="40"/>
  <c r="M474" i="40" s="1"/>
  <c r="L473" i="40"/>
  <c r="L474" i="40" s="1"/>
  <c r="I473" i="40"/>
  <c r="I474" i="40" s="1"/>
  <c r="F473" i="40"/>
  <c r="F474" i="40" s="1"/>
  <c r="Y459" i="40"/>
  <c r="E473" i="40"/>
  <c r="E474" i="40" s="1"/>
  <c r="K473" i="40"/>
  <c r="K474" i="40" s="1"/>
  <c r="H473" i="40"/>
  <c r="H474" i="40" s="1"/>
  <c r="G473" i="40"/>
  <c r="G474" i="40" s="1"/>
  <c r="D472" i="40"/>
  <c r="D476" i="40"/>
  <c r="N473" i="40"/>
  <c r="N474" i="40" s="1"/>
  <c r="D479" i="40"/>
  <c r="J473" i="40"/>
  <c r="J474" i="40" s="1"/>
  <c r="D310" i="40"/>
  <c r="M311" i="40"/>
  <c r="M312" i="40" s="1"/>
  <c r="Y297" i="40"/>
  <c r="D314" i="40"/>
  <c r="L311" i="40"/>
  <c r="L312" i="40" s="1"/>
  <c r="K311" i="40"/>
  <c r="K312" i="40" s="1"/>
  <c r="J311" i="40"/>
  <c r="J312" i="40" s="1"/>
  <c r="F311" i="40"/>
  <c r="F312" i="40" s="1"/>
  <c r="D317" i="40"/>
  <c r="G311" i="40"/>
  <c r="G312" i="40" s="1"/>
  <c r="I311" i="40"/>
  <c r="I312" i="40" s="1"/>
  <c r="E311" i="40"/>
  <c r="E312" i="40" s="1"/>
  <c r="N311" i="40"/>
  <c r="N312" i="40" s="1"/>
  <c r="H311" i="40"/>
  <c r="H312" i="40" s="1"/>
  <c r="Y186" i="40"/>
  <c r="Y176" i="40"/>
  <c r="H29" i="40"/>
  <c r="H30" i="40" s="1"/>
  <c r="F72" i="40"/>
  <c r="F73" i="40" s="1"/>
  <c r="K72" i="40"/>
  <c r="K73" i="40" s="1"/>
  <c r="D78" i="40"/>
  <c r="E72" i="40"/>
  <c r="E73" i="40" s="1"/>
  <c r="N72" i="40"/>
  <c r="N73" i="40" s="1"/>
  <c r="G72" i="40"/>
  <c r="G73" i="40" s="1"/>
  <c r="I72" i="40"/>
  <c r="I73" i="40" s="1"/>
  <c r="H72" i="40"/>
  <c r="H73" i="40" s="1"/>
  <c r="D75" i="40"/>
  <c r="M72" i="40"/>
  <c r="M73" i="40" s="1"/>
  <c r="Y59" i="40"/>
  <c r="Y60" i="40" s="1"/>
  <c r="L72" i="40"/>
  <c r="L73" i="40" s="1"/>
  <c r="F71" i="40"/>
  <c r="J72" i="40"/>
  <c r="J73" i="40" s="1"/>
  <c r="N470" i="40"/>
  <c r="N471" i="40" s="1"/>
  <c r="M470" i="40"/>
  <c r="M471" i="40" s="1"/>
  <c r="L470" i="40"/>
  <c r="L471" i="40" s="1"/>
  <c r="J470" i="40"/>
  <c r="J471" i="40" s="1"/>
  <c r="F470" i="40"/>
  <c r="F471" i="40" s="1"/>
  <c r="K470" i="40"/>
  <c r="K471" i="40" s="1"/>
  <c r="G470" i="40"/>
  <c r="G471" i="40" s="1"/>
  <c r="H470" i="40"/>
  <c r="H471" i="40" s="1"/>
  <c r="I470" i="40"/>
  <c r="I471" i="40" s="1"/>
  <c r="E470" i="40"/>
  <c r="E471" i="40" s="1"/>
  <c r="X470" i="40"/>
  <c r="X471" i="40" s="1"/>
  <c r="W470" i="40"/>
  <c r="W471" i="40" s="1"/>
  <c r="R470" i="40"/>
  <c r="R471" i="40" s="1"/>
  <c r="V470" i="40"/>
  <c r="V471" i="40" s="1"/>
  <c r="T470" i="40"/>
  <c r="T471" i="40" s="1"/>
  <c r="S470" i="40"/>
  <c r="S471" i="40" s="1"/>
  <c r="O470" i="40"/>
  <c r="O471" i="40" s="1"/>
  <c r="Q470" i="40"/>
  <c r="Q471" i="40" s="1"/>
  <c r="P470" i="40"/>
  <c r="P471" i="40" s="1"/>
  <c r="U470" i="40"/>
  <c r="U471" i="40" s="1"/>
  <c r="D189" i="40"/>
  <c r="D191" i="40" s="1"/>
  <c r="W322" i="40"/>
  <c r="V324" i="40"/>
  <c r="V328" i="40" s="1"/>
  <c r="E29" i="40"/>
  <c r="E30" i="40" s="1"/>
  <c r="U29" i="40"/>
  <c r="U30" i="40" s="1"/>
  <c r="I29" i="40"/>
  <c r="I30" i="40" s="1"/>
  <c r="K29" i="40"/>
  <c r="K30" i="40" s="1"/>
  <c r="R29" i="40"/>
  <c r="R30" i="40" s="1"/>
  <c r="O29" i="40"/>
  <c r="O30" i="40" s="1"/>
  <c r="N29" i="40"/>
  <c r="N30" i="40" s="1"/>
  <c r="J29" i="40"/>
  <c r="J30" i="40" s="1"/>
  <c r="T29" i="40"/>
  <c r="T30" i="40" s="1"/>
  <c r="Q29" i="40"/>
  <c r="Q30" i="40" s="1"/>
  <c r="M29" i="40"/>
  <c r="M30" i="40" s="1"/>
  <c r="V29" i="40"/>
  <c r="V30" i="40" s="1"/>
  <c r="F29" i="40"/>
  <c r="F30" i="40" s="1"/>
  <c r="L29" i="40"/>
  <c r="L30" i="40" s="1"/>
  <c r="G29" i="40"/>
  <c r="G30" i="40" s="1"/>
  <c r="W29" i="40"/>
  <c r="W30" i="40" s="1"/>
  <c r="X29" i="40"/>
  <c r="X30" i="40" s="1"/>
  <c r="S29" i="40"/>
  <c r="S30" i="40" s="1"/>
  <c r="P29" i="40"/>
  <c r="P30" i="40" s="1"/>
  <c r="F427" i="40"/>
  <c r="F428" i="40" s="1"/>
  <c r="I430" i="40"/>
  <c r="I431" i="40" s="1"/>
  <c r="M430" i="40"/>
  <c r="M431" i="40" s="1"/>
  <c r="L430" i="40"/>
  <c r="L431" i="40" s="1"/>
  <c r="D436" i="40"/>
  <c r="D429" i="40"/>
  <c r="G430" i="40"/>
  <c r="G431" i="40" s="1"/>
  <c r="M428" i="40"/>
  <c r="F430" i="40"/>
  <c r="F431" i="40" s="1"/>
  <c r="D433" i="40"/>
  <c r="N430" i="40"/>
  <c r="N431" i="40" s="1"/>
  <c r="E428" i="40"/>
  <c r="H430" i="40"/>
  <c r="H431" i="40" s="1"/>
  <c r="E430" i="40"/>
  <c r="E431" i="40" s="1"/>
  <c r="G428" i="40"/>
  <c r="H428" i="40"/>
  <c r="J430" i="40"/>
  <c r="J431" i="40" s="1"/>
  <c r="Y416" i="40"/>
  <c r="K430" i="40"/>
  <c r="K431" i="40" s="1"/>
  <c r="G265" i="40"/>
  <c r="G266" i="40" s="1"/>
  <c r="X265" i="40"/>
  <c r="X266" i="40" s="1"/>
  <c r="F265" i="40"/>
  <c r="F266" i="40" s="1"/>
  <c r="J265" i="40"/>
  <c r="J266" i="40" s="1"/>
  <c r="I265" i="40"/>
  <c r="I266" i="40" s="1"/>
  <c r="R265" i="40"/>
  <c r="R266" i="40" s="1"/>
  <c r="M265" i="40"/>
  <c r="M266" i="40" s="1"/>
  <c r="H265" i="40"/>
  <c r="H266" i="40" s="1"/>
  <c r="E265" i="40"/>
  <c r="E266" i="40" s="1"/>
  <c r="T265" i="40"/>
  <c r="T266" i="40" s="1"/>
  <c r="O265" i="40"/>
  <c r="O266" i="40" s="1"/>
  <c r="S265" i="40"/>
  <c r="S266" i="40" s="1"/>
  <c r="P265" i="40"/>
  <c r="P266" i="40" s="1"/>
  <c r="N265" i="40"/>
  <c r="N266" i="40" s="1"/>
  <c r="K265" i="40"/>
  <c r="K266" i="40" s="1"/>
  <c r="U265" i="40"/>
  <c r="U266" i="40" s="1"/>
  <c r="W265" i="40"/>
  <c r="W266" i="40" s="1"/>
  <c r="V265" i="40"/>
  <c r="V266" i="40" s="1"/>
  <c r="L265" i="40"/>
  <c r="L266" i="40" s="1"/>
  <c r="Q265" i="40"/>
  <c r="Q266" i="40" s="1"/>
  <c r="E186" i="40"/>
  <c r="E167" i="40"/>
  <c r="E168" i="40" s="1"/>
  <c r="E170" i="40" s="1"/>
  <c r="W6" i="40"/>
  <c r="V8" i="40"/>
  <c r="V12" i="40" s="1"/>
  <c r="K106" i="40"/>
  <c r="K107" i="40" s="1"/>
  <c r="O106" i="40"/>
  <c r="O107" i="40" s="1"/>
  <c r="E106" i="40"/>
  <c r="E107" i="40" s="1"/>
  <c r="M106" i="40"/>
  <c r="M107" i="40" s="1"/>
  <c r="G106" i="40"/>
  <c r="G107" i="40" s="1"/>
  <c r="S106" i="40"/>
  <c r="S107" i="40" s="1"/>
  <c r="V106" i="40"/>
  <c r="V107" i="40" s="1"/>
  <c r="U106" i="40"/>
  <c r="U107" i="40" s="1"/>
  <c r="H106" i="40"/>
  <c r="H107" i="40" s="1"/>
  <c r="R106" i="40"/>
  <c r="R107" i="40" s="1"/>
  <c r="Q106" i="40"/>
  <c r="Q107" i="40" s="1"/>
  <c r="L106" i="40"/>
  <c r="L107" i="40" s="1"/>
  <c r="I106" i="40"/>
  <c r="I107" i="40" s="1"/>
  <c r="F106" i="40"/>
  <c r="F107" i="40" s="1"/>
  <c r="T106" i="40"/>
  <c r="T107" i="40" s="1"/>
  <c r="N106" i="40"/>
  <c r="N107" i="40" s="1"/>
  <c r="X106" i="40"/>
  <c r="X107" i="40" s="1"/>
  <c r="W106" i="40"/>
  <c r="W107" i="40" s="1"/>
  <c r="J106" i="40"/>
  <c r="J107" i="40" s="1"/>
  <c r="L230" i="40"/>
  <c r="L231" i="40" s="1"/>
  <c r="N230" i="40"/>
  <c r="N231" i="40" s="1"/>
  <c r="D236" i="40"/>
  <c r="F230" i="40"/>
  <c r="F231" i="40" s="1"/>
  <c r="D229" i="40"/>
  <c r="E207" i="40" s="1"/>
  <c r="E208" i="40" s="1"/>
  <c r="E211" i="40" s="1"/>
  <c r="D233" i="40"/>
  <c r="H230" i="40"/>
  <c r="H231" i="40" s="1"/>
  <c r="K230" i="40"/>
  <c r="K231" i="40" s="1"/>
  <c r="Y216" i="40"/>
  <c r="M230" i="40"/>
  <c r="M231" i="40" s="1"/>
  <c r="I230" i="40"/>
  <c r="I231" i="40" s="1"/>
  <c r="G230" i="40"/>
  <c r="G231" i="40" s="1"/>
  <c r="E230" i="40"/>
  <c r="E231" i="40" s="1"/>
  <c r="J230" i="40"/>
  <c r="J231" i="40" s="1"/>
  <c r="W83" i="40"/>
  <c r="V85" i="40"/>
  <c r="V89" i="40" s="1"/>
  <c r="Y267" i="40"/>
  <c r="E267" i="40" s="1"/>
  <c r="Y257" i="40"/>
  <c r="J70" i="40"/>
  <c r="J71" i="40" s="1"/>
  <c r="E70" i="40"/>
  <c r="E71" i="40" s="1"/>
  <c r="M70" i="40"/>
  <c r="M71" i="40" s="1"/>
  <c r="G70" i="40"/>
  <c r="G71" i="40" s="1"/>
  <c r="H70" i="40"/>
  <c r="H71" i="40" s="1"/>
  <c r="L70" i="40"/>
  <c r="L71" i="40" s="1"/>
  <c r="I70" i="40"/>
  <c r="I71" i="40" s="1"/>
  <c r="K70" i="40"/>
  <c r="K71" i="40" s="1"/>
  <c r="N70" i="40"/>
  <c r="N71" i="40" s="1"/>
  <c r="V70" i="40"/>
  <c r="V71" i="40" s="1"/>
  <c r="O70" i="40"/>
  <c r="O71" i="40" s="1"/>
  <c r="X70" i="40"/>
  <c r="X71" i="40" s="1"/>
  <c r="P70" i="40"/>
  <c r="P71" i="40" s="1"/>
  <c r="W70" i="40"/>
  <c r="W71" i="40" s="1"/>
  <c r="U70" i="40"/>
  <c r="U71" i="40" s="1"/>
  <c r="T70" i="40"/>
  <c r="T71" i="40" s="1"/>
  <c r="R70" i="40"/>
  <c r="R71" i="40" s="1"/>
  <c r="S70" i="40"/>
  <c r="S71" i="40" s="1"/>
  <c r="Q70" i="40"/>
  <c r="Q71" i="40" s="1"/>
  <c r="E190" i="40"/>
  <c r="D112" i="40"/>
  <c r="D113" i="40"/>
  <c r="I308" i="40"/>
  <c r="I309" i="40" s="1"/>
  <c r="H308" i="40"/>
  <c r="H309" i="40" s="1"/>
  <c r="E308" i="40"/>
  <c r="E309" i="40" s="1"/>
  <c r="L308" i="40"/>
  <c r="L309" i="40" s="1"/>
  <c r="K308" i="40"/>
  <c r="K309" i="40" s="1"/>
  <c r="F308" i="40"/>
  <c r="F309" i="40" s="1"/>
  <c r="N308" i="40"/>
  <c r="N309" i="40" s="1"/>
  <c r="J308" i="40"/>
  <c r="J309" i="40" s="1"/>
  <c r="G308" i="40"/>
  <c r="G309" i="40" s="1"/>
  <c r="M308" i="40"/>
  <c r="M309" i="40" s="1"/>
  <c r="U308" i="40"/>
  <c r="U309" i="40" s="1"/>
  <c r="Q308" i="40"/>
  <c r="Q309" i="40" s="1"/>
  <c r="V308" i="40"/>
  <c r="V309" i="40" s="1"/>
  <c r="T308" i="40"/>
  <c r="T309" i="40" s="1"/>
  <c r="O308" i="40"/>
  <c r="O309" i="40" s="1"/>
  <c r="W308" i="40"/>
  <c r="W309" i="40" s="1"/>
  <c r="P308" i="40"/>
  <c r="P309" i="40" s="1"/>
  <c r="X308" i="40"/>
  <c r="X309" i="40" s="1"/>
  <c r="R308" i="40"/>
  <c r="R309" i="40" s="1"/>
  <c r="S308" i="40"/>
  <c r="S309" i="40" s="1"/>
  <c r="D519" i="40"/>
  <c r="H516" i="40"/>
  <c r="H517" i="40" s="1"/>
  <c r="I516" i="40"/>
  <c r="I517" i="40" s="1"/>
  <c r="D522" i="40"/>
  <c r="G516" i="40"/>
  <c r="G517" i="40" s="1"/>
  <c r="M516" i="40"/>
  <c r="M517" i="40" s="1"/>
  <c r="F516" i="40"/>
  <c r="F517" i="40" s="1"/>
  <c r="E516" i="40"/>
  <c r="E517" i="40" s="1"/>
  <c r="D515" i="40"/>
  <c r="E493" i="40" s="1"/>
  <c r="E494" i="40" s="1"/>
  <c r="E497" i="40" s="1"/>
  <c r="N516" i="40"/>
  <c r="N517" i="40" s="1"/>
  <c r="L516" i="40"/>
  <c r="L517" i="40" s="1"/>
  <c r="K516" i="40"/>
  <c r="K517" i="40" s="1"/>
  <c r="J516" i="40"/>
  <c r="J517" i="40" s="1"/>
  <c r="Y502" i="40"/>
  <c r="V162" i="40"/>
  <c r="V166" i="40" s="1"/>
  <c r="W160" i="40"/>
  <c r="D270" i="40"/>
  <c r="E270" i="40" s="1"/>
  <c r="E346" i="40"/>
  <c r="E347" i="40" s="1"/>
  <c r="K346" i="40"/>
  <c r="K347" i="40" s="1"/>
  <c r="U346" i="40"/>
  <c r="U347" i="40" s="1"/>
  <c r="F346" i="40"/>
  <c r="F347" i="40" s="1"/>
  <c r="L346" i="40"/>
  <c r="L347" i="40" s="1"/>
  <c r="J346" i="40"/>
  <c r="J347" i="40" s="1"/>
  <c r="O346" i="40"/>
  <c r="O347" i="40" s="1"/>
  <c r="M346" i="40"/>
  <c r="M347" i="40" s="1"/>
  <c r="P346" i="40"/>
  <c r="P347" i="40" s="1"/>
  <c r="V346" i="40"/>
  <c r="V347" i="40" s="1"/>
  <c r="Q346" i="40"/>
  <c r="Q347" i="40" s="1"/>
  <c r="G346" i="40"/>
  <c r="G347" i="40" s="1"/>
  <c r="X346" i="40"/>
  <c r="X347" i="40" s="1"/>
  <c r="H346" i="40"/>
  <c r="H347" i="40" s="1"/>
  <c r="S346" i="40"/>
  <c r="S347" i="40" s="1"/>
  <c r="W346" i="40"/>
  <c r="W347" i="40" s="1"/>
  <c r="N346" i="40"/>
  <c r="N347" i="40" s="1"/>
  <c r="T346" i="40"/>
  <c r="T347" i="40" s="1"/>
  <c r="I346" i="40"/>
  <c r="I347" i="40" s="1"/>
  <c r="R346" i="40"/>
  <c r="R347" i="40" s="1"/>
  <c r="D351" i="40"/>
  <c r="D389" i="40"/>
  <c r="G128" i="40"/>
  <c r="G131" i="40" s="1"/>
  <c r="I148" i="40"/>
  <c r="Y136" i="40"/>
  <c r="Y137" i="40" s="1"/>
  <c r="N149" i="40"/>
  <c r="N150" i="40" s="1"/>
  <c r="M149" i="40"/>
  <c r="M150" i="40" s="1"/>
  <c r="J149" i="40"/>
  <c r="J150" i="40" s="1"/>
  <c r="L149" i="40"/>
  <c r="L150" i="40" s="1"/>
  <c r="H149" i="40"/>
  <c r="H150" i="40" s="1"/>
  <c r="F148" i="40"/>
  <c r="G149" i="40"/>
  <c r="G150" i="40" s="1"/>
  <c r="D152" i="40"/>
  <c r="D155" i="40"/>
  <c r="I149" i="40"/>
  <c r="I150" i="40" s="1"/>
  <c r="K149" i="40"/>
  <c r="K150" i="40" s="1"/>
  <c r="E149" i="40"/>
  <c r="E150" i="40" s="1"/>
  <c r="F149" i="40"/>
  <c r="K513" i="40"/>
  <c r="K514" i="40" s="1"/>
  <c r="H513" i="40"/>
  <c r="H514" i="40" s="1"/>
  <c r="J513" i="40"/>
  <c r="J514" i="40" s="1"/>
  <c r="I513" i="40"/>
  <c r="I514" i="40" s="1"/>
  <c r="G513" i="40"/>
  <c r="G514" i="40" s="1"/>
  <c r="F513" i="40"/>
  <c r="F514" i="40" s="1"/>
  <c r="E513" i="40"/>
  <c r="E514" i="40" s="1"/>
  <c r="N513" i="40"/>
  <c r="N514" i="40" s="1"/>
  <c r="M513" i="40"/>
  <c r="M514" i="40" s="1"/>
  <c r="L513" i="40"/>
  <c r="L514" i="40" s="1"/>
  <c r="O513" i="40"/>
  <c r="O514" i="40" s="1"/>
  <c r="X513" i="40"/>
  <c r="X514" i="40" s="1"/>
  <c r="P513" i="40"/>
  <c r="P514" i="40" s="1"/>
  <c r="V513" i="40"/>
  <c r="V514" i="40" s="1"/>
  <c r="R513" i="40"/>
  <c r="R514" i="40" s="1"/>
  <c r="T513" i="40"/>
  <c r="T514" i="40" s="1"/>
  <c r="W513" i="40"/>
  <c r="W514" i="40" s="1"/>
  <c r="U513" i="40"/>
  <c r="U514" i="40" s="1"/>
  <c r="S513" i="40"/>
  <c r="S514" i="40" s="1"/>
  <c r="Q513" i="40"/>
  <c r="Q514" i="40" s="1"/>
  <c r="F184" i="40"/>
  <c r="F185" i="40" s="1"/>
  <c r="E184" i="40"/>
  <c r="E185" i="40" s="1"/>
  <c r="R184" i="40"/>
  <c r="R185" i="40" s="1"/>
  <c r="W184" i="40"/>
  <c r="W185" i="40" s="1"/>
  <c r="H184" i="40"/>
  <c r="H185" i="40" s="1"/>
  <c r="V184" i="40"/>
  <c r="V185" i="40" s="1"/>
  <c r="U184" i="40"/>
  <c r="U185" i="40" s="1"/>
  <c r="S184" i="40"/>
  <c r="S185" i="40" s="1"/>
  <c r="J184" i="40"/>
  <c r="J185" i="40" s="1"/>
  <c r="O184" i="40"/>
  <c r="O185" i="40" s="1"/>
  <c r="M184" i="40"/>
  <c r="M185" i="40" s="1"/>
  <c r="N184" i="40"/>
  <c r="N185" i="40" s="1"/>
  <c r="L184" i="40"/>
  <c r="L185" i="40" s="1"/>
  <c r="X184" i="40"/>
  <c r="X185" i="40" s="1"/>
  <c r="G184" i="40"/>
  <c r="G185" i="40" s="1"/>
  <c r="T184" i="40"/>
  <c r="T185" i="40" s="1"/>
  <c r="P184" i="40"/>
  <c r="P185" i="40" s="1"/>
  <c r="K184" i="40"/>
  <c r="K185" i="40" s="1"/>
  <c r="I184" i="40"/>
  <c r="I185" i="40" s="1"/>
  <c r="Y348" i="40"/>
  <c r="E348" i="40" s="1"/>
  <c r="Y338" i="40"/>
  <c r="E367" i="40"/>
  <c r="E368" i="40" s="1"/>
  <c r="E370" i="40" s="1"/>
  <c r="F29" i="5"/>
  <c r="E29" i="5"/>
  <c r="W6" i="5"/>
  <c r="V8" i="5"/>
  <c r="Q23" i="26"/>
  <c r="R27" i="26"/>
  <c r="R28" i="26" s="1"/>
  <c r="S25" i="26" s="1"/>
  <c r="R18" i="26"/>
  <c r="R20" i="26" s="1"/>
  <c r="R22" i="26" s="1"/>
  <c r="O57" i="26"/>
  <c r="O59" i="26" s="1"/>
  <c r="O61" i="26" s="1"/>
  <c r="O66" i="26"/>
  <c r="O67" i="26" s="1"/>
  <c r="P64" i="26" s="1"/>
  <c r="N62" i="26"/>
  <c r="AH307" i="13"/>
  <c r="AH310" i="13"/>
  <c r="AH313" i="13"/>
  <c r="AH316" i="13"/>
  <c r="AH303" i="13"/>
  <c r="AH306" i="13"/>
  <c r="AH309" i="13"/>
  <c r="AH312" i="13"/>
  <c r="AH315" i="13"/>
  <c r="AH302" i="13"/>
  <c r="AH305" i="13"/>
  <c r="AH308" i="13"/>
  <c r="AH311" i="13"/>
  <c r="AH314" i="13"/>
  <c r="AH298" i="13"/>
  <c r="AH301" i="13"/>
  <c r="AH300" i="13"/>
  <c r="AH294" i="13"/>
  <c r="AH284" i="13"/>
  <c r="AH299" i="13"/>
  <c r="AH296" i="13"/>
  <c r="AH289" i="13"/>
  <c r="AH292" i="13"/>
  <c r="AH297" i="13"/>
  <c r="AH278" i="13"/>
  <c r="AH290" i="13"/>
  <c r="AH295" i="13"/>
  <c r="AH288" i="13"/>
  <c r="AH282" i="13"/>
  <c r="AH287" i="13"/>
  <c r="AH283" i="13"/>
  <c r="AH304" i="13"/>
  <c r="AH291" i="13"/>
  <c r="AH279" i="13"/>
  <c r="AH285" i="13"/>
  <c r="AH281" i="13"/>
  <c r="AH286" i="13"/>
  <c r="AH280" i="13"/>
  <c r="AH116" i="13"/>
  <c r="H405" i="40" s="1"/>
  <c r="AH122" i="13"/>
  <c r="AH118" i="13"/>
  <c r="H491" i="40" s="1"/>
  <c r="AH115" i="13"/>
  <c r="H365" i="40" s="1"/>
  <c r="AH128" i="13"/>
  <c r="AH121" i="13"/>
  <c r="AH106" i="13"/>
  <c r="H11" i="40" s="1"/>
  <c r="AH117" i="13"/>
  <c r="H448" i="40" s="1"/>
  <c r="AH124" i="13"/>
  <c r="AH114" i="13"/>
  <c r="H327" i="40" s="1"/>
  <c r="AH119" i="13"/>
  <c r="AH92" i="13"/>
  <c r="AH95" i="13"/>
  <c r="AH97" i="13"/>
  <c r="AH96" i="13"/>
  <c r="AH110" i="13"/>
  <c r="H165" i="40" s="1"/>
  <c r="AH94" i="13"/>
  <c r="AH98" i="13"/>
  <c r="AH91" i="13"/>
  <c r="AH93" i="13"/>
  <c r="AH107" i="13"/>
  <c r="H49" i="40" s="1"/>
  <c r="AH120" i="13"/>
  <c r="AH112" i="13"/>
  <c r="H246" i="40" s="1"/>
  <c r="AH108" i="13"/>
  <c r="H88" i="40" s="1"/>
  <c r="AH111" i="13"/>
  <c r="H205" i="40" s="1"/>
  <c r="AH109" i="13"/>
  <c r="H126" i="40" s="1"/>
  <c r="AH113" i="13"/>
  <c r="H286" i="40" s="1"/>
  <c r="AH198" i="13"/>
  <c r="AH190" i="13"/>
  <c r="H364" i="40" s="1"/>
  <c r="AH200" i="13"/>
  <c r="AH192" i="13"/>
  <c r="H404" i="40" s="1"/>
  <c r="AH202" i="13"/>
  <c r="AH178" i="13"/>
  <c r="H47" i="40" s="1"/>
  <c r="AH206" i="13"/>
  <c r="AH187" i="13"/>
  <c r="H284" i="40" s="1"/>
  <c r="AH196" i="13"/>
  <c r="H490" i="40" s="1"/>
  <c r="AH182" i="13"/>
  <c r="H125" i="40" s="1"/>
  <c r="AH166" i="13"/>
  <c r="AH201" i="13"/>
  <c r="AH199" i="13"/>
  <c r="AH193" i="13"/>
  <c r="H446" i="40" s="1"/>
  <c r="AH185" i="13"/>
  <c r="H204" i="40" s="1"/>
  <c r="AH179" i="13"/>
  <c r="H48" i="40" s="1"/>
  <c r="AH188" i="13"/>
  <c r="H285" i="40" s="1"/>
  <c r="AH186" i="13"/>
  <c r="H245" i="40" s="1"/>
  <c r="AH168" i="13"/>
  <c r="AH162" i="13"/>
  <c r="AH180" i="13"/>
  <c r="H87" i="40" s="1"/>
  <c r="AH102" i="13"/>
  <c r="AH184" i="13"/>
  <c r="H203" i="40" s="1"/>
  <c r="AH181" i="13"/>
  <c r="H124" i="40" s="1"/>
  <c r="AH171" i="13"/>
  <c r="AH183" i="13"/>
  <c r="H164" i="40" s="1"/>
  <c r="AH165" i="13"/>
  <c r="AH164" i="13"/>
  <c r="AH101" i="13"/>
  <c r="AH191" i="13"/>
  <c r="H403" i="40" s="1"/>
  <c r="AH195" i="13"/>
  <c r="H489" i="40" s="1"/>
  <c r="AH177" i="13"/>
  <c r="H10" i="40" s="1"/>
  <c r="AH189" i="13"/>
  <c r="H326" i="40" s="1"/>
  <c r="AH172" i="13"/>
  <c r="AH123" i="13"/>
  <c r="AH173" i="13"/>
  <c r="AH197" i="13"/>
  <c r="AH78" i="13"/>
  <c r="AH70" i="13"/>
  <c r="AH48" i="13"/>
  <c r="AH194" i="13"/>
  <c r="H447" i="40" s="1"/>
  <c r="AH163" i="13"/>
  <c r="AH75" i="13"/>
  <c r="AH67" i="13"/>
  <c r="AH45" i="13"/>
  <c r="AH207" i="13"/>
  <c r="AH167" i="13"/>
  <c r="AH87" i="13"/>
  <c r="AH204" i="13"/>
  <c r="AH71" i="13"/>
  <c r="AH100" i="13"/>
  <c r="AH47" i="13"/>
  <c r="AH175" i="13"/>
  <c r="AH81" i="13"/>
  <c r="AH74" i="13"/>
  <c r="AH170" i="13"/>
  <c r="AH44" i="13"/>
  <c r="AH49" i="13"/>
  <c r="AH82" i="13"/>
  <c r="AH83" i="13"/>
  <c r="AH68" i="13"/>
  <c r="AH77" i="13"/>
  <c r="AH69" i="13"/>
  <c r="AH54" i="13"/>
  <c r="AH80" i="13"/>
  <c r="AH72" i="13"/>
  <c r="AH176" i="13"/>
  <c r="AH169" i="13"/>
  <c r="AH129" i="13"/>
  <c r="AH105" i="13"/>
  <c r="AH132" i="13"/>
  <c r="AH46" i="13"/>
  <c r="AH126" i="13"/>
  <c r="AH103" i="13"/>
  <c r="AH52" i="13"/>
  <c r="AH293" i="13"/>
  <c r="AH99" i="13"/>
  <c r="AH76" i="13"/>
  <c r="AH174" i="13"/>
  <c r="AH64" i="13"/>
  <c r="AH59" i="13"/>
  <c r="AH51" i="13"/>
  <c r="AH86" i="13"/>
  <c r="AH58" i="13"/>
  <c r="AH84" i="13"/>
  <c r="AH57" i="13"/>
  <c r="AH56" i="13"/>
  <c r="AH43" i="13"/>
  <c r="AH66" i="13"/>
  <c r="AH61" i="13"/>
  <c r="AH125" i="13"/>
  <c r="AH60" i="13"/>
  <c r="AH127" i="13"/>
  <c r="AH85" i="13"/>
  <c r="AH63" i="13"/>
  <c r="AH50" i="13"/>
  <c r="AH203" i="13"/>
  <c r="AH79" i="13"/>
  <c r="AH104" i="13"/>
  <c r="AH73" i="13"/>
  <c r="AH62" i="13"/>
  <c r="AH55" i="13"/>
  <c r="AH53" i="13"/>
  <c r="AH205" i="13"/>
  <c r="AH88" i="13"/>
  <c r="AH65" i="13"/>
  <c r="AI4" i="13"/>
  <c r="E476" i="40" l="1"/>
  <c r="E519" i="40"/>
  <c r="E433" i="40"/>
  <c r="E314" i="40"/>
  <c r="H13" i="40"/>
  <c r="H15" i="40" s="1"/>
  <c r="E233" i="40"/>
  <c r="E152" i="40"/>
  <c r="H128" i="40"/>
  <c r="H131" i="40" s="1"/>
  <c r="H90" i="40"/>
  <c r="H92" i="40" s="1"/>
  <c r="D432" i="40"/>
  <c r="E432" i="40" s="1"/>
  <c r="I179" i="40"/>
  <c r="F179" i="40"/>
  <c r="H179" i="40"/>
  <c r="X179" i="40"/>
  <c r="G179" i="40"/>
  <c r="Q179" i="40"/>
  <c r="E179" i="40"/>
  <c r="S179" i="40"/>
  <c r="E191" i="40"/>
  <c r="V179" i="40"/>
  <c r="K179" i="40"/>
  <c r="P179" i="40"/>
  <c r="T179" i="40"/>
  <c r="U179" i="40"/>
  <c r="R179" i="40"/>
  <c r="D181" i="40"/>
  <c r="E178" i="40" s="1"/>
  <c r="E171" i="40" s="1"/>
  <c r="E173" i="40" s="1"/>
  <c r="E175" i="40" s="1"/>
  <c r="N179" i="40"/>
  <c r="L179" i="40"/>
  <c r="J179" i="40"/>
  <c r="M179" i="40"/>
  <c r="O179" i="40"/>
  <c r="W179" i="40"/>
  <c r="F367" i="40"/>
  <c r="F368" i="40" s="1"/>
  <c r="F370" i="40" s="1"/>
  <c r="F386" i="40"/>
  <c r="W243" i="40"/>
  <c r="W247" i="40" s="1"/>
  <c r="X241" i="40"/>
  <c r="E389" i="40"/>
  <c r="E113" i="40"/>
  <c r="D98" i="40"/>
  <c r="E351" i="40"/>
  <c r="U101" i="40"/>
  <c r="O101" i="40"/>
  <c r="G101" i="40"/>
  <c r="M101" i="40"/>
  <c r="F101" i="40"/>
  <c r="X101" i="40"/>
  <c r="L101" i="40"/>
  <c r="T101" i="40"/>
  <c r="E101" i="40"/>
  <c r="V101" i="40"/>
  <c r="K101" i="40"/>
  <c r="E112" i="40"/>
  <c r="W101" i="40"/>
  <c r="R101" i="40"/>
  <c r="Q101" i="40"/>
  <c r="P101" i="40"/>
  <c r="J101" i="40"/>
  <c r="D103" i="40"/>
  <c r="E100" i="40" s="1"/>
  <c r="E93" i="40" s="1"/>
  <c r="E95" i="40" s="1"/>
  <c r="E97" i="40" s="1"/>
  <c r="S101" i="40"/>
  <c r="N101" i="40"/>
  <c r="I101" i="40"/>
  <c r="H101" i="40"/>
  <c r="Y229" i="40"/>
  <c r="E229" i="40" s="1"/>
  <c r="Y217" i="40"/>
  <c r="X6" i="40"/>
  <c r="W8" i="40"/>
  <c r="W12" i="40" s="1"/>
  <c r="E288" i="40"/>
  <c r="E289" i="40" s="1"/>
  <c r="E292" i="40" s="1"/>
  <c r="F348" i="40"/>
  <c r="F329" i="40"/>
  <c r="F330" i="40" s="1"/>
  <c r="F332" i="40" s="1"/>
  <c r="D313" i="40"/>
  <c r="D392" i="40"/>
  <c r="D518" i="40"/>
  <c r="D74" i="40"/>
  <c r="E74" i="40" s="1"/>
  <c r="D391" i="40"/>
  <c r="F167" i="40"/>
  <c r="F168" i="40" s="1"/>
  <c r="F170" i="40" s="1"/>
  <c r="F186" i="40"/>
  <c r="D192" i="40"/>
  <c r="D194" i="40" s="1"/>
  <c r="F267" i="40"/>
  <c r="F248" i="40"/>
  <c r="F249" i="40" s="1"/>
  <c r="F251" i="40" s="1"/>
  <c r="W162" i="40"/>
  <c r="W166" i="40" s="1"/>
  <c r="X160" i="40"/>
  <c r="E450" i="40"/>
  <c r="E451" i="40" s="1"/>
  <c r="E454" i="40" s="1"/>
  <c r="D38" i="40"/>
  <c r="E24" i="40"/>
  <c r="H24" i="40"/>
  <c r="M24" i="40"/>
  <c r="D26" i="40"/>
  <c r="E23" i="40" s="1"/>
  <c r="E16" i="40" s="1"/>
  <c r="E18" i="40" s="1"/>
  <c r="E20" i="40" s="1"/>
  <c r="J24" i="40"/>
  <c r="V24" i="40"/>
  <c r="O24" i="40"/>
  <c r="G24" i="40"/>
  <c r="Q24" i="40"/>
  <c r="X24" i="40"/>
  <c r="F24" i="40"/>
  <c r="S24" i="40"/>
  <c r="P24" i="40"/>
  <c r="E35" i="40"/>
  <c r="K24" i="40"/>
  <c r="W24" i="40"/>
  <c r="T24" i="40"/>
  <c r="R24" i="40"/>
  <c r="N24" i="40"/>
  <c r="L24" i="40"/>
  <c r="U24" i="40"/>
  <c r="I24" i="40"/>
  <c r="E36" i="40"/>
  <c r="D21" i="40"/>
  <c r="X83" i="40"/>
  <c r="W85" i="40"/>
  <c r="W89" i="40" s="1"/>
  <c r="E407" i="40"/>
  <c r="E408" i="40" s="1"/>
  <c r="E411" i="40" s="1"/>
  <c r="X322" i="40"/>
  <c r="W324" i="40"/>
  <c r="W328" i="40" s="1"/>
  <c r="F150" i="40"/>
  <c r="D151" i="40" s="1"/>
  <c r="Y429" i="40"/>
  <c r="E429" i="40" s="1"/>
  <c r="Y417" i="40"/>
  <c r="D354" i="40"/>
  <c r="Y515" i="40"/>
  <c r="E515" i="40" s="1"/>
  <c r="Y503" i="40"/>
  <c r="D353" i="40"/>
  <c r="D475" i="40"/>
  <c r="D478" i="40" s="1"/>
  <c r="E110" i="40"/>
  <c r="D115" i="40"/>
  <c r="D232" i="40"/>
  <c r="D235" i="40" s="1"/>
  <c r="D273" i="40"/>
  <c r="E189" i="40"/>
  <c r="Y460" i="40"/>
  <c r="Y472" i="40"/>
  <c r="E472" i="40" s="1"/>
  <c r="H51" i="40"/>
  <c r="H54" i="40" s="1"/>
  <c r="D272" i="40"/>
  <c r="E75" i="40"/>
  <c r="Y298" i="40"/>
  <c r="Y310" i="40"/>
  <c r="E310" i="40" s="1"/>
  <c r="X360" i="40"/>
  <c r="W362" i="40"/>
  <c r="W366" i="40" s="1"/>
  <c r="W8" i="5"/>
  <c r="X6" i="5"/>
  <c r="X8" i="5" s="1"/>
  <c r="R23" i="26"/>
  <c r="S27" i="26"/>
  <c r="S28" i="26" s="1"/>
  <c r="T25" i="26" s="1"/>
  <c r="S18" i="26"/>
  <c r="S20" i="26" s="1"/>
  <c r="S22" i="26" s="1"/>
  <c r="P66" i="26"/>
  <c r="P67" i="26" s="1"/>
  <c r="Q64" i="26" s="1"/>
  <c r="P57" i="26"/>
  <c r="P59" i="26" s="1"/>
  <c r="P61" i="26" s="1"/>
  <c r="O62" i="26"/>
  <c r="AI310" i="13"/>
  <c r="AI313" i="13"/>
  <c r="AI316" i="13"/>
  <c r="AI306" i="13"/>
  <c r="AI309" i="13"/>
  <c r="AI312" i="13"/>
  <c r="AI315" i="13"/>
  <c r="AI305" i="13"/>
  <c r="AI308" i="13"/>
  <c r="AI311" i="13"/>
  <c r="AI314" i="13"/>
  <c r="AI301" i="13"/>
  <c r="AI304" i="13"/>
  <c r="AI287" i="13"/>
  <c r="AI307" i="13"/>
  <c r="AI292" i="13"/>
  <c r="AI295" i="13"/>
  <c r="AI300" i="13"/>
  <c r="AI281" i="13"/>
  <c r="AI278" i="13"/>
  <c r="AI303" i="13"/>
  <c r="AI289" i="13"/>
  <c r="AI290" i="13"/>
  <c r="AI284" i="13"/>
  <c r="AI296" i="13"/>
  <c r="AI288" i="13"/>
  <c r="AI282" i="13"/>
  <c r="AI297" i="13"/>
  <c r="AI283" i="13"/>
  <c r="AI298" i="13"/>
  <c r="AI299" i="13"/>
  <c r="AI302" i="13"/>
  <c r="AI294" i="13"/>
  <c r="AI291" i="13"/>
  <c r="AI279" i="13"/>
  <c r="AI280" i="13"/>
  <c r="AI286" i="13"/>
  <c r="AI285" i="13"/>
  <c r="AI122" i="13"/>
  <c r="AI118" i="13"/>
  <c r="I491" i="40" s="1"/>
  <c r="AI97" i="13"/>
  <c r="AI115" i="13"/>
  <c r="I365" i="40" s="1"/>
  <c r="AI128" i="13"/>
  <c r="AI121" i="13"/>
  <c r="AI106" i="13"/>
  <c r="I11" i="40" s="1"/>
  <c r="AI117" i="13"/>
  <c r="I448" i="40" s="1"/>
  <c r="AI124" i="13"/>
  <c r="AI114" i="13"/>
  <c r="I327" i="40" s="1"/>
  <c r="AI119" i="13"/>
  <c r="AI98" i="13"/>
  <c r="AI116" i="13"/>
  <c r="I405" i="40" s="1"/>
  <c r="AI95" i="13"/>
  <c r="AI92" i="13"/>
  <c r="AI96" i="13"/>
  <c r="AI110" i="13"/>
  <c r="I165" i="40" s="1"/>
  <c r="AI94" i="13"/>
  <c r="AI91" i="13"/>
  <c r="AI93" i="13"/>
  <c r="AI107" i="13"/>
  <c r="I49" i="40" s="1"/>
  <c r="AI111" i="13"/>
  <c r="I205" i="40" s="1"/>
  <c r="AI112" i="13"/>
  <c r="I246" i="40" s="1"/>
  <c r="AI108" i="13"/>
  <c r="I88" i="40" s="1"/>
  <c r="AI120" i="13"/>
  <c r="AI113" i="13"/>
  <c r="I286" i="40" s="1"/>
  <c r="AI109" i="13"/>
  <c r="I126" i="40" s="1"/>
  <c r="AI196" i="13"/>
  <c r="I490" i="40" s="1"/>
  <c r="AI188" i="13"/>
  <c r="I285" i="40" s="1"/>
  <c r="AI206" i="13"/>
  <c r="AI195" i="13"/>
  <c r="I489" i="40" s="1"/>
  <c r="AI187" i="13"/>
  <c r="I284" i="40" s="1"/>
  <c r="AI200" i="13"/>
  <c r="AI192" i="13"/>
  <c r="I404" i="40" s="1"/>
  <c r="AI202" i="13"/>
  <c r="AI194" i="13"/>
  <c r="I447" i="40" s="1"/>
  <c r="AI186" i="13"/>
  <c r="I245" i="40" s="1"/>
  <c r="AI178" i="13"/>
  <c r="I47" i="40" s="1"/>
  <c r="AI191" i="13"/>
  <c r="I403" i="40" s="1"/>
  <c r="AI183" i="13"/>
  <c r="I164" i="40" s="1"/>
  <c r="AI182" i="13"/>
  <c r="I125" i="40" s="1"/>
  <c r="AI189" i="13"/>
  <c r="I326" i="40" s="1"/>
  <c r="AI185" i="13"/>
  <c r="I204" i="40" s="1"/>
  <c r="AI201" i="13"/>
  <c r="AI172" i="13"/>
  <c r="AI163" i="13"/>
  <c r="AI168" i="13"/>
  <c r="AI162" i="13"/>
  <c r="AI190" i="13"/>
  <c r="I364" i="40" s="1"/>
  <c r="AI179" i="13"/>
  <c r="I48" i="40" s="1"/>
  <c r="AI177" i="13"/>
  <c r="I10" i="40" s="1"/>
  <c r="AI198" i="13"/>
  <c r="AI180" i="13"/>
  <c r="I87" i="40" s="1"/>
  <c r="AI132" i="13"/>
  <c r="AI199" i="13"/>
  <c r="AI83" i="13"/>
  <c r="AI181" i="13"/>
  <c r="I124" i="40" s="1"/>
  <c r="AI166" i="13"/>
  <c r="AI171" i="13"/>
  <c r="AI164" i="13"/>
  <c r="AI123" i="13"/>
  <c r="AI193" i="13"/>
  <c r="I446" i="40" s="1"/>
  <c r="AI100" i="13"/>
  <c r="AI173" i="13"/>
  <c r="AI197" i="13"/>
  <c r="AI184" i="13"/>
  <c r="I203" i="40" s="1"/>
  <c r="AI69" i="13"/>
  <c r="AI49" i="13"/>
  <c r="AI72" i="13"/>
  <c r="AI54" i="13"/>
  <c r="AI46" i="13"/>
  <c r="AI68" i="13"/>
  <c r="AI81" i="13"/>
  <c r="AI78" i="13"/>
  <c r="AI75" i="13"/>
  <c r="AI71" i="13"/>
  <c r="AI207" i="13"/>
  <c r="AI82" i="13"/>
  <c r="AI52" i="13"/>
  <c r="AI73" i="13"/>
  <c r="AI76" i="13"/>
  <c r="AI67" i="13"/>
  <c r="AI48" i="13"/>
  <c r="AI175" i="13"/>
  <c r="AI77" i="13"/>
  <c r="AI169" i="13"/>
  <c r="AI129" i="13"/>
  <c r="AI99" i="13"/>
  <c r="AI47" i="13"/>
  <c r="AI204" i="13"/>
  <c r="AI126" i="13"/>
  <c r="AI104" i="13"/>
  <c r="AI87" i="13"/>
  <c r="AI167" i="13"/>
  <c r="AI70" i="13"/>
  <c r="AI44" i="13"/>
  <c r="AI165" i="13"/>
  <c r="AI88" i="13"/>
  <c r="AI66" i="13"/>
  <c r="AI62" i="13"/>
  <c r="AI58" i="13"/>
  <c r="AI101" i="13"/>
  <c r="AI80" i="13"/>
  <c r="AI74" i="13"/>
  <c r="AI53" i="13"/>
  <c r="AI203" i="13"/>
  <c r="AI45" i="13"/>
  <c r="AI174" i="13"/>
  <c r="AI85" i="13"/>
  <c r="AI64" i="13"/>
  <c r="AI60" i="13"/>
  <c r="AI57" i="13"/>
  <c r="AI293" i="13"/>
  <c r="AI102" i="13"/>
  <c r="AI50" i="13"/>
  <c r="AI176" i="13"/>
  <c r="AI63" i="13"/>
  <c r="AI127" i="13"/>
  <c r="AI105" i="13"/>
  <c r="AI103" i="13"/>
  <c r="AI65" i="13"/>
  <c r="AI43" i="13"/>
  <c r="AI79" i="13"/>
  <c r="AI59" i="13"/>
  <c r="AI56" i="13"/>
  <c r="AI205" i="13"/>
  <c r="AI170" i="13"/>
  <c r="AI125" i="13"/>
  <c r="AI51" i="13"/>
  <c r="AI61" i="13"/>
  <c r="AI55" i="13"/>
  <c r="AI86" i="13"/>
  <c r="AI84" i="13"/>
  <c r="AJ4" i="13"/>
  <c r="D435" i="40" l="1"/>
  <c r="D434" i="40"/>
  <c r="I128" i="40"/>
  <c r="I131" i="40" s="1"/>
  <c r="D394" i="40"/>
  <c r="D356" i="40"/>
  <c r="F288" i="40"/>
  <c r="F289" i="40" s="1"/>
  <c r="F292" i="40" s="1"/>
  <c r="F310" i="40"/>
  <c r="F472" i="40"/>
  <c r="F450" i="40"/>
  <c r="F451" i="40" s="1"/>
  <c r="F454" i="40" s="1"/>
  <c r="F407" i="40"/>
  <c r="F408" i="40" s="1"/>
  <c r="F411" i="40" s="1"/>
  <c r="F429" i="40"/>
  <c r="E151" i="40"/>
  <c r="D154" i="40"/>
  <c r="D153" i="40"/>
  <c r="D217" i="40"/>
  <c r="E235" i="40"/>
  <c r="D460" i="40"/>
  <c r="E478" i="40"/>
  <c r="D275" i="40"/>
  <c r="N260" i="40"/>
  <c r="I260" i="40"/>
  <c r="F260" i="40"/>
  <c r="E272" i="40"/>
  <c r="S260" i="40"/>
  <c r="R260" i="40"/>
  <c r="E260" i="40"/>
  <c r="P260" i="40"/>
  <c r="O260" i="40"/>
  <c r="L260" i="40"/>
  <c r="Q260" i="40"/>
  <c r="G260" i="40"/>
  <c r="J260" i="40"/>
  <c r="M260" i="40"/>
  <c r="W260" i="40"/>
  <c r="H260" i="40"/>
  <c r="V260" i="40"/>
  <c r="K260" i="40"/>
  <c r="X260" i="40"/>
  <c r="T260" i="40"/>
  <c r="U260" i="40"/>
  <c r="D262" i="40"/>
  <c r="E259" i="40" s="1"/>
  <c r="E252" i="40" s="1"/>
  <c r="E254" i="40" s="1"/>
  <c r="E256" i="40" s="1"/>
  <c r="D338" i="40"/>
  <c r="E354" i="40"/>
  <c r="X162" i="40"/>
  <c r="X166" i="40" s="1"/>
  <c r="F207" i="40"/>
  <c r="F208" i="40" s="1"/>
  <c r="F211" i="40" s="1"/>
  <c r="F229" i="40"/>
  <c r="D417" i="40"/>
  <c r="E435" i="40"/>
  <c r="U379" i="40"/>
  <c r="Q379" i="40"/>
  <c r="O379" i="40"/>
  <c r="X379" i="40"/>
  <c r="K379" i="40"/>
  <c r="J379" i="40"/>
  <c r="D381" i="40"/>
  <c r="E378" i="40" s="1"/>
  <c r="E371" i="40" s="1"/>
  <c r="E373" i="40" s="1"/>
  <c r="E375" i="40" s="1"/>
  <c r="S379" i="40"/>
  <c r="L379" i="40"/>
  <c r="M379" i="40"/>
  <c r="V379" i="40"/>
  <c r="W379" i="40"/>
  <c r="F379" i="40"/>
  <c r="H379" i="40"/>
  <c r="T379" i="40"/>
  <c r="E391" i="40"/>
  <c r="P379" i="40"/>
  <c r="I379" i="40"/>
  <c r="R379" i="40"/>
  <c r="G379" i="40"/>
  <c r="N379" i="40"/>
  <c r="E379" i="40"/>
  <c r="D423" i="40"/>
  <c r="E419" i="40" s="1"/>
  <c r="E412" i="40" s="1"/>
  <c r="E414" i="40" s="1"/>
  <c r="E416" i="40" s="1"/>
  <c r="G420" i="40"/>
  <c r="J420" i="40"/>
  <c r="H420" i="40"/>
  <c r="P420" i="40"/>
  <c r="I420" i="40"/>
  <c r="V420" i="40"/>
  <c r="R420" i="40"/>
  <c r="K420" i="40"/>
  <c r="F420" i="40"/>
  <c r="M420" i="40"/>
  <c r="S420" i="40"/>
  <c r="U420" i="40"/>
  <c r="T420" i="40"/>
  <c r="O420" i="40"/>
  <c r="E434" i="40"/>
  <c r="X420" i="40"/>
  <c r="Q420" i="40"/>
  <c r="L420" i="40"/>
  <c r="E420" i="40"/>
  <c r="W420" i="40"/>
  <c r="N420" i="40"/>
  <c r="D234" i="40"/>
  <c r="D237" i="40" s="1"/>
  <c r="X243" i="40"/>
  <c r="X247" i="40" s="1"/>
  <c r="E518" i="40"/>
  <c r="I51" i="40"/>
  <c r="I54" i="40" s="1"/>
  <c r="D257" i="40"/>
  <c r="E273" i="40"/>
  <c r="G267" i="40"/>
  <c r="G248" i="40"/>
  <c r="G249" i="40" s="1"/>
  <c r="G251" i="40" s="1"/>
  <c r="E392" i="40"/>
  <c r="D376" i="40"/>
  <c r="I90" i="40"/>
  <c r="I92" i="40" s="1"/>
  <c r="E232" i="40"/>
  <c r="D520" i="40"/>
  <c r="E313" i="40"/>
  <c r="G367" i="40"/>
  <c r="G368" i="40" s="1"/>
  <c r="G370" i="40" s="1"/>
  <c r="G386" i="40"/>
  <c r="D521" i="40"/>
  <c r="I13" i="40"/>
  <c r="I15" i="40" s="1"/>
  <c r="X324" i="40"/>
  <c r="X328" i="40" s="1"/>
  <c r="E25" i="40"/>
  <c r="E26" i="40" s="1"/>
  <c r="F23" i="40" s="1"/>
  <c r="F16" i="40" s="1"/>
  <c r="F18" i="40" s="1"/>
  <c r="F20" i="40" s="1"/>
  <c r="G329" i="40"/>
  <c r="G330" i="40" s="1"/>
  <c r="G332" i="40" s="1"/>
  <c r="G348" i="40"/>
  <c r="E180" i="40"/>
  <c r="E181" i="40" s="1"/>
  <c r="F178" i="40" s="1"/>
  <c r="F171" i="40" s="1"/>
  <c r="F173" i="40" s="1"/>
  <c r="F175" i="40" s="1"/>
  <c r="E475" i="40"/>
  <c r="D477" i="40"/>
  <c r="X362" i="40"/>
  <c r="X366" i="40" s="1"/>
  <c r="P341" i="40"/>
  <c r="N341" i="40"/>
  <c r="F341" i="40"/>
  <c r="I341" i="40"/>
  <c r="V341" i="40"/>
  <c r="T341" i="40"/>
  <c r="H341" i="40"/>
  <c r="Q341" i="40"/>
  <c r="L341" i="40"/>
  <c r="W341" i="40"/>
  <c r="G341" i="40"/>
  <c r="U341" i="40"/>
  <c r="S341" i="40"/>
  <c r="E353" i="40"/>
  <c r="X341" i="40"/>
  <c r="E341" i="40"/>
  <c r="R341" i="40"/>
  <c r="D343" i="40"/>
  <c r="E340" i="40" s="1"/>
  <c r="E333" i="40" s="1"/>
  <c r="E335" i="40" s="1"/>
  <c r="E337" i="40" s="1"/>
  <c r="O341" i="40"/>
  <c r="M341" i="40"/>
  <c r="K341" i="40"/>
  <c r="J341" i="40"/>
  <c r="E192" i="40"/>
  <c r="D176" i="40"/>
  <c r="D437" i="40"/>
  <c r="D316" i="40"/>
  <c r="D77" i="40"/>
  <c r="F515" i="40"/>
  <c r="F493" i="40"/>
  <c r="F494" i="40" s="1"/>
  <c r="F497" i="40" s="1"/>
  <c r="D315" i="40"/>
  <c r="D76" i="40"/>
  <c r="X85" i="40"/>
  <c r="X89" i="40" s="1"/>
  <c r="G186" i="40"/>
  <c r="G167" i="40"/>
  <c r="G168" i="40" s="1"/>
  <c r="G170" i="40" s="1"/>
  <c r="X8" i="40"/>
  <c r="X12" i="40" s="1"/>
  <c r="E102" i="40"/>
  <c r="E103" i="40" s="1"/>
  <c r="F100" i="40" s="1"/>
  <c r="F93" i="40" s="1"/>
  <c r="F95" i="40" s="1"/>
  <c r="F97" i="40" s="1"/>
  <c r="S23" i="26"/>
  <c r="P62" i="26"/>
  <c r="T18" i="26"/>
  <c r="T20" i="26" s="1"/>
  <c r="T22" i="26" s="1"/>
  <c r="T27" i="26"/>
  <c r="T28" i="26" s="1"/>
  <c r="U25" i="26" s="1"/>
  <c r="Q66" i="26"/>
  <c r="Q67" i="26" s="1"/>
  <c r="R64" i="26" s="1"/>
  <c r="Q57" i="26"/>
  <c r="Q59" i="26" s="1"/>
  <c r="Q61" i="26" s="1"/>
  <c r="AJ313" i="13"/>
  <c r="AJ316" i="13"/>
  <c r="AJ309" i="13"/>
  <c r="AJ312" i="13"/>
  <c r="AJ315" i="13"/>
  <c r="AJ299" i="13"/>
  <c r="AJ308" i="13"/>
  <c r="AJ311" i="13"/>
  <c r="AJ314" i="13"/>
  <c r="AJ304" i="13"/>
  <c r="AJ307" i="13"/>
  <c r="AJ302" i="13"/>
  <c r="AJ305" i="13"/>
  <c r="AJ297" i="13"/>
  <c r="AJ290" i="13"/>
  <c r="AJ295" i="13"/>
  <c r="AJ303" i="13"/>
  <c r="AJ281" i="13"/>
  <c r="AJ286" i="13"/>
  <c r="AJ289" i="13"/>
  <c r="AJ300" i="13"/>
  <c r="AJ284" i="13"/>
  <c r="AJ280" i="13"/>
  <c r="AJ310" i="13"/>
  <c r="AJ296" i="13"/>
  <c r="AJ306" i="13"/>
  <c r="AJ287" i="13"/>
  <c r="AJ283" i="13"/>
  <c r="AJ298" i="13"/>
  <c r="AJ301" i="13"/>
  <c r="AJ294" i="13"/>
  <c r="AJ292" i="13"/>
  <c r="AJ291" i="13"/>
  <c r="AJ279" i="13"/>
  <c r="AJ278" i="13"/>
  <c r="AJ288" i="13"/>
  <c r="AJ282" i="13"/>
  <c r="AJ285" i="13"/>
  <c r="AJ122" i="13"/>
  <c r="AJ110" i="13"/>
  <c r="J165" i="40" s="1"/>
  <c r="AJ118" i="13"/>
  <c r="J491" i="40" s="1"/>
  <c r="AJ115" i="13"/>
  <c r="J365" i="40" s="1"/>
  <c r="AJ128" i="13"/>
  <c r="AJ121" i="13"/>
  <c r="AJ106" i="13"/>
  <c r="J11" i="40" s="1"/>
  <c r="AJ117" i="13"/>
  <c r="J448" i="40" s="1"/>
  <c r="AJ96" i="13"/>
  <c r="AJ124" i="13"/>
  <c r="AJ114" i="13"/>
  <c r="J327" i="40" s="1"/>
  <c r="AJ119" i="13"/>
  <c r="AJ98" i="13"/>
  <c r="AJ92" i="13"/>
  <c r="AJ95" i="13"/>
  <c r="AJ94" i="13"/>
  <c r="AJ97" i="13"/>
  <c r="AJ91" i="13"/>
  <c r="AJ93" i="13"/>
  <c r="AJ116" i="13"/>
  <c r="J405" i="40" s="1"/>
  <c r="AJ112" i="13"/>
  <c r="J246" i="40" s="1"/>
  <c r="AJ120" i="13"/>
  <c r="AJ108" i="13"/>
  <c r="J88" i="40" s="1"/>
  <c r="AJ107" i="13"/>
  <c r="J49" i="40" s="1"/>
  <c r="AJ111" i="13"/>
  <c r="J205" i="40" s="1"/>
  <c r="AJ113" i="13"/>
  <c r="J286" i="40" s="1"/>
  <c r="AJ109" i="13"/>
  <c r="J126" i="40" s="1"/>
  <c r="AJ206" i="13"/>
  <c r="AJ195" i="13"/>
  <c r="J489" i="40" s="1"/>
  <c r="AJ187" i="13"/>
  <c r="J284" i="40" s="1"/>
  <c r="AJ197" i="13"/>
  <c r="AJ189" i="13"/>
  <c r="J326" i="40" s="1"/>
  <c r="AJ199" i="13"/>
  <c r="AJ191" i="13"/>
  <c r="J403" i="40" s="1"/>
  <c r="AJ183" i="13"/>
  <c r="J164" i="40" s="1"/>
  <c r="AJ185" i="13"/>
  <c r="J204" i="40" s="1"/>
  <c r="AJ179" i="13"/>
  <c r="J48" i="40" s="1"/>
  <c r="AJ198" i="13"/>
  <c r="AJ190" i="13"/>
  <c r="J364" i="40" s="1"/>
  <c r="AJ173" i="13"/>
  <c r="AJ172" i="13"/>
  <c r="AJ194" i="13"/>
  <c r="J447" i="40" s="1"/>
  <c r="AJ186" i="13"/>
  <c r="J245" i="40" s="1"/>
  <c r="AJ188" i="13"/>
  <c r="J285" i="40" s="1"/>
  <c r="AJ180" i="13"/>
  <c r="J87" i="40" s="1"/>
  <c r="AJ178" i="13"/>
  <c r="J47" i="40" s="1"/>
  <c r="AJ166" i="13"/>
  <c r="AJ196" i="13"/>
  <c r="J490" i="40" s="1"/>
  <c r="AJ192" i="13"/>
  <c r="J404" i="40" s="1"/>
  <c r="AJ184" i="13"/>
  <c r="J203" i="40" s="1"/>
  <c r="AJ182" i="13"/>
  <c r="J125" i="40" s="1"/>
  <c r="AJ181" i="13"/>
  <c r="J124" i="40" s="1"/>
  <c r="AJ171" i="13"/>
  <c r="AJ132" i="13"/>
  <c r="AJ87" i="13"/>
  <c r="AJ165" i="13"/>
  <c r="AJ164" i="13"/>
  <c r="AJ101" i="13"/>
  <c r="AJ193" i="13"/>
  <c r="J446" i="40" s="1"/>
  <c r="AJ163" i="13"/>
  <c r="AJ102" i="13"/>
  <c r="AJ200" i="13"/>
  <c r="AJ162" i="13"/>
  <c r="AJ202" i="13"/>
  <c r="AJ177" i="13"/>
  <c r="J10" i="40" s="1"/>
  <c r="AJ167" i="13"/>
  <c r="AJ123" i="13"/>
  <c r="AJ201" i="13"/>
  <c r="AJ75" i="13"/>
  <c r="AJ67" i="13"/>
  <c r="AJ45" i="13"/>
  <c r="AJ80" i="13"/>
  <c r="AJ72" i="13"/>
  <c r="AJ52" i="13"/>
  <c r="AJ168" i="13"/>
  <c r="AJ83" i="13"/>
  <c r="AJ82" i="13"/>
  <c r="AJ78" i="13"/>
  <c r="AJ68" i="13"/>
  <c r="AJ48" i="13"/>
  <c r="AJ79" i="13"/>
  <c r="AJ69" i="13"/>
  <c r="AJ54" i="13"/>
  <c r="AJ47" i="13"/>
  <c r="AJ205" i="13"/>
  <c r="AJ73" i="13"/>
  <c r="AJ203" i="13"/>
  <c r="AJ174" i="13"/>
  <c r="AJ77" i="13"/>
  <c r="AJ100" i="13"/>
  <c r="AJ175" i="13"/>
  <c r="AJ81" i="13"/>
  <c r="AJ207" i="13"/>
  <c r="AJ105" i="13"/>
  <c r="AJ46" i="13"/>
  <c r="AJ74" i="13"/>
  <c r="AJ53" i="13"/>
  <c r="AJ293" i="13"/>
  <c r="AJ125" i="13"/>
  <c r="AJ49" i="13"/>
  <c r="AJ86" i="13"/>
  <c r="AJ176" i="13"/>
  <c r="AJ63" i="13"/>
  <c r="AJ70" i="13"/>
  <c r="AJ44" i="13"/>
  <c r="AJ99" i="13"/>
  <c r="AJ85" i="13"/>
  <c r="AJ61" i="13"/>
  <c r="AJ76" i="13"/>
  <c r="AJ204" i="13"/>
  <c r="AJ55" i="13"/>
  <c r="AJ127" i="13"/>
  <c r="AJ65" i="13"/>
  <c r="AJ50" i="13"/>
  <c r="AJ88" i="13"/>
  <c r="AJ84" i="13"/>
  <c r="AJ66" i="13"/>
  <c r="AJ64" i="13"/>
  <c r="AJ71" i="13"/>
  <c r="AJ104" i="13"/>
  <c r="AJ126" i="13"/>
  <c r="AJ56" i="13"/>
  <c r="AJ129" i="13"/>
  <c r="AJ57" i="13"/>
  <c r="AJ103" i="13"/>
  <c r="AJ60" i="13"/>
  <c r="AJ43" i="13"/>
  <c r="AJ170" i="13"/>
  <c r="AJ59" i="13"/>
  <c r="AJ169" i="13"/>
  <c r="AJ58" i="13"/>
  <c r="AJ51" i="13"/>
  <c r="AJ62" i="13"/>
  <c r="AK4" i="13"/>
  <c r="E422" i="40" l="1"/>
  <c r="E423" i="40" s="1"/>
  <c r="F419" i="40" s="1"/>
  <c r="AK59" i="13"/>
  <c r="AK71" i="13"/>
  <c r="AK58" i="13"/>
  <c r="AK70" i="13"/>
  <c r="AK65" i="13"/>
  <c r="AK61" i="13"/>
  <c r="AK64" i="13"/>
  <c r="AK62" i="13"/>
  <c r="AK63" i="13"/>
  <c r="AK60" i="13"/>
  <c r="AK66" i="13"/>
  <c r="AK69" i="13"/>
  <c r="AK72" i="13"/>
  <c r="AK74" i="13"/>
  <c r="AK67" i="13"/>
  <c r="AK77" i="13"/>
  <c r="AK45" i="13"/>
  <c r="AK73" i="13"/>
  <c r="AK75" i="13"/>
  <c r="AK68" i="13"/>
  <c r="AK76" i="13"/>
  <c r="E21" i="40"/>
  <c r="J128" i="40"/>
  <c r="J131" i="40" s="1"/>
  <c r="F25" i="40"/>
  <c r="F26" i="40" s="1"/>
  <c r="G23" i="40" s="1"/>
  <c r="G16" i="40" s="1"/>
  <c r="G18" i="40" s="1"/>
  <c r="G20" i="40" s="1"/>
  <c r="F180" i="40"/>
  <c r="F181" i="40" s="1"/>
  <c r="G178" i="40" s="1"/>
  <c r="G180" i="40" s="1"/>
  <c r="G181" i="40" s="1"/>
  <c r="H178" i="40" s="1"/>
  <c r="H180" i="40" s="1"/>
  <c r="H181" i="40" s="1"/>
  <c r="I178" i="40" s="1"/>
  <c r="I180" i="40" s="1"/>
  <c r="I181" i="40" s="1"/>
  <c r="J178" i="40" s="1"/>
  <c r="J180" i="40" s="1"/>
  <c r="J181" i="40" s="1"/>
  <c r="K178" i="40" s="1"/>
  <c r="K180" i="40" s="1"/>
  <c r="K181" i="40" s="1"/>
  <c r="L178" i="40" s="1"/>
  <c r="L180" i="40" s="1"/>
  <c r="L181" i="40" s="1"/>
  <c r="M178" i="40" s="1"/>
  <c r="M180" i="40" s="1"/>
  <c r="M181" i="40" s="1"/>
  <c r="N178" i="40" s="1"/>
  <c r="N180" i="40" s="1"/>
  <c r="N181" i="40" s="1"/>
  <c r="O178" i="40" s="1"/>
  <c r="O180" i="40" s="1"/>
  <c r="O181" i="40" s="1"/>
  <c r="P178" i="40" s="1"/>
  <c r="P180" i="40" s="1"/>
  <c r="P181" i="40" s="1"/>
  <c r="Q178" i="40" s="1"/>
  <c r="Q180" i="40" s="1"/>
  <c r="Q181" i="40" s="1"/>
  <c r="R178" i="40" s="1"/>
  <c r="R180" i="40" s="1"/>
  <c r="R181" i="40" s="1"/>
  <c r="S178" i="40" s="1"/>
  <c r="S180" i="40" s="1"/>
  <c r="S181" i="40" s="1"/>
  <c r="T178" i="40" s="1"/>
  <c r="T180" i="40" s="1"/>
  <c r="T181" i="40" s="1"/>
  <c r="U178" i="40" s="1"/>
  <c r="U180" i="40" s="1"/>
  <c r="U181" i="40" s="1"/>
  <c r="V178" i="40" s="1"/>
  <c r="V180" i="40" s="1"/>
  <c r="V181" i="40" s="1"/>
  <c r="W178" i="40" s="1"/>
  <c r="W180" i="40" s="1"/>
  <c r="W181" i="40" s="1"/>
  <c r="X178" i="40" s="1"/>
  <c r="X180" i="40" s="1"/>
  <c r="X181" i="40" s="1"/>
  <c r="F422" i="40"/>
  <c r="F423" i="40" s="1"/>
  <c r="G419" i="40" s="1"/>
  <c r="J13" i="40"/>
  <c r="J15" i="40" s="1"/>
  <c r="E342" i="40"/>
  <c r="E343" i="40" s="1"/>
  <c r="F340" i="40" s="1"/>
  <c r="F333" i="40" s="1"/>
  <c r="F335" i="40" s="1"/>
  <c r="F337" i="40" s="1"/>
  <c r="F176" i="40"/>
  <c r="L463" i="40"/>
  <c r="Q463" i="40"/>
  <c r="H463" i="40"/>
  <c r="K463" i="40"/>
  <c r="W463" i="40"/>
  <c r="X463" i="40"/>
  <c r="T463" i="40"/>
  <c r="U463" i="40"/>
  <c r="E463" i="40"/>
  <c r="S463" i="40"/>
  <c r="E477" i="40"/>
  <c r="O463" i="40"/>
  <c r="R463" i="40"/>
  <c r="V463" i="40"/>
  <c r="F463" i="40"/>
  <c r="I463" i="40"/>
  <c r="D466" i="40"/>
  <c r="E462" i="40" s="1"/>
  <c r="E455" i="40" s="1"/>
  <c r="E457" i="40" s="1"/>
  <c r="E459" i="40" s="1"/>
  <c r="N463" i="40"/>
  <c r="G463" i="40"/>
  <c r="M463" i="40"/>
  <c r="J463" i="40"/>
  <c r="P463" i="40"/>
  <c r="M506" i="40"/>
  <c r="K506" i="40"/>
  <c r="J506" i="40"/>
  <c r="I506" i="40"/>
  <c r="G506" i="40"/>
  <c r="X506" i="40"/>
  <c r="V506" i="40"/>
  <c r="L506" i="40"/>
  <c r="F506" i="40"/>
  <c r="H506" i="40"/>
  <c r="U506" i="40"/>
  <c r="D509" i="40"/>
  <c r="E505" i="40" s="1"/>
  <c r="E498" i="40" s="1"/>
  <c r="E500" i="40" s="1"/>
  <c r="E502" i="40" s="1"/>
  <c r="E506" i="40"/>
  <c r="N506" i="40"/>
  <c r="T506" i="40"/>
  <c r="O506" i="40"/>
  <c r="P506" i="40"/>
  <c r="S506" i="40"/>
  <c r="W506" i="40"/>
  <c r="E520" i="40"/>
  <c r="R506" i="40"/>
  <c r="Q506" i="40"/>
  <c r="D480" i="40"/>
  <c r="E380" i="40"/>
  <c r="E381" i="40" s="1"/>
  <c r="F378" i="40" s="1"/>
  <c r="F371" i="40" s="1"/>
  <c r="F373" i="40" s="1"/>
  <c r="F375" i="40" s="1"/>
  <c r="N63" i="40"/>
  <c r="J63" i="40"/>
  <c r="M63" i="40"/>
  <c r="T63" i="40"/>
  <c r="D66" i="40"/>
  <c r="E62" i="40" s="1"/>
  <c r="E55" i="40" s="1"/>
  <c r="E57" i="40" s="1"/>
  <c r="E59" i="40" s="1"/>
  <c r="K63" i="40"/>
  <c r="E76" i="40"/>
  <c r="E63" i="40"/>
  <c r="L63" i="40"/>
  <c r="W63" i="40"/>
  <c r="H63" i="40"/>
  <c r="G63" i="40"/>
  <c r="U63" i="40"/>
  <c r="F63" i="40"/>
  <c r="R63" i="40"/>
  <c r="X63" i="40"/>
  <c r="I63" i="40"/>
  <c r="P63" i="40"/>
  <c r="O63" i="40"/>
  <c r="V63" i="40"/>
  <c r="S63" i="40"/>
  <c r="Q63" i="40"/>
  <c r="E315" i="40"/>
  <c r="D304" i="40"/>
  <c r="E300" i="40" s="1"/>
  <c r="E293" i="40" s="1"/>
  <c r="E295" i="40" s="1"/>
  <c r="E297" i="40" s="1"/>
  <c r="X301" i="40"/>
  <c r="S301" i="40"/>
  <c r="R301" i="40"/>
  <c r="N301" i="40"/>
  <c r="E301" i="40"/>
  <c r="P301" i="40"/>
  <c r="J301" i="40"/>
  <c r="M301" i="40"/>
  <c r="V301" i="40"/>
  <c r="Q301" i="40"/>
  <c r="H301" i="40"/>
  <c r="F301" i="40"/>
  <c r="K301" i="40"/>
  <c r="G301" i="40"/>
  <c r="I301" i="40"/>
  <c r="W301" i="40"/>
  <c r="L301" i="40"/>
  <c r="U301" i="40"/>
  <c r="T301" i="40"/>
  <c r="O301" i="40"/>
  <c r="F102" i="40"/>
  <c r="F103" i="40" s="1"/>
  <c r="G100" i="40" s="1"/>
  <c r="W220" i="40"/>
  <c r="U220" i="40"/>
  <c r="G220" i="40"/>
  <c r="O220" i="40"/>
  <c r="K220" i="40"/>
  <c r="S220" i="40"/>
  <c r="M220" i="40"/>
  <c r="Q220" i="40"/>
  <c r="E220" i="40"/>
  <c r="P220" i="40"/>
  <c r="I220" i="40"/>
  <c r="H220" i="40"/>
  <c r="F220" i="40"/>
  <c r="X220" i="40"/>
  <c r="R220" i="40"/>
  <c r="L220" i="40"/>
  <c r="E234" i="40"/>
  <c r="T220" i="40"/>
  <c r="N220" i="40"/>
  <c r="J220" i="40"/>
  <c r="D223" i="40"/>
  <c r="E219" i="40" s="1"/>
  <c r="E212" i="40" s="1"/>
  <c r="E214" i="40" s="1"/>
  <c r="E216" i="40" s="1"/>
  <c r="V220" i="40"/>
  <c r="Q140" i="40"/>
  <c r="D143" i="40"/>
  <c r="E139" i="40" s="1"/>
  <c r="E132" i="40" s="1"/>
  <c r="E134" i="40" s="1"/>
  <c r="E136" i="40" s="1"/>
  <c r="I140" i="40"/>
  <c r="F140" i="40"/>
  <c r="E153" i="40"/>
  <c r="L140" i="40"/>
  <c r="P140" i="40"/>
  <c r="M140" i="40"/>
  <c r="S140" i="40"/>
  <c r="J140" i="40"/>
  <c r="H140" i="40"/>
  <c r="E140" i="40"/>
  <c r="X140" i="40"/>
  <c r="W140" i="40"/>
  <c r="N140" i="40"/>
  <c r="O140" i="40"/>
  <c r="V140" i="40"/>
  <c r="K140" i="40"/>
  <c r="T140" i="40"/>
  <c r="G140" i="40"/>
  <c r="U140" i="40"/>
  <c r="R140" i="40"/>
  <c r="G515" i="40"/>
  <c r="G493" i="40"/>
  <c r="G494" i="40" s="1"/>
  <c r="G497" i="40" s="1"/>
  <c r="D503" i="40"/>
  <c r="E521" i="40"/>
  <c r="E176" i="40"/>
  <c r="D137" i="40"/>
  <c r="E154" i="40"/>
  <c r="G25" i="40"/>
  <c r="G26" i="40" s="1"/>
  <c r="H23" i="40" s="1"/>
  <c r="D156" i="40"/>
  <c r="E338" i="40"/>
  <c r="E98" i="40"/>
  <c r="H367" i="40"/>
  <c r="H368" i="40" s="1"/>
  <c r="H370" i="40" s="1"/>
  <c r="H386" i="40"/>
  <c r="E261" i="40"/>
  <c r="E262" i="40" s="1"/>
  <c r="F259" i="40" s="1"/>
  <c r="F252" i="40" s="1"/>
  <c r="F254" i="40" s="1"/>
  <c r="F256" i="40" s="1"/>
  <c r="G429" i="40"/>
  <c r="G407" i="40"/>
  <c r="G408" i="40" s="1"/>
  <c r="G411" i="40" s="1"/>
  <c r="G412" i="40" s="1"/>
  <c r="G414" i="40" s="1"/>
  <c r="G416" i="40" s="1"/>
  <c r="G171" i="40"/>
  <c r="G173" i="40" s="1"/>
  <c r="G175" i="40" s="1"/>
  <c r="G176" i="40" s="1"/>
  <c r="F412" i="40"/>
  <c r="F414" i="40" s="1"/>
  <c r="F416" i="40" s="1"/>
  <c r="F417" i="40" s="1"/>
  <c r="J51" i="40"/>
  <c r="J54" i="40" s="1"/>
  <c r="H167" i="40"/>
  <c r="H168" i="40" s="1"/>
  <c r="H170" i="40" s="1"/>
  <c r="H171" i="40" s="1"/>
  <c r="H173" i="40" s="1"/>
  <c r="H175" i="40" s="1"/>
  <c r="H176" i="40" s="1"/>
  <c r="H186" i="40"/>
  <c r="H329" i="40"/>
  <c r="H330" i="40" s="1"/>
  <c r="H332" i="40" s="1"/>
  <c r="H348" i="40"/>
  <c r="G422" i="40"/>
  <c r="G423" i="40" s="1"/>
  <c r="H419" i="40" s="1"/>
  <c r="H422" i="40" s="1"/>
  <c r="H423" i="40" s="1"/>
  <c r="I419" i="40" s="1"/>
  <c r="I422" i="40" s="1"/>
  <c r="I423" i="40" s="1"/>
  <c r="J419" i="40" s="1"/>
  <c r="J422" i="40" s="1"/>
  <c r="J423" i="40" s="1"/>
  <c r="K419" i="40" s="1"/>
  <c r="K422" i="40" s="1"/>
  <c r="K423" i="40" s="1"/>
  <c r="L419" i="40" s="1"/>
  <c r="L422" i="40" s="1"/>
  <c r="L423" i="40" s="1"/>
  <c r="M419" i="40" s="1"/>
  <c r="M422" i="40" s="1"/>
  <c r="M423" i="40" s="1"/>
  <c r="N419" i="40" s="1"/>
  <c r="N422" i="40" s="1"/>
  <c r="N423" i="40" s="1"/>
  <c r="O419" i="40" s="1"/>
  <c r="O422" i="40" s="1"/>
  <c r="O423" i="40" s="1"/>
  <c r="P419" i="40" s="1"/>
  <c r="P422" i="40" s="1"/>
  <c r="P423" i="40" s="1"/>
  <c r="Q419" i="40" s="1"/>
  <c r="Q422" i="40" s="1"/>
  <c r="Q423" i="40" s="1"/>
  <c r="R419" i="40" s="1"/>
  <c r="R422" i="40" s="1"/>
  <c r="R423" i="40" s="1"/>
  <c r="S419" i="40" s="1"/>
  <c r="S422" i="40" s="1"/>
  <c r="S423" i="40" s="1"/>
  <c r="T419" i="40" s="1"/>
  <c r="T422" i="40" s="1"/>
  <c r="T423" i="40" s="1"/>
  <c r="U419" i="40" s="1"/>
  <c r="U422" i="40" s="1"/>
  <c r="U423" i="40" s="1"/>
  <c r="V419" i="40" s="1"/>
  <c r="V422" i="40" s="1"/>
  <c r="V423" i="40" s="1"/>
  <c r="W419" i="40" s="1"/>
  <c r="W422" i="40" s="1"/>
  <c r="W423" i="40" s="1"/>
  <c r="X419" i="40" s="1"/>
  <c r="X422" i="40" s="1"/>
  <c r="X423" i="40" s="1"/>
  <c r="J90" i="40"/>
  <c r="J92" i="40" s="1"/>
  <c r="D79" i="40"/>
  <c r="E77" i="40"/>
  <c r="D60" i="40"/>
  <c r="H248" i="40"/>
  <c r="H249" i="40" s="1"/>
  <c r="H251" i="40" s="1"/>
  <c r="H267" i="40"/>
  <c r="D523" i="40"/>
  <c r="E417" i="40"/>
  <c r="G472" i="40"/>
  <c r="G450" i="40"/>
  <c r="G451" i="40" s="1"/>
  <c r="G454" i="40" s="1"/>
  <c r="D298" i="40"/>
  <c r="E316" i="40"/>
  <c r="F21" i="40"/>
  <c r="D318" i="40"/>
  <c r="G229" i="40"/>
  <c r="G207" i="40"/>
  <c r="G208" i="40" s="1"/>
  <c r="G211" i="40" s="1"/>
  <c r="G310" i="40"/>
  <c r="G288" i="40"/>
  <c r="G289" i="40" s="1"/>
  <c r="G292" i="40" s="1"/>
  <c r="Q62" i="26"/>
  <c r="T23" i="26"/>
  <c r="U27" i="26"/>
  <c r="U28" i="26" s="1"/>
  <c r="V25" i="26" s="1"/>
  <c r="U18" i="26"/>
  <c r="U20" i="26" s="1"/>
  <c r="U22" i="26" s="1"/>
  <c r="R66" i="26"/>
  <c r="R67" i="26" s="1"/>
  <c r="S64" i="26" s="1"/>
  <c r="R57" i="26"/>
  <c r="R59" i="26" s="1"/>
  <c r="R61" i="26" s="1"/>
  <c r="AK316" i="13"/>
  <c r="AK309" i="13"/>
  <c r="AK312" i="13"/>
  <c r="AK315" i="13"/>
  <c r="AK299" i="13"/>
  <c r="AK302" i="13"/>
  <c r="AK308" i="13"/>
  <c r="AK311" i="13"/>
  <c r="AK314" i="13"/>
  <c r="AK298" i="13"/>
  <c r="AK307" i="13"/>
  <c r="AK310" i="13"/>
  <c r="AK304" i="13"/>
  <c r="AK301" i="13"/>
  <c r="AK303" i="13"/>
  <c r="AK285" i="13"/>
  <c r="AK288" i="13"/>
  <c r="AK279" i="13"/>
  <c r="AK306" i="13"/>
  <c r="AK291" i="13"/>
  <c r="AK297" i="13"/>
  <c r="AK290" i="13"/>
  <c r="AK300" i="13"/>
  <c r="AK295" i="13"/>
  <c r="AK305" i="13"/>
  <c r="AK296" i="13"/>
  <c r="AK287" i="13"/>
  <c r="AK283" i="13"/>
  <c r="AK286" i="13"/>
  <c r="AK294" i="13"/>
  <c r="AK278" i="13"/>
  <c r="AK284" i="13"/>
  <c r="AK280" i="13"/>
  <c r="AK313" i="13"/>
  <c r="AK282" i="13"/>
  <c r="AK292" i="13"/>
  <c r="AK289" i="13"/>
  <c r="AK281" i="13"/>
  <c r="AK118" i="13"/>
  <c r="K491" i="40" s="1"/>
  <c r="AK115" i="13"/>
  <c r="K365" i="40" s="1"/>
  <c r="AK128" i="13"/>
  <c r="AK121" i="13"/>
  <c r="AK106" i="13"/>
  <c r="K11" i="40" s="1"/>
  <c r="AK117" i="13"/>
  <c r="K448" i="40" s="1"/>
  <c r="AK96" i="13"/>
  <c r="AK124" i="13"/>
  <c r="AK114" i="13"/>
  <c r="K327" i="40" s="1"/>
  <c r="AK119" i="13"/>
  <c r="AK98" i="13"/>
  <c r="AK116" i="13"/>
  <c r="K405" i="40" s="1"/>
  <c r="AK95" i="13"/>
  <c r="AK122" i="13"/>
  <c r="AK110" i="13"/>
  <c r="K165" i="40" s="1"/>
  <c r="AK92" i="13"/>
  <c r="AK94" i="13"/>
  <c r="AK97" i="13"/>
  <c r="AK91" i="13"/>
  <c r="AK93" i="13"/>
  <c r="AK108" i="13"/>
  <c r="K88" i="40" s="1"/>
  <c r="AK112" i="13"/>
  <c r="K246" i="40" s="1"/>
  <c r="AK120" i="13"/>
  <c r="AK107" i="13"/>
  <c r="K49" i="40" s="1"/>
  <c r="AK109" i="13"/>
  <c r="K126" i="40" s="1"/>
  <c r="AK111" i="13"/>
  <c r="K205" i="40" s="1"/>
  <c r="AK113" i="13"/>
  <c r="K286" i="40" s="1"/>
  <c r="AK201" i="13"/>
  <c r="AK193" i="13"/>
  <c r="K446" i="40" s="1"/>
  <c r="AK185" i="13"/>
  <c r="K204" i="40" s="1"/>
  <c r="AK206" i="13"/>
  <c r="AK200" i="13"/>
  <c r="AK192" i="13"/>
  <c r="K404" i="40" s="1"/>
  <c r="AK197" i="13"/>
  <c r="AK189" i="13"/>
  <c r="K326" i="40" s="1"/>
  <c r="AK199" i="13"/>
  <c r="AK191" i="13"/>
  <c r="K403" i="40" s="1"/>
  <c r="AK183" i="13"/>
  <c r="K164" i="40" s="1"/>
  <c r="AK187" i="13"/>
  <c r="K284" i="40" s="1"/>
  <c r="AK198" i="13"/>
  <c r="AK180" i="13"/>
  <c r="K87" i="40" s="1"/>
  <c r="AK179" i="13"/>
  <c r="K48" i="40" s="1"/>
  <c r="AK194" i="13"/>
  <c r="K447" i="40" s="1"/>
  <c r="AK186" i="13"/>
  <c r="K245" i="40" s="1"/>
  <c r="AK184" i="13"/>
  <c r="K203" i="40" s="1"/>
  <c r="AK167" i="13"/>
  <c r="AK181" i="13"/>
  <c r="K124" i="40" s="1"/>
  <c r="AK190" i="13"/>
  <c r="K364" i="40" s="1"/>
  <c r="AK178" i="13"/>
  <c r="K47" i="40" s="1"/>
  <c r="AK166" i="13"/>
  <c r="AK188" i="13"/>
  <c r="K285" i="40" s="1"/>
  <c r="AK195" i="13"/>
  <c r="K489" i="40" s="1"/>
  <c r="AK172" i="13"/>
  <c r="AK182" i="13"/>
  <c r="K125" i="40" s="1"/>
  <c r="AK173" i="13"/>
  <c r="AK168" i="13"/>
  <c r="AK162" i="13"/>
  <c r="AK202" i="13"/>
  <c r="AK177" i="13"/>
  <c r="K10" i="40" s="1"/>
  <c r="AK196" i="13"/>
  <c r="K490" i="40" s="1"/>
  <c r="AK171" i="13"/>
  <c r="AK164" i="13"/>
  <c r="AK132" i="13"/>
  <c r="AK203" i="13"/>
  <c r="AK123" i="13"/>
  <c r="AK163" i="13"/>
  <c r="AK100" i="13"/>
  <c r="AK169" i="13"/>
  <c r="AK129" i="13"/>
  <c r="AK99" i="13"/>
  <c r="AK176" i="13"/>
  <c r="AK165" i="13"/>
  <c r="AK126" i="13"/>
  <c r="AK104" i="13"/>
  <c r="AK293" i="13"/>
  <c r="AK175" i="13"/>
  <c r="AK101" i="13"/>
  <c r="AK170" i="13"/>
  <c r="AK105" i="13"/>
  <c r="AK207" i="13"/>
  <c r="AK125" i="13"/>
  <c r="AK102" i="13"/>
  <c r="AK204" i="13"/>
  <c r="AK174" i="13"/>
  <c r="AK127" i="13"/>
  <c r="AK103" i="13"/>
  <c r="AK205" i="13"/>
  <c r="AL4" i="13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K6" i="12"/>
  <c r="K5" i="12"/>
  <c r="K4" i="12"/>
  <c r="K3" i="12"/>
  <c r="D25" i="1"/>
  <c r="D24" i="1"/>
  <c r="D28" i="1"/>
  <c r="D27" i="1"/>
  <c r="D26" i="1"/>
  <c r="E48" i="6" s="1"/>
  <c r="E49" i="6" s="1"/>
  <c r="D29" i="1"/>
  <c r="D30" i="1"/>
  <c r="D38" i="1"/>
  <c r="D37" i="1"/>
  <c r="D36" i="1"/>
  <c r="F342" i="40" l="1"/>
  <c r="F343" i="40" s="1"/>
  <c r="G340" i="40" s="1"/>
  <c r="G342" i="40" s="1"/>
  <c r="G343" i="40" s="1"/>
  <c r="H340" i="40" s="1"/>
  <c r="H342" i="40" s="1"/>
  <c r="H343" i="40" s="1"/>
  <c r="I340" i="40" s="1"/>
  <c r="I342" i="40" s="1"/>
  <c r="I343" i="40" s="1"/>
  <c r="J340" i="40" s="1"/>
  <c r="J342" i="40" s="1"/>
  <c r="J343" i="40" s="1"/>
  <c r="K340" i="40" s="1"/>
  <c r="K342" i="40" s="1"/>
  <c r="K343" i="40" s="1"/>
  <c r="L340" i="40" s="1"/>
  <c r="L342" i="40" s="1"/>
  <c r="L343" i="40" s="1"/>
  <c r="M340" i="40" s="1"/>
  <c r="M342" i="40" s="1"/>
  <c r="M343" i="40" s="1"/>
  <c r="N340" i="40" s="1"/>
  <c r="N342" i="40" s="1"/>
  <c r="N343" i="40" s="1"/>
  <c r="O340" i="40" s="1"/>
  <c r="O342" i="40" s="1"/>
  <c r="O343" i="40" s="1"/>
  <c r="P340" i="40" s="1"/>
  <c r="P342" i="40" s="1"/>
  <c r="P343" i="40" s="1"/>
  <c r="Q340" i="40" s="1"/>
  <c r="Q342" i="40" s="1"/>
  <c r="Q343" i="40" s="1"/>
  <c r="R340" i="40" s="1"/>
  <c r="R342" i="40" s="1"/>
  <c r="R343" i="40" s="1"/>
  <c r="S340" i="40" s="1"/>
  <c r="S342" i="40" s="1"/>
  <c r="S343" i="40" s="1"/>
  <c r="T340" i="40" s="1"/>
  <c r="T342" i="40" s="1"/>
  <c r="T343" i="40" s="1"/>
  <c r="U340" i="40" s="1"/>
  <c r="U342" i="40" s="1"/>
  <c r="U343" i="40" s="1"/>
  <c r="V340" i="40" s="1"/>
  <c r="V342" i="40" s="1"/>
  <c r="V343" i="40" s="1"/>
  <c r="W340" i="40" s="1"/>
  <c r="W342" i="40" s="1"/>
  <c r="W343" i="40" s="1"/>
  <c r="X340" i="40" s="1"/>
  <c r="X342" i="40" s="1"/>
  <c r="X343" i="40" s="1"/>
  <c r="AL62" i="13"/>
  <c r="AL59" i="13"/>
  <c r="AL58" i="13"/>
  <c r="AL65" i="13"/>
  <c r="AL61" i="13"/>
  <c r="AL64" i="13"/>
  <c r="AL70" i="13"/>
  <c r="AL60" i="13"/>
  <c r="AL63" i="13"/>
  <c r="AL66" i="13"/>
  <c r="AL72" i="13"/>
  <c r="AL68" i="13"/>
  <c r="AL71" i="13"/>
  <c r="AL74" i="13"/>
  <c r="AL67" i="13"/>
  <c r="AL45" i="13"/>
  <c r="AL76" i="13"/>
  <c r="AL73" i="13"/>
  <c r="AL75" i="13"/>
  <c r="AL69" i="13"/>
  <c r="AL77" i="13"/>
  <c r="G333" i="40"/>
  <c r="G335" i="40" s="1"/>
  <c r="G337" i="40" s="1"/>
  <c r="E222" i="40"/>
  <c r="E223" i="40" s="1"/>
  <c r="F219" i="40" s="1"/>
  <c r="F212" i="40" s="1"/>
  <c r="F214" i="40" s="1"/>
  <c r="F216" i="40" s="1"/>
  <c r="G21" i="40"/>
  <c r="E508" i="40"/>
  <c r="E509" i="40" s="1"/>
  <c r="F505" i="40" s="1"/>
  <c r="F498" i="40" s="1"/>
  <c r="F500" i="40" s="1"/>
  <c r="F502" i="40" s="1"/>
  <c r="E465" i="40"/>
  <c r="E466" i="40" s="1"/>
  <c r="F462" i="40" s="1"/>
  <c r="F455" i="40" s="1"/>
  <c r="F457" i="40" s="1"/>
  <c r="F459" i="40" s="1"/>
  <c r="F380" i="40"/>
  <c r="F381" i="40" s="1"/>
  <c r="G378" i="40" s="1"/>
  <c r="G380" i="40" s="1"/>
  <c r="G381" i="40" s="1"/>
  <c r="H378" i="40" s="1"/>
  <c r="H380" i="40" s="1"/>
  <c r="H381" i="40" s="1"/>
  <c r="I378" i="40" s="1"/>
  <c r="I380" i="40" s="1"/>
  <c r="I381" i="40" s="1"/>
  <c r="J378" i="40" s="1"/>
  <c r="J380" i="40" s="1"/>
  <c r="J381" i="40" s="1"/>
  <c r="K378" i="40" s="1"/>
  <c r="K380" i="40" s="1"/>
  <c r="K381" i="40" s="1"/>
  <c r="L378" i="40" s="1"/>
  <c r="L380" i="40" s="1"/>
  <c r="L381" i="40" s="1"/>
  <c r="M378" i="40" s="1"/>
  <c r="M380" i="40" s="1"/>
  <c r="M381" i="40" s="1"/>
  <c r="N378" i="40" s="1"/>
  <c r="N380" i="40" s="1"/>
  <c r="N381" i="40" s="1"/>
  <c r="O378" i="40" s="1"/>
  <c r="O380" i="40" s="1"/>
  <c r="O381" i="40" s="1"/>
  <c r="P378" i="40" s="1"/>
  <c r="P380" i="40" s="1"/>
  <c r="P381" i="40" s="1"/>
  <c r="Q378" i="40" s="1"/>
  <c r="Q380" i="40" s="1"/>
  <c r="Q381" i="40" s="1"/>
  <c r="R378" i="40" s="1"/>
  <c r="R380" i="40" s="1"/>
  <c r="R381" i="40" s="1"/>
  <c r="S378" i="40" s="1"/>
  <c r="S380" i="40" s="1"/>
  <c r="S381" i="40" s="1"/>
  <c r="T378" i="40" s="1"/>
  <c r="T380" i="40" s="1"/>
  <c r="T381" i="40" s="1"/>
  <c r="U378" i="40" s="1"/>
  <c r="U380" i="40" s="1"/>
  <c r="U381" i="40" s="1"/>
  <c r="V378" i="40" s="1"/>
  <c r="V380" i="40" s="1"/>
  <c r="V381" i="40" s="1"/>
  <c r="W378" i="40" s="1"/>
  <c r="W380" i="40" s="1"/>
  <c r="W381" i="40" s="1"/>
  <c r="X378" i="40" s="1"/>
  <c r="X380" i="40" s="1"/>
  <c r="X381" i="40" s="1"/>
  <c r="K13" i="40"/>
  <c r="K15" i="40" s="1"/>
  <c r="E65" i="40"/>
  <c r="E66" i="40" s="1"/>
  <c r="F62" i="40" s="1"/>
  <c r="F55" i="40" s="1"/>
  <c r="F57" i="40" s="1"/>
  <c r="F59" i="40" s="1"/>
  <c r="F261" i="40"/>
  <c r="F262" i="40" s="1"/>
  <c r="G259" i="40" s="1"/>
  <c r="G252" i="40" s="1"/>
  <c r="G254" i="40" s="1"/>
  <c r="G256" i="40" s="1"/>
  <c r="F98" i="40"/>
  <c r="K90" i="40"/>
  <c r="K92" i="40" s="1"/>
  <c r="H310" i="40"/>
  <c r="H288" i="40"/>
  <c r="H289" i="40" s="1"/>
  <c r="H292" i="40" s="1"/>
  <c r="G417" i="40"/>
  <c r="I329" i="40"/>
  <c r="I330" i="40" s="1"/>
  <c r="I332" i="40" s="1"/>
  <c r="I333" i="40" s="1"/>
  <c r="I335" i="40" s="1"/>
  <c r="I337" i="40" s="1"/>
  <c r="I338" i="40" s="1"/>
  <c r="I348" i="40"/>
  <c r="H429" i="40"/>
  <c r="H407" i="40"/>
  <c r="H408" i="40" s="1"/>
  <c r="H411" i="40" s="1"/>
  <c r="H412" i="40" s="1"/>
  <c r="H414" i="40" s="1"/>
  <c r="H416" i="40" s="1"/>
  <c r="H229" i="40"/>
  <c r="H207" i="40"/>
  <c r="H208" i="40" s="1"/>
  <c r="H211" i="40" s="1"/>
  <c r="I267" i="40"/>
  <c r="I248" i="40"/>
  <c r="I249" i="40" s="1"/>
  <c r="I251" i="40" s="1"/>
  <c r="H333" i="40"/>
  <c r="H335" i="40" s="1"/>
  <c r="H337" i="40" s="1"/>
  <c r="H338" i="40" s="1"/>
  <c r="G338" i="40"/>
  <c r="I167" i="40"/>
  <c r="I168" i="40" s="1"/>
  <c r="I170" i="40" s="1"/>
  <c r="I171" i="40" s="1"/>
  <c r="I173" i="40" s="1"/>
  <c r="I175" i="40" s="1"/>
  <c r="I176" i="40" s="1"/>
  <c r="I186" i="40"/>
  <c r="E142" i="40"/>
  <c r="E143" i="40" s="1"/>
  <c r="F139" i="40" s="1"/>
  <c r="F132" i="40" s="1"/>
  <c r="F134" i="40" s="1"/>
  <c r="F136" i="40" s="1"/>
  <c r="I386" i="40"/>
  <c r="I367" i="40"/>
  <c r="I368" i="40" s="1"/>
  <c r="I370" i="40" s="1"/>
  <c r="H16" i="40"/>
  <c r="H18" i="40" s="1"/>
  <c r="H20" i="40" s="1"/>
  <c r="H25" i="40"/>
  <c r="H26" i="40" s="1"/>
  <c r="I23" i="40" s="1"/>
  <c r="E376" i="40"/>
  <c r="H515" i="40"/>
  <c r="H493" i="40"/>
  <c r="H494" i="40" s="1"/>
  <c r="H497" i="40" s="1"/>
  <c r="G93" i="40"/>
  <c r="G95" i="40" s="1"/>
  <c r="G97" i="40" s="1"/>
  <c r="G102" i="40"/>
  <c r="G103" i="40" s="1"/>
  <c r="H100" i="40" s="1"/>
  <c r="E303" i="40"/>
  <c r="E304" i="40" s="1"/>
  <c r="F300" i="40" s="1"/>
  <c r="F293" i="40" s="1"/>
  <c r="F295" i="40" s="1"/>
  <c r="F297" i="40" s="1"/>
  <c r="E460" i="40"/>
  <c r="K128" i="40"/>
  <c r="K131" i="40" s="1"/>
  <c r="E257" i="40"/>
  <c r="K51" i="40"/>
  <c r="K54" i="40" s="1"/>
  <c r="H472" i="40"/>
  <c r="H450" i="40"/>
  <c r="H451" i="40" s="1"/>
  <c r="H454" i="40" s="1"/>
  <c r="F338" i="40"/>
  <c r="U23" i="26"/>
  <c r="R62" i="26"/>
  <c r="V18" i="26"/>
  <c r="V20" i="26" s="1"/>
  <c r="V22" i="26" s="1"/>
  <c r="V27" i="26"/>
  <c r="V28" i="26" s="1"/>
  <c r="W25" i="26" s="1"/>
  <c r="S57" i="26"/>
  <c r="S59" i="26" s="1"/>
  <c r="S61" i="26" s="1"/>
  <c r="S66" i="26"/>
  <c r="S67" i="26" s="1"/>
  <c r="T64" i="26" s="1"/>
  <c r="AL306" i="13"/>
  <c r="AL309" i="13"/>
  <c r="AL312" i="13"/>
  <c r="AL315" i="13"/>
  <c r="AL299" i="13"/>
  <c r="AL302" i="13"/>
  <c r="AL305" i="13"/>
  <c r="AL311" i="13"/>
  <c r="AL314" i="13"/>
  <c r="AL298" i="13"/>
  <c r="AL301" i="13"/>
  <c r="AL310" i="13"/>
  <c r="AL313" i="13"/>
  <c r="AL297" i="13"/>
  <c r="AL296" i="13"/>
  <c r="AL285" i="13"/>
  <c r="AL288" i="13"/>
  <c r="AL292" i="13"/>
  <c r="AL290" i="13"/>
  <c r="AL286" i="13"/>
  <c r="AL284" i="13"/>
  <c r="AL282" i="13"/>
  <c r="AL291" i="13"/>
  <c r="AL289" i="13"/>
  <c r="AL287" i="13"/>
  <c r="AL307" i="13"/>
  <c r="AL304" i="13"/>
  <c r="AL303" i="13"/>
  <c r="AL300" i="13"/>
  <c r="AL294" i="13"/>
  <c r="AL295" i="13"/>
  <c r="AL308" i="13"/>
  <c r="AL316" i="13"/>
  <c r="AL280" i="13"/>
  <c r="AL281" i="13"/>
  <c r="AL278" i="13"/>
  <c r="AL283" i="13"/>
  <c r="AL279" i="13"/>
  <c r="AL118" i="13"/>
  <c r="L491" i="40" s="1"/>
  <c r="AL115" i="13"/>
  <c r="L365" i="40" s="1"/>
  <c r="AL128" i="13"/>
  <c r="AL121" i="13"/>
  <c r="AL117" i="13"/>
  <c r="L448" i="40" s="1"/>
  <c r="AL96" i="13"/>
  <c r="AL124" i="13"/>
  <c r="AL114" i="13"/>
  <c r="L327" i="40" s="1"/>
  <c r="AL119" i="13"/>
  <c r="AL116" i="13"/>
  <c r="L405" i="40" s="1"/>
  <c r="AL95" i="13"/>
  <c r="AL110" i="13"/>
  <c r="L165" i="40" s="1"/>
  <c r="AL97" i="13"/>
  <c r="AL94" i="13"/>
  <c r="AL92" i="13"/>
  <c r="AL91" i="13"/>
  <c r="AL122" i="13"/>
  <c r="AL98" i="13"/>
  <c r="AL93" i="13"/>
  <c r="AL106" i="13"/>
  <c r="L11" i="40" s="1"/>
  <c r="AL112" i="13"/>
  <c r="L246" i="40" s="1"/>
  <c r="AL120" i="13"/>
  <c r="AL111" i="13"/>
  <c r="L205" i="40" s="1"/>
  <c r="AL108" i="13"/>
  <c r="L88" i="40" s="1"/>
  <c r="AL109" i="13"/>
  <c r="L126" i="40" s="1"/>
  <c r="AL107" i="13"/>
  <c r="L49" i="40" s="1"/>
  <c r="AL113" i="13"/>
  <c r="L286" i="40" s="1"/>
  <c r="AL200" i="13"/>
  <c r="AL192" i="13"/>
  <c r="L404" i="40" s="1"/>
  <c r="AL202" i="13"/>
  <c r="AL194" i="13"/>
  <c r="L447" i="40" s="1"/>
  <c r="AL186" i="13"/>
  <c r="L245" i="40" s="1"/>
  <c r="AL191" i="13"/>
  <c r="L403" i="40" s="1"/>
  <c r="AL187" i="13"/>
  <c r="L284" i="40" s="1"/>
  <c r="AL206" i="13"/>
  <c r="AL198" i="13"/>
  <c r="AL180" i="13"/>
  <c r="L87" i="40" s="1"/>
  <c r="AL195" i="13"/>
  <c r="L489" i="40" s="1"/>
  <c r="AL189" i="13"/>
  <c r="L326" i="40" s="1"/>
  <c r="AL193" i="13"/>
  <c r="L446" i="40" s="1"/>
  <c r="AL184" i="13"/>
  <c r="L203" i="40" s="1"/>
  <c r="AL168" i="13"/>
  <c r="AL167" i="13"/>
  <c r="AL182" i="13"/>
  <c r="L125" i="40" s="1"/>
  <c r="AL181" i="13"/>
  <c r="L124" i="40" s="1"/>
  <c r="AL177" i="13"/>
  <c r="L10" i="40" s="1"/>
  <c r="AL199" i="13"/>
  <c r="AL185" i="13"/>
  <c r="L204" i="40" s="1"/>
  <c r="AL164" i="13"/>
  <c r="AL190" i="13"/>
  <c r="L364" i="40" s="1"/>
  <c r="AL196" i="13"/>
  <c r="L490" i="40" s="1"/>
  <c r="AL183" i="13"/>
  <c r="L164" i="40" s="1"/>
  <c r="AL132" i="13"/>
  <c r="AL173" i="13"/>
  <c r="AL101" i="13"/>
  <c r="AL172" i="13"/>
  <c r="AL163" i="13"/>
  <c r="AL102" i="13"/>
  <c r="AL166" i="13"/>
  <c r="AL123" i="13"/>
  <c r="AL178" i="13"/>
  <c r="L47" i="40" s="1"/>
  <c r="AL188" i="13"/>
  <c r="L285" i="40" s="1"/>
  <c r="AL162" i="13"/>
  <c r="AL165" i="13"/>
  <c r="AL201" i="13"/>
  <c r="AL179" i="13"/>
  <c r="L48" i="40" s="1"/>
  <c r="AL197" i="13"/>
  <c r="AL205" i="13"/>
  <c r="AL203" i="13"/>
  <c r="AL174" i="13"/>
  <c r="AL176" i="13"/>
  <c r="AL169" i="13"/>
  <c r="AL171" i="13"/>
  <c r="AL100" i="13"/>
  <c r="AL204" i="13"/>
  <c r="AL129" i="13"/>
  <c r="AL127" i="13"/>
  <c r="AL104" i="13"/>
  <c r="AL170" i="13"/>
  <c r="AL125" i="13"/>
  <c r="AL99" i="13"/>
  <c r="AL175" i="13"/>
  <c r="AL103" i="13"/>
  <c r="AL207" i="13"/>
  <c r="AL293" i="13"/>
  <c r="AL126" i="13"/>
  <c r="AL105" i="13"/>
  <c r="AM4" i="13"/>
  <c r="C34" i="12"/>
  <c r="C12" i="12"/>
  <c r="Y375" i="5"/>
  <c r="C16" i="12"/>
  <c r="C22" i="12"/>
  <c r="E217" i="40" l="1"/>
  <c r="F257" i="40"/>
  <c r="E503" i="40"/>
  <c r="F222" i="40"/>
  <c r="F223" i="40" s="1"/>
  <c r="G219" i="40" s="1"/>
  <c r="G212" i="40" s="1"/>
  <c r="G214" i="40" s="1"/>
  <c r="G216" i="40" s="1"/>
  <c r="F465" i="40"/>
  <c r="F466" i="40" s="1"/>
  <c r="G462" i="40" s="1"/>
  <c r="G465" i="40" s="1"/>
  <c r="G466" i="40" s="1"/>
  <c r="H462" i="40" s="1"/>
  <c r="H465" i="40" s="1"/>
  <c r="H466" i="40" s="1"/>
  <c r="I462" i="40" s="1"/>
  <c r="I465" i="40" s="1"/>
  <c r="I466" i="40" s="1"/>
  <c r="J462" i="40" s="1"/>
  <c r="J465" i="40" s="1"/>
  <c r="J466" i="40" s="1"/>
  <c r="K462" i="40" s="1"/>
  <c r="K465" i="40" s="1"/>
  <c r="K466" i="40" s="1"/>
  <c r="L462" i="40" s="1"/>
  <c r="L465" i="40" s="1"/>
  <c r="L466" i="40" s="1"/>
  <c r="M462" i="40" s="1"/>
  <c r="M465" i="40" s="1"/>
  <c r="M466" i="40" s="1"/>
  <c r="N462" i="40" s="1"/>
  <c r="N465" i="40" s="1"/>
  <c r="N466" i="40" s="1"/>
  <c r="O462" i="40" s="1"/>
  <c r="O465" i="40" s="1"/>
  <c r="O466" i="40" s="1"/>
  <c r="P462" i="40" s="1"/>
  <c r="P465" i="40" s="1"/>
  <c r="P466" i="40" s="1"/>
  <c r="Q462" i="40" s="1"/>
  <c r="Q465" i="40" s="1"/>
  <c r="Q466" i="40" s="1"/>
  <c r="R462" i="40" s="1"/>
  <c r="R465" i="40" s="1"/>
  <c r="R466" i="40" s="1"/>
  <c r="S462" i="40" s="1"/>
  <c r="S465" i="40" s="1"/>
  <c r="S466" i="40" s="1"/>
  <c r="T462" i="40" s="1"/>
  <c r="T465" i="40" s="1"/>
  <c r="T466" i="40" s="1"/>
  <c r="U462" i="40" s="1"/>
  <c r="U465" i="40" s="1"/>
  <c r="U466" i="40" s="1"/>
  <c r="V462" i="40" s="1"/>
  <c r="V465" i="40" s="1"/>
  <c r="V466" i="40" s="1"/>
  <c r="W462" i="40" s="1"/>
  <c r="W465" i="40" s="1"/>
  <c r="W466" i="40" s="1"/>
  <c r="X462" i="40" s="1"/>
  <c r="X465" i="40" s="1"/>
  <c r="X466" i="40" s="1"/>
  <c r="AM59" i="13"/>
  <c r="AM65" i="13"/>
  <c r="AM62" i="13"/>
  <c r="AM74" i="13"/>
  <c r="AM61" i="13"/>
  <c r="AM64" i="13"/>
  <c r="AM70" i="13"/>
  <c r="AM58" i="13"/>
  <c r="AM60" i="13"/>
  <c r="AM63" i="13"/>
  <c r="AM66" i="13"/>
  <c r="AM76" i="13"/>
  <c r="AM72" i="13"/>
  <c r="AM45" i="13"/>
  <c r="AM71" i="13"/>
  <c r="AM67" i="13"/>
  <c r="AM68" i="13"/>
  <c r="AM73" i="13"/>
  <c r="AM75" i="13"/>
  <c r="AM77" i="13"/>
  <c r="AM69" i="13"/>
  <c r="G261" i="40"/>
  <c r="G262" i="40" s="1"/>
  <c r="H259" i="40" s="1"/>
  <c r="H261" i="40" s="1"/>
  <c r="H262" i="40" s="1"/>
  <c r="I259" i="40" s="1"/>
  <c r="I261" i="40" s="1"/>
  <c r="I262" i="40" s="1"/>
  <c r="J259" i="40" s="1"/>
  <c r="J261" i="40" s="1"/>
  <c r="J262" i="40" s="1"/>
  <c r="K259" i="40" s="1"/>
  <c r="K261" i="40" s="1"/>
  <c r="K262" i="40" s="1"/>
  <c r="L259" i="40" s="1"/>
  <c r="L261" i="40" s="1"/>
  <c r="L262" i="40" s="1"/>
  <c r="M259" i="40" s="1"/>
  <c r="M261" i="40" s="1"/>
  <c r="M262" i="40" s="1"/>
  <c r="N259" i="40" s="1"/>
  <c r="N261" i="40" s="1"/>
  <c r="N262" i="40" s="1"/>
  <c r="O259" i="40" s="1"/>
  <c r="O261" i="40" s="1"/>
  <c r="O262" i="40" s="1"/>
  <c r="P259" i="40" s="1"/>
  <c r="P261" i="40" s="1"/>
  <c r="P262" i="40" s="1"/>
  <c r="Q259" i="40" s="1"/>
  <c r="Q261" i="40" s="1"/>
  <c r="Q262" i="40" s="1"/>
  <c r="R259" i="40" s="1"/>
  <c r="R261" i="40" s="1"/>
  <c r="R262" i="40" s="1"/>
  <c r="S259" i="40" s="1"/>
  <c r="S261" i="40" s="1"/>
  <c r="S262" i="40" s="1"/>
  <c r="T259" i="40" s="1"/>
  <c r="T261" i="40" s="1"/>
  <c r="T262" i="40" s="1"/>
  <c r="U259" i="40" s="1"/>
  <c r="U261" i="40" s="1"/>
  <c r="U262" i="40" s="1"/>
  <c r="V259" i="40" s="1"/>
  <c r="V261" i="40" s="1"/>
  <c r="V262" i="40" s="1"/>
  <c r="W259" i="40" s="1"/>
  <c r="W261" i="40" s="1"/>
  <c r="W262" i="40" s="1"/>
  <c r="X259" i="40" s="1"/>
  <c r="X261" i="40" s="1"/>
  <c r="X262" i="40" s="1"/>
  <c r="L13" i="40"/>
  <c r="L15" i="40" s="1"/>
  <c r="G455" i="40"/>
  <c r="G457" i="40" s="1"/>
  <c r="G459" i="40" s="1"/>
  <c r="G460" i="40" s="1"/>
  <c r="F376" i="40"/>
  <c r="G371" i="40"/>
  <c r="G373" i="40" s="1"/>
  <c r="G375" i="40" s="1"/>
  <c r="G376" i="40" s="1"/>
  <c r="H371" i="40"/>
  <c r="H373" i="40" s="1"/>
  <c r="H375" i="40" s="1"/>
  <c r="H376" i="40" s="1"/>
  <c r="I371" i="40"/>
  <c r="I373" i="40" s="1"/>
  <c r="I375" i="40" s="1"/>
  <c r="I376" i="40" s="1"/>
  <c r="F508" i="40"/>
  <c r="F509" i="40" s="1"/>
  <c r="G505" i="40" s="1"/>
  <c r="G508" i="40" s="1"/>
  <c r="G509" i="40" s="1"/>
  <c r="H505" i="40" s="1"/>
  <c r="H508" i="40" s="1"/>
  <c r="H509" i="40" s="1"/>
  <c r="I505" i="40" s="1"/>
  <c r="I508" i="40" s="1"/>
  <c r="I509" i="40" s="1"/>
  <c r="J505" i="40" s="1"/>
  <c r="J508" i="40" s="1"/>
  <c r="J509" i="40" s="1"/>
  <c r="K505" i="40" s="1"/>
  <c r="K508" i="40" s="1"/>
  <c r="K509" i="40" s="1"/>
  <c r="L505" i="40" s="1"/>
  <c r="L508" i="40" s="1"/>
  <c r="L509" i="40" s="1"/>
  <c r="M505" i="40" s="1"/>
  <c r="M508" i="40" s="1"/>
  <c r="M509" i="40" s="1"/>
  <c r="N505" i="40" s="1"/>
  <c r="N508" i="40" s="1"/>
  <c r="N509" i="40" s="1"/>
  <c r="O505" i="40" s="1"/>
  <c r="O508" i="40" s="1"/>
  <c r="O509" i="40" s="1"/>
  <c r="P505" i="40" s="1"/>
  <c r="P508" i="40" s="1"/>
  <c r="P509" i="40" s="1"/>
  <c r="Q505" i="40" s="1"/>
  <c r="Q508" i="40" s="1"/>
  <c r="Q509" i="40" s="1"/>
  <c r="R505" i="40" s="1"/>
  <c r="R508" i="40" s="1"/>
  <c r="R509" i="40" s="1"/>
  <c r="S505" i="40" s="1"/>
  <c r="S508" i="40" s="1"/>
  <c r="S509" i="40" s="1"/>
  <c r="T505" i="40" s="1"/>
  <c r="T508" i="40" s="1"/>
  <c r="T509" i="40" s="1"/>
  <c r="U505" i="40" s="1"/>
  <c r="U508" i="40" s="1"/>
  <c r="U509" i="40" s="1"/>
  <c r="V505" i="40" s="1"/>
  <c r="V508" i="40" s="1"/>
  <c r="V509" i="40" s="1"/>
  <c r="W505" i="40" s="1"/>
  <c r="W508" i="40" s="1"/>
  <c r="W509" i="40" s="1"/>
  <c r="X505" i="40" s="1"/>
  <c r="X508" i="40" s="1"/>
  <c r="X509" i="40" s="1"/>
  <c r="E60" i="40"/>
  <c r="F65" i="40"/>
  <c r="F142" i="40"/>
  <c r="F143" i="40" s="1"/>
  <c r="G139" i="40" s="1"/>
  <c r="G132" i="40" s="1"/>
  <c r="G134" i="40" s="1"/>
  <c r="G136" i="40" s="1"/>
  <c r="I25" i="40"/>
  <c r="I26" i="40" s="1"/>
  <c r="J23" i="40" s="1"/>
  <c r="I16" i="40"/>
  <c r="I18" i="40" s="1"/>
  <c r="I20" i="40" s="1"/>
  <c r="I21" i="40" s="1"/>
  <c r="J267" i="40"/>
  <c r="J248" i="40"/>
  <c r="J249" i="40" s="1"/>
  <c r="J251" i="40" s="1"/>
  <c r="H21" i="40"/>
  <c r="I207" i="40"/>
  <c r="I208" i="40" s="1"/>
  <c r="I211" i="40" s="1"/>
  <c r="I229" i="40"/>
  <c r="E298" i="40"/>
  <c r="J386" i="40"/>
  <c r="J367" i="40"/>
  <c r="J368" i="40" s="1"/>
  <c r="J370" i="40" s="1"/>
  <c r="J371" i="40" s="1"/>
  <c r="J373" i="40" s="1"/>
  <c r="J375" i="40" s="1"/>
  <c r="J376" i="40" s="1"/>
  <c r="I472" i="40"/>
  <c r="I450" i="40"/>
  <c r="I451" i="40" s="1"/>
  <c r="I454" i="40" s="1"/>
  <c r="L90" i="40"/>
  <c r="L92" i="40" s="1"/>
  <c r="H93" i="40"/>
  <c r="H95" i="40" s="1"/>
  <c r="H97" i="40" s="1"/>
  <c r="H102" i="40"/>
  <c r="H103" i="40" s="1"/>
  <c r="I100" i="40" s="1"/>
  <c r="G222" i="40"/>
  <c r="G223" i="40" s="1"/>
  <c r="H219" i="40" s="1"/>
  <c r="H222" i="40" s="1"/>
  <c r="H223" i="40" s="1"/>
  <c r="I219" i="40" s="1"/>
  <c r="I222" i="40" s="1"/>
  <c r="I223" i="40" s="1"/>
  <c r="J219" i="40" s="1"/>
  <c r="J222" i="40" s="1"/>
  <c r="J223" i="40" s="1"/>
  <c r="K219" i="40" s="1"/>
  <c r="K222" i="40" s="1"/>
  <c r="K223" i="40" s="1"/>
  <c r="L219" i="40" s="1"/>
  <c r="L222" i="40" s="1"/>
  <c r="L223" i="40" s="1"/>
  <c r="M219" i="40" s="1"/>
  <c r="M222" i="40" s="1"/>
  <c r="M223" i="40" s="1"/>
  <c r="N219" i="40" s="1"/>
  <c r="N222" i="40" s="1"/>
  <c r="N223" i="40" s="1"/>
  <c r="O219" i="40" s="1"/>
  <c r="O222" i="40" s="1"/>
  <c r="O223" i="40" s="1"/>
  <c r="P219" i="40" s="1"/>
  <c r="P222" i="40" s="1"/>
  <c r="P223" i="40" s="1"/>
  <c r="Q219" i="40" s="1"/>
  <c r="Q222" i="40" s="1"/>
  <c r="Q223" i="40" s="1"/>
  <c r="R219" i="40" s="1"/>
  <c r="R222" i="40" s="1"/>
  <c r="R223" i="40" s="1"/>
  <c r="S219" i="40" s="1"/>
  <c r="S222" i="40" s="1"/>
  <c r="S223" i="40" s="1"/>
  <c r="T219" i="40" s="1"/>
  <c r="T222" i="40" s="1"/>
  <c r="T223" i="40" s="1"/>
  <c r="U219" i="40" s="1"/>
  <c r="U222" i="40" s="1"/>
  <c r="U223" i="40" s="1"/>
  <c r="V219" i="40" s="1"/>
  <c r="V222" i="40" s="1"/>
  <c r="V223" i="40" s="1"/>
  <c r="W219" i="40" s="1"/>
  <c r="W222" i="40" s="1"/>
  <c r="W223" i="40" s="1"/>
  <c r="X219" i="40" s="1"/>
  <c r="X222" i="40" s="1"/>
  <c r="X223" i="40" s="1"/>
  <c r="E137" i="40"/>
  <c r="G98" i="40"/>
  <c r="H417" i="40"/>
  <c r="I429" i="40"/>
  <c r="I407" i="40"/>
  <c r="I408" i="40" s="1"/>
  <c r="I411" i="40" s="1"/>
  <c r="I412" i="40" s="1"/>
  <c r="I414" i="40" s="1"/>
  <c r="I416" i="40" s="1"/>
  <c r="I417" i="40" s="1"/>
  <c r="F303" i="40"/>
  <c r="F304" i="40" s="1"/>
  <c r="G300" i="40" s="1"/>
  <c r="J348" i="40"/>
  <c r="J329" i="40"/>
  <c r="J330" i="40" s="1"/>
  <c r="J332" i="40" s="1"/>
  <c r="J333" i="40" s="1"/>
  <c r="J335" i="40" s="1"/>
  <c r="J337" i="40" s="1"/>
  <c r="J338" i="40" s="1"/>
  <c r="I288" i="40"/>
  <c r="I289" i="40" s="1"/>
  <c r="I292" i="40" s="1"/>
  <c r="I310" i="40"/>
  <c r="J186" i="40"/>
  <c r="J167" i="40"/>
  <c r="J168" i="40" s="1"/>
  <c r="J170" i="40" s="1"/>
  <c r="J171" i="40" s="1"/>
  <c r="J173" i="40" s="1"/>
  <c r="J175" i="40" s="1"/>
  <c r="I515" i="40"/>
  <c r="I493" i="40"/>
  <c r="I494" i="40" s="1"/>
  <c r="I497" i="40" s="1"/>
  <c r="L51" i="40"/>
  <c r="L54" i="40" s="1"/>
  <c r="L128" i="40"/>
  <c r="L131" i="40" s="1"/>
  <c r="F217" i="40"/>
  <c r="D225" i="5"/>
  <c r="Q225" i="5" s="1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W379" i="13"/>
  <c r="X379" i="13"/>
  <c r="Y379" i="13"/>
  <c r="Z379" i="13"/>
  <c r="AA379" i="13"/>
  <c r="AB379" i="13"/>
  <c r="AC379" i="13"/>
  <c r="AD379" i="13"/>
  <c r="AE379" i="13"/>
  <c r="D68" i="5"/>
  <c r="N68" i="5" s="1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W373" i="13"/>
  <c r="X373" i="13"/>
  <c r="Y373" i="13"/>
  <c r="Z373" i="13"/>
  <c r="AA373" i="13"/>
  <c r="AB373" i="13"/>
  <c r="AC373" i="13"/>
  <c r="AD373" i="13"/>
  <c r="AE373" i="13"/>
  <c r="D468" i="5"/>
  <c r="E468" i="5" s="1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W388" i="13"/>
  <c r="X388" i="13"/>
  <c r="Y388" i="13"/>
  <c r="Z388" i="13"/>
  <c r="AA388" i="13"/>
  <c r="AB388" i="13"/>
  <c r="AC388" i="13"/>
  <c r="AD388" i="13"/>
  <c r="AE388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Y401" i="13"/>
  <c r="Z401" i="13"/>
  <c r="AA401" i="13"/>
  <c r="AB401" i="13"/>
  <c r="AC401" i="13"/>
  <c r="AD401" i="13"/>
  <c r="AE401" i="13"/>
  <c r="V23" i="26"/>
  <c r="W18" i="26"/>
  <c r="W20" i="26" s="1"/>
  <c r="W22" i="26" s="1"/>
  <c r="W27" i="26"/>
  <c r="W28" i="26" s="1"/>
  <c r="X25" i="26" s="1"/>
  <c r="T66" i="26"/>
  <c r="T67" i="26" s="1"/>
  <c r="U64" i="26" s="1"/>
  <c r="T57" i="26"/>
  <c r="T59" i="26" s="1"/>
  <c r="T61" i="26" s="1"/>
  <c r="S62" i="26"/>
  <c r="AM309" i="13"/>
  <c r="AM312" i="13"/>
  <c r="AM315" i="13"/>
  <c r="AM302" i="13"/>
  <c r="AM305" i="13"/>
  <c r="AM308" i="13"/>
  <c r="AM311" i="13"/>
  <c r="AM314" i="13"/>
  <c r="AM301" i="13"/>
  <c r="AM304" i="13"/>
  <c r="AM307" i="13"/>
  <c r="AM310" i="13"/>
  <c r="AM313" i="13"/>
  <c r="AM297" i="13"/>
  <c r="AM316" i="13"/>
  <c r="AM300" i="13"/>
  <c r="AM306" i="13"/>
  <c r="AM295" i="13"/>
  <c r="AM288" i="13"/>
  <c r="AM298" i="13"/>
  <c r="AM291" i="13"/>
  <c r="AM289" i="13"/>
  <c r="AM287" i="13"/>
  <c r="AM294" i="13"/>
  <c r="AM285" i="13"/>
  <c r="AM280" i="13"/>
  <c r="AM290" i="13"/>
  <c r="AM283" i="13"/>
  <c r="AM281" i="13"/>
  <c r="AM299" i="13"/>
  <c r="AM286" i="13"/>
  <c r="AM303" i="13"/>
  <c r="AM284" i="13"/>
  <c r="AM282" i="13"/>
  <c r="AM292" i="13"/>
  <c r="AM279" i="13"/>
  <c r="AM296" i="13"/>
  <c r="AM278" i="13"/>
  <c r="AM115" i="13"/>
  <c r="M365" i="40" s="1"/>
  <c r="AM128" i="13"/>
  <c r="AM121" i="13"/>
  <c r="AM106" i="13"/>
  <c r="M11" i="40" s="1"/>
  <c r="AM117" i="13"/>
  <c r="M448" i="40" s="1"/>
  <c r="AM96" i="13"/>
  <c r="AM124" i="13"/>
  <c r="AM114" i="13"/>
  <c r="M327" i="40" s="1"/>
  <c r="AM119" i="13"/>
  <c r="AM116" i="13"/>
  <c r="M405" i="40" s="1"/>
  <c r="AM95" i="13"/>
  <c r="AM122" i="13"/>
  <c r="AM110" i="13"/>
  <c r="M165" i="40" s="1"/>
  <c r="AM118" i="13"/>
  <c r="M491" i="40" s="1"/>
  <c r="AM97" i="13"/>
  <c r="AM94" i="13"/>
  <c r="AM93" i="13"/>
  <c r="AM91" i="13"/>
  <c r="AM98" i="13"/>
  <c r="AM92" i="13"/>
  <c r="AM107" i="13"/>
  <c r="M49" i="40" s="1"/>
  <c r="AM111" i="13"/>
  <c r="M205" i="40" s="1"/>
  <c r="AM112" i="13"/>
  <c r="M246" i="40" s="1"/>
  <c r="AM109" i="13"/>
  <c r="M126" i="40" s="1"/>
  <c r="AM120" i="13"/>
  <c r="AM108" i="13"/>
  <c r="M88" i="40" s="1"/>
  <c r="AM113" i="13"/>
  <c r="M286" i="40" s="1"/>
  <c r="AM198" i="13"/>
  <c r="AM190" i="13"/>
  <c r="M364" i="40" s="1"/>
  <c r="AM206" i="13"/>
  <c r="AM197" i="13"/>
  <c r="AM189" i="13"/>
  <c r="M326" i="40" s="1"/>
  <c r="AM202" i="13"/>
  <c r="AM194" i="13"/>
  <c r="M447" i="40" s="1"/>
  <c r="AM186" i="13"/>
  <c r="M245" i="40" s="1"/>
  <c r="AM196" i="13"/>
  <c r="M490" i="40" s="1"/>
  <c r="AM188" i="13"/>
  <c r="M285" i="40" s="1"/>
  <c r="AM180" i="13"/>
  <c r="M87" i="40" s="1"/>
  <c r="AM195" i="13"/>
  <c r="M489" i="40" s="1"/>
  <c r="AM177" i="13"/>
  <c r="M10" i="40" s="1"/>
  <c r="AM193" i="13"/>
  <c r="M446" i="40" s="1"/>
  <c r="AM184" i="13"/>
  <c r="M203" i="40" s="1"/>
  <c r="AM199" i="13"/>
  <c r="AM200" i="13"/>
  <c r="AM191" i="13"/>
  <c r="M403" i="40" s="1"/>
  <c r="AM182" i="13"/>
  <c r="M125" i="40" s="1"/>
  <c r="AM181" i="13"/>
  <c r="M124" i="40" s="1"/>
  <c r="AM183" i="13"/>
  <c r="M164" i="40" s="1"/>
  <c r="AM179" i="13"/>
  <c r="M48" i="40" s="1"/>
  <c r="AM178" i="13"/>
  <c r="M47" i="40" s="1"/>
  <c r="AM165" i="13"/>
  <c r="AM164" i="13"/>
  <c r="AM172" i="13"/>
  <c r="AM187" i="13"/>
  <c r="M284" i="40" s="1"/>
  <c r="AM185" i="13"/>
  <c r="M204" i="40" s="1"/>
  <c r="AM171" i="13"/>
  <c r="AM100" i="13"/>
  <c r="AM162" i="13"/>
  <c r="AM166" i="13"/>
  <c r="AM101" i="13"/>
  <c r="AM192" i="13"/>
  <c r="M404" i="40" s="1"/>
  <c r="AM201" i="13"/>
  <c r="AM132" i="13"/>
  <c r="AM173" i="13"/>
  <c r="AM163" i="13"/>
  <c r="AM293" i="13"/>
  <c r="AM205" i="13"/>
  <c r="AM167" i="13"/>
  <c r="AM102" i="13"/>
  <c r="AM127" i="13"/>
  <c r="AM105" i="13"/>
  <c r="AM174" i="13"/>
  <c r="AM125" i="13"/>
  <c r="AM103" i="13"/>
  <c r="AM204" i="13"/>
  <c r="AM169" i="13"/>
  <c r="AM170" i="13"/>
  <c r="AM203" i="13"/>
  <c r="AM123" i="13"/>
  <c r="AM168" i="13"/>
  <c r="AM99" i="13"/>
  <c r="AM129" i="13"/>
  <c r="AM175" i="13"/>
  <c r="AM207" i="13"/>
  <c r="AM126" i="13"/>
  <c r="AM104" i="13"/>
  <c r="AM176" i="13"/>
  <c r="AN4" i="13"/>
  <c r="C18" i="12"/>
  <c r="C14" i="12"/>
  <c r="C23" i="12"/>
  <c r="C21" i="12"/>
  <c r="M13" i="40" l="1"/>
  <c r="M15" i="40" s="1"/>
  <c r="G257" i="40"/>
  <c r="I455" i="40"/>
  <c r="I457" i="40" s="1"/>
  <c r="I459" i="40" s="1"/>
  <c r="I460" i="40" s="1"/>
  <c r="F460" i="40"/>
  <c r="J252" i="40"/>
  <c r="J254" i="40" s="1"/>
  <c r="J256" i="40" s="1"/>
  <c r="J257" i="40" s="1"/>
  <c r="H455" i="40"/>
  <c r="H457" i="40" s="1"/>
  <c r="H459" i="40" s="1"/>
  <c r="H460" i="40" s="1"/>
  <c r="AN62" i="13"/>
  <c r="AN65" i="13"/>
  <c r="AN61" i="13"/>
  <c r="AN64" i="13"/>
  <c r="AN59" i="13"/>
  <c r="AN60" i="13"/>
  <c r="AN58" i="13"/>
  <c r="AN63" i="13"/>
  <c r="AN66" i="13"/>
  <c r="AN70" i="13"/>
  <c r="AN71" i="13"/>
  <c r="AN72" i="13"/>
  <c r="AN76" i="13"/>
  <c r="AN45" i="13"/>
  <c r="AN67" i="13"/>
  <c r="AN74" i="13"/>
  <c r="AN68" i="13"/>
  <c r="AN73" i="13"/>
  <c r="AN75" i="13"/>
  <c r="AN77" i="13"/>
  <c r="AN69" i="13"/>
  <c r="I252" i="40"/>
  <c r="I254" i="40" s="1"/>
  <c r="I256" i="40" s="1"/>
  <c r="I257" i="40" s="1"/>
  <c r="H252" i="40"/>
  <c r="H254" i="40" s="1"/>
  <c r="H256" i="40" s="1"/>
  <c r="H257" i="40" s="1"/>
  <c r="F503" i="40"/>
  <c r="I498" i="40"/>
  <c r="I500" i="40" s="1"/>
  <c r="I502" i="40" s="1"/>
  <c r="I503" i="40" s="1"/>
  <c r="G142" i="40"/>
  <c r="G143" i="40" s="1"/>
  <c r="H139" i="40" s="1"/>
  <c r="H132" i="40" s="1"/>
  <c r="H134" i="40" s="1"/>
  <c r="H136" i="40" s="1"/>
  <c r="D59" i="5"/>
  <c r="E72" i="5" s="1"/>
  <c r="E73" i="5" s="1"/>
  <c r="H498" i="40"/>
  <c r="H500" i="40" s="1"/>
  <c r="H502" i="40" s="1"/>
  <c r="H503" i="40" s="1"/>
  <c r="G498" i="40"/>
  <c r="G500" i="40" s="1"/>
  <c r="G502" i="40" s="1"/>
  <c r="G503" i="40" s="1"/>
  <c r="H98" i="40"/>
  <c r="D459" i="5"/>
  <c r="E456" i="5" s="1"/>
  <c r="D476" i="5" s="1"/>
  <c r="F137" i="40"/>
  <c r="R468" i="5"/>
  <c r="F66" i="40"/>
  <c r="G62" i="40" s="1"/>
  <c r="F60" i="40"/>
  <c r="G225" i="5"/>
  <c r="N225" i="5"/>
  <c r="M51" i="40"/>
  <c r="M54" i="40" s="1"/>
  <c r="N468" i="5"/>
  <c r="F468" i="5"/>
  <c r="M468" i="5"/>
  <c r="O225" i="5"/>
  <c r="R225" i="5"/>
  <c r="S225" i="5"/>
  <c r="T225" i="5"/>
  <c r="F225" i="5"/>
  <c r="V225" i="5"/>
  <c r="V468" i="5"/>
  <c r="W225" i="5"/>
  <c r="G468" i="5"/>
  <c r="H225" i="5"/>
  <c r="W468" i="5"/>
  <c r="X225" i="5"/>
  <c r="I225" i="5"/>
  <c r="J225" i="5"/>
  <c r="K225" i="5"/>
  <c r="U225" i="5"/>
  <c r="L225" i="5"/>
  <c r="M225" i="5"/>
  <c r="E225" i="5"/>
  <c r="F298" i="40"/>
  <c r="P225" i="5"/>
  <c r="J229" i="40"/>
  <c r="J207" i="40"/>
  <c r="J208" i="40" s="1"/>
  <c r="J211" i="40" s="1"/>
  <c r="J212" i="40" s="1"/>
  <c r="J214" i="40" s="1"/>
  <c r="J216" i="40" s="1"/>
  <c r="J217" i="40" s="1"/>
  <c r="I212" i="40"/>
  <c r="I214" i="40" s="1"/>
  <c r="I216" i="40" s="1"/>
  <c r="I217" i="40" s="1"/>
  <c r="I102" i="40"/>
  <c r="I103" i="40" s="1"/>
  <c r="J100" i="40" s="1"/>
  <c r="I93" i="40"/>
  <c r="I95" i="40" s="1"/>
  <c r="I97" i="40" s="1"/>
  <c r="H212" i="40"/>
  <c r="H214" i="40" s="1"/>
  <c r="H216" i="40" s="1"/>
  <c r="K348" i="40"/>
  <c r="K329" i="40"/>
  <c r="K330" i="40" s="1"/>
  <c r="K332" i="40" s="1"/>
  <c r="K333" i="40" s="1"/>
  <c r="K335" i="40" s="1"/>
  <c r="K337" i="40" s="1"/>
  <c r="K338" i="40" s="1"/>
  <c r="M128" i="40"/>
  <c r="M131" i="40" s="1"/>
  <c r="G303" i="40"/>
  <c r="G304" i="40" s="1"/>
  <c r="H300" i="40" s="1"/>
  <c r="G293" i="40"/>
  <c r="G295" i="40" s="1"/>
  <c r="G297" i="40" s="1"/>
  <c r="J493" i="40"/>
  <c r="J494" i="40" s="1"/>
  <c r="J497" i="40" s="1"/>
  <c r="J498" i="40" s="1"/>
  <c r="J500" i="40" s="1"/>
  <c r="J502" i="40" s="1"/>
  <c r="J503" i="40" s="1"/>
  <c r="J515" i="40"/>
  <c r="J407" i="40"/>
  <c r="J408" i="40" s="1"/>
  <c r="J411" i="40" s="1"/>
  <c r="J412" i="40" s="1"/>
  <c r="J414" i="40" s="1"/>
  <c r="J416" i="40" s="1"/>
  <c r="J417" i="40" s="1"/>
  <c r="J429" i="40"/>
  <c r="K267" i="40"/>
  <c r="K248" i="40"/>
  <c r="K249" i="40" s="1"/>
  <c r="K251" i="40" s="1"/>
  <c r="K252" i="40" s="1"/>
  <c r="K254" i="40" s="1"/>
  <c r="K256" i="40" s="1"/>
  <c r="J176" i="40"/>
  <c r="J472" i="40"/>
  <c r="J450" i="40"/>
  <c r="J451" i="40" s="1"/>
  <c r="J454" i="40" s="1"/>
  <c r="J455" i="40" s="1"/>
  <c r="J457" i="40" s="1"/>
  <c r="J459" i="40" s="1"/>
  <c r="K167" i="40"/>
  <c r="K168" i="40" s="1"/>
  <c r="K170" i="40" s="1"/>
  <c r="K171" i="40" s="1"/>
  <c r="K173" i="40" s="1"/>
  <c r="K175" i="40" s="1"/>
  <c r="K176" i="40" s="1"/>
  <c r="K186" i="40"/>
  <c r="J25" i="40"/>
  <c r="J26" i="40" s="1"/>
  <c r="K23" i="40" s="1"/>
  <c r="J16" i="40"/>
  <c r="J18" i="40" s="1"/>
  <c r="J20" i="40" s="1"/>
  <c r="K367" i="40"/>
  <c r="K368" i="40" s="1"/>
  <c r="K370" i="40" s="1"/>
  <c r="K371" i="40" s="1"/>
  <c r="K373" i="40" s="1"/>
  <c r="K375" i="40" s="1"/>
  <c r="K386" i="40"/>
  <c r="J288" i="40"/>
  <c r="J289" i="40" s="1"/>
  <c r="J292" i="40" s="1"/>
  <c r="J310" i="40"/>
  <c r="M90" i="40"/>
  <c r="M92" i="40" s="1"/>
  <c r="G217" i="40"/>
  <c r="W68" i="5"/>
  <c r="H468" i="5"/>
  <c r="X468" i="5"/>
  <c r="I468" i="5"/>
  <c r="G68" i="5"/>
  <c r="U68" i="5"/>
  <c r="O68" i="5"/>
  <c r="P68" i="5"/>
  <c r="Q68" i="5"/>
  <c r="S68" i="5"/>
  <c r="T68" i="5"/>
  <c r="J468" i="5"/>
  <c r="K468" i="5"/>
  <c r="O468" i="5"/>
  <c r="L468" i="5"/>
  <c r="P468" i="5"/>
  <c r="Q468" i="5"/>
  <c r="R68" i="5"/>
  <c r="F68" i="5"/>
  <c r="T468" i="5"/>
  <c r="V68" i="5"/>
  <c r="U468" i="5"/>
  <c r="H68" i="5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Y390" i="13"/>
  <c r="Z390" i="13"/>
  <c r="AA390" i="13"/>
  <c r="AB390" i="13"/>
  <c r="AC390" i="13"/>
  <c r="AD390" i="13"/>
  <c r="AE390" i="13"/>
  <c r="X68" i="5"/>
  <c r="I68" i="5"/>
  <c r="J68" i="5"/>
  <c r="D425" i="5"/>
  <c r="P425" i="5" s="1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Y386" i="13"/>
  <c r="Z386" i="13"/>
  <c r="AA386" i="13"/>
  <c r="AB386" i="13"/>
  <c r="AC386" i="13"/>
  <c r="AD386" i="13"/>
  <c r="AE38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W376" i="13"/>
  <c r="X376" i="13"/>
  <c r="Y376" i="13"/>
  <c r="Z376" i="13"/>
  <c r="AA376" i="13"/>
  <c r="AB376" i="13"/>
  <c r="AC376" i="13"/>
  <c r="AD376" i="13"/>
  <c r="AE376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Y382" i="13"/>
  <c r="Z382" i="13"/>
  <c r="AA382" i="13"/>
  <c r="AB382" i="13"/>
  <c r="AC382" i="13"/>
  <c r="AD382" i="13"/>
  <c r="AE382" i="13"/>
  <c r="K68" i="5"/>
  <c r="L68" i="5"/>
  <c r="S468" i="5"/>
  <c r="M68" i="5"/>
  <c r="E68" i="5"/>
  <c r="T62" i="26"/>
  <c r="X27" i="26"/>
  <c r="X28" i="26" s="1"/>
  <c r="X18" i="26"/>
  <c r="X20" i="26" s="1"/>
  <c r="X22" i="26" s="1"/>
  <c r="W23" i="26"/>
  <c r="U66" i="26"/>
  <c r="U67" i="26" s="1"/>
  <c r="V64" i="26" s="1"/>
  <c r="U57" i="26"/>
  <c r="U59" i="26" s="1"/>
  <c r="U61" i="26" s="1"/>
  <c r="AN309" i="13"/>
  <c r="AN312" i="13"/>
  <c r="AN315" i="13"/>
  <c r="AN305" i="13"/>
  <c r="AN308" i="13"/>
  <c r="AN311" i="13"/>
  <c r="AN314" i="13"/>
  <c r="AN304" i="13"/>
  <c r="AN307" i="13"/>
  <c r="AN310" i="13"/>
  <c r="AN313" i="13"/>
  <c r="AN316" i="13"/>
  <c r="AN300" i="13"/>
  <c r="AN303" i="13"/>
  <c r="AN297" i="13"/>
  <c r="AN296" i="13"/>
  <c r="AN286" i="13"/>
  <c r="AN298" i="13"/>
  <c r="AN291" i="13"/>
  <c r="AN294" i="13"/>
  <c r="AN306" i="13"/>
  <c r="AN285" i="13"/>
  <c r="AN299" i="13"/>
  <c r="AN280" i="13"/>
  <c r="AN287" i="13"/>
  <c r="AN282" i="13"/>
  <c r="AN290" i="13"/>
  <c r="AN283" i="13"/>
  <c r="AN284" i="13"/>
  <c r="AN281" i="13"/>
  <c r="AN279" i="13"/>
  <c r="AN292" i="13"/>
  <c r="AN301" i="13"/>
  <c r="AN302" i="13"/>
  <c r="AN295" i="13"/>
  <c r="AN288" i="13"/>
  <c r="AN289" i="13"/>
  <c r="AN278" i="13"/>
  <c r="AN115" i="13"/>
  <c r="N365" i="40" s="1"/>
  <c r="AN128" i="13"/>
  <c r="AN121" i="13"/>
  <c r="AN117" i="13"/>
  <c r="N448" i="40" s="1"/>
  <c r="AN124" i="13"/>
  <c r="AN114" i="13"/>
  <c r="N327" i="40" s="1"/>
  <c r="AN119" i="13"/>
  <c r="AN98" i="13"/>
  <c r="AN116" i="13"/>
  <c r="N405" i="40" s="1"/>
  <c r="AN122" i="13"/>
  <c r="AN110" i="13"/>
  <c r="N165" i="40" s="1"/>
  <c r="AN95" i="13"/>
  <c r="AN94" i="13"/>
  <c r="AN118" i="13"/>
  <c r="N491" i="40" s="1"/>
  <c r="AN91" i="13"/>
  <c r="AN97" i="13"/>
  <c r="AN96" i="13"/>
  <c r="AN93" i="13"/>
  <c r="AN106" i="13"/>
  <c r="N11" i="40" s="1"/>
  <c r="AN92" i="13"/>
  <c r="AN108" i="13"/>
  <c r="N88" i="40" s="1"/>
  <c r="AN112" i="13"/>
  <c r="N246" i="40" s="1"/>
  <c r="AN111" i="13"/>
  <c r="N205" i="40" s="1"/>
  <c r="AN107" i="13"/>
  <c r="N49" i="40" s="1"/>
  <c r="AN120" i="13"/>
  <c r="AN109" i="13"/>
  <c r="N126" i="40" s="1"/>
  <c r="AN113" i="13"/>
  <c r="N286" i="40" s="1"/>
  <c r="AN197" i="13"/>
  <c r="AN189" i="13"/>
  <c r="N326" i="40" s="1"/>
  <c r="AN199" i="13"/>
  <c r="AN191" i="13"/>
  <c r="N403" i="40" s="1"/>
  <c r="AN201" i="13"/>
  <c r="AN206" i="13"/>
  <c r="AN198" i="13"/>
  <c r="AN195" i="13"/>
  <c r="N489" i="40" s="1"/>
  <c r="AN177" i="13"/>
  <c r="N10" i="40" s="1"/>
  <c r="AN200" i="13"/>
  <c r="AN188" i="13"/>
  <c r="N285" i="40" s="1"/>
  <c r="AN181" i="13"/>
  <c r="N124" i="40" s="1"/>
  <c r="AN184" i="13"/>
  <c r="N203" i="40" s="1"/>
  <c r="AN183" i="13"/>
  <c r="N164" i="40" s="1"/>
  <c r="AN179" i="13"/>
  <c r="N48" i="40" s="1"/>
  <c r="AN178" i="13"/>
  <c r="N47" i="40" s="1"/>
  <c r="AN180" i="13"/>
  <c r="N87" i="40" s="1"/>
  <c r="AN196" i="13"/>
  <c r="N490" i="40" s="1"/>
  <c r="AN172" i="13"/>
  <c r="AN186" i="13"/>
  <c r="N245" i="40" s="1"/>
  <c r="AN202" i="13"/>
  <c r="AN173" i="13"/>
  <c r="AN194" i="13"/>
  <c r="N447" i="40" s="1"/>
  <c r="AN192" i="13"/>
  <c r="N404" i="40" s="1"/>
  <c r="AN182" i="13"/>
  <c r="N125" i="40" s="1"/>
  <c r="AN101" i="13"/>
  <c r="AN164" i="13"/>
  <c r="AN163" i="13"/>
  <c r="AN102" i="13"/>
  <c r="AN168" i="13"/>
  <c r="AN166" i="13"/>
  <c r="AN123" i="13"/>
  <c r="AN162" i="13"/>
  <c r="AN185" i="13"/>
  <c r="N204" i="40" s="1"/>
  <c r="AN165" i="13"/>
  <c r="AN167" i="13"/>
  <c r="AN132" i="13"/>
  <c r="AN193" i="13"/>
  <c r="N446" i="40" s="1"/>
  <c r="AN190" i="13"/>
  <c r="N364" i="40" s="1"/>
  <c r="AN187" i="13"/>
  <c r="N284" i="40" s="1"/>
  <c r="AN171" i="13"/>
  <c r="AN100" i="13"/>
  <c r="AN205" i="13"/>
  <c r="AN176" i="13"/>
  <c r="AN170" i="13"/>
  <c r="AN293" i="13"/>
  <c r="AN203" i="13"/>
  <c r="AN207" i="13"/>
  <c r="AN104" i="13"/>
  <c r="AN175" i="13"/>
  <c r="AN204" i="13"/>
  <c r="AN169" i="13"/>
  <c r="AN126" i="13"/>
  <c r="AN129" i="13"/>
  <c r="AN125" i="13"/>
  <c r="AN103" i="13"/>
  <c r="AN99" i="13"/>
  <c r="AN174" i="13"/>
  <c r="AN127" i="13"/>
  <c r="AN105" i="13"/>
  <c r="AO4" i="13"/>
  <c r="D511" i="5"/>
  <c r="D145" i="5"/>
  <c r="D306" i="5"/>
  <c r="E473" i="5"/>
  <c r="E474" i="5" s="1"/>
  <c r="N473" i="5"/>
  <c r="N474" i="5" s="1"/>
  <c r="O32" i="5"/>
  <c r="H32" i="5"/>
  <c r="Y20" i="5"/>
  <c r="V32" i="5"/>
  <c r="P32" i="5"/>
  <c r="I32" i="5"/>
  <c r="J32" i="5"/>
  <c r="S32" i="5"/>
  <c r="M32" i="5"/>
  <c r="X32" i="5"/>
  <c r="N32" i="5"/>
  <c r="K32" i="5"/>
  <c r="E32" i="5"/>
  <c r="F32" i="5"/>
  <c r="G32" i="5"/>
  <c r="R32" i="5"/>
  <c r="W32" i="5"/>
  <c r="U32" i="5"/>
  <c r="Q32" i="5"/>
  <c r="T32" i="5"/>
  <c r="L32" i="5"/>
  <c r="D216" i="5"/>
  <c r="E213" i="5" s="1"/>
  <c r="E470" i="5"/>
  <c r="H72" i="5" l="1"/>
  <c r="G137" i="40"/>
  <c r="E471" i="5"/>
  <c r="F473" i="5"/>
  <c r="F474" i="5" s="1"/>
  <c r="Y459" i="5"/>
  <c r="Y472" i="5" s="1"/>
  <c r="G473" i="5"/>
  <c r="G474" i="5" s="1"/>
  <c r="H473" i="5"/>
  <c r="H474" i="5" s="1"/>
  <c r="D472" i="5"/>
  <c r="E450" i="5" s="1"/>
  <c r="D479" i="5"/>
  <c r="I473" i="5"/>
  <c r="I474" i="5" s="1"/>
  <c r="L473" i="5"/>
  <c r="L474" i="5" s="1"/>
  <c r="M473" i="5"/>
  <c r="M474" i="5" s="1"/>
  <c r="D78" i="5"/>
  <c r="E56" i="5"/>
  <c r="J72" i="5"/>
  <c r="K72" i="5"/>
  <c r="L72" i="5"/>
  <c r="I72" i="5"/>
  <c r="M72" i="5"/>
  <c r="N72" i="5"/>
  <c r="AO65" i="13"/>
  <c r="AO63" i="13"/>
  <c r="AO62" i="13"/>
  <c r="AO58" i="13"/>
  <c r="AO60" i="13"/>
  <c r="AO64" i="13"/>
  <c r="AO66" i="13"/>
  <c r="AO59" i="13"/>
  <c r="AO61" i="13"/>
  <c r="AO70" i="13"/>
  <c r="AO71" i="13"/>
  <c r="AO67" i="13"/>
  <c r="AO76" i="13"/>
  <c r="AO72" i="13"/>
  <c r="AO74" i="13"/>
  <c r="AO45" i="13"/>
  <c r="AO68" i="13"/>
  <c r="AO73" i="13"/>
  <c r="AO75" i="13"/>
  <c r="AO77" i="13"/>
  <c r="AO69" i="13"/>
  <c r="G72" i="5"/>
  <c r="F72" i="5"/>
  <c r="F73" i="5" s="1"/>
  <c r="H142" i="40"/>
  <c r="H143" i="40" s="1"/>
  <c r="I139" i="40" s="1"/>
  <c r="I132" i="40" s="1"/>
  <c r="I134" i="40" s="1"/>
  <c r="I136" i="40" s="1"/>
  <c r="J473" i="5"/>
  <c r="J474" i="5" s="1"/>
  <c r="K473" i="5"/>
  <c r="K474" i="5" s="1"/>
  <c r="I470" i="5"/>
  <c r="I471" i="5" s="1"/>
  <c r="H470" i="5"/>
  <c r="H471" i="5" s="1"/>
  <c r="G470" i="5"/>
  <c r="G471" i="5" s="1"/>
  <c r="F470" i="5"/>
  <c r="F471" i="5" s="1"/>
  <c r="L470" i="5"/>
  <c r="L471" i="5" s="1"/>
  <c r="N128" i="40"/>
  <c r="N131" i="40" s="1"/>
  <c r="G55" i="40"/>
  <c r="G57" i="40" s="1"/>
  <c r="G59" i="40" s="1"/>
  <c r="G65" i="40"/>
  <c r="G66" i="40" s="1"/>
  <c r="H62" i="40" s="1"/>
  <c r="I98" i="40"/>
  <c r="G298" i="40"/>
  <c r="H303" i="40"/>
  <c r="H304" i="40" s="1"/>
  <c r="I300" i="40" s="1"/>
  <c r="H293" i="40"/>
  <c r="H295" i="40" s="1"/>
  <c r="H297" i="40" s="1"/>
  <c r="H298" i="40" s="1"/>
  <c r="K310" i="40"/>
  <c r="K288" i="40"/>
  <c r="K289" i="40" s="1"/>
  <c r="K292" i="40" s="1"/>
  <c r="K257" i="40"/>
  <c r="L267" i="40"/>
  <c r="L248" i="40"/>
  <c r="L249" i="40" s="1"/>
  <c r="L251" i="40" s="1"/>
  <c r="L252" i="40" s="1"/>
  <c r="L254" i="40" s="1"/>
  <c r="L256" i="40" s="1"/>
  <c r="L257" i="40" s="1"/>
  <c r="N13" i="40"/>
  <c r="N15" i="40" s="1"/>
  <c r="L386" i="40"/>
  <c r="L367" i="40"/>
  <c r="L368" i="40" s="1"/>
  <c r="L370" i="40" s="1"/>
  <c r="L371" i="40" s="1"/>
  <c r="L373" i="40" s="1"/>
  <c r="L375" i="40" s="1"/>
  <c r="L376" i="40" s="1"/>
  <c r="K407" i="40"/>
  <c r="K408" i="40" s="1"/>
  <c r="K411" i="40" s="1"/>
  <c r="K412" i="40" s="1"/>
  <c r="K414" i="40" s="1"/>
  <c r="K416" i="40" s="1"/>
  <c r="K429" i="40"/>
  <c r="L348" i="40"/>
  <c r="L329" i="40"/>
  <c r="L330" i="40" s="1"/>
  <c r="L332" i="40" s="1"/>
  <c r="L333" i="40" s="1"/>
  <c r="L335" i="40" s="1"/>
  <c r="L337" i="40" s="1"/>
  <c r="L338" i="40" s="1"/>
  <c r="K376" i="40"/>
  <c r="H217" i="40"/>
  <c r="J21" i="40"/>
  <c r="K25" i="40"/>
  <c r="K26" i="40" s="1"/>
  <c r="L23" i="40" s="1"/>
  <c r="K16" i="40"/>
  <c r="K18" i="40" s="1"/>
  <c r="K20" i="40" s="1"/>
  <c r="J102" i="40"/>
  <c r="J103" i="40" s="1"/>
  <c r="K100" i="40" s="1"/>
  <c r="J93" i="40"/>
  <c r="J95" i="40" s="1"/>
  <c r="J97" i="40" s="1"/>
  <c r="L186" i="40"/>
  <c r="L167" i="40"/>
  <c r="L168" i="40" s="1"/>
  <c r="L170" i="40" s="1"/>
  <c r="L171" i="40" s="1"/>
  <c r="L173" i="40" s="1"/>
  <c r="L175" i="40" s="1"/>
  <c r="L176" i="40" s="1"/>
  <c r="N90" i="40"/>
  <c r="N92" i="40" s="1"/>
  <c r="J460" i="40"/>
  <c r="K515" i="40"/>
  <c r="K493" i="40"/>
  <c r="K494" i="40" s="1"/>
  <c r="K497" i="40" s="1"/>
  <c r="K498" i="40" s="1"/>
  <c r="K500" i="40" s="1"/>
  <c r="K502" i="40" s="1"/>
  <c r="K503" i="40" s="1"/>
  <c r="N51" i="40"/>
  <c r="N54" i="40" s="1"/>
  <c r="K472" i="40"/>
  <c r="K450" i="40"/>
  <c r="K451" i="40" s="1"/>
  <c r="K454" i="40" s="1"/>
  <c r="K455" i="40" s="1"/>
  <c r="K457" i="40" s="1"/>
  <c r="K459" i="40" s="1"/>
  <c r="K460" i="40" s="1"/>
  <c r="K470" i="5"/>
  <c r="K471" i="5" s="1"/>
  <c r="K207" i="40"/>
  <c r="K208" i="40" s="1"/>
  <c r="K211" i="40" s="1"/>
  <c r="K212" i="40" s="1"/>
  <c r="K214" i="40" s="1"/>
  <c r="K216" i="40" s="1"/>
  <c r="K217" i="40" s="1"/>
  <c r="K229" i="40"/>
  <c r="M470" i="5"/>
  <c r="M471" i="5" s="1"/>
  <c r="J470" i="5"/>
  <c r="J471" i="5" s="1"/>
  <c r="N470" i="5"/>
  <c r="N471" i="5" s="1"/>
  <c r="D33" i="5"/>
  <c r="D36" i="5" s="1"/>
  <c r="E70" i="5"/>
  <c r="E425" i="5"/>
  <c r="U425" i="5"/>
  <c r="F425" i="5"/>
  <c r="V425" i="5"/>
  <c r="G425" i="5"/>
  <c r="W425" i="5"/>
  <c r="H425" i="5"/>
  <c r="X425" i="5"/>
  <c r="I425" i="5"/>
  <c r="J425" i="5"/>
  <c r="K425" i="5"/>
  <c r="L425" i="5"/>
  <c r="R425" i="5"/>
  <c r="M425" i="5"/>
  <c r="Q425" i="5"/>
  <c r="N425" i="5"/>
  <c r="S425" i="5"/>
  <c r="O425" i="5"/>
  <c r="T425" i="5"/>
  <c r="X23" i="26"/>
  <c r="B23" i="26" s="1"/>
  <c r="U62" i="26"/>
  <c r="B22" i="26"/>
  <c r="L306" i="5"/>
  <c r="K306" i="5"/>
  <c r="J306" i="5"/>
  <c r="I306" i="5"/>
  <c r="X306" i="5"/>
  <c r="H306" i="5"/>
  <c r="W306" i="5"/>
  <c r="G306" i="5"/>
  <c r="M306" i="5"/>
  <c r="V306" i="5"/>
  <c r="F306" i="5"/>
  <c r="U306" i="5"/>
  <c r="E306" i="5"/>
  <c r="T306" i="5"/>
  <c r="S306" i="5"/>
  <c r="R306" i="5"/>
  <c r="Q306" i="5"/>
  <c r="P306" i="5"/>
  <c r="O306" i="5"/>
  <c r="N306" i="5"/>
  <c r="L145" i="5"/>
  <c r="K145" i="5"/>
  <c r="J145" i="5"/>
  <c r="I145" i="5"/>
  <c r="X145" i="5"/>
  <c r="H145" i="5"/>
  <c r="W145" i="5"/>
  <c r="G145" i="5"/>
  <c r="V145" i="5"/>
  <c r="F145" i="5"/>
  <c r="U145" i="5"/>
  <c r="E145" i="5"/>
  <c r="T145" i="5"/>
  <c r="S145" i="5"/>
  <c r="R145" i="5"/>
  <c r="Q145" i="5"/>
  <c r="P145" i="5"/>
  <c r="M145" i="5"/>
  <c r="O145" i="5"/>
  <c r="N145" i="5"/>
  <c r="D502" i="5"/>
  <c r="E499" i="5" s="1"/>
  <c r="D519" i="5" s="1"/>
  <c r="X511" i="5"/>
  <c r="H511" i="5"/>
  <c r="W511" i="5"/>
  <c r="G511" i="5"/>
  <c r="V511" i="5"/>
  <c r="F511" i="5"/>
  <c r="U511" i="5"/>
  <c r="E511" i="5"/>
  <c r="E513" i="5" s="1"/>
  <c r="T511" i="5"/>
  <c r="S511" i="5"/>
  <c r="R511" i="5"/>
  <c r="Q511" i="5"/>
  <c r="P511" i="5"/>
  <c r="O511" i="5"/>
  <c r="N511" i="5"/>
  <c r="M511" i="5"/>
  <c r="L511" i="5"/>
  <c r="K511" i="5"/>
  <c r="I511" i="5"/>
  <c r="J511" i="5"/>
  <c r="V57" i="26"/>
  <c r="V59" i="26" s="1"/>
  <c r="V61" i="26" s="1"/>
  <c r="V66" i="26"/>
  <c r="V67" i="26" s="1"/>
  <c r="W64" i="26" s="1"/>
  <c r="Y21" i="5"/>
  <c r="AO312" i="13"/>
  <c r="AO315" i="13"/>
  <c r="AO308" i="13"/>
  <c r="AO311" i="13"/>
  <c r="AO314" i="13"/>
  <c r="AO298" i="13"/>
  <c r="AO307" i="13"/>
  <c r="AO310" i="13"/>
  <c r="AO313" i="13"/>
  <c r="AO316" i="13"/>
  <c r="AO303" i="13"/>
  <c r="AO306" i="13"/>
  <c r="AO305" i="13"/>
  <c r="AO304" i="13"/>
  <c r="AO299" i="13"/>
  <c r="AO289" i="13"/>
  <c r="AO294" i="13"/>
  <c r="AO280" i="13"/>
  <c r="AO302" i="13"/>
  <c r="AO295" i="13"/>
  <c r="AO283" i="13"/>
  <c r="AO301" i="13"/>
  <c r="AO284" i="13"/>
  <c r="AO281" i="13"/>
  <c r="AO279" i="13"/>
  <c r="AO297" i="13"/>
  <c r="AO309" i="13"/>
  <c r="AO286" i="13"/>
  <c r="AO292" i="13"/>
  <c r="AO300" i="13"/>
  <c r="AO290" i="13"/>
  <c r="AO296" i="13"/>
  <c r="AO291" i="13"/>
  <c r="AO288" i="13"/>
  <c r="AO282" i="13"/>
  <c r="AO287" i="13"/>
  <c r="AO278" i="13"/>
  <c r="AO285" i="13"/>
  <c r="AO128" i="13"/>
  <c r="AO121" i="13"/>
  <c r="AO117" i="13"/>
  <c r="O448" i="40" s="1"/>
  <c r="AO96" i="13"/>
  <c r="AO124" i="13"/>
  <c r="AO114" i="13"/>
  <c r="O327" i="40" s="1"/>
  <c r="AO119" i="13"/>
  <c r="AO98" i="13"/>
  <c r="AO116" i="13"/>
  <c r="O405" i="40" s="1"/>
  <c r="AO122" i="13"/>
  <c r="AO110" i="13"/>
  <c r="O165" i="40" s="1"/>
  <c r="AO118" i="13"/>
  <c r="O491" i="40" s="1"/>
  <c r="AO97" i="13"/>
  <c r="AO115" i="13"/>
  <c r="O365" i="40" s="1"/>
  <c r="AO94" i="13"/>
  <c r="AO91" i="13"/>
  <c r="AO95" i="13"/>
  <c r="AO93" i="13"/>
  <c r="AO106" i="13"/>
  <c r="O11" i="40" s="1"/>
  <c r="AO92" i="13"/>
  <c r="AO112" i="13"/>
  <c r="O246" i="40" s="1"/>
  <c r="AO107" i="13"/>
  <c r="O49" i="40" s="1"/>
  <c r="AO108" i="13"/>
  <c r="O88" i="40" s="1"/>
  <c r="AO111" i="13"/>
  <c r="O205" i="40" s="1"/>
  <c r="AO120" i="13"/>
  <c r="AO113" i="13"/>
  <c r="O286" i="40" s="1"/>
  <c r="AO109" i="13"/>
  <c r="O126" i="40" s="1"/>
  <c r="AO206" i="13"/>
  <c r="AO195" i="13"/>
  <c r="O489" i="40" s="1"/>
  <c r="AO187" i="13"/>
  <c r="O284" i="40" s="1"/>
  <c r="AO202" i="13"/>
  <c r="AO194" i="13"/>
  <c r="O447" i="40" s="1"/>
  <c r="AO186" i="13"/>
  <c r="O245" i="40" s="1"/>
  <c r="AO199" i="13"/>
  <c r="AO191" i="13"/>
  <c r="O403" i="40" s="1"/>
  <c r="AO201" i="13"/>
  <c r="AO193" i="13"/>
  <c r="O446" i="40" s="1"/>
  <c r="AO185" i="13"/>
  <c r="O204" i="40" s="1"/>
  <c r="AO177" i="13"/>
  <c r="O10" i="40" s="1"/>
  <c r="AO200" i="13"/>
  <c r="AO188" i="13"/>
  <c r="O285" i="40" s="1"/>
  <c r="AO182" i="13"/>
  <c r="O125" i="40" s="1"/>
  <c r="AO181" i="13"/>
  <c r="O124" i="40" s="1"/>
  <c r="AO197" i="13"/>
  <c r="AO192" i="13"/>
  <c r="O404" i="40" s="1"/>
  <c r="AO180" i="13"/>
  <c r="O87" i="40" s="1"/>
  <c r="AO196" i="13"/>
  <c r="O490" i="40" s="1"/>
  <c r="AO171" i="13"/>
  <c r="AO162" i="13"/>
  <c r="AO173" i="13"/>
  <c r="AO184" i="13"/>
  <c r="O203" i="40" s="1"/>
  <c r="AO167" i="13"/>
  <c r="AO179" i="13"/>
  <c r="O48" i="40" s="1"/>
  <c r="AO183" i="13"/>
  <c r="O164" i="40" s="1"/>
  <c r="AO166" i="13"/>
  <c r="AO165" i="13"/>
  <c r="AO198" i="13"/>
  <c r="AO101" i="13"/>
  <c r="AO168" i="13"/>
  <c r="AO189" i="13"/>
  <c r="O326" i="40" s="1"/>
  <c r="AO172" i="13"/>
  <c r="AO190" i="13"/>
  <c r="O364" i="40" s="1"/>
  <c r="AO163" i="13"/>
  <c r="AO178" i="13"/>
  <c r="O47" i="40" s="1"/>
  <c r="AO164" i="13"/>
  <c r="AO293" i="13"/>
  <c r="AO100" i="13"/>
  <c r="AO127" i="13"/>
  <c r="AO105" i="13"/>
  <c r="AO204" i="13"/>
  <c r="AO125" i="13"/>
  <c r="AO103" i="13"/>
  <c r="AO207" i="13"/>
  <c r="AO175" i="13"/>
  <c r="AO102" i="13"/>
  <c r="AO176" i="13"/>
  <c r="AO132" i="13"/>
  <c r="AO203" i="13"/>
  <c r="AO205" i="13"/>
  <c r="AO99" i="13"/>
  <c r="AO169" i="13"/>
  <c r="AO126" i="13"/>
  <c r="AO123" i="13"/>
  <c r="AO104" i="13"/>
  <c r="AO129" i="13"/>
  <c r="AO174" i="13"/>
  <c r="AO170" i="13"/>
  <c r="D416" i="5"/>
  <c r="AP4" i="13"/>
  <c r="Y460" i="5"/>
  <c r="Y216" i="5"/>
  <c r="Y229" i="5" s="1"/>
  <c r="N230" i="5"/>
  <c r="M230" i="5"/>
  <c r="L230" i="5"/>
  <c r="K230" i="5"/>
  <c r="J230" i="5"/>
  <c r="I230" i="5"/>
  <c r="H230" i="5"/>
  <c r="G230" i="5"/>
  <c r="F230" i="5"/>
  <c r="E230" i="5"/>
  <c r="E34" i="5"/>
  <c r="F30" i="5"/>
  <c r="J29" i="5"/>
  <c r="J30" i="5" s="1"/>
  <c r="H29" i="5"/>
  <c r="H30" i="5" s="1"/>
  <c r="E472" i="5"/>
  <c r="F450" i="5" s="1"/>
  <c r="G29" i="5"/>
  <c r="G30" i="5" s="1"/>
  <c r="E30" i="5"/>
  <c r="K29" i="5"/>
  <c r="K30" i="5" s="1"/>
  <c r="L29" i="5"/>
  <c r="L30" i="5" s="1"/>
  <c r="Q29" i="5"/>
  <c r="Q30" i="5" s="1"/>
  <c r="N29" i="5"/>
  <c r="N30" i="5" s="1"/>
  <c r="P29" i="5"/>
  <c r="P30" i="5" s="1"/>
  <c r="I29" i="5"/>
  <c r="I30" i="5" s="1"/>
  <c r="M29" i="5"/>
  <c r="M30" i="5" s="1"/>
  <c r="R29" i="5"/>
  <c r="R30" i="5" s="1"/>
  <c r="O29" i="5"/>
  <c r="O30" i="5" s="1"/>
  <c r="T29" i="5"/>
  <c r="T30" i="5" s="1"/>
  <c r="V29" i="5"/>
  <c r="V30" i="5" s="1"/>
  <c r="X29" i="5"/>
  <c r="X30" i="5" s="1"/>
  <c r="U29" i="5"/>
  <c r="U30" i="5" s="1"/>
  <c r="W29" i="5"/>
  <c r="W30" i="5" s="1"/>
  <c r="S29" i="5"/>
  <c r="S30" i="5" s="1"/>
  <c r="E476" i="5"/>
  <c r="D297" i="5"/>
  <c r="E294" i="5" s="1"/>
  <c r="D475" i="5" l="1"/>
  <c r="D478" i="5" s="1"/>
  <c r="I142" i="40"/>
  <c r="I143" i="40" s="1"/>
  <c r="J139" i="40" s="1"/>
  <c r="H137" i="40"/>
  <c r="K21" i="40"/>
  <c r="G60" i="40"/>
  <c r="H55" i="40"/>
  <c r="H57" i="40" s="1"/>
  <c r="H59" i="40" s="1"/>
  <c r="H65" i="40"/>
  <c r="H66" i="40" s="1"/>
  <c r="I62" i="40" s="1"/>
  <c r="J98" i="40"/>
  <c r="O90" i="40"/>
  <c r="O92" i="40" s="1"/>
  <c r="L493" i="40"/>
  <c r="L494" i="40" s="1"/>
  <c r="L497" i="40" s="1"/>
  <c r="L498" i="40" s="1"/>
  <c r="L500" i="40" s="1"/>
  <c r="L502" i="40" s="1"/>
  <c r="L515" i="40"/>
  <c r="M248" i="40"/>
  <c r="M249" i="40" s="1"/>
  <c r="M251" i="40" s="1"/>
  <c r="M252" i="40" s="1"/>
  <c r="M254" i="40" s="1"/>
  <c r="M256" i="40" s="1"/>
  <c r="M257" i="40" s="1"/>
  <c r="M267" i="40"/>
  <c r="O51" i="40"/>
  <c r="O54" i="40" s="1"/>
  <c r="L207" i="40"/>
  <c r="L208" i="40" s="1"/>
  <c r="L211" i="40" s="1"/>
  <c r="L212" i="40" s="1"/>
  <c r="L214" i="40" s="1"/>
  <c r="L216" i="40" s="1"/>
  <c r="L217" i="40" s="1"/>
  <c r="L229" i="40"/>
  <c r="M186" i="40"/>
  <c r="M167" i="40"/>
  <c r="M168" i="40" s="1"/>
  <c r="M170" i="40" s="1"/>
  <c r="M171" i="40" s="1"/>
  <c r="M173" i="40" s="1"/>
  <c r="M175" i="40" s="1"/>
  <c r="M176" i="40" s="1"/>
  <c r="L310" i="40"/>
  <c r="L288" i="40"/>
  <c r="L289" i="40" s="1"/>
  <c r="L292" i="40" s="1"/>
  <c r="J132" i="40"/>
  <c r="J134" i="40" s="1"/>
  <c r="J136" i="40" s="1"/>
  <c r="J142" i="40"/>
  <c r="J143" i="40" s="1"/>
  <c r="K139" i="40" s="1"/>
  <c r="K102" i="40"/>
  <c r="K103" i="40" s="1"/>
  <c r="L100" i="40" s="1"/>
  <c r="K93" i="40"/>
  <c r="K95" i="40" s="1"/>
  <c r="K97" i="40" s="1"/>
  <c r="I303" i="40"/>
  <c r="I304" i="40" s="1"/>
  <c r="J300" i="40" s="1"/>
  <c r="I293" i="40"/>
  <c r="I295" i="40" s="1"/>
  <c r="I297" i="40" s="1"/>
  <c r="I298" i="40" s="1"/>
  <c r="I137" i="40"/>
  <c r="M348" i="40"/>
  <c r="M329" i="40"/>
  <c r="M330" i="40" s="1"/>
  <c r="M332" i="40" s="1"/>
  <c r="M333" i="40" s="1"/>
  <c r="M335" i="40" s="1"/>
  <c r="M337" i="40" s="1"/>
  <c r="M338" i="40" s="1"/>
  <c r="O128" i="40"/>
  <c r="O131" i="40" s="1"/>
  <c r="L25" i="40"/>
  <c r="L26" i="40" s="1"/>
  <c r="M23" i="40" s="1"/>
  <c r="L16" i="40"/>
  <c r="L18" i="40" s="1"/>
  <c r="L20" i="40" s="1"/>
  <c r="L429" i="40"/>
  <c r="L407" i="40"/>
  <c r="L408" i="40" s="1"/>
  <c r="L411" i="40" s="1"/>
  <c r="L412" i="40" s="1"/>
  <c r="L414" i="40" s="1"/>
  <c r="L416" i="40" s="1"/>
  <c r="L417" i="40" s="1"/>
  <c r="K417" i="40"/>
  <c r="L450" i="40"/>
  <c r="L451" i="40" s="1"/>
  <c r="L454" i="40" s="1"/>
  <c r="L455" i="40" s="1"/>
  <c r="L457" i="40" s="1"/>
  <c r="L459" i="40" s="1"/>
  <c r="L472" i="40"/>
  <c r="M386" i="40"/>
  <c r="M367" i="40"/>
  <c r="M368" i="40" s="1"/>
  <c r="M370" i="40" s="1"/>
  <c r="M371" i="40" s="1"/>
  <c r="M373" i="40" s="1"/>
  <c r="M375" i="40" s="1"/>
  <c r="M376" i="40" s="1"/>
  <c r="O13" i="40"/>
  <c r="O15" i="40" s="1"/>
  <c r="D21" i="5"/>
  <c r="E514" i="5"/>
  <c r="I516" i="5"/>
  <c r="I517" i="5" s="1"/>
  <c r="J516" i="5"/>
  <c r="J517" i="5" s="1"/>
  <c r="K516" i="5"/>
  <c r="K517" i="5" s="1"/>
  <c r="L516" i="5"/>
  <c r="L517" i="5" s="1"/>
  <c r="M516" i="5"/>
  <c r="M517" i="5" s="1"/>
  <c r="Y502" i="5"/>
  <c r="Y515" i="5" s="1"/>
  <c r="N516" i="5"/>
  <c r="N517" i="5" s="1"/>
  <c r="D515" i="5"/>
  <c r="E493" i="5" s="1"/>
  <c r="D522" i="5"/>
  <c r="E519" i="5" s="1"/>
  <c r="E516" i="5"/>
  <c r="E517" i="5" s="1"/>
  <c r="F516" i="5"/>
  <c r="F517" i="5" s="1"/>
  <c r="G516" i="5"/>
  <c r="G517" i="5" s="1"/>
  <c r="H516" i="5"/>
  <c r="H517" i="5" s="1"/>
  <c r="W57" i="26"/>
  <c r="W59" i="26" s="1"/>
  <c r="W61" i="26" s="1"/>
  <c r="W66" i="26"/>
  <c r="W67" i="26" s="1"/>
  <c r="X64" i="26" s="1"/>
  <c r="V62" i="26"/>
  <c r="E308" i="5"/>
  <c r="E309" i="5" s="1"/>
  <c r="J430" i="5"/>
  <c r="J431" i="5" s="1"/>
  <c r="E413" i="5"/>
  <c r="D433" i="5" s="1"/>
  <c r="AP315" i="13"/>
  <c r="AP308" i="13"/>
  <c r="AP311" i="13"/>
  <c r="AP314" i="13"/>
  <c r="AP298" i="13"/>
  <c r="AP301" i="13"/>
  <c r="AP307" i="13"/>
  <c r="AP310" i="13"/>
  <c r="AP313" i="13"/>
  <c r="AP297" i="13"/>
  <c r="AP316" i="13"/>
  <c r="AP306" i="13"/>
  <c r="AP309" i="13"/>
  <c r="AP292" i="13"/>
  <c r="AP303" i="13"/>
  <c r="AP300" i="13"/>
  <c r="AP284" i="13"/>
  <c r="AP312" i="13"/>
  <c r="AP302" i="13"/>
  <c r="AP299" i="13"/>
  <c r="AP295" i="13"/>
  <c r="AP294" i="13"/>
  <c r="AP283" i="13"/>
  <c r="AP296" i="13"/>
  <c r="AP304" i="13"/>
  <c r="AP278" i="13"/>
  <c r="AP291" i="13"/>
  <c r="AP305" i="13"/>
  <c r="AP286" i="13"/>
  <c r="AP285" i="13"/>
  <c r="AP280" i="13"/>
  <c r="AP281" i="13"/>
  <c r="AP289" i="13"/>
  <c r="AP282" i="13"/>
  <c r="AP290" i="13"/>
  <c r="AP288" i="13"/>
  <c r="AP279" i="13"/>
  <c r="AP287" i="13"/>
  <c r="J513" i="5"/>
  <c r="J514" i="5" s="1"/>
  <c r="F513" i="5"/>
  <c r="F514" i="5" s="1"/>
  <c r="H513" i="5"/>
  <c r="H514" i="5" s="1"/>
  <c r="G513" i="5"/>
  <c r="G514" i="5" s="1"/>
  <c r="I513" i="5"/>
  <c r="I514" i="5" s="1"/>
  <c r="K513" i="5"/>
  <c r="K514" i="5" s="1"/>
  <c r="AP121" i="13"/>
  <c r="AP106" i="13"/>
  <c r="P11" i="40" s="1"/>
  <c r="AP117" i="13"/>
  <c r="P448" i="40" s="1"/>
  <c r="AP124" i="13"/>
  <c r="AP114" i="13"/>
  <c r="P327" i="40" s="1"/>
  <c r="AP119" i="13"/>
  <c r="AP98" i="13"/>
  <c r="AP116" i="13"/>
  <c r="P405" i="40" s="1"/>
  <c r="AP95" i="13"/>
  <c r="AP122" i="13"/>
  <c r="AP118" i="13"/>
  <c r="P491" i="40" s="1"/>
  <c r="AP97" i="13"/>
  <c r="AP128" i="13"/>
  <c r="AP115" i="13"/>
  <c r="P365" i="40" s="1"/>
  <c r="AP94" i="13"/>
  <c r="AP93" i="13"/>
  <c r="AP91" i="13"/>
  <c r="AP96" i="13"/>
  <c r="AP110" i="13"/>
  <c r="P165" i="40" s="1"/>
  <c r="AP92" i="13"/>
  <c r="AP107" i="13"/>
  <c r="P49" i="40" s="1"/>
  <c r="AP112" i="13"/>
  <c r="P246" i="40" s="1"/>
  <c r="AP108" i="13"/>
  <c r="P88" i="40" s="1"/>
  <c r="AP111" i="13"/>
  <c r="P205" i="40" s="1"/>
  <c r="AP120" i="13"/>
  <c r="AP109" i="13"/>
  <c r="P126" i="40" s="1"/>
  <c r="AP113" i="13"/>
  <c r="P286" i="40" s="1"/>
  <c r="M513" i="5"/>
  <c r="M514" i="5" s="1"/>
  <c r="AP202" i="13"/>
  <c r="AP194" i="13"/>
  <c r="P447" i="40" s="1"/>
  <c r="AP186" i="13"/>
  <c r="P245" i="40" s="1"/>
  <c r="AP196" i="13"/>
  <c r="P490" i="40" s="1"/>
  <c r="AP188" i="13"/>
  <c r="P285" i="40" s="1"/>
  <c r="AP198" i="13"/>
  <c r="AP200" i="13"/>
  <c r="AP182" i="13"/>
  <c r="P125" i="40" s="1"/>
  <c r="AP192" i="13"/>
  <c r="P404" i="40" s="1"/>
  <c r="AP199" i="13"/>
  <c r="AP197" i="13"/>
  <c r="AP201" i="13"/>
  <c r="AP190" i="13"/>
  <c r="P364" i="40" s="1"/>
  <c r="AP178" i="13"/>
  <c r="P47" i="40" s="1"/>
  <c r="AP172" i="13"/>
  <c r="AP177" i="13"/>
  <c r="P10" i="40" s="1"/>
  <c r="AP171" i="13"/>
  <c r="AP195" i="13"/>
  <c r="P489" i="40" s="1"/>
  <c r="AP187" i="13"/>
  <c r="P284" i="40" s="1"/>
  <c r="AP183" i="13"/>
  <c r="P164" i="40" s="1"/>
  <c r="AP168" i="13"/>
  <c r="AP180" i="13"/>
  <c r="P87" i="40" s="1"/>
  <c r="AP206" i="13"/>
  <c r="AP184" i="13"/>
  <c r="P203" i="40" s="1"/>
  <c r="AP173" i="13"/>
  <c r="AP164" i="13"/>
  <c r="AP191" i="13"/>
  <c r="P403" i="40" s="1"/>
  <c r="AP162" i="13"/>
  <c r="AP123" i="13"/>
  <c r="AP193" i="13"/>
  <c r="P446" i="40" s="1"/>
  <c r="AP166" i="13"/>
  <c r="AP132" i="13"/>
  <c r="AP165" i="13"/>
  <c r="AP185" i="13"/>
  <c r="P204" i="40" s="1"/>
  <c r="AP101" i="13"/>
  <c r="AP167" i="13"/>
  <c r="AP102" i="13"/>
  <c r="AP189" i="13"/>
  <c r="P326" i="40" s="1"/>
  <c r="AP181" i="13"/>
  <c r="P124" i="40" s="1"/>
  <c r="AP179" i="13"/>
  <c r="P48" i="40" s="1"/>
  <c r="AP100" i="13"/>
  <c r="AP204" i="13"/>
  <c r="AP207" i="13"/>
  <c r="AP170" i="13"/>
  <c r="AP175" i="13"/>
  <c r="AP176" i="13"/>
  <c r="AP129" i="13"/>
  <c r="AP127" i="13"/>
  <c r="AP126" i="13"/>
  <c r="AP103" i="13"/>
  <c r="AP205" i="13"/>
  <c r="AP174" i="13"/>
  <c r="AP163" i="13"/>
  <c r="AP104" i="13"/>
  <c r="AP99" i="13"/>
  <c r="AP169" i="13"/>
  <c r="AP105" i="13"/>
  <c r="AP293" i="13"/>
  <c r="AP125" i="13"/>
  <c r="AP203" i="13"/>
  <c r="K430" i="5"/>
  <c r="K431" i="5" s="1"/>
  <c r="L513" i="5"/>
  <c r="L514" i="5" s="1"/>
  <c r="M430" i="5"/>
  <c r="M431" i="5" s="1"/>
  <c r="D436" i="5"/>
  <c r="H427" i="5"/>
  <c r="H428" i="5" s="1"/>
  <c r="E430" i="5"/>
  <c r="E431" i="5" s="1"/>
  <c r="N430" i="5"/>
  <c r="N431" i="5" s="1"/>
  <c r="F430" i="5"/>
  <c r="F431" i="5" s="1"/>
  <c r="L430" i="5"/>
  <c r="L431" i="5" s="1"/>
  <c r="Y416" i="5"/>
  <c r="Y429" i="5" s="1"/>
  <c r="N513" i="5"/>
  <c r="N514" i="5" s="1"/>
  <c r="G430" i="5"/>
  <c r="G431" i="5" s="1"/>
  <c r="H430" i="5"/>
  <c r="H431" i="5" s="1"/>
  <c r="I430" i="5"/>
  <c r="I431" i="5" s="1"/>
  <c r="D429" i="5"/>
  <c r="E407" i="5" s="1"/>
  <c r="N427" i="5"/>
  <c r="N428" i="5" s="1"/>
  <c r="J427" i="5"/>
  <c r="J428" i="5" s="1"/>
  <c r="K427" i="5"/>
  <c r="K428" i="5" s="1"/>
  <c r="E427" i="5"/>
  <c r="E428" i="5" s="1"/>
  <c r="F427" i="5"/>
  <c r="F428" i="5" s="1"/>
  <c r="M427" i="5"/>
  <c r="M428" i="5" s="1"/>
  <c r="G427" i="5"/>
  <c r="G428" i="5" s="1"/>
  <c r="I427" i="5"/>
  <c r="I428" i="5" s="1"/>
  <c r="L427" i="5"/>
  <c r="L428" i="5" s="1"/>
  <c r="AQ4" i="13"/>
  <c r="Y217" i="5"/>
  <c r="D314" i="5"/>
  <c r="N311" i="5"/>
  <c r="N312" i="5" s="1"/>
  <c r="M311" i="5"/>
  <c r="M312" i="5" s="1"/>
  <c r="L311" i="5"/>
  <c r="L312" i="5" s="1"/>
  <c r="K311" i="5"/>
  <c r="K312" i="5" s="1"/>
  <c r="J311" i="5"/>
  <c r="J312" i="5" s="1"/>
  <c r="I311" i="5"/>
  <c r="I312" i="5" s="1"/>
  <c r="H311" i="5"/>
  <c r="H312" i="5" s="1"/>
  <c r="G311" i="5"/>
  <c r="G312" i="5" s="1"/>
  <c r="F311" i="5"/>
  <c r="F312" i="5" s="1"/>
  <c r="E311" i="5"/>
  <c r="E312" i="5" s="1"/>
  <c r="F472" i="5"/>
  <c r="G450" i="5" s="1"/>
  <c r="D35" i="5"/>
  <c r="E33" i="5"/>
  <c r="E475" i="5"/>
  <c r="D477" i="5"/>
  <c r="I308" i="5"/>
  <c r="I309" i="5" s="1"/>
  <c r="G308" i="5"/>
  <c r="G309" i="5" s="1"/>
  <c r="J308" i="5"/>
  <c r="J309" i="5" s="1"/>
  <c r="F308" i="5"/>
  <c r="F309" i="5" s="1"/>
  <c r="K308" i="5"/>
  <c r="K309" i="5" s="1"/>
  <c r="N308" i="5"/>
  <c r="N309" i="5" s="1"/>
  <c r="D317" i="5"/>
  <c r="Y297" i="5"/>
  <c r="Y298" i="5" s="1"/>
  <c r="D310" i="5"/>
  <c r="E288" i="5" s="1"/>
  <c r="M308" i="5"/>
  <c r="M309" i="5" s="1"/>
  <c r="L308" i="5"/>
  <c r="L309" i="5" s="1"/>
  <c r="H308" i="5"/>
  <c r="H309" i="5" s="1"/>
  <c r="E36" i="5"/>
  <c r="D460" i="5"/>
  <c r="E478" i="5"/>
  <c r="P128" i="40" l="1"/>
  <c r="P131" i="40" s="1"/>
  <c r="P90" i="40"/>
  <c r="P92" i="40" s="1"/>
  <c r="J137" i="40"/>
  <c r="P13" i="40"/>
  <c r="P15" i="40" s="1"/>
  <c r="H60" i="40"/>
  <c r="I55" i="40"/>
  <c r="I57" i="40" s="1"/>
  <c r="I59" i="40" s="1"/>
  <c r="I65" i="40"/>
  <c r="I66" i="40" s="1"/>
  <c r="J62" i="40" s="1"/>
  <c r="L21" i="40"/>
  <c r="M407" i="40"/>
  <c r="M408" i="40" s="1"/>
  <c r="M411" i="40" s="1"/>
  <c r="M412" i="40" s="1"/>
  <c r="M414" i="40" s="1"/>
  <c r="M416" i="40" s="1"/>
  <c r="M417" i="40" s="1"/>
  <c r="M429" i="40"/>
  <c r="M288" i="40"/>
  <c r="M289" i="40" s="1"/>
  <c r="M292" i="40" s="1"/>
  <c r="M310" i="40"/>
  <c r="M25" i="40"/>
  <c r="M26" i="40" s="1"/>
  <c r="N23" i="40" s="1"/>
  <c r="M16" i="40"/>
  <c r="M18" i="40" s="1"/>
  <c r="M20" i="40" s="1"/>
  <c r="N167" i="40"/>
  <c r="N168" i="40" s="1"/>
  <c r="N170" i="40" s="1"/>
  <c r="N171" i="40" s="1"/>
  <c r="N173" i="40" s="1"/>
  <c r="N175" i="40" s="1"/>
  <c r="N176" i="40" s="1"/>
  <c r="N186" i="40"/>
  <c r="M229" i="40"/>
  <c r="M207" i="40"/>
  <c r="M208" i="40" s="1"/>
  <c r="M211" i="40" s="1"/>
  <c r="M212" i="40" s="1"/>
  <c r="M214" i="40" s="1"/>
  <c r="M216" i="40" s="1"/>
  <c r="M217" i="40" s="1"/>
  <c r="N348" i="40"/>
  <c r="N329" i="40"/>
  <c r="N330" i="40" s="1"/>
  <c r="N332" i="40" s="1"/>
  <c r="N333" i="40" s="1"/>
  <c r="N335" i="40" s="1"/>
  <c r="N337" i="40" s="1"/>
  <c r="N338" i="40" s="1"/>
  <c r="N386" i="40"/>
  <c r="N367" i="40"/>
  <c r="N368" i="40" s="1"/>
  <c r="N370" i="40" s="1"/>
  <c r="N371" i="40" s="1"/>
  <c r="N373" i="40" s="1"/>
  <c r="N375" i="40" s="1"/>
  <c r="N376" i="40" s="1"/>
  <c r="J303" i="40"/>
  <c r="J304" i="40" s="1"/>
  <c r="K300" i="40" s="1"/>
  <c r="J293" i="40"/>
  <c r="J295" i="40" s="1"/>
  <c r="J297" i="40" s="1"/>
  <c r="P51" i="40"/>
  <c r="P54" i="40" s="1"/>
  <c r="K98" i="40"/>
  <c r="N267" i="40"/>
  <c r="N248" i="40"/>
  <c r="N249" i="40" s="1"/>
  <c r="N251" i="40" s="1"/>
  <c r="N252" i="40" s="1"/>
  <c r="N254" i="40" s="1"/>
  <c r="N256" i="40" s="1"/>
  <c r="N257" i="40" s="1"/>
  <c r="M450" i="40"/>
  <c r="M451" i="40" s="1"/>
  <c r="M454" i="40" s="1"/>
  <c r="M455" i="40" s="1"/>
  <c r="M457" i="40" s="1"/>
  <c r="M459" i="40" s="1"/>
  <c r="M460" i="40" s="1"/>
  <c r="M472" i="40"/>
  <c r="L102" i="40"/>
  <c r="L103" i="40" s="1"/>
  <c r="M100" i="40" s="1"/>
  <c r="L93" i="40"/>
  <c r="L95" i="40" s="1"/>
  <c r="L97" i="40" s="1"/>
  <c r="L460" i="40"/>
  <c r="K142" i="40"/>
  <c r="K143" i="40" s="1"/>
  <c r="L139" i="40" s="1"/>
  <c r="K132" i="40"/>
  <c r="K134" i="40" s="1"/>
  <c r="K136" i="40" s="1"/>
  <c r="M515" i="40"/>
  <c r="M493" i="40"/>
  <c r="M494" i="40" s="1"/>
  <c r="M497" i="40" s="1"/>
  <c r="M498" i="40" s="1"/>
  <c r="M500" i="40" s="1"/>
  <c r="M502" i="40" s="1"/>
  <c r="M503" i="40" s="1"/>
  <c r="L503" i="40"/>
  <c r="E24" i="5"/>
  <c r="D26" i="5"/>
  <c r="Y503" i="5"/>
  <c r="E515" i="5"/>
  <c r="F515" i="5" s="1"/>
  <c r="G515" i="5" s="1"/>
  <c r="H515" i="5" s="1"/>
  <c r="D518" i="5"/>
  <c r="D521" i="5" s="1"/>
  <c r="D503" i="5" s="1"/>
  <c r="T463" i="5"/>
  <c r="S463" i="5"/>
  <c r="R463" i="5"/>
  <c r="Q463" i="5"/>
  <c r="P463" i="5"/>
  <c r="O463" i="5"/>
  <c r="E463" i="5"/>
  <c r="N463" i="5"/>
  <c r="M463" i="5"/>
  <c r="L463" i="5"/>
  <c r="K463" i="5"/>
  <c r="J463" i="5"/>
  <c r="I463" i="5"/>
  <c r="X463" i="5"/>
  <c r="H463" i="5"/>
  <c r="W463" i="5"/>
  <c r="G463" i="5"/>
  <c r="U463" i="5"/>
  <c r="V463" i="5"/>
  <c r="F463" i="5"/>
  <c r="L24" i="5"/>
  <c r="M24" i="5"/>
  <c r="K24" i="5"/>
  <c r="J24" i="5"/>
  <c r="I24" i="5"/>
  <c r="X24" i="5"/>
  <c r="H24" i="5"/>
  <c r="W24" i="5"/>
  <c r="G24" i="5"/>
  <c r="V24" i="5"/>
  <c r="F24" i="5"/>
  <c r="U24" i="5"/>
  <c r="T24" i="5"/>
  <c r="S24" i="5"/>
  <c r="R24" i="5"/>
  <c r="Q24" i="5"/>
  <c r="P24" i="5"/>
  <c r="O24" i="5"/>
  <c r="N24" i="5"/>
  <c r="X66" i="26"/>
  <c r="X67" i="26" s="1"/>
  <c r="X57" i="26"/>
  <c r="X59" i="26" s="1"/>
  <c r="X61" i="26" s="1"/>
  <c r="W62" i="26"/>
  <c r="AQ305" i="13"/>
  <c r="AQ308" i="13"/>
  <c r="AQ311" i="13"/>
  <c r="AQ314" i="13"/>
  <c r="AQ298" i="13"/>
  <c r="AQ301" i="13"/>
  <c r="AQ304" i="13"/>
  <c r="AQ310" i="13"/>
  <c r="AQ313" i="13"/>
  <c r="AQ297" i="13"/>
  <c r="AQ316" i="13"/>
  <c r="AQ300" i="13"/>
  <c r="AQ309" i="13"/>
  <c r="AQ312" i="13"/>
  <c r="AQ306" i="13"/>
  <c r="AQ299" i="13"/>
  <c r="AQ295" i="13"/>
  <c r="AQ284" i="13"/>
  <c r="AQ287" i="13"/>
  <c r="AQ281" i="13"/>
  <c r="AQ296" i="13"/>
  <c r="AQ288" i="13"/>
  <c r="AQ285" i="13"/>
  <c r="AQ294" i="13"/>
  <c r="AQ291" i="13"/>
  <c r="AQ289" i="13"/>
  <c r="AQ282" i="13"/>
  <c r="AQ292" i="13"/>
  <c r="AQ278" i="13"/>
  <c r="AQ302" i="13"/>
  <c r="AQ315" i="13"/>
  <c r="AQ307" i="13"/>
  <c r="AQ303" i="13"/>
  <c r="AQ290" i="13"/>
  <c r="AQ286" i="13"/>
  <c r="AQ279" i="13"/>
  <c r="AQ283" i="13"/>
  <c r="AQ280" i="13"/>
  <c r="E433" i="5"/>
  <c r="AQ117" i="13"/>
  <c r="Q448" i="40" s="1"/>
  <c r="AQ124" i="13"/>
  <c r="AQ114" i="13"/>
  <c r="Q327" i="40" s="1"/>
  <c r="AQ119" i="13"/>
  <c r="AQ98" i="13"/>
  <c r="AQ116" i="13"/>
  <c r="Q405" i="40" s="1"/>
  <c r="AQ95" i="13"/>
  <c r="AQ122" i="13"/>
  <c r="AQ110" i="13"/>
  <c r="Q165" i="40" s="1"/>
  <c r="AQ118" i="13"/>
  <c r="Q491" i="40" s="1"/>
  <c r="AQ97" i="13"/>
  <c r="AQ115" i="13"/>
  <c r="Q365" i="40" s="1"/>
  <c r="AQ94" i="13"/>
  <c r="AQ121" i="13"/>
  <c r="AQ106" i="13"/>
  <c r="Q11" i="40" s="1"/>
  <c r="AQ91" i="13"/>
  <c r="AQ96" i="13"/>
  <c r="AQ93" i="13"/>
  <c r="AQ92" i="13"/>
  <c r="AQ128" i="13"/>
  <c r="AQ112" i="13"/>
  <c r="Q246" i="40" s="1"/>
  <c r="AQ107" i="13"/>
  <c r="Q49" i="40" s="1"/>
  <c r="AQ120" i="13"/>
  <c r="AQ108" i="13"/>
  <c r="Q88" i="40" s="1"/>
  <c r="AQ111" i="13"/>
  <c r="Q205" i="40" s="1"/>
  <c r="AQ109" i="13"/>
  <c r="Q126" i="40" s="1"/>
  <c r="AQ113" i="13"/>
  <c r="Q286" i="40" s="1"/>
  <c r="Y417" i="5"/>
  <c r="AQ200" i="13"/>
  <c r="AQ192" i="13"/>
  <c r="Q404" i="40" s="1"/>
  <c r="AQ199" i="13"/>
  <c r="AQ191" i="13"/>
  <c r="Q403" i="40" s="1"/>
  <c r="AQ196" i="13"/>
  <c r="Q490" i="40" s="1"/>
  <c r="AQ188" i="13"/>
  <c r="Q285" i="40" s="1"/>
  <c r="AQ198" i="13"/>
  <c r="AQ190" i="13"/>
  <c r="Q364" i="40" s="1"/>
  <c r="AQ182" i="13"/>
  <c r="Q125" i="40" s="1"/>
  <c r="AQ202" i="13"/>
  <c r="AQ179" i="13"/>
  <c r="Q48" i="40" s="1"/>
  <c r="AQ201" i="13"/>
  <c r="AQ178" i="13"/>
  <c r="Q47" i="40" s="1"/>
  <c r="AQ186" i="13"/>
  <c r="Q245" i="40" s="1"/>
  <c r="AQ195" i="13"/>
  <c r="Q489" i="40" s="1"/>
  <c r="AQ187" i="13"/>
  <c r="Q284" i="40" s="1"/>
  <c r="AQ166" i="13"/>
  <c r="AQ206" i="13"/>
  <c r="AQ171" i="13"/>
  <c r="AQ185" i="13"/>
  <c r="Q204" i="40" s="1"/>
  <c r="AQ183" i="13"/>
  <c r="Q164" i="40" s="1"/>
  <c r="AQ181" i="13"/>
  <c r="Q124" i="40" s="1"/>
  <c r="AQ180" i="13"/>
  <c r="Q87" i="40" s="1"/>
  <c r="AQ177" i="13"/>
  <c r="Q10" i="40" s="1"/>
  <c r="AQ172" i="13"/>
  <c r="AQ168" i="13"/>
  <c r="AQ162" i="13"/>
  <c r="AQ123" i="13"/>
  <c r="AQ194" i="13"/>
  <c r="Q447" i="40" s="1"/>
  <c r="AQ197" i="13"/>
  <c r="AQ101" i="13"/>
  <c r="AQ167" i="13"/>
  <c r="AQ102" i="13"/>
  <c r="AQ189" i="13"/>
  <c r="Q326" i="40" s="1"/>
  <c r="AQ193" i="13"/>
  <c r="Q446" i="40" s="1"/>
  <c r="AQ173" i="13"/>
  <c r="AQ163" i="13"/>
  <c r="AQ184" i="13"/>
  <c r="Q203" i="40" s="1"/>
  <c r="AQ165" i="13"/>
  <c r="AQ164" i="13"/>
  <c r="AQ204" i="13"/>
  <c r="AQ170" i="13"/>
  <c r="AQ126" i="13"/>
  <c r="AQ104" i="13"/>
  <c r="AQ132" i="13"/>
  <c r="AQ100" i="13"/>
  <c r="AQ129" i="13"/>
  <c r="AQ99" i="13"/>
  <c r="AQ207" i="13"/>
  <c r="AQ169" i="13"/>
  <c r="AQ203" i="13"/>
  <c r="AQ205" i="13"/>
  <c r="AQ174" i="13"/>
  <c r="AQ176" i="13"/>
  <c r="AQ125" i="13"/>
  <c r="AQ175" i="13"/>
  <c r="AQ127" i="13"/>
  <c r="AQ103" i="13"/>
  <c r="AQ105" i="13"/>
  <c r="AQ293" i="13"/>
  <c r="D432" i="5"/>
  <c r="D435" i="5" s="1"/>
  <c r="E429" i="5"/>
  <c r="F407" i="5" s="1"/>
  <c r="AR4" i="13"/>
  <c r="G472" i="5"/>
  <c r="H450" i="5" s="1"/>
  <c r="D38" i="5"/>
  <c r="E23" i="5"/>
  <c r="E35" i="5"/>
  <c r="D480" i="5"/>
  <c r="E477" i="5"/>
  <c r="D466" i="5"/>
  <c r="Y310" i="5"/>
  <c r="E310" i="5" s="1"/>
  <c r="F288" i="5" s="1"/>
  <c r="E314" i="5"/>
  <c r="D313" i="5"/>
  <c r="D315" i="5" s="1"/>
  <c r="M21" i="40" l="1"/>
  <c r="E521" i="5"/>
  <c r="E518" i="5"/>
  <c r="G493" i="5"/>
  <c r="F493" i="5"/>
  <c r="H493" i="5"/>
  <c r="D520" i="5"/>
  <c r="P506" i="5" s="1"/>
  <c r="J298" i="40"/>
  <c r="Q13" i="40"/>
  <c r="Q15" i="40" s="1"/>
  <c r="I60" i="40"/>
  <c r="J65" i="40"/>
  <c r="J66" i="40" s="1"/>
  <c r="K62" i="40" s="1"/>
  <c r="J55" i="40"/>
  <c r="J57" i="40" s="1"/>
  <c r="J59" i="40" s="1"/>
  <c r="K137" i="40"/>
  <c r="L98" i="40"/>
  <c r="Q51" i="40"/>
  <c r="Q54" i="40" s="1"/>
  <c r="O267" i="40"/>
  <c r="O248" i="40"/>
  <c r="O249" i="40" s="1"/>
  <c r="O251" i="40" s="1"/>
  <c r="O252" i="40" s="1"/>
  <c r="O254" i="40" s="1"/>
  <c r="O256" i="40" s="1"/>
  <c r="O257" i="40" s="1"/>
  <c r="N207" i="40"/>
  <c r="N208" i="40" s="1"/>
  <c r="N211" i="40" s="1"/>
  <c r="N212" i="40" s="1"/>
  <c r="N214" i="40" s="1"/>
  <c r="N216" i="40" s="1"/>
  <c r="N217" i="40" s="1"/>
  <c r="N229" i="40"/>
  <c r="K303" i="40"/>
  <c r="K304" i="40" s="1"/>
  <c r="L300" i="40" s="1"/>
  <c r="K293" i="40"/>
  <c r="K295" i="40" s="1"/>
  <c r="K297" i="40" s="1"/>
  <c r="K298" i="40" s="1"/>
  <c r="N493" i="40"/>
  <c r="N494" i="40" s="1"/>
  <c r="N497" i="40" s="1"/>
  <c r="N498" i="40" s="1"/>
  <c r="N500" i="40" s="1"/>
  <c r="N502" i="40" s="1"/>
  <c r="N503" i="40" s="1"/>
  <c r="N515" i="40"/>
  <c r="O186" i="40"/>
  <c r="O167" i="40"/>
  <c r="O168" i="40" s="1"/>
  <c r="O170" i="40" s="1"/>
  <c r="O171" i="40" s="1"/>
  <c r="O173" i="40" s="1"/>
  <c r="O175" i="40" s="1"/>
  <c r="O176" i="40" s="1"/>
  <c r="O367" i="40"/>
  <c r="O368" i="40" s="1"/>
  <c r="O370" i="40" s="1"/>
  <c r="O371" i="40" s="1"/>
  <c r="O373" i="40" s="1"/>
  <c r="O375" i="40" s="1"/>
  <c r="O376" i="40" s="1"/>
  <c r="O386" i="40"/>
  <c r="L142" i="40"/>
  <c r="L143" i="40" s="1"/>
  <c r="M139" i="40" s="1"/>
  <c r="L132" i="40"/>
  <c r="L134" i="40" s="1"/>
  <c r="L136" i="40" s="1"/>
  <c r="Q90" i="40"/>
  <c r="Q92" i="40" s="1"/>
  <c r="N25" i="40"/>
  <c r="N26" i="40" s="1"/>
  <c r="O23" i="40" s="1"/>
  <c r="N16" i="40"/>
  <c r="N18" i="40" s="1"/>
  <c r="N20" i="40" s="1"/>
  <c r="Q128" i="40"/>
  <c r="Q131" i="40" s="1"/>
  <c r="M102" i="40"/>
  <c r="M103" i="40" s="1"/>
  <c r="N100" i="40" s="1"/>
  <c r="M93" i="40"/>
  <c r="M95" i="40" s="1"/>
  <c r="M97" i="40" s="1"/>
  <c r="N288" i="40"/>
  <c r="N289" i="40" s="1"/>
  <c r="N292" i="40" s="1"/>
  <c r="N310" i="40"/>
  <c r="N472" i="40"/>
  <c r="N450" i="40"/>
  <c r="N451" i="40" s="1"/>
  <c r="N454" i="40" s="1"/>
  <c r="N455" i="40" s="1"/>
  <c r="N457" i="40" s="1"/>
  <c r="N459" i="40" s="1"/>
  <c r="N460" i="40" s="1"/>
  <c r="N429" i="40"/>
  <c r="N407" i="40"/>
  <c r="N408" i="40" s="1"/>
  <c r="N411" i="40" s="1"/>
  <c r="N412" i="40" s="1"/>
  <c r="N414" i="40" s="1"/>
  <c r="N416" i="40" s="1"/>
  <c r="N417" i="40" s="1"/>
  <c r="O329" i="40"/>
  <c r="O330" i="40" s="1"/>
  <c r="O332" i="40" s="1"/>
  <c r="O333" i="40" s="1"/>
  <c r="O335" i="40" s="1"/>
  <c r="O337" i="40" s="1"/>
  <c r="O338" i="40" s="1"/>
  <c r="O348" i="40"/>
  <c r="E435" i="5"/>
  <c r="E25" i="5"/>
  <c r="E462" i="5"/>
  <c r="X62" i="26"/>
  <c r="B62" i="26" s="1"/>
  <c r="T301" i="5"/>
  <c r="S301" i="5"/>
  <c r="U301" i="5"/>
  <c r="R301" i="5"/>
  <c r="Q301" i="5"/>
  <c r="P301" i="5"/>
  <c r="O301" i="5"/>
  <c r="N301" i="5"/>
  <c r="M301" i="5"/>
  <c r="L301" i="5"/>
  <c r="K301" i="5"/>
  <c r="J301" i="5"/>
  <c r="I301" i="5"/>
  <c r="X301" i="5"/>
  <c r="H301" i="5"/>
  <c r="E301" i="5"/>
  <c r="W301" i="5"/>
  <c r="G301" i="5"/>
  <c r="V301" i="5"/>
  <c r="F301" i="5"/>
  <c r="E506" i="5"/>
  <c r="T506" i="5"/>
  <c r="B61" i="26"/>
  <c r="D434" i="5"/>
  <c r="E432" i="5"/>
  <c r="AR308" i="13"/>
  <c r="AR311" i="13"/>
  <c r="AR314" i="13"/>
  <c r="AR301" i="13"/>
  <c r="AR304" i="13"/>
  <c r="AR307" i="13"/>
  <c r="AR310" i="13"/>
  <c r="AR313" i="13"/>
  <c r="AR316" i="13"/>
  <c r="AR300" i="13"/>
  <c r="AR303" i="13"/>
  <c r="AR306" i="13"/>
  <c r="AR309" i="13"/>
  <c r="AR312" i="13"/>
  <c r="AR315" i="13"/>
  <c r="AR299" i="13"/>
  <c r="AR294" i="13"/>
  <c r="AR287" i="13"/>
  <c r="AR290" i="13"/>
  <c r="AR297" i="13"/>
  <c r="AR291" i="13"/>
  <c r="AR292" i="13"/>
  <c r="AR285" i="13"/>
  <c r="AR296" i="13"/>
  <c r="AR298" i="13"/>
  <c r="AR278" i="13"/>
  <c r="AR279" i="13"/>
  <c r="AR302" i="13"/>
  <c r="AR284" i="13"/>
  <c r="AR305" i="13"/>
  <c r="AR288" i="13"/>
  <c r="AR295" i="13"/>
  <c r="AR281" i="13"/>
  <c r="AR289" i="13"/>
  <c r="AR282" i="13"/>
  <c r="AR280" i="13"/>
  <c r="AR286" i="13"/>
  <c r="AR283" i="13"/>
  <c r="F429" i="5"/>
  <c r="G407" i="5" s="1"/>
  <c r="AR117" i="13"/>
  <c r="R448" i="40" s="1"/>
  <c r="AR124" i="13"/>
  <c r="AR114" i="13"/>
  <c r="R327" i="40" s="1"/>
  <c r="AR119" i="13"/>
  <c r="AR116" i="13"/>
  <c r="R405" i="40" s="1"/>
  <c r="AR95" i="13"/>
  <c r="AR122" i="13"/>
  <c r="AR110" i="13"/>
  <c r="R165" i="40" s="1"/>
  <c r="AR118" i="13"/>
  <c r="R491" i="40" s="1"/>
  <c r="AR115" i="13"/>
  <c r="R365" i="40" s="1"/>
  <c r="AR94" i="13"/>
  <c r="AR128" i="13"/>
  <c r="AR91" i="13"/>
  <c r="AR96" i="13"/>
  <c r="AR97" i="13"/>
  <c r="AR93" i="13"/>
  <c r="AR98" i="13"/>
  <c r="AR106" i="13"/>
  <c r="R11" i="40" s="1"/>
  <c r="AR92" i="13"/>
  <c r="AR121" i="13"/>
  <c r="AR120" i="13"/>
  <c r="AR112" i="13"/>
  <c r="R246" i="40" s="1"/>
  <c r="AR107" i="13"/>
  <c r="R49" i="40" s="1"/>
  <c r="AR108" i="13"/>
  <c r="R88" i="40" s="1"/>
  <c r="AR111" i="13"/>
  <c r="R205" i="40" s="1"/>
  <c r="AR113" i="13"/>
  <c r="R286" i="40" s="1"/>
  <c r="AR109" i="13"/>
  <c r="R126" i="40" s="1"/>
  <c r="AR199" i="13"/>
  <c r="AR191" i="13"/>
  <c r="R403" i="40" s="1"/>
  <c r="AR201" i="13"/>
  <c r="AR193" i="13"/>
  <c r="R446" i="40" s="1"/>
  <c r="AR185" i="13"/>
  <c r="R204" i="40" s="1"/>
  <c r="AR206" i="13"/>
  <c r="AR188" i="13"/>
  <c r="R285" i="40" s="1"/>
  <c r="AR202" i="13"/>
  <c r="AR192" i="13"/>
  <c r="R404" i="40" s="1"/>
  <c r="AR179" i="13"/>
  <c r="R48" i="40" s="1"/>
  <c r="AR196" i="13"/>
  <c r="R490" i="40" s="1"/>
  <c r="AR190" i="13"/>
  <c r="R364" i="40" s="1"/>
  <c r="AR186" i="13"/>
  <c r="R245" i="40" s="1"/>
  <c r="AR183" i="13"/>
  <c r="R164" i="40" s="1"/>
  <c r="AR167" i="13"/>
  <c r="AR166" i="13"/>
  <c r="AR171" i="13"/>
  <c r="AR197" i="13"/>
  <c r="AR184" i="13"/>
  <c r="R203" i="40" s="1"/>
  <c r="AR182" i="13"/>
  <c r="R125" i="40" s="1"/>
  <c r="AR163" i="13"/>
  <c r="AR189" i="13"/>
  <c r="R326" i="40" s="1"/>
  <c r="AR187" i="13"/>
  <c r="R284" i="40" s="1"/>
  <c r="AR162" i="13"/>
  <c r="AR123" i="13"/>
  <c r="AR165" i="13"/>
  <c r="AR200" i="13"/>
  <c r="AR181" i="13"/>
  <c r="R124" i="40" s="1"/>
  <c r="AR195" i="13"/>
  <c r="R489" i="40" s="1"/>
  <c r="AR132" i="13"/>
  <c r="AR198" i="13"/>
  <c r="AR102" i="13"/>
  <c r="AR177" i="13"/>
  <c r="R10" i="40" s="1"/>
  <c r="AR100" i="13"/>
  <c r="AR180" i="13"/>
  <c r="R87" i="40" s="1"/>
  <c r="AR173" i="13"/>
  <c r="AR172" i="13"/>
  <c r="AR194" i="13"/>
  <c r="R447" i="40" s="1"/>
  <c r="AR178" i="13"/>
  <c r="R47" i="40" s="1"/>
  <c r="AR101" i="13"/>
  <c r="AR164" i="13"/>
  <c r="AR207" i="13"/>
  <c r="AR168" i="13"/>
  <c r="AR175" i="13"/>
  <c r="AR169" i="13"/>
  <c r="AR129" i="13"/>
  <c r="AR170" i="13"/>
  <c r="AR103" i="13"/>
  <c r="AR174" i="13"/>
  <c r="AR293" i="13"/>
  <c r="AR105" i="13"/>
  <c r="AR203" i="13"/>
  <c r="AR176" i="13"/>
  <c r="AR104" i="13"/>
  <c r="AR127" i="13"/>
  <c r="AR204" i="13"/>
  <c r="AR126" i="13"/>
  <c r="AR125" i="13"/>
  <c r="AR99" i="13"/>
  <c r="AR205" i="13"/>
  <c r="H472" i="5"/>
  <c r="I450" i="5" s="1"/>
  <c r="AS4" i="13"/>
  <c r="D417" i="5"/>
  <c r="E313" i="5"/>
  <c r="D316" i="5"/>
  <c r="F310" i="5"/>
  <c r="G310" i="5" s="1"/>
  <c r="E315" i="5"/>
  <c r="D304" i="5"/>
  <c r="I515" i="5"/>
  <c r="I493" i="5"/>
  <c r="U506" i="5" l="1"/>
  <c r="F506" i="5"/>
  <c r="V506" i="5"/>
  <c r="D509" i="5"/>
  <c r="G506" i="5"/>
  <c r="E520" i="5"/>
  <c r="D523" i="5"/>
  <c r="W506" i="5"/>
  <c r="Q506" i="5"/>
  <c r="H506" i="5"/>
  <c r="X506" i="5"/>
  <c r="I506" i="5"/>
  <c r="J506" i="5"/>
  <c r="K506" i="5"/>
  <c r="L506" i="5"/>
  <c r="R506" i="5"/>
  <c r="S506" i="5"/>
  <c r="J60" i="40"/>
  <c r="M506" i="5"/>
  <c r="N506" i="5"/>
  <c r="O506" i="5"/>
  <c r="R13" i="40"/>
  <c r="R15" i="40" s="1"/>
  <c r="K65" i="40"/>
  <c r="K66" i="40" s="1"/>
  <c r="L62" i="40" s="1"/>
  <c r="K55" i="40"/>
  <c r="K57" i="40" s="1"/>
  <c r="K59" i="40" s="1"/>
  <c r="R51" i="40"/>
  <c r="R54" i="40" s="1"/>
  <c r="R90" i="40"/>
  <c r="R92" i="40" s="1"/>
  <c r="O429" i="40"/>
  <c r="O407" i="40"/>
  <c r="O408" i="40" s="1"/>
  <c r="O411" i="40" s="1"/>
  <c r="O412" i="40" s="1"/>
  <c r="O414" i="40" s="1"/>
  <c r="O416" i="40" s="1"/>
  <c r="O417" i="40" s="1"/>
  <c r="M142" i="40"/>
  <c r="M143" i="40" s="1"/>
  <c r="N139" i="40" s="1"/>
  <c r="M132" i="40"/>
  <c r="M134" i="40" s="1"/>
  <c r="M136" i="40" s="1"/>
  <c r="P386" i="40"/>
  <c r="P367" i="40"/>
  <c r="P368" i="40" s="1"/>
  <c r="P370" i="40" s="1"/>
  <c r="P371" i="40" s="1"/>
  <c r="P373" i="40" s="1"/>
  <c r="P375" i="40" s="1"/>
  <c r="P376" i="40" s="1"/>
  <c r="O472" i="40"/>
  <c r="O450" i="40"/>
  <c r="O451" i="40" s="1"/>
  <c r="O454" i="40" s="1"/>
  <c r="O455" i="40" s="1"/>
  <c r="O457" i="40" s="1"/>
  <c r="O459" i="40" s="1"/>
  <c r="O460" i="40" s="1"/>
  <c r="O310" i="40"/>
  <c r="O288" i="40"/>
  <c r="O289" i="40" s="1"/>
  <c r="O292" i="40" s="1"/>
  <c r="P186" i="40"/>
  <c r="P167" i="40"/>
  <c r="P168" i="40" s="1"/>
  <c r="P170" i="40" s="1"/>
  <c r="P171" i="40" s="1"/>
  <c r="P173" i="40" s="1"/>
  <c r="P175" i="40" s="1"/>
  <c r="P176" i="40" s="1"/>
  <c r="M98" i="40"/>
  <c r="O515" i="40"/>
  <c r="O493" i="40"/>
  <c r="O494" i="40" s="1"/>
  <c r="O497" i="40" s="1"/>
  <c r="O498" i="40" s="1"/>
  <c r="O500" i="40" s="1"/>
  <c r="O502" i="40" s="1"/>
  <c r="O503" i="40" s="1"/>
  <c r="N102" i="40"/>
  <c r="N103" i="40" s="1"/>
  <c r="O100" i="40" s="1"/>
  <c r="N93" i="40"/>
  <c r="N95" i="40" s="1"/>
  <c r="N97" i="40" s="1"/>
  <c r="L303" i="40"/>
  <c r="L304" i="40" s="1"/>
  <c r="M300" i="40" s="1"/>
  <c r="L293" i="40"/>
  <c r="L295" i="40" s="1"/>
  <c r="L297" i="40" s="1"/>
  <c r="N21" i="40"/>
  <c r="O229" i="40"/>
  <c r="O207" i="40"/>
  <c r="O208" i="40" s="1"/>
  <c r="O211" i="40" s="1"/>
  <c r="O212" i="40" s="1"/>
  <c r="O214" i="40" s="1"/>
  <c r="O216" i="40" s="1"/>
  <c r="O217" i="40" s="1"/>
  <c r="O25" i="40"/>
  <c r="O26" i="40" s="1"/>
  <c r="P23" i="40" s="1"/>
  <c r="O16" i="40"/>
  <c r="O18" i="40" s="1"/>
  <c r="O20" i="40" s="1"/>
  <c r="R128" i="40"/>
  <c r="R131" i="40" s="1"/>
  <c r="P329" i="40"/>
  <c r="P330" i="40" s="1"/>
  <c r="P332" i="40" s="1"/>
  <c r="P333" i="40" s="1"/>
  <c r="P335" i="40" s="1"/>
  <c r="P337" i="40" s="1"/>
  <c r="P338" i="40" s="1"/>
  <c r="P348" i="40"/>
  <c r="L137" i="40"/>
  <c r="P248" i="40"/>
  <c r="P249" i="40" s="1"/>
  <c r="P251" i="40" s="1"/>
  <c r="P252" i="40" s="1"/>
  <c r="P254" i="40" s="1"/>
  <c r="P256" i="40" s="1"/>
  <c r="P257" i="40" s="1"/>
  <c r="P267" i="40"/>
  <c r="E465" i="5"/>
  <c r="D318" i="5"/>
  <c r="E26" i="5"/>
  <c r="E505" i="5"/>
  <c r="E300" i="5"/>
  <c r="X420" i="5"/>
  <c r="H420" i="5"/>
  <c r="W420" i="5"/>
  <c r="G420" i="5"/>
  <c r="V420" i="5"/>
  <c r="F420" i="5"/>
  <c r="U420" i="5"/>
  <c r="E420" i="5"/>
  <c r="T420" i="5"/>
  <c r="S420" i="5"/>
  <c r="R420" i="5"/>
  <c r="I420" i="5"/>
  <c r="Q420" i="5"/>
  <c r="P420" i="5"/>
  <c r="O420" i="5"/>
  <c r="N420" i="5"/>
  <c r="M420" i="5"/>
  <c r="L420" i="5"/>
  <c r="K420" i="5"/>
  <c r="J420" i="5"/>
  <c r="D437" i="5"/>
  <c r="E434" i="5"/>
  <c r="D423" i="5"/>
  <c r="G429" i="5"/>
  <c r="H407" i="5" s="1"/>
  <c r="AS308" i="13"/>
  <c r="AS311" i="13"/>
  <c r="AS314" i="13"/>
  <c r="AS304" i="13"/>
  <c r="AS307" i="13"/>
  <c r="AS310" i="13"/>
  <c r="AS313" i="13"/>
  <c r="AS316" i="13"/>
  <c r="AS303" i="13"/>
  <c r="AS306" i="13"/>
  <c r="AS309" i="13"/>
  <c r="AS312" i="13"/>
  <c r="AS315" i="13"/>
  <c r="AS299" i="13"/>
  <c r="AS302" i="13"/>
  <c r="AS295" i="13"/>
  <c r="AS285" i="13"/>
  <c r="AS300" i="13"/>
  <c r="AS290" i="13"/>
  <c r="AS279" i="13"/>
  <c r="AS301" i="13"/>
  <c r="AS298" i="13"/>
  <c r="AS294" i="13"/>
  <c r="AS296" i="13"/>
  <c r="AS292" i="13"/>
  <c r="AS286" i="13"/>
  <c r="AS305" i="13"/>
  <c r="AS288" i="13"/>
  <c r="AS278" i="13"/>
  <c r="AS297" i="13"/>
  <c r="AS281" i="13"/>
  <c r="AS289" i="13"/>
  <c r="AS282" i="13"/>
  <c r="AS283" i="13"/>
  <c r="AS284" i="13"/>
  <c r="AS280" i="13"/>
  <c r="AS291" i="13"/>
  <c r="AS287" i="13"/>
  <c r="AS124" i="13"/>
  <c r="AS119" i="13"/>
  <c r="AS98" i="13"/>
  <c r="AS116" i="13"/>
  <c r="S405" i="40" s="1"/>
  <c r="AS95" i="13"/>
  <c r="AS122" i="13"/>
  <c r="AS110" i="13"/>
  <c r="S165" i="40" s="1"/>
  <c r="AS118" i="13"/>
  <c r="S491" i="40" s="1"/>
  <c r="AS115" i="13"/>
  <c r="S365" i="40" s="1"/>
  <c r="AS94" i="13"/>
  <c r="AS128" i="13"/>
  <c r="AS121" i="13"/>
  <c r="AS106" i="13"/>
  <c r="S11" i="40" s="1"/>
  <c r="AS117" i="13"/>
  <c r="S448" i="40" s="1"/>
  <c r="AS96" i="13"/>
  <c r="AS91" i="13"/>
  <c r="AS97" i="13"/>
  <c r="AS93" i="13"/>
  <c r="AS92" i="13"/>
  <c r="AS114" i="13"/>
  <c r="S327" i="40" s="1"/>
  <c r="AS111" i="13"/>
  <c r="S205" i="40" s="1"/>
  <c r="AS120" i="13"/>
  <c r="AS112" i="13"/>
  <c r="S246" i="40" s="1"/>
  <c r="AS107" i="13"/>
  <c r="S49" i="40" s="1"/>
  <c r="AS108" i="13"/>
  <c r="S88" i="40" s="1"/>
  <c r="AS113" i="13"/>
  <c r="S286" i="40" s="1"/>
  <c r="AS109" i="13"/>
  <c r="S126" i="40" s="1"/>
  <c r="I472" i="5"/>
  <c r="J472" i="5" s="1"/>
  <c r="AS197" i="13"/>
  <c r="AS189" i="13"/>
  <c r="S326" i="40" s="1"/>
  <c r="AS196" i="13"/>
  <c r="S490" i="40" s="1"/>
  <c r="AS188" i="13"/>
  <c r="S285" i="40" s="1"/>
  <c r="AS201" i="13"/>
  <c r="AS193" i="13"/>
  <c r="S446" i="40" s="1"/>
  <c r="AS185" i="13"/>
  <c r="S204" i="40" s="1"/>
  <c r="AS206" i="13"/>
  <c r="AS195" i="13"/>
  <c r="S489" i="40" s="1"/>
  <c r="AS187" i="13"/>
  <c r="S284" i="40" s="1"/>
  <c r="AS202" i="13"/>
  <c r="AS192" i="13"/>
  <c r="S404" i="40" s="1"/>
  <c r="AS179" i="13"/>
  <c r="S48" i="40" s="1"/>
  <c r="AS184" i="13"/>
  <c r="S203" i="40" s="1"/>
  <c r="AS183" i="13"/>
  <c r="S164" i="40" s="1"/>
  <c r="AS194" i="13"/>
  <c r="S447" i="40" s="1"/>
  <c r="AS200" i="13"/>
  <c r="AS173" i="13"/>
  <c r="AS166" i="13"/>
  <c r="AS164" i="13"/>
  <c r="AS182" i="13"/>
  <c r="S125" i="40" s="1"/>
  <c r="AS163" i="13"/>
  <c r="AS167" i="13"/>
  <c r="AS198" i="13"/>
  <c r="AS186" i="13"/>
  <c r="S245" i="40" s="1"/>
  <c r="AS101" i="13"/>
  <c r="AS162" i="13"/>
  <c r="AS102" i="13"/>
  <c r="AS177" i="13"/>
  <c r="S10" i="40" s="1"/>
  <c r="AS168" i="13"/>
  <c r="AS181" i="13"/>
  <c r="S124" i="40" s="1"/>
  <c r="AS180" i="13"/>
  <c r="S87" i="40" s="1"/>
  <c r="AS171" i="13"/>
  <c r="AS190" i="13"/>
  <c r="S364" i="40" s="1"/>
  <c r="AS199" i="13"/>
  <c r="AS178" i="13"/>
  <c r="S47" i="40" s="1"/>
  <c r="AS191" i="13"/>
  <c r="S403" i="40" s="1"/>
  <c r="AS132" i="13"/>
  <c r="AS165" i="13"/>
  <c r="AS100" i="13"/>
  <c r="AS123" i="13"/>
  <c r="AS204" i="13"/>
  <c r="AS126" i="13"/>
  <c r="AS104" i="13"/>
  <c r="AS174" i="13"/>
  <c r="AS172" i="13"/>
  <c r="AS207" i="13"/>
  <c r="AS129" i="13"/>
  <c r="AS99" i="13"/>
  <c r="AS169" i="13"/>
  <c r="AS205" i="13"/>
  <c r="AS293" i="13"/>
  <c r="AS176" i="13"/>
  <c r="AS105" i="13"/>
  <c r="AS127" i="13"/>
  <c r="AS170" i="13"/>
  <c r="AS103" i="13"/>
  <c r="AS203" i="13"/>
  <c r="AS175" i="13"/>
  <c r="AS125" i="13"/>
  <c r="AT4" i="13"/>
  <c r="D298" i="5"/>
  <c r="E316" i="5"/>
  <c r="G288" i="5"/>
  <c r="H310" i="5"/>
  <c r="H288" i="5"/>
  <c r="J515" i="5"/>
  <c r="J493" i="5"/>
  <c r="K60" i="40" l="1"/>
  <c r="N98" i="40"/>
  <c r="S13" i="40"/>
  <c r="S15" i="40" s="1"/>
  <c r="M137" i="40"/>
  <c r="O21" i="40"/>
  <c r="L298" i="40"/>
  <c r="S128" i="40"/>
  <c r="S131" i="40" s="1"/>
  <c r="L65" i="40"/>
  <c r="L66" i="40" s="1"/>
  <c r="M62" i="40" s="1"/>
  <c r="L55" i="40"/>
  <c r="L57" i="40" s="1"/>
  <c r="L59" i="40" s="1"/>
  <c r="S90" i="40"/>
  <c r="S92" i="40" s="1"/>
  <c r="S51" i="40"/>
  <c r="S54" i="40" s="1"/>
  <c r="Q186" i="40"/>
  <c r="Q167" i="40"/>
  <c r="Q168" i="40" s="1"/>
  <c r="Q170" i="40" s="1"/>
  <c r="Q171" i="40" s="1"/>
  <c r="Q173" i="40" s="1"/>
  <c r="Q175" i="40" s="1"/>
  <c r="Q176" i="40" s="1"/>
  <c r="P25" i="40"/>
  <c r="P26" i="40" s="1"/>
  <c r="Q23" i="40" s="1"/>
  <c r="P16" i="40"/>
  <c r="P18" i="40" s="1"/>
  <c r="P20" i="40" s="1"/>
  <c r="P21" i="40" s="1"/>
  <c r="P229" i="40"/>
  <c r="P207" i="40"/>
  <c r="P208" i="40" s="1"/>
  <c r="P211" i="40" s="1"/>
  <c r="P212" i="40" s="1"/>
  <c r="P214" i="40" s="1"/>
  <c r="P216" i="40" s="1"/>
  <c r="P217" i="40" s="1"/>
  <c r="P310" i="40"/>
  <c r="P288" i="40"/>
  <c r="P289" i="40" s="1"/>
  <c r="P292" i="40" s="1"/>
  <c r="Q267" i="40"/>
  <c r="Q248" i="40"/>
  <c r="Q249" i="40" s="1"/>
  <c r="Q251" i="40" s="1"/>
  <c r="Q252" i="40" s="1"/>
  <c r="Q254" i="40" s="1"/>
  <c r="Q256" i="40" s="1"/>
  <c r="Q257" i="40" s="1"/>
  <c r="M303" i="40"/>
  <c r="M304" i="40" s="1"/>
  <c r="N300" i="40" s="1"/>
  <c r="M293" i="40"/>
  <c r="M295" i="40" s="1"/>
  <c r="M297" i="40" s="1"/>
  <c r="P450" i="40"/>
  <c r="P451" i="40" s="1"/>
  <c r="P454" i="40" s="1"/>
  <c r="P455" i="40" s="1"/>
  <c r="P457" i="40" s="1"/>
  <c r="P459" i="40" s="1"/>
  <c r="P460" i="40" s="1"/>
  <c r="P472" i="40"/>
  <c r="Q367" i="40"/>
  <c r="Q368" i="40" s="1"/>
  <c r="Q370" i="40" s="1"/>
  <c r="Q371" i="40" s="1"/>
  <c r="Q373" i="40" s="1"/>
  <c r="Q375" i="40" s="1"/>
  <c r="Q376" i="40" s="1"/>
  <c r="Q386" i="40"/>
  <c r="O102" i="40"/>
  <c r="O103" i="40" s="1"/>
  <c r="P100" i="40" s="1"/>
  <c r="O93" i="40"/>
  <c r="O95" i="40" s="1"/>
  <c r="O97" i="40" s="1"/>
  <c r="N142" i="40"/>
  <c r="N143" i="40" s="1"/>
  <c r="O139" i="40" s="1"/>
  <c r="N132" i="40"/>
  <c r="N134" i="40" s="1"/>
  <c r="N136" i="40" s="1"/>
  <c r="Q348" i="40"/>
  <c r="Q329" i="40"/>
  <c r="Q330" i="40" s="1"/>
  <c r="Q332" i="40" s="1"/>
  <c r="Q333" i="40" s="1"/>
  <c r="Q335" i="40" s="1"/>
  <c r="Q337" i="40" s="1"/>
  <c r="Q338" i="40" s="1"/>
  <c r="P515" i="40"/>
  <c r="P493" i="40"/>
  <c r="P494" i="40" s="1"/>
  <c r="P497" i="40" s="1"/>
  <c r="P498" i="40" s="1"/>
  <c r="P500" i="40" s="1"/>
  <c r="P502" i="40" s="1"/>
  <c r="P503" i="40" s="1"/>
  <c r="P407" i="40"/>
  <c r="P408" i="40" s="1"/>
  <c r="P411" i="40" s="1"/>
  <c r="P412" i="40" s="1"/>
  <c r="P414" i="40" s="1"/>
  <c r="P416" i="40" s="1"/>
  <c r="P417" i="40" s="1"/>
  <c r="P429" i="40"/>
  <c r="E508" i="5"/>
  <c r="E466" i="5"/>
  <c r="E303" i="5"/>
  <c r="F23" i="5"/>
  <c r="E419" i="5"/>
  <c r="H429" i="5"/>
  <c r="I407" i="5" s="1"/>
  <c r="AT311" i="13"/>
  <c r="AT314" i="13"/>
  <c r="AT307" i="13"/>
  <c r="AT310" i="13"/>
  <c r="AT313" i="13"/>
  <c r="AT297" i="13"/>
  <c r="AT316" i="13"/>
  <c r="AT306" i="13"/>
  <c r="AT309" i="13"/>
  <c r="AT312" i="13"/>
  <c r="AT315" i="13"/>
  <c r="AT302" i="13"/>
  <c r="AT305" i="13"/>
  <c r="AT301" i="13"/>
  <c r="AT288" i="13"/>
  <c r="AT298" i="13"/>
  <c r="AT296" i="13"/>
  <c r="AT279" i="13"/>
  <c r="AT282" i="13"/>
  <c r="AT295" i="13"/>
  <c r="AT289" i="13"/>
  <c r="AT292" i="13"/>
  <c r="AT285" i="13"/>
  <c r="AT286" i="13"/>
  <c r="AT308" i="13"/>
  <c r="AT299" i="13"/>
  <c r="AT300" i="13"/>
  <c r="AT291" i="13"/>
  <c r="AT294" i="13"/>
  <c r="AT303" i="13"/>
  <c r="AT283" i="13"/>
  <c r="AT304" i="13"/>
  <c r="AT287" i="13"/>
  <c r="AT281" i="13"/>
  <c r="AT290" i="13"/>
  <c r="AT284" i="13"/>
  <c r="AT278" i="13"/>
  <c r="AT280" i="13"/>
  <c r="J450" i="5"/>
  <c r="AT124" i="13"/>
  <c r="AT114" i="13"/>
  <c r="T327" i="40" s="1"/>
  <c r="AT119" i="13"/>
  <c r="AT116" i="13"/>
  <c r="T405" i="40" s="1"/>
  <c r="AT122" i="13"/>
  <c r="AT110" i="13"/>
  <c r="T165" i="40" s="1"/>
  <c r="AT118" i="13"/>
  <c r="T491" i="40" s="1"/>
  <c r="AT97" i="13"/>
  <c r="AT115" i="13"/>
  <c r="T365" i="40" s="1"/>
  <c r="AT128" i="13"/>
  <c r="AT121" i="13"/>
  <c r="AT106" i="13"/>
  <c r="T11" i="40" s="1"/>
  <c r="AT94" i="13"/>
  <c r="AT96" i="13"/>
  <c r="AT95" i="13"/>
  <c r="AT93" i="13"/>
  <c r="AT98" i="13"/>
  <c r="AT117" i="13"/>
  <c r="T448" i="40" s="1"/>
  <c r="AT92" i="13"/>
  <c r="AT91" i="13"/>
  <c r="AT107" i="13"/>
  <c r="T49" i="40" s="1"/>
  <c r="AT120" i="13"/>
  <c r="AT111" i="13"/>
  <c r="T205" i="40" s="1"/>
  <c r="AT112" i="13"/>
  <c r="T246" i="40" s="1"/>
  <c r="AT108" i="13"/>
  <c r="T88" i="40" s="1"/>
  <c r="AT113" i="13"/>
  <c r="T286" i="40" s="1"/>
  <c r="AT109" i="13"/>
  <c r="T126" i="40" s="1"/>
  <c r="AT196" i="13"/>
  <c r="T490" i="40" s="1"/>
  <c r="AT188" i="13"/>
  <c r="T285" i="40" s="1"/>
  <c r="AT198" i="13"/>
  <c r="AT190" i="13"/>
  <c r="T364" i="40" s="1"/>
  <c r="AT206" i="13"/>
  <c r="AT200" i="13"/>
  <c r="AT184" i="13"/>
  <c r="T203" i="40" s="1"/>
  <c r="AT185" i="13"/>
  <c r="T204" i="40" s="1"/>
  <c r="AT194" i="13"/>
  <c r="T447" i="40" s="1"/>
  <c r="AT180" i="13"/>
  <c r="T87" i="40" s="1"/>
  <c r="AT193" i="13"/>
  <c r="T446" i="40" s="1"/>
  <c r="AT202" i="13"/>
  <c r="AT173" i="13"/>
  <c r="AT197" i="13"/>
  <c r="AT167" i="13"/>
  <c r="AT195" i="13"/>
  <c r="T489" i="40" s="1"/>
  <c r="AT191" i="13"/>
  <c r="T403" i="40" s="1"/>
  <c r="AT187" i="13"/>
  <c r="T284" i="40" s="1"/>
  <c r="AT100" i="13"/>
  <c r="AT192" i="13"/>
  <c r="T404" i="40" s="1"/>
  <c r="AT183" i="13"/>
  <c r="T164" i="40" s="1"/>
  <c r="AT179" i="13"/>
  <c r="T48" i="40" s="1"/>
  <c r="AT132" i="13"/>
  <c r="AT201" i="13"/>
  <c r="AT177" i="13"/>
  <c r="T10" i="40" s="1"/>
  <c r="AT166" i="13"/>
  <c r="AT182" i="13"/>
  <c r="T125" i="40" s="1"/>
  <c r="AT168" i="13"/>
  <c r="AT189" i="13"/>
  <c r="T326" i="40" s="1"/>
  <c r="AT181" i="13"/>
  <c r="T124" i="40" s="1"/>
  <c r="AT123" i="13"/>
  <c r="AT171" i="13"/>
  <c r="AT186" i="13"/>
  <c r="T245" i="40" s="1"/>
  <c r="AT199" i="13"/>
  <c r="AT163" i="13"/>
  <c r="AT178" i="13"/>
  <c r="T47" i="40" s="1"/>
  <c r="AT165" i="13"/>
  <c r="AT162" i="13"/>
  <c r="AT102" i="13"/>
  <c r="AT203" i="13"/>
  <c r="AT205" i="13"/>
  <c r="AT176" i="13"/>
  <c r="AT169" i="13"/>
  <c r="AT174" i="13"/>
  <c r="AT172" i="13"/>
  <c r="AT126" i="13"/>
  <c r="AT293" i="13"/>
  <c r="AT125" i="13"/>
  <c r="AT99" i="13"/>
  <c r="AT164" i="13"/>
  <c r="AT204" i="13"/>
  <c r="AT105" i="13"/>
  <c r="AT207" i="13"/>
  <c r="AT129" i="13"/>
  <c r="AT170" i="13"/>
  <c r="AT101" i="13"/>
  <c r="AT103" i="13"/>
  <c r="AT175" i="13"/>
  <c r="AT104" i="13"/>
  <c r="AT127" i="13"/>
  <c r="AU4" i="13"/>
  <c r="I288" i="5"/>
  <c r="I310" i="5"/>
  <c r="K515" i="5"/>
  <c r="K493" i="5"/>
  <c r="K472" i="5"/>
  <c r="K450" i="5"/>
  <c r="T128" i="40" l="1"/>
  <c r="T131" i="40" s="1"/>
  <c r="L60" i="40"/>
  <c r="M65" i="40"/>
  <c r="M66" i="40" s="1"/>
  <c r="N62" i="40" s="1"/>
  <c r="M55" i="40"/>
  <c r="M57" i="40" s="1"/>
  <c r="M59" i="40" s="1"/>
  <c r="T51" i="40"/>
  <c r="T54" i="40" s="1"/>
  <c r="N137" i="40"/>
  <c r="N303" i="40"/>
  <c r="N304" i="40" s="1"/>
  <c r="O300" i="40" s="1"/>
  <c r="N293" i="40"/>
  <c r="N295" i="40" s="1"/>
  <c r="N297" i="40" s="1"/>
  <c r="O142" i="40"/>
  <c r="O143" i="40" s="1"/>
  <c r="P139" i="40" s="1"/>
  <c r="O132" i="40"/>
  <c r="O134" i="40" s="1"/>
  <c r="O136" i="40" s="1"/>
  <c r="R267" i="40"/>
  <c r="R248" i="40"/>
  <c r="R249" i="40" s="1"/>
  <c r="R251" i="40" s="1"/>
  <c r="R252" i="40" s="1"/>
  <c r="R254" i="40" s="1"/>
  <c r="R256" i="40" s="1"/>
  <c r="R257" i="40" s="1"/>
  <c r="Q288" i="40"/>
  <c r="Q289" i="40" s="1"/>
  <c r="Q292" i="40" s="1"/>
  <c r="Q310" i="40"/>
  <c r="O98" i="40"/>
  <c r="P102" i="40"/>
  <c r="P103" i="40" s="1"/>
  <c r="Q100" i="40" s="1"/>
  <c r="P93" i="40"/>
  <c r="P95" i="40" s="1"/>
  <c r="P97" i="40" s="1"/>
  <c r="T90" i="40"/>
  <c r="T92" i="40" s="1"/>
  <c r="Q229" i="40"/>
  <c r="Q207" i="40"/>
  <c r="Q208" i="40" s="1"/>
  <c r="Q211" i="40" s="1"/>
  <c r="Q212" i="40" s="1"/>
  <c r="Q214" i="40" s="1"/>
  <c r="Q216" i="40" s="1"/>
  <c r="Q217" i="40" s="1"/>
  <c r="T13" i="40"/>
  <c r="T15" i="40" s="1"/>
  <c r="R367" i="40"/>
  <c r="R368" i="40" s="1"/>
  <c r="R370" i="40" s="1"/>
  <c r="R371" i="40" s="1"/>
  <c r="R373" i="40" s="1"/>
  <c r="R375" i="40" s="1"/>
  <c r="R376" i="40" s="1"/>
  <c r="R386" i="40"/>
  <c r="Q429" i="40"/>
  <c r="Q407" i="40"/>
  <c r="Q408" i="40" s="1"/>
  <c r="Q411" i="40" s="1"/>
  <c r="Q412" i="40" s="1"/>
  <c r="Q414" i="40" s="1"/>
  <c r="Q416" i="40" s="1"/>
  <c r="Q417" i="40" s="1"/>
  <c r="Q25" i="40"/>
  <c r="Q26" i="40" s="1"/>
  <c r="R23" i="40" s="1"/>
  <c r="Q16" i="40"/>
  <c r="Q18" i="40" s="1"/>
  <c r="Q20" i="40" s="1"/>
  <c r="Q515" i="40"/>
  <c r="Q493" i="40"/>
  <c r="Q494" i="40" s="1"/>
  <c r="Q497" i="40" s="1"/>
  <c r="Q498" i="40" s="1"/>
  <c r="Q500" i="40" s="1"/>
  <c r="Q502" i="40" s="1"/>
  <c r="Q503" i="40" s="1"/>
  <c r="Q472" i="40"/>
  <c r="Q450" i="40"/>
  <c r="Q451" i="40" s="1"/>
  <c r="Q454" i="40" s="1"/>
  <c r="Q455" i="40" s="1"/>
  <c r="Q457" i="40" s="1"/>
  <c r="Q459" i="40" s="1"/>
  <c r="Q460" i="40" s="1"/>
  <c r="R167" i="40"/>
  <c r="R168" i="40" s="1"/>
  <c r="R170" i="40" s="1"/>
  <c r="R171" i="40" s="1"/>
  <c r="R173" i="40" s="1"/>
  <c r="R175" i="40" s="1"/>
  <c r="R176" i="40" s="1"/>
  <c r="R186" i="40"/>
  <c r="R348" i="40"/>
  <c r="R329" i="40"/>
  <c r="R330" i="40" s="1"/>
  <c r="R332" i="40" s="1"/>
  <c r="R333" i="40" s="1"/>
  <c r="R335" i="40" s="1"/>
  <c r="R337" i="40" s="1"/>
  <c r="R338" i="40" s="1"/>
  <c r="M298" i="40"/>
  <c r="E509" i="5"/>
  <c r="F462" i="5"/>
  <c r="E422" i="5"/>
  <c r="E304" i="5"/>
  <c r="F25" i="5"/>
  <c r="I429" i="5"/>
  <c r="J407" i="5" s="1"/>
  <c r="AU314" i="13"/>
  <c r="AU307" i="13"/>
  <c r="AU310" i="13"/>
  <c r="AU313" i="13"/>
  <c r="AU297" i="13"/>
  <c r="AU316" i="13"/>
  <c r="AU300" i="13"/>
  <c r="AU309" i="13"/>
  <c r="AU312" i="13"/>
  <c r="AU315" i="13"/>
  <c r="AU305" i="13"/>
  <c r="AU308" i="13"/>
  <c r="AU291" i="13"/>
  <c r="AU296" i="13"/>
  <c r="AU302" i="13"/>
  <c r="AU304" i="13"/>
  <c r="AU301" i="13"/>
  <c r="AU298" i="13"/>
  <c r="AU289" i="13"/>
  <c r="AU282" i="13"/>
  <c r="AU292" i="13"/>
  <c r="AU286" i="13"/>
  <c r="AU283" i="13"/>
  <c r="AU287" i="13"/>
  <c r="AU311" i="13"/>
  <c r="AU306" i="13"/>
  <c r="AU299" i="13"/>
  <c r="AU285" i="13"/>
  <c r="AU279" i="13"/>
  <c r="AU280" i="13"/>
  <c r="AU294" i="13"/>
  <c r="AU303" i="13"/>
  <c r="AU295" i="13"/>
  <c r="AU288" i="13"/>
  <c r="AU290" i="13"/>
  <c r="AU281" i="13"/>
  <c r="AU278" i="13"/>
  <c r="AU284" i="13"/>
  <c r="AU119" i="13"/>
  <c r="AU116" i="13"/>
  <c r="U405" i="40" s="1"/>
  <c r="AU95" i="13"/>
  <c r="AU122" i="13"/>
  <c r="AU110" i="13"/>
  <c r="U165" i="40" s="1"/>
  <c r="AU118" i="13"/>
  <c r="U491" i="40" s="1"/>
  <c r="AU97" i="13"/>
  <c r="AU115" i="13"/>
  <c r="U365" i="40" s="1"/>
  <c r="AU128" i="13"/>
  <c r="AU121" i="13"/>
  <c r="AU106" i="13"/>
  <c r="U11" i="40" s="1"/>
  <c r="AU117" i="13"/>
  <c r="U448" i="40" s="1"/>
  <c r="AU96" i="13"/>
  <c r="AU124" i="13"/>
  <c r="AU114" i="13"/>
  <c r="U327" i="40" s="1"/>
  <c r="AU93" i="13"/>
  <c r="AU98" i="13"/>
  <c r="AU92" i="13"/>
  <c r="AU94" i="13"/>
  <c r="AU91" i="13"/>
  <c r="AU109" i="13"/>
  <c r="U126" i="40" s="1"/>
  <c r="AU120" i="13"/>
  <c r="AU108" i="13"/>
  <c r="U88" i="40" s="1"/>
  <c r="AU111" i="13"/>
  <c r="U205" i="40" s="1"/>
  <c r="AU112" i="13"/>
  <c r="U246" i="40" s="1"/>
  <c r="AU107" i="13"/>
  <c r="U49" i="40" s="1"/>
  <c r="AU113" i="13"/>
  <c r="U286" i="40" s="1"/>
  <c r="AU202" i="13"/>
  <c r="AU194" i="13"/>
  <c r="U447" i="40" s="1"/>
  <c r="AU186" i="13"/>
  <c r="U245" i="40" s="1"/>
  <c r="AU201" i="13"/>
  <c r="AU193" i="13"/>
  <c r="U446" i="40" s="1"/>
  <c r="AU185" i="13"/>
  <c r="U204" i="40" s="1"/>
  <c r="AU198" i="13"/>
  <c r="AU190" i="13"/>
  <c r="U364" i="40" s="1"/>
  <c r="AU206" i="13"/>
  <c r="AU200" i="13"/>
  <c r="AU192" i="13"/>
  <c r="U404" i="40" s="1"/>
  <c r="AU184" i="13"/>
  <c r="U203" i="40" s="1"/>
  <c r="AU196" i="13"/>
  <c r="U490" i="40" s="1"/>
  <c r="AU189" i="13"/>
  <c r="U326" i="40" s="1"/>
  <c r="AU181" i="13"/>
  <c r="U124" i="40" s="1"/>
  <c r="AU180" i="13"/>
  <c r="U87" i="40" s="1"/>
  <c r="AU187" i="13"/>
  <c r="U284" i="40" s="1"/>
  <c r="AU199" i="13"/>
  <c r="AU197" i="13"/>
  <c r="AU168" i="13"/>
  <c r="AU178" i="13"/>
  <c r="U47" i="40" s="1"/>
  <c r="AU195" i="13"/>
  <c r="U489" i="40" s="1"/>
  <c r="AU177" i="13"/>
  <c r="U10" i="40" s="1"/>
  <c r="AU165" i="13"/>
  <c r="AU102" i="13"/>
  <c r="AU188" i="13"/>
  <c r="U285" i="40" s="1"/>
  <c r="AU183" i="13"/>
  <c r="U164" i="40" s="1"/>
  <c r="AU167" i="13"/>
  <c r="AU182" i="13"/>
  <c r="U125" i="40" s="1"/>
  <c r="AU123" i="13"/>
  <c r="AU171" i="13"/>
  <c r="AU164" i="13"/>
  <c r="AU172" i="13"/>
  <c r="AU173" i="13"/>
  <c r="AU179" i="13"/>
  <c r="U48" i="40" s="1"/>
  <c r="AU163" i="13"/>
  <c r="AU101" i="13"/>
  <c r="AU191" i="13"/>
  <c r="U403" i="40" s="1"/>
  <c r="AU166" i="13"/>
  <c r="AU293" i="13"/>
  <c r="AU203" i="13"/>
  <c r="AU162" i="13"/>
  <c r="AU100" i="13"/>
  <c r="AU132" i="13"/>
  <c r="AU125" i="13"/>
  <c r="AU103" i="13"/>
  <c r="AU169" i="13"/>
  <c r="AU205" i="13"/>
  <c r="AU176" i="13"/>
  <c r="AU127" i="13"/>
  <c r="AU105" i="13"/>
  <c r="AU175" i="13"/>
  <c r="AU207" i="13"/>
  <c r="AU129" i="13"/>
  <c r="AU104" i="13"/>
  <c r="AU126" i="13"/>
  <c r="AU204" i="13"/>
  <c r="AU170" i="13"/>
  <c r="AU174" i="13"/>
  <c r="AU99" i="13"/>
  <c r="AV4" i="13"/>
  <c r="J288" i="5"/>
  <c r="J310" i="5"/>
  <c r="L450" i="5"/>
  <c r="L472" i="5"/>
  <c r="L515" i="5"/>
  <c r="L493" i="5"/>
  <c r="M60" i="40" l="1"/>
  <c r="N298" i="40"/>
  <c r="J429" i="5"/>
  <c r="O137" i="40"/>
  <c r="U90" i="40"/>
  <c r="U92" i="40" s="1"/>
  <c r="Q21" i="40"/>
  <c r="P98" i="40"/>
  <c r="N55" i="40"/>
  <c r="N57" i="40" s="1"/>
  <c r="N59" i="40" s="1"/>
  <c r="N65" i="40"/>
  <c r="N66" i="40" s="1"/>
  <c r="O62" i="40" s="1"/>
  <c r="Q102" i="40"/>
  <c r="Q103" i="40" s="1"/>
  <c r="R100" i="40" s="1"/>
  <c r="Q93" i="40"/>
  <c r="Q95" i="40" s="1"/>
  <c r="Q97" i="40" s="1"/>
  <c r="Q98" i="40" s="1"/>
  <c r="R472" i="40"/>
  <c r="R450" i="40"/>
  <c r="R451" i="40" s="1"/>
  <c r="R454" i="40" s="1"/>
  <c r="R455" i="40" s="1"/>
  <c r="R457" i="40" s="1"/>
  <c r="R459" i="40" s="1"/>
  <c r="R460" i="40" s="1"/>
  <c r="R288" i="40"/>
  <c r="R289" i="40" s="1"/>
  <c r="R292" i="40" s="1"/>
  <c r="R310" i="40"/>
  <c r="U128" i="40"/>
  <c r="U131" i="40" s="1"/>
  <c r="R493" i="40"/>
  <c r="R494" i="40" s="1"/>
  <c r="R497" i="40" s="1"/>
  <c r="R498" i="40" s="1"/>
  <c r="R500" i="40" s="1"/>
  <c r="R502" i="40" s="1"/>
  <c r="R503" i="40" s="1"/>
  <c r="R515" i="40"/>
  <c r="R25" i="40"/>
  <c r="R26" i="40" s="1"/>
  <c r="S23" i="40" s="1"/>
  <c r="R16" i="40"/>
  <c r="R18" i="40" s="1"/>
  <c r="R20" i="40" s="1"/>
  <c r="R429" i="40"/>
  <c r="R407" i="40"/>
  <c r="R408" i="40" s="1"/>
  <c r="R411" i="40" s="1"/>
  <c r="R412" i="40" s="1"/>
  <c r="R414" i="40" s="1"/>
  <c r="R416" i="40" s="1"/>
  <c r="R417" i="40" s="1"/>
  <c r="S386" i="40"/>
  <c r="S367" i="40"/>
  <c r="S368" i="40" s="1"/>
  <c r="S370" i="40" s="1"/>
  <c r="S371" i="40" s="1"/>
  <c r="S373" i="40" s="1"/>
  <c r="S375" i="40" s="1"/>
  <c r="S376" i="40" s="1"/>
  <c r="S267" i="40"/>
  <c r="S248" i="40"/>
  <c r="S249" i="40" s="1"/>
  <c r="S251" i="40" s="1"/>
  <c r="S252" i="40" s="1"/>
  <c r="S254" i="40" s="1"/>
  <c r="S256" i="40" s="1"/>
  <c r="S257" i="40" s="1"/>
  <c r="U13" i="40"/>
  <c r="U15" i="40" s="1"/>
  <c r="S348" i="40"/>
  <c r="S329" i="40"/>
  <c r="S330" i="40" s="1"/>
  <c r="S332" i="40" s="1"/>
  <c r="S333" i="40" s="1"/>
  <c r="S335" i="40" s="1"/>
  <c r="S337" i="40" s="1"/>
  <c r="S338" i="40" s="1"/>
  <c r="P142" i="40"/>
  <c r="P143" i="40" s="1"/>
  <c r="Q139" i="40" s="1"/>
  <c r="P132" i="40"/>
  <c r="P134" i="40" s="1"/>
  <c r="P136" i="40" s="1"/>
  <c r="U51" i="40"/>
  <c r="U54" i="40" s="1"/>
  <c r="S167" i="40"/>
  <c r="S168" i="40" s="1"/>
  <c r="S170" i="40" s="1"/>
  <c r="S171" i="40" s="1"/>
  <c r="S173" i="40" s="1"/>
  <c r="S175" i="40" s="1"/>
  <c r="S176" i="40" s="1"/>
  <c r="S186" i="40"/>
  <c r="R229" i="40"/>
  <c r="R207" i="40"/>
  <c r="R208" i="40" s="1"/>
  <c r="R211" i="40" s="1"/>
  <c r="R212" i="40" s="1"/>
  <c r="R214" i="40" s="1"/>
  <c r="R216" i="40" s="1"/>
  <c r="R217" i="40" s="1"/>
  <c r="O303" i="40"/>
  <c r="O304" i="40" s="1"/>
  <c r="P300" i="40" s="1"/>
  <c r="O293" i="40"/>
  <c r="O295" i="40" s="1"/>
  <c r="O297" i="40" s="1"/>
  <c r="F505" i="5"/>
  <c r="F465" i="5"/>
  <c r="E423" i="5"/>
  <c r="F300" i="5"/>
  <c r="F26" i="5"/>
  <c r="AV307" i="13"/>
  <c r="AV310" i="13"/>
  <c r="AV313" i="13"/>
  <c r="AV297" i="13"/>
  <c r="AV316" i="13"/>
  <c r="AV300" i="13"/>
  <c r="AV303" i="13"/>
  <c r="AV309" i="13"/>
  <c r="AV312" i="13"/>
  <c r="AV315" i="13"/>
  <c r="AV299" i="13"/>
  <c r="AV308" i="13"/>
  <c r="AV311" i="13"/>
  <c r="AV301" i="13"/>
  <c r="AV294" i="13"/>
  <c r="AV302" i="13"/>
  <c r="AV286" i="13"/>
  <c r="AV291" i="13"/>
  <c r="AV287" i="13"/>
  <c r="AV285" i="13"/>
  <c r="AV280" i="13"/>
  <c r="AV292" i="13"/>
  <c r="AV290" i="13"/>
  <c r="AV288" i="13"/>
  <c r="AV284" i="13"/>
  <c r="AV298" i="13"/>
  <c r="AV314" i="13"/>
  <c r="AV296" i="13"/>
  <c r="AV306" i="13"/>
  <c r="AV279" i="13"/>
  <c r="AV295" i="13"/>
  <c r="AV304" i="13"/>
  <c r="AV289" i="13"/>
  <c r="AV282" i="13"/>
  <c r="AV305" i="13"/>
  <c r="AV283" i="13"/>
  <c r="AV278" i="13"/>
  <c r="AV281" i="13"/>
  <c r="AV119" i="13"/>
  <c r="AV116" i="13"/>
  <c r="V405" i="40" s="1"/>
  <c r="AV122" i="13"/>
  <c r="AV118" i="13"/>
  <c r="V491" i="40" s="1"/>
  <c r="AV97" i="13"/>
  <c r="AV115" i="13"/>
  <c r="V365" i="40" s="1"/>
  <c r="AV128" i="13"/>
  <c r="AV121" i="13"/>
  <c r="AV117" i="13"/>
  <c r="V448" i="40" s="1"/>
  <c r="AV96" i="13"/>
  <c r="AV95" i="13"/>
  <c r="AV98" i="13"/>
  <c r="AV124" i="13"/>
  <c r="AV110" i="13"/>
  <c r="V165" i="40" s="1"/>
  <c r="AV114" i="13"/>
  <c r="V327" i="40" s="1"/>
  <c r="AV92" i="13"/>
  <c r="AV106" i="13"/>
  <c r="V11" i="40" s="1"/>
  <c r="AV91" i="13"/>
  <c r="AV93" i="13"/>
  <c r="AV94" i="13"/>
  <c r="AV107" i="13"/>
  <c r="V49" i="40" s="1"/>
  <c r="AV120" i="13"/>
  <c r="AV108" i="13"/>
  <c r="V88" i="40" s="1"/>
  <c r="AV111" i="13"/>
  <c r="V205" i="40" s="1"/>
  <c r="AV112" i="13"/>
  <c r="V246" i="40" s="1"/>
  <c r="AV113" i="13"/>
  <c r="V286" i="40" s="1"/>
  <c r="AV109" i="13"/>
  <c r="V126" i="40" s="1"/>
  <c r="AV201" i="13"/>
  <c r="AV193" i="13"/>
  <c r="V446" i="40" s="1"/>
  <c r="AV185" i="13"/>
  <c r="V204" i="40" s="1"/>
  <c r="AV206" i="13"/>
  <c r="AV195" i="13"/>
  <c r="V489" i="40" s="1"/>
  <c r="AV187" i="13"/>
  <c r="V284" i="40" s="1"/>
  <c r="AV196" i="13"/>
  <c r="V490" i="40" s="1"/>
  <c r="AV184" i="13"/>
  <c r="V203" i="40" s="1"/>
  <c r="AV189" i="13"/>
  <c r="V326" i="40" s="1"/>
  <c r="AV181" i="13"/>
  <c r="V124" i="40" s="1"/>
  <c r="AV177" i="13"/>
  <c r="V10" i="40" s="1"/>
  <c r="AV202" i="13"/>
  <c r="AV199" i="13"/>
  <c r="AV183" i="13"/>
  <c r="V164" i="40" s="1"/>
  <c r="AV182" i="13"/>
  <c r="V125" i="40" s="1"/>
  <c r="AV178" i="13"/>
  <c r="V47" i="40" s="1"/>
  <c r="AV171" i="13"/>
  <c r="AV200" i="13"/>
  <c r="AV197" i="13"/>
  <c r="AV168" i="13"/>
  <c r="AV188" i="13"/>
  <c r="V285" i="40" s="1"/>
  <c r="AV198" i="13"/>
  <c r="AV194" i="13"/>
  <c r="V447" i="40" s="1"/>
  <c r="AV165" i="13"/>
  <c r="AV191" i="13"/>
  <c r="V403" i="40" s="1"/>
  <c r="AV102" i="13"/>
  <c r="AV164" i="13"/>
  <c r="AV173" i="13"/>
  <c r="AV123" i="13"/>
  <c r="AV132" i="13"/>
  <c r="AV192" i="13"/>
  <c r="V404" i="40" s="1"/>
  <c r="AV180" i="13"/>
  <c r="V87" i="40" s="1"/>
  <c r="AV172" i="13"/>
  <c r="AV186" i="13"/>
  <c r="V245" i="40" s="1"/>
  <c r="AV179" i="13"/>
  <c r="V48" i="40" s="1"/>
  <c r="AV190" i="13"/>
  <c r="V364" i="40" s="1"/>
  <c r="AV101" i="13"/>
  <c r="AV162" i="13"/>
  <c r="AV166" i="13"/>
  <c r="AV167" i="13"/>
  <c r="AV100" i="13"/>
  <c r="AV205" i="13"/>
  <c r="AV163" i="13"/>
  <c r="AV174" i="13"/>
  <c r="AV293" i="13"/>
  <c r="AV203" i="13"/>
  <c r="AV170" i="13"/>
  <c r="AV99" i="13"/>
  <c r="AV175" i="13"/>
  <c r="AV207" i="13"/>
  <c r="AV129" i="13"/>
  <c r="AV169" i="13"/>
  <c r="AV104" i="13"/>
  <c r="AV127" i="13"/>
  <c r="AV105" i="13"/>
  <c r="AV176" i="13"/>
  <c r="AV204" i="13"/>
  <c r="AV125" i="13"/>
  <c r="AV103" i="13"/>
  <c r="AV126" i="13"/>
  <c r="AW4" i="13"/>
  <c r="K429" i="5"/>
  <c r="K407" i="5"/>
  <c r="K288" i="5"/>
  <c r="K310" i="5"/>
  <c r="M493" i="5"/>
  <c r="M515" i="5"/>
  <c r="M472" i="5"/>
  <c r="M450" i="5"/>
  <c r="V90" i="40" l="1"/>
  <c r="V92" i="40" s="1"/>
  <c r="P137" i="40"/>
  <c r="N60" i="40"/>
  <c r="O298" i="40"/>
  <c r="V13" i="40"/>
  <c r="V15" i="40" s="1"/>
  <c r="O65" i="40"/>
  <c r="O66" i="40" s="1"/>
  <c r="P62" i="40" s="1"/>
  <c r="O55" i="40"/>
  <c r="O57" i="40" s="1"/>
  <c r="O59" i="40" s="1"/>
  <c r="O60" i="40" s="1"/>
  <c r="V128" i="40"/>
  <c r="V131" i="40" s="1"/>
  <c r="S25" i="40"/>
  <c r="S26" i="40" s="1"/>
  <c r="T23" i="40" s="1"/>
  <c r="S16" i="40"/>
  <c r="S18" i="40" s="1"/>
  <c r="S20" i="40" s="1"/>
  <c r="Q142" i="40"/>
  <c r="Q143" i="40" s="1"/>
  <c r="R139" i="40" s="1"/>
  <c r="Q132" i="40"/>
  <c r="Q134" i="40" s="1"/>
  <c r="Q136" i="40" s="1"/>
  <c r="V51" i="40"/>
  <c r="V54" i="40" s="1"/>
  <c r="S515" i="40"/>
  <c r="S493" i="40"/>
  <c r="S494" i="40" s="1"/>
  <c r="S497" i="40" s="1"/>
  <c r="S498" i="40" s="1"/>
  <c r="S500" i="40" s="1"/>
  <c r="S502" i="40" s="1"/>
  <c r="S503" i="40" s="1"/>
  <c r="T348" i="40"/>
  <c r="T329" i="40"/>
  <c r="T330" i="40" s="1"/>
  <c r="T332" i="40" s="1"/>
  <c r="T333" i="40" s="1"/>
  <c r="T335" i="40" s="1"/>
  <c r="T337" i="40" s="1"/>
  <c r="T338" i="40" s="1"/>
  <c r="S288" i="40"/>
  <c r="S289" i="40" s="1"/>
  <c r="S292" i="40" s="1"/>
  <c r="S310" i="40"/>
  <c r="T248" i="40"/>
  <c r="T249" i="40" s="1"/>
  <c r="T251" i="40" s="1"/>
  <c r="T252" i="40" s="1"/>
  <c r="T254" i="40" s="1"/>
  <c r="T256" i="40" s="1"/>
  <c r="T257" i="40" s="1"/>
  <c r="T267" i="40"/>
  <c r="P303" i="40"/>
  <c r="P304" i="40" s="1"/>
  <c r="Q300" i="40" s="1"/>
  <c r="P293" i="40"/>
  <c r="P295" i="40" s="1"/>
  <c r="P297" i="40" s="1"/>
  <c r="P298" i="40" s="1"/>
  <c r="T386" i="40"/>
  <c r="T367" i="40"/>
  <c r="T368" i="40" s="1"/>
  <c r="T370" i="40" s="1"/>
  <c r="T371" i="40" s="1"/>
  <c r="T373" i="40" s="1"/>
  <c r="T375" i="40" s="1"/>
  <c r="T376" i="40" s="1"/>
  <c r="S472" i="40"/>
  <c r="S450" i="40"/>
  <c r="S451" i="40" s="1"/>
  <c r="S454" i="40" s="1"/>
  <c r="S455" i="40" s="1"/>
  <c r="S457" i="40" s="1"/>
  <c r="S459" i="40" s="1"/>
  <c r="S460" i="40" s="1"/>
  <c r="S207" i="40"/>
  <c r="S208" i="40" s="1"/>
  <c r="S211" i="40" s="1"/>
  <c r="S212" i="40" s="1"/>
  <c r="S214" i="40" s="1"/>
  <c r="S216" i="40" s="1"/>
  <c r="S217" i="40" s="1"/>
  <c r="S229" i="40"/>
  <c r="S407" i="40"/>
  <c r="S408" i="40" s="1"/>
  <c r="S411" i="40" s="1"/>
  <c r="S412" i="40" s="1"/>
  <c r="S414" i="40" s="1"/>
  <c r="S416" i="40" s="1"/>
  <c r="S417" i="40" s="1"/>
  <c r="S429" i="40"/>
  <c r="T186" i="40"/>
  <c r="T167" i="40"/>
  <c r="T168" i="40" s="1"/>
  <c r="T170" i="40" s="1"/>
  <c r="T171" i="40" s="1"/>
  <c r="T173" i="40" s="1"/>
  <c r="T175" i="40" s="1"/>
  <c r="T176" i="40" s="1"/>
  <c r="R102" i="40"/>
  <c r="R103" i="40" s="1"/>
  <c r="S100" i="40" s="1"/>
  <c r="R93" i="40"/>
  <c r="R95" i="40" s="1"/>
  <c r="R97" i="40" s="1"/>
  <c r="R21" i="40"/>
  <c r="F508" i="5"/>
  <c r="F466" i="5"/>
  <c r="F419" i="5"/>
  <c r="F303" i="5"/>
  <c r="G23" i="5"/>
  <c r="AW307" i="13"/>
  <c r="AW310" i="13"/>
  <c r="AW313" i="13"/>
  <c r="AW316" i="13"/>
  <c r="AW300" i="13"/>
  <c r="AW303" i="13"/>
  <c r="AW306" i="13"/>
  <c r="AW309" i="13"/>
  <c r="AW312" i="13"/>
  <c r="AW315" i="13"/>
  <c r="AW299" i="13"/>
  <c r="AW302" i="13"/>
  <c r="AW305" i="13"/>
  <c r="AW308" i="13"/>
  <c r="AW311" i="13"/>
  <c r="AW314" i="13"/>
  <c r="AW298" i="13"/>
  <c r="AW286" i="13"/>
  <c r="AW289" i="13"/>
  <c r="AW283" i="13"/>
  <c r="AW290" i="13"/>
  <c r="AW288" i="13"/>
  <c r="AW284" i="13"/>
  <c r="AW281" i="13"/>
  <c r="AW296" i="13"/>
  <c r="AW287" i="13"/>
  <c r="AW297" i="13"/>
  <c r="AW285" i="13"/>
  <c r="AW292" i="13"/>
  <c r="AW280" i="13"/>
  <c r="AW294" i="13"/>
  <c r="AW291" i="13"/>
  <c r="AW301" i="13"/>
  <c r="AW295" i="13"/>
  <c r="AW304" i="13"/>
  <c r="AW282" i="13"/>
  <c r="AW279" i="13"/>
  <c r="AW278" i="13"/>
  <c r="AW116" i="13"/>
  <c r="W405" i="40" s="1"/>
  <c r="AW122" i="13"/>
  <c r="AW110" i="13"/>
  <c r="W165" i="40" s="1"/>
  <c r="AW118" i="13"/>
  <c r="W491" i="40" s="1"/>
  <c r="AW97" i="13"/>
  <c r="AW115" i="13"/>
  <c r="W365" i="40" s="1"/>
  <c r="AW94" i="13"/>
  <c r="AW128" i="13"/>
  <c r="AW121" i="13"/>
  <c r="AW106" i="13"/>
  <c r="W11" i="40" s="1"/>
  <c r="AW117" i="13"/>
  <c r="W448" i="40" s="1"/>
  <c r="AW96" i="13"/>
  <c r="AW124" i="13"/>
  <c r="AW114" i="13"/>
  <c r="W327" i="40" s="1"/>
  <c r="AW119" i="13"/>
  <c r="AW98" i="13"/>
  <c r="AW92" i="13"/>
  <c r="AW91" i="13"/>
  <c r="AW95" i="13"/>
  <c r="AW93" i="13"/>
  <c r="AW120" i="13"/>
  <c r="AW107" i="13"/>
  <c r="W49" i="40" s="1"/>
  <c r="AW112" i="13"/>
  <c r="W246" i="40" s="1"/>
  <c r="AW111" i="13"/>
  <c r="W205" i="40" s="1"/>
  <c r="AW108" i="13"/>
  <c r="W88" i="40" s="1"/>
  <c r="AW109" i="13"/>
  <c r="W126" i="40" s="1"/>
  <c r="AW113" i="13"/>
  <c r="W286" i="40" s="1"/>
  <c r="AW199" i="13"/>
  <c r="AW191" i="13"/>
  <c r="W403" i="40" s="1"/>
  <c r="AW198" i="13"/>
  <c r="AW190" i="13"/>
  <c r="W364" i="40" s="1"/>
  <c r="AW206" i="13"/>
  <c r="AW195" i="13"/>
  <c r="W489" i="40" s="1"/>
  <c r="AW187" i="13"/>
  <c r="W284" i="40" s="1"/>
  <c r="AW197" i="13"/>
  <c r="AW189" i="13"/>
  <c r="W326" i="40" s="1"/>
  <c r="AW181" i="13"/>
  <c r="W124" i="40" s="1"/>
  <c r="AW185" i="13"/>
  <c r="W204" i="40" s="1"/>
  <c r="AW178" i="13"/>
  <c r="W47" i="40" s="1"/>
  <c r="AW177" i="13"/>
  <c r="W10" i="40" s="1"/>
  <c r="AW180" i="13"/>
  <c r="W87" i="40" s="1"/>
  <c r="AW179" i="13"/>
  <c r="W48" i="40" s="1"/>
  <c r="AW196" i="13"/>
  <c r="W490" i="40" s="1"/>
  <c r="AW188" i="13"/>
  <c r="W285" i="40" s="1"/>
  <c r="AW192" i="13"/>
  <c r="W404" i="40" s="1"/>
  <c r="AW173" i="13"/>
  <c r="AW202" i="13"/>
  <c r="AW184" i="13"/>
  <c r="W203" i="40" s="1"/>
  <c r="AW165" i="13"/>
  <c r="AW193" i="13"/>
  <c r="W446" i="40" s="1"/>
  <c r="AW186" i="13"/>
  <c r="W245" i="40" s="1"/>
  <c r="AW166" i="13"/>
  <c r="AW163" i="13"/>
  <c r="AW194" i="13"/>
  <c r="W447" i="40" s="1"/>
  <c r="AW171" i="13"/>
  <c r="AW167" i="13"/>
  <c r="AW182" i="13"/>
  <c r="W125" i="40" s="1"/>
  <c r="AW123" i="13"/>
  <c r="AW200" i="13"/>
  <c r="AW168" i="13"/>
  <c r="AW164" i="13"/>
  <c r="AW132" i="13"/>
  <c r="AW172" i="13"/>
  <c r="AW201" i="13"/>
  <c r="AW162" i="13"/>
  <c r="AW183" i="13"/>
  <c r="W164" i="40" s="1"/>
  <c r="AW101" i="13"/>
  <c r="AW102" i="13"/>
  <c r="AW125" i="13"/>
  <c r="AW103" i="13"/>
  <c r="AW176" i="13"/>
  <c r="AW127" i="13"/>
  <c r="AW105" i="13"/>
  <c r="AW170" i="13"/>
  <c r="AW174" i="13"/>
  <c r="AW175" i="13"/>
  <c r="AW100" i="13"/>
  <c r="AW205" i="13"/>
  <c r="AW169" i="13"/>
  <c r="AW129" i="13"/>
  <c r="AW207" i="13"/>
  <c r="AW204" i="13"/>
  <c r="AW203" i="13"/>
  <c r="AW126" i="13"/>
  <c r="AW104" i="13"/>
  <c r="AW293" i="13"/>
  <c r="AW99" i="13"/>
  <c r="AX4" i="13"/>
  <c r="L407" i="5"/>
  <c r="L429" i="5"/>
  <c r="L310" i="5"/>
  <c r="L288" i="5"/>
  <c r="N515" i="5"/>
  <c r="O493" i="5" s="1"/>
  <c r="N493" i="5"/>
  <c r="N450" i="5"/>
  <c r="N472" i="5"/>
  <c r="O450" i="5" s="1"/>
  <c r="Q137" i="40" l="1"/>
  <c r="S21" i="40"/>
  <c r="W90" i="40"/>
  <c r="W92" i="40" s="1"/>
  <c r="W13" i="40"/>
  <c r="W15" i="40" s="1"/>
  <c r="R98" i="40"/>
  <c r="P65" i="40"/>
  <c r="P66" i="40" s="1"/>
  <c r="Q62" i="40" s="1"/>
  <c r="P55" i="40"/>
  <c r="P57" i="40" s="1"/>
  <c r="P59" i="40" s="1"/>
  <c r="T288" i="40"/>
  <c r="T289" i="40" s="1"/>
  <c r="T292" i="40" s="1"/>
  <c r="T310" i="40"/>
  <c r="T229" i="40"/>
  <c r="T207" i="40"/>
  <c r="T208" i="40" s="1"/>
  <c r="T211" i="40" s="1"/>
  <c r="T212" i="40" s="1"/>
  <c r="T214" i="40" s="1"/>
  <c r="T216" i="40" s="1"/>
  <c r="T217" i="40" s="1"/>
  <c r="T450" i="40"/>
  <c r="T451" i="40" s="1"/>
  <c r="T454" i="40" s="1"/>
  <c r="T455" i="40" s="1"/>
  <c r="T457" i="40" s="1"/>
  <c r="T459" i="40" s="1"/>
  <c r="T460" i="40" s="1"/>
  <c r="T472" i="40"/>
  <c r="W51" i="40"/>
  <c r="W54" i="40" s="1"/>
  <c r="U348" i="40"/>
  <c r="U329" i="40"/>
  <c r="U330" i="40" s="1"/>
  <c r="U332" i="40" s="1"/>
  <c r="U333" i="40" s="1"/>
  <c r="U335" i="40" s="1"/>
  <c r="U337" i="40" s="1"/>
  <c r="U338" i="40" s="1"/>
  <c r="W128" i="40"/>
  <c r="W131" i="40" s="1"/>
  <c r="U367" i="40"/>
  <c r="U368" i="40" s="1"/>
  <c r="U370" i="40" s="1"/>
  <c r="U371" i="40" s="1"/>
  <c r="U373" i="40" s="1"/>
  <c r="U375" i="40" s="1"/>
  <c r="U376" i="40" s="1"/>
  <c r="U386" i="40"/>
  <c r="T493" i="40"/>
  <c r="T494" i="40" s="1"/>
  <c r="T497" i="40" s="1"/>
  <c r="T498" i="40" s="1"/>
  <c r="T500" i="40" s="1"/>
  <c r="T502" i="40" s="1"/>
  <c r="T503" i="40" s="1"/>
  <c r="T515" i="40"/>
  <c r="Q303" i="40"/>
  <c r="Q304" i="40" s="1"/>
  <c r="R300" i="40" s="1"/>
  <c r="Q293" i="40"/>
  <c r="Q295" i="40" s="1"/>
  <c r="Q297" i="40" s="1"/>
  <c r="R142" i="40"/>
  <c r="R143" i="40" s="1"/>
  <c r="S139" i="40" s="1"/>
  <c r="R132" i="40"/>
  <c r="R134" i="40" s="1"/>
  <c r="R136" i="40" s="1"/>
  <c r="S102" i="40"/>
  <c r="S103" i="40" s="1"/>
  <c r="T100" i="40" s="1"/>
  <c r="S93" i="40"/>
  <c r="S95" i="40" s="1"/>
  <c r="S97" i="40" s="1"/>
  <c r="U248" i="40"/>
  <c r="U249" i="40" s="1"/>
  <c r="U251" i="40" s="1"/>
  <c r="U252" i="40" s="1"/>
  <c r="U254" i="40" s="1"/>
  <c r="U256" i="40" s="1"/>
  <c r="U257" i="40" s="1"/>
  <c r="U267" i="40"/>
  <c r="U186" i="40"/>
  <c r="U167" i="40"/>
  <c r="U168" i="40" s="1"/>
  <c r="U170" i="40" s="1"/>
  <c r="U171" i="40" s="1"/>
  <c r="U173" i="40" s="1"/>
  <c r="U175" i="40" s="1"/>
  <c r="U176" i="40" s="1"/>
  <c r="T25" i="40"/>
  <c r="T26" i="40" s="1"/>
  <c r="U23" i="40" s="1"/>
  <c r="T16" i="40"/>
  <c r="T18" i="40" s="1"/>
  <c r="T20" i="40" s="1"/>
  <c r="T429" i="40"/>
  <c r="T407" i="40"/>
  <c r="T408" i="40" s="1"/>
  <c r="T411" i="40" s="1"/>
  <c r="T412" i="40" s="1"/>
  <c r="T414" i="40" s="1"/>
  <c r="T416" i="40" s="1"/>
  <c r="T417" i="40" s="1"/>
  <c r="F509" i="5"/>
  <c r="G462" i="5"/>
  <c r="F422" i="5"/>
  <c r="F304" i="5"/>
  <c r="G25" i="5"/>
  <c r="AX307" i="13"/>
  <c r="AX310" i="13"/>
  <c r="AX313" i="13"/>
  <c r="AX316" i="13"/>
  <c r="AX303" i="13"/>
  <c r="AX306" i="13"/>
  <c r="AX309" i="13"/>
  <c r="AX312" i="13"/>
  <c r="AX315" i="13"/>
  <c r="AX302" i="13"/>
  <c r="AX305" i="13"/>
  <c r="AX308" i="13"/>
  <c r="AX311" i="13"/>
  <c r="AX314" i="13"/>
  <c r="AX298" i="13"/>
  <c r="AX301" i="13"/>
  <c r="AX294" i="13"/>
  <c r="AX284" i="13"/>
  <c r="AX296" i="13"/>
  <c r="AX289" i="13"/>
  <c r="AX304" i="13"/>
  <c r="AX292" i="13"/>
  <c r="AX286" i="13"/>
  <c r="AX283" i="13"/>
  <c r="AX279" i="13"/>
  <c r="AX287" i="13"/>
  <c r="AX282" i="13"/>
  <c r="AX280" i="13"/>
  <c r="AX278" i="13"/>
  <c r="AX297" i="13"/>
  <c r="AX299" i="13"/>
  <c r="AX300" i="13"/>
  <c r="AX291" i="13"/>
  <c r="AX295" i="13"/>
  <c r="AX290" i="13"/>
  <c r="AX288" i="13"/>
  <c r="AX281" i="13"/>
  <c r="AX285" i="13"/>
  <c r="AX116" i="13"/>
  <c r="X405" i="40" s="1"/>
  <c r="AX122" i="13"/>
  <c r="AX118" i="13"/>
  <c r="X491" i="40" s="1"/>
  <c r="AX115" i="13"/>
  <c r="X365" i="40" s="1"/>
  <c r="AX94" i="13"/>
  <c r="AX128" i="13"/>
  <c r="AX121" i="13"/>
  <c r="AX106" i="13"/>
  <c r="X11" i="40" s="1"/>
  <c r="AX117" i="13"/>
  <c r="X448" i="40" s="1"/>
  <c r="AX124" i="13"/>
  <c r="AX114" i="13"/>
  <c r="X327" i="40" s="1"/>
  <c r="AX98" i="13"/>
  <c r="AX97" i="13"/>
  <c r="AX110" i="13"/>
  <c r="X165" i="40" s="1"/>
  <c r="AX92" i="13"/>
  <c r="AX91" i="13"/>
  <c r="AX93" i="13"/>
  <c r="AX96" i="13"/>
  <c r="AX95" i="13"/>
  <c r="AX119" i="13"/>
  <c r="AX107" i="13"/>
  <c r="X49" i="40" s="1"/>
  <c r="AX120" i="13"/>
  <c r="AX108" i="13"/>
  <c r="X88" i="40" s="1"/>
  <c r="AX109" i="13"/>
  <c r="X126" i="40" s="1"/>
  <c r="AX112" i="13"/>
  <c r="X246" i="40" s="1"/>
  <c r="AX111" i="13"/>
  <c r="X205" i="40" s="1"/>
  <c r="AX113" i="13"/>
  <c r="X286" i="40" s="1"/>
  <c r="AX198" i="13"/>
  <c r="AX190" i="13"/>
  <c r="X364" i="40" s="1"/>
  <c r="AX200" i="13"/>
  <c r="AX192" i="13"/>
  <c r="X404" i="40" s="1"/>
  <c r="AX184" i="13"/>
  <c r="X203" i="40" s="1"/>
  <c r="AX202" i="13"/>
  <c r="AX189" i="13"/>
  <c r="X326" i="40" s="1"/>
  <c r="AX185" i="13"/>
  <c r="X204" i="40" s="1"/>
  <c r="AX178" i="13"/>
  <c r="X47" i="40" s="1"/>
  <c r="AX197" i="13"/>
  <c r="AX193" i="13"/>
  <c r="X446" i="40" s="1"/>
  <c r="AX187" i="13"/>
  <c r="X284" i="40" s="1"/>
  <c r="AX191" i="13"/>
  <c r="X403" i="40" s="1"/>
  <c r="AX182" i="13"/>
  <c r="X125" i="40" s="1"/>
  <c r="AX206" i="13"/>
  <c r="AX194" i="13"/>
  <c r="X447" i="40" s="1"/>
  <c r="AX186" i="13"/>
  <c r="X245" i="40" s="1"/>
  <c r="AX181" i="13"/>
  <c r="X124" i="40" s="1"/>
  <c r="AX177" i="13"/>
  <c r="X10" i="40" s="1"/>
  <c r="X13" i="40" s="1"/>
  <c r="X15" i="40" s="1"/>
  <c r="AX166" i="13"/>
  <c r="AX165" i="13"/>
  <c r="AX195" i="13"/>
  <c r="X489" i="40" s="1"/>
  <c r="AX201" i="13"/>
  <c r="AX172" i="13"/>
  <c r="AX162" i="13"/>
  <c r="AX199" i="13"/>
  <c r="AX102" i="13"/>
  <c r="AX163" i="13"/>
  <c r="AX196" i="13"/>
  <c r="X490" i="40" s="1"/>
  <c r="AX101" i="13"/>
  <c r="AX168" i="13"/>
  <c r="AX164" i="13"/>
  <c r="AX132" i="13"/>
  <c r="AX171" i="13"/>
  <c r="AX180" i="13"/>
  <c r="X87" i="40" s="1"/>
  <c r="X90" i="40" s="1"/>
  <c r="X92" i="40" s="1"/>
  <c r="AX179" i="13"/>
  <c r="X48" i="40" s="1"/>
  <c r="AX173" i="13"/>
  <c r="AX100" i="13"/>
  <c r="AX183" i="13"/>
  <c r="X164" i="40" s="1"/>
  <c r="AX167" i="13"/>
  <c r="AX188" i="13"/>
  <c r="X285" i="40" s="1"/>
  <c r="AX123" i="13"/>
  <c r="AX207" i="13"/>
  <c r="AX204" i="13"/>
  <c r="AX293" i="13"/>
  <c r="AX175" i="13"/>
  <c r="AX170" i="13"/>
  <c r="AX203" i="13"/>
  <c r="AX205" i="13"/>
  <c r="AX125" i="13"/>
  <c r="AX169" i="13"/>
  <c r="AX104" i="13"/>
  <c r="AX127" i="13"/>
  <c r="AX174" i="13"/>
  <c r="AX99" i="13"/>
  <c r="AX176" i="13"/>
  <c r="AX129" i="13"/>
  <c r="AX103" i="13"/>
  <c r="AX126" i="13"/>
  <c r="AX105" i="13"/>
  <c r="AY4" i="13"/>
  <c r="M429" i="5"/>
  <c r="M407" i="5"/>
  <c r="M310" i="5"/>
  <c r="M288" i="5"/>
  <c r="P60" i="40" l="1"/>
  <c r="Q55" i="40"/>
  <c r="Q57" i="40" s="1"/>
  <c r="Q59" i="40" s="1"/>
  <c r="Q65" i="40"/>
  <c r="Q66" i="40" s="1"/>
  <c r="R62" i="40" s="1"/>
  <c r="S98" i="40"/>
  <c r="T21" i="40"/>
  <c r="V167" i="40"/>
  <c r="V168" i="40" s="1"/>
  <c r="V170" i="40" s="1"/>
  <c r="V171" i="40" s="1"/>
  <c r="V173" i="40" s="1"/>
  <c r="V175" i="40" s="1"/>
  <c r="V176" i="40" s="1"/>
  <c r="V186" i="40"/>
  <c r="V248" i="40"/>
  <c r="V249" i="40" s="1"/>
  <c r="V251" i="40" s="1"/>
  <c r="V252" i="40" s="1"/>
  <c r="V254" i="40" s="1"/>
  <c r="V256" i="40" s="1"/>
  <c r="V257" i="40" s="1"/>
  <c r="V267" i="40"/>
  <c r="V367" i="40"/>
  <c r="V368" i="40" s="1"/>
  <c r="V370" i="40" s="1"/>
  <c r="V371" i="40" s="1"/>
  <c r="V373" i="40" s="1"/>
  <c r="V375" i="40" s="1"/>
  <c r="V376" i="40" s="1"/>
  <c r="V386" i="40"/>
  <c r="X128" i="40"/>
  <c r="X131" i="40" s="1"/>
  <c r="T102" i="40"/>
  <c r="T103" i="40" s="1"/>
  <c r="U100" i="40" s="1"/>
  <c r="T93" i="40"/>
  <c r="T95" i="40" s="1"/>
  <c r="T97" i="40" s="1"/>
  <c r="V329" i="40"/>
  <c r="V330" i="40" s="1"/>
  <c r="V332" i="40" s="1"/>
  <c r="V333" i="40" s="1"/>
  <c r="V335" i="40" s="1"/>
  <c r="V337" i="40" s="1"/>
  <c r="V338" i="40" s="1"/>
  <c r="V348" i="40"/>
  <c r="R137" i="40"/>
  <c r="U450" i="40"/>
  <c r="U451" i="40" s="1"/>
  <c r="U454" i="40" s="1"/>
  <c r="U455" i="40" s="1"/>
  <c r="U457" i="40" s="1"/>
  <c r="U459" i="40" s="1"/>
  <c r="U460" i="40" s="1"/>
  <c r="U472" i="40"/>
  <c r="S142" i="40"/>
  <c r="S143" i="40" s="1"/>
  <c r="T139" i="40" s="1"/>
  <c r="S132" i="40"/>
  <c r="S134" i="40" s="1"/>
  <c r="S136" i="40" s="1"/>
  <c r="Q298" i="40"/>
  <c r="X51" i="40"/>
  <c r="X54" i="40" s="1"/>
  <c r="U407" i="40"/>
  <c r="U408" i="40" s="1"/>
  <c r="U411" i="40" s="1"/>
  <c r="U412" i="40" s="1"/>
  <c r="U414" i="40" s="1"/>
  <c r="U416" i="40" s="1"/>
  <c r="U417" i="40" s="1"/>
  <c r="U429" i="40"/>
  <c r="R303" i="40"/>
  <c r="R304" i="40" s="1"/>
  <c r="S300" i="40" s="1"/>
  <c r="R293" i="40"/>
  <c r="R295" i="40" s="1"/>
  <c r="R297" i="40" s="1"/>
  <c r="U229" i="40"/>
  <c r="U207" i="40"/>
  <c r="U208" i="40" s="1"/>
  <c r="U211" i="40" s="1"/>
  <c r="U212" i="40" s="1"/>
  <c r="U214" i="40" s="1"/>
  <c r="U216" i="40" s="1"/>
  <c r="U217" i="40" s="1"/>
  <c r="U25" i="40"/>
  <c r="U26" i="40" s="1"/>
  <c r="V23" i="40" s="1"/>
  <c r="U16" i="40"/>
  <c r="U18" i="40" s="1"/>
  <c r="U20" i="40" s="1"/>
  <c r="U310" i="40"/>
  <c r="U288" i="40"/>
  <c r="U289" i="40" s="1"/>
  <c r="U292" i="40" s="1"/>
  <c r="U515" i="40"/>
  <c r="U493" i="40"/>
  <c r="U494" i="40" s="1"/>
  <c r="U497" i="40" s="1"/>
  <c r="U498" i="40" s="1"/>
  <c r="U500" i="40" s="1"/>
  <c r="U502" i="40" s="1"/>
  <c r="U503" i="40" s="1"/>
  <c r="G505" i="5"/>
  <c r="G465" i="5"/>
  <c r="F423" i="5"/>
  <c r="G300" i="5"/>
  <c r="G26" i="5"/>
  <c r="AY310" i="13"/>
  <c r="AY313" i="13"/>
  <c r="AY316" i="13"/>
  <c r="AY306" i="13"/>
  <c r="AY309" i="13"/>
  <c r="AY312" i="13"/>
  <c r="AY315" i="13"/>
  <c r="AY305" i="13"/>
  <c r="AY308" i="13"/>
  <c r="AY311" i="13"/>
  <c r="AY314" i="13"/>
  <c r="AY301" i="13"/>
  <c r="AY304" i="13"/>
  <c r="AY303" i="13"/>
  <c r="AY287" i="13"/>
  <c r="AY307" i="13"/>
  <c r="AY300" i="13"/>
  <c r="AY292" i="13"/>
  <c r="AY297" i="13"/>
  <c r="AY295" i="13"/>
  <c r="AY278" i="13"/>
  <c r="AY281" i="13"/>
  <c r="AY290" i="13"/>
  <c r="AY286" i="13"/>
  <c r="AY282" i="13"/>
  <c r="AY280" i="13"/>
  <c r="AY302" i="13"/>
  <c r="AY299" i="13"/>
  <c r="AY298" i="13"/>
  <c r="AY291" i="13"/>
  <c r="AY294" i="13"/>
  <c r="AY284" i="13"/>
  <c r="AY288" i="13"/>
  <c r="AY283" i="13"/>
  <c r="AY296" i="13"/>
  <c r="AY289" i="13"/>
  <c r="AY285" i="13"/>
  <c r="AY279" i="13"/>
  <c r="AY122" i="13"/>
  <c r="AY118" i="13"/>
  <c r="AY97" i="13"/>
  <c r="AY115" i="13"/>
  <c r="AY94" i="13"/>
  <c r="AY128" i="13"/>
  <c r="AY121" i="13"/>
  <c r="AY106" i="13"/>
  <c r="AY117" i="13"/>
  <c r="AY124" i="13"/>
  <c r="AY114" i="13"/>
  <c r="AY119" i="13"/>
  <c r="AY98" i="13"/>
  <c r="AY116" i="13"/>
  <c r="AY95" i="13"/>
  <c r="AY96" i="13"/>
  <c r="AY92" i="13"/>
  <c r="AY110" i="13"/>
  <c r="AY91" i="13"/>
  <c r="AY93" i="13"/>
  <c r="AY107" i="13"/>
  <c r="AY108" i="13"/>
  <c r="AY112" i="13"/>
  <c r="AY120" i="13"/>
  <c r="AY111" i="13"/>
  <c r="AY109" i="13"/>
  <c r="AY113" i="13"/>
  <c r="AY196" i="13"/>
  <c r="AY188" i="13"/>
  <c r="AY206" i="13"/>
  <c r="AY195" i="13"/>
  <c r="AY187" i="13"/>
  <c r="AY200" i="13"/>
  <c r="AY192" i="13"/>
  <c r="AY202" i="13"/>
  <c r="AY194" i="13"/>
  <c r="AY186" i="13"/>
  <c r="AY178" i="13"/>
  <c r="AY197" i="13"/>
  <c r="AY193" i="13"/>
  <c r="AY199" i="13"/>
  <c r="AY183" i="13"/>
  <c r="AY191" i="13"/>
  <c r="AY182" i="13"/>
  <c r="AY201" i="13"/>
  <c r="AY185" i="13"/>
  <c r="AY184" i="13"/>
  <c r="AY189" i="13"/>
  <c r="AY172" i="13"/>
  <c r="AY190" i="13"/>
  <c r="AY180" i="13"/>
  <c r="AY171" i="13"/>
  <c r="AY163" i="13"/>
  <c r="AY177" i="13"/>
  <c r="AY162" i="13"/>
  <c r="AY179" i="13"/>
  <c r="AY167" i="13"/>
  <c r="AY123" i="13"/>
  <c r="AY173" i="13"/>
  <c r="AY198" i="13"/>
  <c r="AY164" i="13"/>
  <c r="AY132" i="13"/>
  <c r="AY181" i="13"/>
  <c r="AY101" i="13"/>
  <c r="AY165" i="13"/>
  <c r="AY166" i="13"/>
  <c r="AY102" i="13"/>
  <c r="AY168" i="13"/>
  <c r="AY293" i="13"/>
  <c r="AY175" i="13"/>
  <c r="AY129" i="13"/>
  <c r="AY99" i="13"/>
  <c r="AY100" i="13"/>
  <c r="AY126" i="13"/>
  <c r="AY104" i="13"/>
  <c r="AY170" i="13"/>
  <c r="AY203" i="13"/>
  <c r="AY204" i="13"/>
  <c r="AY205" i="13"/>
  <c r="AY105" i="13"/>
  <c r="AY174" i="13"/>
  <c r="AY169" i="13"/>
  <c r="AY103" i="13"/>
  <c r="AY176" i="13"/>
  <c r="AY125" i="13"/>
  <c r="AY207" i="13"/>
  <c r="AY127" i="13"/>
  <c r="AZ4" i="13"/>
  <c r="N407" i="5"/>
  <c r="N429" i="5"/>
  <c r="O407" i="5" s="1"/>
  <c r="N310" i="5"/>
  <c r="O288" i="5" s="1"/>
  <c r="N288" i="5"/>
  <c r="T98" i="40" l="1"/>
  <c r="Q60" i="40"/>
  <c r="R55" i="40"/>
  <c r="R57" i="40" s="1"/>
  <c r="R59" i="40" s="1"/>
  <c r="R65" i="40"/>
  <c r="R66" i="40" s="1"/>
  <c r="S62" i="40" s="1"/>
  <c r="V25" i="40"/>
  <c r="V26" i="40" s="1"/>
  <c r="W23" i="40" s="1"/>
  <c r="V16" i="40"/>
  <c r="V18" i="40" s="1"/>
  <c r="V20" i="40" s="1"/>
  <c r="V21" i="40" s="1"/>
  <c r="V472" i="40"/>
  <c r="V450" i="40"/>
  <c r="V451" i="40" s="1"/>
  <c r="V454" i="40" s="1"/>
  <c r="V455" i="40" s="1"/>
  <c r="V457" i="40" s="1"/>
  <c r="V459" i="40" s="1"/>
  <c r="V460" i="40" s="1"/>
  <c r="V207" i="40"/>
  <c r="V208" i="40" s="1"/>
  <c r="V211" i="40" s="1"/>
  <c r="V212" i="40" s="1"/>
  <c r="V214" i="40" s="1"/>
  <c r="V216" i="40" s="1"/>
  <c r="V217" i="40" s="1"/>
  <c r="V229" i="40"/>
  <c r="R298" i="40"/>
  <c r="W329" i="40"/>
  <c r="W330" i="40" s="1"/>
  <c r="W332" i="40" s="1"/>
  <c r="W333" i="40" s="1"/>
  <c r="W335" i="40" s="1"/>
  <c r="W337" i="40" s="1"/>
  <c r="W338" i="40" s="1"/>
  <c r="W348" i="40"/>
  <c r="S303" i="40"/>
  <c r="S304" i="40" s="1"/>
  <c r="T300" i="40" s="1"/>
  <c r="S293" i="40"/>
  <c r="S295" i="40" s="1"/>
  <c r="S297" i="40" s="1"/>
  <c r="V407" i="40"/>
  <c r="V408" i="40" s="1"/>
  <c r="V411" i="40" s="1"/>
  <c r="V412" i="40" s="1"/>
  <c r="V414" i="40" s="1"/>
  <c r="V416" i="40" s="1"/>
  <c r="V417" i="40" s="1"/>
  <c r="V429" i="40"/>
  <c r="U102" i="40"/>
  <c r="U103" i="40" s="1"/>
  <c r="V100" i="40" s="1"/>
  <c r="U93" i="40"/>
  <c r="U95" i="40" s="1"/>
  <c r="U97" i="40" s="1"/>
  <c r="W386" i="40"/>
  <c r="W367" i="40"/>
  <c r="W368" i="40" s="1"/>
  <c r="W370" i="40" s="1"/>
  <c r="W371" i="40" s="1"/>
  <c r="W373" i="40" s="1"/>
  <c r="W375" i="40" s="1"/>
  <c r="W376" i="40" s="1"/>
  <c r="V515" i="40"/>
  <c r="V493" i="40"/>
  <c r="V494" i="40" s="1"/>
  <c r="V497" i="40" s="1"/>
  <c r="V498" i="40" s="1"/>
  <c r="V500" i="40" s="1"/>
  <c r="V502" i="40" s="1"/>
  <c r="V503" i="40" s="1"/>
  <c r="W267" i="40"/>
  <c r="W248" i="40"/>
  <c r="W249" i="40" s="1"/>
  <c r="W251" i="40" s="1"/>
  <c r="W252" i="40" s="1"/>
  <c r="W254" i="40" s="1"/>
  <c r="W256" i="40" s="1"/>
  <c r="W257" i="40" s="1"/>
  <c r="V288" i="40"/>
  <c r="V289" i="40" s="1"/>
  <c r="V292" i="40" s="1"/>
  <c r="V310" i="40"/>
  <c r="S137" i="40"/>
  <c r="W186" i="40"/>
  <c r="W167" i="40"/>
  <c r="W168" i="40" s="1"/>
  <c r="W170" i="40" s="1"/>
  <c r="W171" i="40" s="1"/>
  <c r="W173" i="40" s="1"/>
  <c r="W175" i="40" s="1"/>
  <c r="W176" i="40" s="1"/>
  <c r="U21" i="40"/>
  <c r="T142" i="40"/>
  <c r="T143" i="40" s="1"/>
  <c r="U139" i="40" s="1"/>
  <c r="T132" i="40"/>
  <c r="T134" i="40" s="1"/>
  <c r="T136" i="40" s="1"/>
  <c r="G508" i="5"/>
  <c r="G466" i="5"/>
  <c r="G419" i="5"/>
  <c r="G303" i="5"/>
  <c r="H23" i="5"/>
  <c r="AZ313" i="13"/>
  <c r="AZ316" i="13"/>
  <c r="AZ309" i="13"/>
  <c r="AZ312" i="13"/>
  <c r="AZ315" i="13"/>
  <c r="AZ299" i="13"/>
  <c r="AZ308" i="13"/>
  <c r="AZ311" i="13"/>
  <c r="AZ314" i="13"/>
  <c r="AZ304" i="13"/>
  <c r="AZ307" i="13"/>
  <c r="AZ310" i="13"/>
  <c r="AZ298" i="13"/>
  <c r="AZ290" i="13"/>
  <c r="AZ297" i="13"/>
  <c r="AZ295" i="13"/>
  <c r="AZ294" i="13"/>
  <c r="AZ281" i="13"/>
  <c r="AZ305" i="13"/>
  <c r="AZ278" i="13"/>
  <c r="AZ302" i="13"/>
  <c r="AZ287" i="13"/>
  <c r="AZ306" i="13"/>
  <c r="AZ292" i="13"/>
  <c r="AZ291" i="13"/>
  <c r="AZ280" i="13"/>
  <c r="AZ300" i="13"/>
  <c r="AZ284" i="13"/>
  <c r="AZ301" i="13"/>
  <c r="AZ303" i="13"/>
  <c r="AZ283" i="13"/>
  <c r="AZ296" i="13"/>
  <c r="AZ282" i="13"/>
  <c r="AZ279" i="13"/>
  <c r="AZ289" i="13"/>
  <c r="AZ285" i="13"/>
  <c r="AZ286" i="13"/>
  <c r="AZ288" i="13"/>
  <c r="AZ122" i="13"/>
  <c r="AZ110" i="13"/>
  <c r="AZ118" i="13"/>
  <c r="AZ115" i="13"/>
  <c r="AZ128" i="13"/>
  <c r="AZ121" i="13"/>
  <c r="AZ106" i="13"/>
  <c r="AZ117" i="13"/>
  <c r="AZ96" i="13"/>
  <c r="AZ124" i="13"/>
  <c r="AZ114" i="13"/>
  <c r="AZ119" i="13"/>
  <c r="AZ98" i="13"/>
  <c r="AZ97" i="13"/>
  <c r="AZ92" i="13"/>
  <c r="AZ91" i="13"/>
  <c r="AZ116" i="13"/>
  <c r="AZ93" i="13"/>
  <c r="AZ95" i="13"/>
  <c r="AZ94" i="13"/>
  <c r="AZ120" i="13"/>
  <c r="AZ112" i="13"/>
  <c r="AZ107" i="13"/>
  <c r="AZ111" i="13"/>
  <c r="AZ108" i="13"/>
  <c r="AZ109" i="13"/>
  <c r="AZ113" i="13"/>
  <c r="AZ206" i="13"/>
  <c r="AZ195" i="13"/>
  <c r="AZ187" i="13"/>
  <c r="AZ197" i="13"/>
  <c r="AZ189" i="13"/>
  <c r="AZ199" i="13"/>
  <c r="AZ193" i="13"/>
  <c r="AZ183" i="13"/>
  <c r="AZ186" i="13"/>
  <c r="AZ179" i="13"/>
  <c r="AZ173" i="13"/>
  <c r="AZ172" i="13"/>
  <c r="AZ167" i="13"/>
  <c r="AZ201" i="13"/>
  <c r="AZ191" i="13"/>
  <c r="AZ200" i="13"/>
  <c r="AZ166" i="13"/>
  <c r="AZ165" i="13"/>
  <c r="AZ190" i="13"/>
  <c r="AZ132" i="13"/>
  <c r="AZ188" i="13"/>
  <c r="AZ168" i="13"/>
  <c r="AZ171" i="13"/>
  <c r="AZ101" i="13"/>
  <c r="AZ180" i="13"/>
  <c r="AZ185" i="13"/>
  <c r="AZ181" i="13"/>
  <c r="AZ202" i="13"/>
  <c r="AZ192" i="13"/>
  <c r="AZ196" i="13"/>
  <c r="AZ178" i="13"/>
  <c r="AZ194" i="13"/>
  <c r="AZ102" i="13"/>
  <c r="AZ184" i="13"/>
  <c r="AZ198" i="13"/>
  <c r="AZ182" i="13"/>
  <c r="AZ177" i="13"/>
  <c r="AZ164" i="13"/>
  <c r="AZ123" i="13"/>
  <c r="AZ204" i="13"/>
  <c r="AZ207" i="13"/>
  <c r="AZ170" i="13"/>
  <c r="AZ203" i="13"/>
  <c r="AZ293" i="13"/>
  <c r="AZ176" i="13"/>
  <c r="AZ127" i="13"/>
  <c r="AZ103" i="13"/>
  <c r="AZ125" i="13"/>
  <c r="AZ163" i="13"/>
  <c r="AZ100" i="13"/>
  <c r="AZ99" i="13"/>
  <c r="AZ126" i="13"/>
  <c r="AZ129" i="13"/>
  <c r="AZ169" i="13"/>
  <c r="AZ162" i="13"/>
  <c r="AZ175" i="13"/>
  <c r="AZ104" i="13"/>
  <c r="AZ205" i="13"/>
  <c r="AZ105" i="13"/>
  <c r="AZ174" i="13"/>
  <c r="BA4" i="13"/>
  <c r="S298" i="40" l="1"/>
  <c r="T137" i="40"/>
  <c r="R60" i="40"/>
  <c r="U98" i="40"/>
  <c r="S65" i="40"/>
  <c r="S66" i="40" s="1"/>
  <c r="T62" i="40" s="1"/>
  <c r="S55" i="40"/>
  <c r="S57" i="40" s="1"/>
  <c r="S59" i="40" s="1"/>
  <c r="S60" i="40" s="1"/>
  <c r="X167" i="40"/>
  <c r="X168" i="40" s="1"/>
  <c r="X170" i="40" s="1"/>
  <c r="X171" i="40" s="1"/>
  <c r="X173" i="40" s="1"/>
  <c r="X175" i="40" s="1"/>
  <c r="X186" i="40"/>
  <c r="V102" i="40"/>
  <c r="V103" i="40" s="1"/>
  <c r="W100" i="40" s="1"/>
  <c r="V93" i="40"/>
  <c r="V95" i="40" s="1"/>
  <c r="V97" i="40" s="1"/>
  <c r="V98" i="40" s="1"/>
  <c r="W407" i="40"/>
  <c r="W408" i="40" s="1"/>
  <c r="W411" i="40" s="1"/>
  <c r="W412" i="40" s="1"/>
  <c r="W414" i="40" s="1"/>
  <c r="W416" i="40" s="1"/>
  <c r="W417" i="40" s="1"/>
  <c r="W429" i="40"/>
  <c r="W288" i="40"/>
  <c r="W289" i="40" s="1"/>
  <c r="W292" i="40" s="1"/>
  <c r="W310" i="40"/>
  <c r="T303" i="40"/>
  <c r="T304" i="40" s="1"/>
  <c r="U300" i="40" s="1"/>
  <c r="T293" i="40"/>
  <c r="T295" i="40" s="1"/>
  <c r="T297" i="40" s="1"/>
  <c r="X348" i="40"/>
  <c r="X329" i="40"/>
  <c r="X330" i="40" s="1"/>
  <c r="X332" i="40" s="1"/>
  <c r="X333" i="40" s="1"/>
  <c r="X335" i="40" s="1"/>
  <c r="X337" i="40" s="1"/>
  <c r="X248" i="40"/>
  <c r="X249" i="40" s="1"/>
  <c r="X251" i="40" s="1"/>
  <c r="X252" i="40" s="1"/>
  <c r="X254" i="40" s="1"/>
  <c r="X256" i="40" s="1"/>
  <c r="X267" i="40"/>
  <c r="W229" i="40"/>
  <c r="W207" i="40"/>
  <c r="W208" i="40" s="1"/>
  <c r="W211" i="40" s="1"/>
  <c r="W212" i="40" s="1"/>
  <c r="W214" i="40" s="1"/>
  <c r="W216" i="40" s="1"/>
  <c r="W217" i="40" s="1"/>
  <c r="W493" i="40"/>
  <c r="W494" i="40" s="1"/>
  <c r="W497" i="40" s="1"/>
  <c r="W498" i="40" s="1"/>
  <c r="W500" i="40" s="1"/>
  <c r="W502" i="40" s="1"/>
  <c r="W503" i="40" s="1"/>
  <c r="W515" i="40"/>
  <c r="W450" i="40"/>
  <c r="W451" i="40" s="1"/>
  <c r="W454" i="40" s="1"/>
  <c r="W455" i="40" s="1"/>
  <c r="W457" i="40" s="1"/>
  <c r="W459" i="40" s="1"/>
  <c r="W460" i="40" s="1"/>
  <c r="W472" i="40"/>
  <c r="X367" i="40"/>
  <c r="X368" i="40" s="1"/>
  <c r="X370" i="40" s="1"/>
  <c r="X371" i="40" s="1"/>
  <c r="X373" i="40" s="1"/>
  <c r="X375" i="40" s="1"/>
  <c r="X386" i="40"/>
  <c r="U142" i="40"/>
  <c r="U143" i="40" s="1"/>
  <c r="V139" i="40" s="1"/>
  <c r="U132" i="40"/>
  <c r="U134" i="40" s="1"/>
  <c r="U136" i="40" s="1"/>
  <c r="W25" i="40"/>
  <c r="W26" i="40" s="1"/>
  <c r="X23" i="40" s="1"/>
  <c r="W16" i="40"/>
  <c r="W18" i="40" s="1"/>
  <c r="W20" i="40" s="1"/>
  <c r="W21" i="40" s="1"/>
  <c r="G509" i="5"/>
  <c r="H462" i="5"/>
  <c r="G422" i="5"/>
  <c r="G304" i="5"/>
  <c r="H25" i="5"/>
  <c r="BA316" i="13"/>
  <c r="BA309" i="13"/>
  <c r="BA312" i="13"/>
  <c r="BA315" i="13"/>
  <c r="BA299" i="13"/>
  <c r="BA302" i="13"/>
  <c r="BA308" i="13"/>
  <c r="BA311" i="13"/>
  <c r="BA314" i="13"/>
  <c r="BA298" i="13"/>
  <c r="BA307" i="13"/>
  <c r="BA310" i="13"/>
  <c r="BA303" i="13"/>
  <c r="BA304" i="13"/>
  <c r="BA305" i="13"/>
  <c r="BA285" i="13"/>
  <c r="BA296" i="13"/>
  <c r="BA295" i="13"/>
  <c r="BA279" i="13"/>
  <c r="BA300" i="13"/>
  <c r="BA297" i="13"/>
  <c r="BA291" i="13"/>
  <c r="BA284" i="13"/>
  <c r="BA287" i="13"/>
  <c r="BA288" i="13"/>
  <c r="BA306" i="13"/>
  <c r="BA294" i="13"/>
  <c r="BA301" i="13"/>
  <c r="BA281" i="13"/>
  <c r="BA290" i="13"/>
  <c r="BA289" i="13"/>
  <c r="BA313" i="13"/>
  <c r="BA278" i="13"/>
  <c r="BA282" i="13"/>
  <c r="BA292" i="13"/>
  <c r="BA286" i="13"/>
  <c r="BA280" i="13"/>
  <c r="BA283" i="13"/>
  <c r="BA118" i="13"/>
  <c r="BA115" i="13"/>
  <c r="BA94" i="13"/>
  <c r="BA128" i="13"/>
  <c r="BA121" i="13"/>
  <c r="BA106" i="13"/>
  <c r="BA117" i="13"/>
  <c r="BA96" i="13"/>
  <c r="BA124" i="13"/>
  <c r="BA114" i="13"/>
  <c r="BA119" i="13"/>
  <c r="BA98" i="13"/>
  <c r="BA116" i="13"/>
  <c r="BA95" i="13"/>
  <c r="BA122" i="13"/>
  <c r="BA110" i="13"/>
  <c r="BA92" i="13"/>
  <c r="BA91" i="13"/>
  <c r="BA97" i="13"/>
  <c r="BA93" i="13"/>
  <c r="BA112" i="13"/>
  <c r="BA108" i="13"/>
  <c r="BA120" i="13"/>
  <c r="BA111" i="13"/>
  <c r="BA107" i="13"/>
  <c r="BA109" i="13"/>
  <c r="BA113" i="13"/>
  <c r="BA201" i="13"/>
  <c r="BA193" i="13"/>
  <c r="BA185" i="13"/>
  <c r="BA206" i="13"/>
  <c r="BA200" i="13"/>
  <c r="BA192" i="13"/>
  <c r="BA197" i="13"/>
  <c r="BA189" i="13"/>
  <c r="BA199" i="13"/>
  <c r="BA191" i="13"/>
  <c r="BA183" i="13"/>
  <c r="BA186" i="13"/>
  <c r="BA180" i="13"/>
  <c r="BA179" i="13"/>
  <c r="BA198" i="13"/>
  <c r="BA195" i="13"/>
  <c r="BA190" i="13"/>
  <c r="BA167" i="13"/>
  <c r="BA188" i="13"/>
  <c r="BA172" i="13"/>
  <c r="BA168" i="13"/>
  <c r="BA187" i="13"/>
  <c r="BA163" i="13"/>
  <c r="BA194" i="13"/>
  <c r="BA202" i="13"/>
  <c r="BA178" i="13"/>
  <c r="BA162" i="13"/>
  <c r="BA196" i="13"/>
  <c r="BA182" i="13"/>
  <c r="BA177" i="13"/>
  <c r="BA164" i="13"/>
  <c r="BA181" i="13"/>
  <c r="BA171" i="13"/>
  <c r="BA173" i="13"/>
  <c r="BA101" i="13"/>
  <c r="BA100" i="13"/>
  <c r="BA184" i="13"/>
  <c r="BA166" i="13"/>
  <c r="BA123" i="13"/>
  <c r="BA132" i="13"/>
  <c r="BA102" i="13"/>
  <c r="BA207" i="13"/>
  <c r="BA175" i="13"/>
  <c r="BA129" i="13"/>
  <c r="BA99" i="13"/>
  <c r="BA169" i="13"/>
  <c r="BA126" i="13"/>
  <c r="BA104" i="13"/>
  <c r="BA204" i="13"/>
  <c r="BA205" i="13"/>
  <c r="BA174" i="13"/>
  <c r="BA165" i="13"/>
  <c r="BA176" i="13"/>
  <c r="BA203" i="13"/>
  <c r="BA170" i="13"/>
  <c r="BA293" i="13"/>
  <c r="BA103" i="13"/>
  <c r="BA125" i="13"/>
  <c r="BA105" i="13"/>
  <c r="BA127" i="13"/>
  <c r="BB4" i="13"/>
  <c r="T298" i="40" l="1"/>
  <c r="U137" i="40"/>
  <c r="T65" i="40"/>
  <c r="T66" i="40" s="1"/>
  <c r="U62" i="40" s="1"/>
  <c r="T55" i="40"/>
  <c r="T57" i="40" s="1"/>
  <c r="T59" i="40" s="1"/>
  <c r="X257" i="40"/>
  <c r="B257" i="40" s="1"/>
  <c r="B256" i="40"/>
  <c r="X338" i="40"/>
  <c r="B338" i="40" s="1"/>
  <c r="B337" i="40"/>
  <c r="X25" i="40"/>
  <c r="X26" i="40" s="1"/>
  <c r="X16" i="40"/>
  <c r="X18" i="40" s="1"/>
  <c r="X20" i="40" s="1"/>
  <c r="V142" i="40"/>
  <c r="V143" i="40" s="1"/>
  <c r="W139" i="40" s="1"/>
  <c r="V132" i="40"/>
  <c r="V134" i="40" s="1"/>
  <c r="V136" i="40" s="1"/>
  <c r="U303" i="40"/>
  <c r="U304" i="40" s="1"/>
  <c r="V300" i="40" s="1"/>
  <c r="U293" i="40"/>
  <c r="U295" i="40" s="1"/>
  <c r="U297" i="40" s="1"/>
  <c r="U298" i="40" s="1"/>
  <c r="X376" i="40"/>
  <c r="B376" i="40" s="1"/>
  <c r="B375" i="40"/>
  <c r="X288" i="40"/>
  <c r="X289" i="40" s="1"/>
  <c r="X292" i="40" s="1"/>
  <c r="X310" i="40"/>
  <c r="X472" i="40"/>
  <c r="X450" i="40"/>
  <c r="X451" i="40" s="1"/>
  <c r="X454" i="40" s="1"/>
  <c r="X455" i="40" s="1"/>
  <c r="X457" i="40" s="1"/>
  <c r="X459" i="40" s="1"/>
  <c r="X429" i="40"/>
  <c r="X407" i="40"/>
  <c r="X408" i="40" s="1"/>
  <c r="X411" i="40" s="1"/>
  <c r="X412" i="40" s="1"/>
  <c r="X414" i="40" s="1"/>
  <c r="X416" i="40" s="1"/>
  <c r="X493" i="40"/>
  <c r="X494" i="40" s="1"/>
  <c r="X497" i="40" s="1"/>
  <c r="X498" i="40" s="1"/>
  <c r="X500" i="40" s="1"/>
  <c r="X502" i="40" s="1"/>
  <c r="X515" i="40"/>
  <c r="W102" i="40"/>
  <c r="W103" i="40" s="1"/>
  <c r="X100" i="40" s="1"/>
  <c r="W93" i="40"/>
  <c r="W95" i="40" s="1"/>
  <c r="W97" i="40" s="1"/>
  <c r="W98" i="40" s="1"/>
  <c r="X229" i="40"/>
  <c r="X207" i="40"/>
  <c r="X208" i="40" s="1"/>
  <c r="X211" i="40" s="1"/>
  <c r="X212" i="40" s="1"/>
  <c r="X214" i="40" s="1"/>
  <c r="X216" i="40" s="1"/>
  <c r="X176" i="40"/>
  <c r="B176" i="40" s="1"/>
  <c r="B175" i="40"/>
  <c r="H505" i="5"/>
  <c r="H465" i="5"/>
  <c r="G423" i="5"/>
  <c r="H300" i="5"/>
  <c r="H26" i="5"/>
  <c r="BB306" i="13"/>
  <c r="BB309" i="13"/>
  <c r="BB312" i="13"/>
  <c r="BB315" i="13"/>
  <c r="BB299" i="13"/>
  <c r="BB302" i="13"/>
  <c r="BB305" i="13"/>
  <c r="BB311" i="13"/>
  <c r="BB314" i="13"/>
  <c r="BB298" i="13"/>
  <c r="BB301" i="13"/>
  <c r="BB310" i="13"/>
  <c r="BB313" i="13"/>
  <c r="BB297" i="13"/>
  <c r="BB296" i="13"/>
  <c r="BB316" i="13"/>
  <c r="BB285" i="13"/>
  <c r="BB288" i="13"/>
  <c r="BB282" i="13"/>
  <c r="BB300" i="13"/>
  <c r="BB303" i="13"/>
  <c r="BB308" i="13"/>
  <c r="BB292" i="13"/>
  <c r="BB294" i="13"/>
  <c r="BB284" i="13"/>
  <c r="BB281" i="13"/>
  <c r="BB290" i="13"/>
  <c r="BB295" i="13"/>
  <c r="BB289" i="13"/>
  <c r="BB304" i="13"/>
  <c r="BB307" i="13"/>
  <c r="BB278" i="13"/>
  <c r="BB287" i="13"/>
  <c r="BB286" i="13"/>
  <c r="BB279" i="13"/>
  <c r="BB280" i="13"/>
  <c r="BB291" i="13"/>
  <c r="BB283" i="13"/>
  <c r="BB118" i="13"/>
  <c r="BB115" i="13"/>
  <c r="BB128" i="13"/>
  <c r="BB121" i="13"/>
  <c r="BB117" i="13"/>
  <c r="BB96" i="13"/>
  <c r="BB124" i="13"/>
  <c r="BB114" i="13"/>
  <c r="BB119" i="13"/>
  <c r="BB116" i="13"/>
  <c r="BB95" i="13"/>
  <c r="BB97" i="13"/>
  <c r="BB110" i="13"/>
  <c r="BB98" i="13"/>
  <c r="BB122" i="13"/>
  <c r="BB91" i="13"/>
  <c r="BB106" i="13"/>
  <c r="BB92" i="13"/>
  <c r="BB93" i="13"/>
  <c r="BB94" i="13"/>
  <c r="BB111" i="13"/>
  <c r="BB120" i="13"/>
  <c r="BB112" i="13"/>
  <c r="BB108" i="13"/>
  <c r="BB107" i="13"/>
  <c r="BB109" i="13"/>
  <c r="BB113" i="13"/>
  <c r="BB206" i="13"/>
  <c r="BB200" i="13"/>
  <c r="BB192" i="13"/>
  <c r="BB202" i="13"/>
  <c r="BB194" i="13"/>
  <c r="BB186" i="13"/>
  <c r="BB197" i="13"/>
  <c r="BB199" i="13"/>
  <c r="BB180" i="13"/>
  <c r="BB201" i="13"/>
  <c r="BB190" i="13"/>
  <c r="BB198" i="13"/>
  <c r="BB195" i="13"/>
  <c r="BB188" i="13"/>
  <c r="BB168" i="13"/>
  <c r="BB189" i="13"/>
  <c r="BB167" i="13"/>
  <c r="BB182" i="13"/>
  <c r="BB191" i="13"/>
  <c r="BB179" i="13"/>
  <c r="BB193" i="13"/>
  <c r="BB181" i="13"/>
  <c r="BB164" i="13"/>
  <c r="BB132" i="13"/>
  <c r="BB101" i="13"/>
  <c r="BB172" i="13"/>
  <c r="BB173" i="13"/>
  <c r="BB171" i="13"/>
  <c r="BB165" i="13"/>
  <c r="BB102" i="13"/>
  <c r="BB196" i="13"/>
  <c r="BB187" i="13"/>
  <c r="BB178" i="13"/>
  <c r="BB162" i="13"/>
  <c r="BB184" i="13"/>
  <c r="BB123" i="13"/>
  <c r="BB183" i="13"/>
  <c r="BB177" i="13"/>
  <c r="BB185" i="13"/>
  <c r="BB205" i="13"/>
  <c r="BB203" i="13"/>
  <c r="BB174" i="13"/>
  <c r="BB176" i="13"/>
  <c r="BB169" i="13"/>
  <c r="BB100" i="13"/>
  <c r="BB166" i="13"/>
  <c r="BB175" i="13"/>
  <c r="BB105" i="13"/>
  <c r="BB204" i="13"/>
  <c r="BB129" i="13"/>
  <c r="BB163" i="13"/>
  <c r="BB103" i="13"/>
  <c r="BB126" i="13"/>
  <c r="BB170" i="13"/>
  <c r="BB293" i="13"/>
  <c r="BB104" i="13"/>
  <c r="BB99" i="13"/>
  <c r="BB127" i="13"/>
  <c r="BB125" i="13"/>
  <c r="BB207" i="13"/>
  <c r="BC4" i="13"/>
  <c r="V137" i="40" l="1"/>
  <c r="T60" i="40"/>
  <c r="U65" i="40"/>
  <c r="U66" i="40" s="1"/>
  <c r="V62" i="40" s="1"/>
  <c r="U55" i="40"/>
  <c r="U57" i="40" s="1"/>
  <c r="U59" i="40" s="1"/>
  <c r="X217" i="40"/>
  <c r="B217" i="40" s="1"/>
  <c r="B216" i="40"/>
  <c r="V303" i="40"/>
  <c r="V304" i="40" s="1"/>
  <c r="W300" i="40" s="1"/>
  <c r="V293" i="40"/>
  <c r="V295" i="40" s="1"/>
  <c r="V297" i="40" s="1"/>
  <c r="W142" i="40"/>
  <c r="W143" i="40" s="1"/>
  <c r="X139" i="40" s="1"/>
  <c r="W132" i="40"/>
  <c r="W134" i="40" s="1"/>
  <c r="W136" i="40" s="1"/>
  <c r="W137" i="40" s="1"/>
  <c r="X102" i="40"/>
  <c r="X103" i="40" s="1"/>
  <c r="X93" i="40"/>
  <c r="X95" i="40" s="1"/>
  <c r="X97" i="40" s="1"/>
  <c r="X21" i="40"/>
  <c r="B21" i="40" s="1"/>
  <c r="B20" i="40"/>
  <c r="X503" i="40"/>
  <c r="B503" i="40" s="1"/>
  <c r="B502" i="40"/>
  <c r="X417" i="40"/>
  <c r="B417" i="40" s="1"/>
  <c r="B416" i="40"/>
  <c r="X460" i="40"/>
  <c r="B460" i="40" s="1"/>
  <c r="B459" i="40"/>
  <c r="H508" i="5"/>
  <c r="H466" i="5"/>
  <c r="H419" i="5"/>
  <c r="H303" i="5"/>
  <c r="I23" i="5"/>
  <c r="BC309" i="13"/>
  <c r="BC312" i="13"/>
  <c r="BC315" i="13"/>
  <c r="BC302" i="13"/>
  <c r="BC305" i="13"/>
  <c r="BC308" i="13"/>
  <c r="BC311" i="13"/>
  <c r="BC314" i="13"/>
  <c r="BC301" i="13"/>
  <c r="BC304" i="13"/>
  <c r="BC307" i="13"/>
  <c r="BC310" i="13"/>
  <c r="BC313" i="13"/>
  <c r="BC297" i="13"/>
  <c r="BC316" i="13"/>
  <c r="BC300" i="13"/>
  <c r="BC283" i="13"/>
  <c r="BC295" i="13"/>
  <c r="BC288" i="13"/>
  <c r="BC291" i="13"/>
  <c r="BC303" i="13"/>
  <c r="BC294" i="13"/>
  <c r="BC306" i="13"/>
  <c r="BC299" i="13"/>
  <c r="BC286" i="13"/>
  <c r="BC279" i="13"/>
  <c r="BC298" i="13"/>
  <c r="BC284" i="13"/>
  <c r="BC281" i="13"/>
  <c r="BC290" i="13"/>
  <c r="BC282" i="13"/>
  <c r="BC289" i="13"/>
  <c r="BC296" i="13"/>
  <c r="BC287" i="13"/>
  <c r="BC278" i="13"/>
  <c r="BC292" i="13"/>
  <c r="BC280" i="13"/>
  <c r="BC285" i="13"/>
  <c r="BC115" i="13"/>
  <c r="BC128" i="13"/>
  <c r="BC121" i="13"/>
  <c r="BC106" i="13"/>
  <c r="BC117" i="13"/>
  <c r="BC96" i="13"/>
  <c r="BC124" i="13"/>
  <c r="BC114" i="13"/>
  <c r="BC119" i="13"/>
  <c r="BC116" i="13"/>
  <c r="BC95" i="13"/>
  <c r="BC122" i="13"/>
  <c r="BC110" i="13"/>
  <c r="BC118" i="13"/>
  <c r="BC97" i="13"/>
  <c r="BC92" i="13"/>
  <c r="BC91" i="13"/>
  <c r="BC93" i="13"/>
  <c r="BC94" i="13"/>
  <c r="BC98" i="13"/>
  <c r="BC108" i="13"/>
  <c r="BC120" i="13"/>
  <c r="BC111" i="13"/>
  <c r="BC112" i="13"/>
  <c r="BC107" i="13"/>
  <c r="BC113" i="13"/>
  <c r="BC109" i="13"/>
  <c r="BC198" i="13"/>
  <c r="BC190" i="13"/>
  <c r="BC206" i="13"/>
  <c r="BC197" i="13"/>
  <c r="BC189" i="13"/>
  <c r="BC202" i="13"/>
  <c r="BC194" i="13"/>
  <c r="BC186" i="13"/>
  <c r="BC196" i="13"/>
  <c r="BC188" i="13"/>
  <c r="BC199" i="13"/>
  <c r="BC180" i="13"/>
  <c r="BC201" i="13"/>
  <c r="BC177" i="13"/>
  <c r="BC193" i="13"/>
  <c r="BC181" i="13"/>
  <c r="BC168" i="13"/>
  <c r="BC164" i="13"/>
  <c r="BC166" i="13"/>
  <c r="BC132" i="13"/>
  <c r="BC101" i="13"/>
  <c r="BC100" i="13"/>
  <c r="BC167" i="13"/>
  <c r="BC185" i="13"/>
  <c r="BC184" i="13"/>
  <c r="BC200" i="13"/>
  <c r="BC171" i="13"/>
  <c r="BC195" i="13"/>
  <c r="BC192" i="13"/>
  <c r="BC172" i="13"/>
  <c r="BC173" i="13"/>
  <c r="BC179" i="13"/>
  <c r="BC187" i="13"/>
  <c r="BC178" i="13"/>
  <c r="BC162" i="13"/>
  <c r="BC165" i="13"/>
  <c r="BC102" i="13"/>
  <c r="BC183" i="13"/>
  <c r="BC191" i="13"/>
  <c r="BC182" i="13"/>
  <c r="BC293" i="13"/>
  <c r="BC163" i="13"/>
  <c r="BC207" i="13"/>
  <c r="BC127" i="13"/>
  <c r="BC105" i="13"/>
  <c r="BC204" i="13"/>
  <c r="BC123" i="13"/>
  <c r="BC174" i="13"/>
  <c r="BC125" i="13"/>
  <c r="BC103" i="13"/>
  <c r="BC205" i="13"/>
  <c r="BC176" i="13"/>
  <c r="BC129" i="13"/>
  <c r="BC170" i="13"/>
  <c r="BC175" i="13"/>
  <c r="BC126" i="13"/>
  <c r="BC203" i="13"/>
  <c r="BC99" i="13"/>
  <c r="BC104" i="13"/>
  <c r="BC169" i="13"/>
  <c r="BD4" i="13"/>
  <c r="V298" i="40" l="1"/>
  <c r="U60" i="40"/>
  <c r="V65" i="40"/>
  <c r="V66" i="40" s="1"/>
  <c r="W62" i="40" s="1"/>
  <c r="V55" i="40"/>
  <c r="V57" i="40" s="1"/>
  <c r="V59" i="40" s="1"/>
  <c r="X98" i="40"/>
  <c r="B98" i="40" s="1"/>
  <c r="B97" i="40"/>
  <c r="X142" i="40"/>
  <c r="X143" i="40" s="1"/>
  <c r="X132" i="40"/>
  <c r="X134" i="40" s="1"/>
  <c r="X136" i="40" s="1"/>
  <c r="W303" i="40"/>
  <c r="W304" i="40" s="1"/>
  <c r="X300" i="40" s="1"/>
  <c r="W293" i="40"/>
  <c r="W295" i="40" s="1"/>
  <c r="W297" i="40" s="1"/>
  <c r="H509" i="5"/>
  <c r="I462" i="5"/>
  <c r="H422" i="5"/>
  <c r="H304" i="5"/>
  <c r="I25" i="5"/>
  <c r="BD309" i="13"/>
  <c r="BD312" i="13"/>
  <c r="BD315" i="13"/>
  <c r="BD305" i="13"/>
  <c r="BD308" i="13"/>
  <c r="BD311" i="13"/>
  <c r="BD314" i="13"/>
  <c r="BD304" i="13"/>
  <c r="BD307" i="13"/>
  <c r="BD310" i="13"/>
  <c r="BD313" i="13"/>
  <c r="BD316" i="13"/>
  <c r="BD300" i="13"/>
  <c r="BD303" i="13"/>
  <c r="BD298" i="13"/>
  <c r="BD296" i="13"/>
  <c r="BD286" i="13"/>
  <c r="BD302" i="13"/>
  <c r="BD291" i="13"/>
  <c r="BD306" i="13"/>
  <c r="BD299" i="13"/>
  <c r="BD294" i="13"/>
  <c r="BD297" i="13"/>
  <c r="BD280" i="13"/>
  <c r="BD285" i="13"/>
  <c r="BD289" i="13"/>
  <c r="BD288" i="13"/>
  <c r="BD290" i="13"/>
  <c r="BD301" i="13"/>
  <c r="BD295" i="13"/>
  <c r="BD282" i="13"/>
  <c r="BD287" i="13"/>
  <c r="BD278" i="13"/>
  <c r="BD279" i="13"/>
  <c r="BD292" i="13"/>
  <c r="BD281" i="13"/>
  <c r="BD283" i="13"/>
  <c r="BD284" i="13"/>
  <c r="BD115" i="13"/>
  <c r="BD128" i="13"/>
  <c r="BD121" i="13"/>
  <c r="BD117" i="13"/>
  <c r="BD124" i="13"/>
  <c r="BD114" i="13"/>
  <c r="BD119" i="13"/>
  <c r="BD98" i="13"/>
  <c r="BD116" i="13"/>
  <c r="BD122" i="13"/>
  <c r="BD110" i="13"/>
  <c r="BD118" i="13"/>
  <c r="BD91" i="13"/>
  <c r="BD106" i="13"/>
  <c r="BD93" i="13"/>
  <c r="BD94" i="13"/>
  <c r="BD95" i="13"/>
  <c r="BD92" i="13"/>
  <c r="BD97" i="13"/>
  <c r="BD96" i="13"/>
  <c r="BD108" i="13"/>
  <c r="BD112" i="13"/>
  <c r="BD111" i="13"/>
  <c r="BD107" i="13"/>
  <c r="BD120" i="13"/>
  <c r="BD113" i="13"/>
  <c r="BD109" i="13"/>
  <c r="BD206" i="13"/>
  <c r="BD197" i="13"/>
  <c r="BD189" i="13"/>
  <c r="BD199" i="13"/>
  <c r="BD191" i="13"/>
  <c r="BD201" i="13"/>
  <c r="BD186" i="13"/>
  <c r="BD190" i="13"/>
  <c r="BD177" i="13"/>
  <c r="BD194" i="13"/>
  <c r="BD188" i="13"/>
  <c r="BD200" i="13"/>
  <c r="BD184" i="13"/>
  <c r="BD181" i="13"/>
  <c r="BD198" i="13"/>
  <c r="BD195" i="13"/>
  <c r="BD187" i="13"/>
  <c r="BD165" i="13"/>
  <c r="BD166" i="13"/>
  <c r="BD132" i="13"/>
  <c r="BD183" i="13"/>
  <c r="BD182" i="13"/>
  <c r="BD167" i="13"/>
  <c r="BD101" i="13"/>
  <c r="BD171" i="13"/>
  <c r="BD168" i="13"/>
  <c r="BD196" i="13"/>
  <c r="BD102" i="13"/>
  <c r="BD123" i="13"/>
  <c r="BD202" i="13"/>
  <c r="BD192" i="13"/>
  <c r="BD172" i="13"/>
  <c r="BD180" i="13"/>
  <c r="BD173" i="13"/>
  <c r="BD163" i="13"/>
  <c r="BD179" i="13"/>
  <c r="BD193" i="13"/>
  <c r="BD178" i="13"/>
  <c r="BD162" i="13"/>
  <c r="BD185" i="13"/>
  <c r="BD100" i="13"/>
  <c r="BD203" i="13"/>
  <c r="BD169" i="13"/>
  <c r="BD176" i="13"/>
  <c r="BD174" i="13"/>
  <c r="BD204" i="13"/>
  <c r="BD129" i="13"/>
  <c r="BD207" i="13"/>
  <c r="BD164" i="13"/>
  <c r="BD126" i="13"/>
  <c r="BD205" i="13"/>
  <c r="BD99" i="13"/>
  <c r="BD104" i="13"/>
  <c r="BD175" i="13"/>
  <c r="BD103" i="13"/>
  <c r="BD125" i="13"/>
  <c r="BD293" i="13"/>
  <c r="BD127" i="13"/>
  <c r="BD105" i="13"/>
  <c r="BD170" i="13"/>
  <c r="BE4" i="13"/>
  <c r="W298" i="40" l="1"/>
  <c r="V60" i="40"/>
  <c r="W65" i="40"/>
  <c r="W66" i="40" s="1"/>
  <c r="X62" i="40" s="1"/>
  <c r="W55" i="40"/>
  <c r="W57" i="40" s="1"/>
  <c r="W59" i="40" s="1"/>
  <c r="X303" i="40"/>
  <c r="X304" i="40" s="1"/>
  <c r="X293" i="40"/>
  <c r="X295" i="40" s="1"/>
  <c r="X297" i="40" s="1"/>
  <c r="X137" i="40"/>
  <c r="B137" i="40" s="1"/>
  <c r="B136" i="40"/>
  <c r="I505" i="5"/>
  <c r="I465" i="5"/>
  <c r="H423" i="5"/>
  <c r="I300" i="5"/>
  <c r="I26" i="5"/>
  <c r="BE312" i="13"/>
  <c r="BE315" i="13"/>
  <c r="BE308" i="13"/>
  <c r="BE311" i="13"/>
  <c r="BE314" i="13"/>
  <c r="BE298" i="13"/>
  <c r="BE307" i="13"/>
  <c r="BE310" i="13"/>
  <c r="BE313" i="13"/>
  <c r="BE316" i="13"/>
  <c r="BE303" i="13"/>
  <c r="BE306" i="13"/>
  <c r="BE300" i="13"/>
  <c r="BE289" i="13"/>
  <c r="BE297" i="13"/>
  <c r="BE305" i="13"/>
  <c r="BE299" i="13"/>
  <c r="BE294" i="13"/>
  <c r="BE292" i="13"/>
  <c r="BE290" i="13"/>
  <c r="BE284" i="13"/>
  <c r="BE280" i="13"/>
  <c r="BE309" i="13"/>
  <c r="BE287" i="13"/>
  <c r="BE302" i="13"/>
  <c r="BE288" i="13"/>
  <c r="BE295" i="13"/>
  <c r="BE291" i="13"/>
  <c r="BE301" i="13"/>
  <c r="BE282" i="13"/>
  <c r="BE283" i="13"/>
  <c r="BE304" i="13"/>
  <c r="BE296" i="13"/>
  <c r="BE278" i="13"/>
  <c r="BE279" i="13"/>
  <c r="BE286" i="13"/>
  <c r="BE285" i="13"/>
  <c r="BE281" i="13"/>
  <c r="BE128" i="13"/>
  <c r="BE121" i="13"/>
  <c r="BE117" i="13"/>
  <c r="BE96" i="13"/>
  <c r="BE124" i="13"/>
  <c r="BE114" i="13"/>
  <c r="BE119" i="13"/>
  <c r="BE98" i="13"/>
  <c r="BE116" i="13"/>
  <c r="BE122" i="13"/>
  <c r="BE110" i="13"/>
  <c r="BE118" i="13"/>
  <c r="BE97" i="13"/>
  <c r="BE115" i="13"/>
  <c r="BE94" i="13"/>
  <c r="BE91" i="13"/>
  <c r="BE106" i="13"/>
  <c r="BE93" i="13"/>
  <c r="BE95" i="13"/>
  <c r="BE92" i="13"/>
  <c r="BE108" i="13"/>
  <c r="BE107" i="13"/>
  <c r="BE112" i="13"/>
  <c r="BE111" i="13"/>
  <c r="BE120" i="13"/>
  <c r="BE109" i="13"/>
  <c r="BE113" i="13"/>
  <c r="BE206" i="13"/>
  <c r="BE195" i="13"/>
  <c r="BE187" i="13"/>
  <c r="BE202" i="13"/>
  <c r="BE194" i="13"/>
  <c r="BE186" i="13"/>
  <c r="BE199" i="13"/>
  <c r="BE191" i="13"/>
  <c r="BE201" i="13"/>
  <c r="BE193" i="13"/>
  <c r="BE185" i="13"/>
  <c r="BE190" i="13"/>
  <c r="BE177" i="13"/>
  <c r="BE182" i="13"/>
  <c r="BE200" i="13"/>
  <c r="BE184" i="13"/>
  <c r="BE181" i="13"/>
  <c r="BE196" i="13"/>
  <c r="BE192" i="13"/>
  <c r="BE171" i="13"/>
  <c r="BE162" i="13"/>
  <c r="BE132" i="13"/>
  <c r="BE183" i="13"/>
  <c r="BE180" i="13"/>
  <c r="BE189" i="13"/>
  <c r="BE166" i="13"/>
  <c r="BE165" i="13"/>
  <c r="BE164" i="13"/>
  <c r="BE198" i="13"/>
  <c r="BE163" i="13"/>
  <c r="BE172" i="13"/>
  <c r="BE173" i="13"/>
  <c r="BE179" i="13"/>
  <c r="BE178" i="13"/>
  <c r="BE101" i="13"/>
  <c r="BE102" i="13"/>
  <c r="BE197" i="13"/>
  <c r="BE123" i="13"/>
  <c r="BE167" i="13"/>
  <c r="BE188" i="13"/>
  <c r="BE168" i="13"/>
  <c r="BE205" i="13"/>
  <c r="BE127" i="13"/>
  <c r="BE105" i="13"/>
  <c r="BE174" i="13"/>
  <c r="BE125" i="13"/>
  <c r="BE103" i="13"/>
  <c r="BE293" i="13"/>
  <c r="BE207" i="13"/>
  <c r="BE169" i="13"/>
  <c r="BE100" i="13"/>
  <c r="BE203" i="13"/>
  <c r="BE126" i="13"/>
  <c r="BE104" i="13"/>
  <c r="BE99" i="13"/>
  <c r="BE204" i="13"/>
  <c r="BE170" i="13"/>
  <c r="BE129" i="13"/>
  <c r="BE175" i="13"/>
  <c r="BE176" i="13"/>
  <c r="BF4" i="13"/>
  <c r="W60" i="40" l="1"/>
  <c r="X65" i="40"/>
  <c r="X66" i="40" s="1"/>
  <c r="X55" i="40"/>
  <c r="X57" i="40" s="1"/>
  <c r="X59" i="40" s="1"/>
  <c r="X298" i="40"/>
  <c r="B298" i="40" s="1"/>
  <c r="B297" i="40"/>
  <c r="I508" i="5"/>
  <c r="I466" i="5"/>
  <c r="I419" i="5"/>
  <c r="I303" i="5"/>
  <c r="J23" i="5"/>
  <c r="BF315" i="13"/>
  <c r="BF308" i="13"/>
  <c r="BF311" i="13"/>
  <c r="BF314" i="13"/>
  <c r="BF298" i="13"/>
  <c r="BF301" i="13"/>
  <c r="BF307" i="13"/>
  <c r="BF310" i="13"/>
  <c r="BF313" i="13"/>
  <c r="BF297" i="13"/>
  <c r="BF316" i="13"/>
  <c r="BF306" i="13"/>
  <c r="BF309" i="13"/>
  <c r="BF292" i="13"/>
  <c r="BF304" i="13"/>
  <c r="BF284" i="13"/>
  <c r="BF288" i="13"/>
  <c r="BF286" i="13"/>
  <c r="BF278" i="13"/>
  <c r="BF305" i="13"/>
  <c r="BF287" i="13"/>
  <c r="BF291" i="13"/>
  <c r="BF289" i="13"/>
  <c r="BF285" i="13"/>
  <c r="BF283" i="13"/>
  <c r="BF303" i="13"/>
  <c r="BF299" i="13"/>
  <c r="BF295" i="13"/>
  <c r="BF312" i="13"/>
  <c r="BF300" i="13"/>
  <c r="BF282" i="13"/>
  <c r="BF302" i="13"/>
  <c r="BF296" i="13"/>
  <c r="BF279" i="13"/>
  <c r="BF281" i="13"/>
  <c r="BF280" i="13"/>
  <c r="BF290" i="13"/>
  <c r="BF294" i="13"/>
  <c r="BF121" i="13"/>
  <c r="BF106" i="13"/>
  <c r="BF117" i="13"/>
  <c r="BF124" i="13"/>
  <c r="BF114" i="13"/>
  <c r="BF119" i="13"/>
  <c r="BF98" i="13"/>
  <c r="BF116" i="13"/>
  <c r="BF95" i="13"/>
  <c r="BF122" i="13"/>
  <c r="BF110" i="13"/>
  <c r="BF118" i="13"/>
  <c r="BF97" i="13"/>
  <c r="BF128" i="13"/>
  <c r="BF91" i="13"/>
  <c r="BF93" i="13"/>
  <c r="BF94" i="13"/>
  <c r="BF115" i="13"/>
  <c r="BF92" i="13"/>
  <c r="BF96" i="13"/>
  <c r="BF107" i="13"/>
  <c r="BF112" i="13"/>
  <c r="BF111" i="13"/>
  <c r="BF108" i="13"/>
  <c r="BF120" i="13"/>
  <c r="BF113" i="13"/>
  <c r="BF109" i="13"/>
  <c r="BF202" i="13"/>
  <c r="BF194" i="13"/>
  <c r="BF186" i="13"/>
  <c r="BF196" i="13"/>
  <c r="BF188" i="13"/>
  <c r="BF198" i="13"/>
  <c r="BF201" i="13"/>
  <c r="BF182" i="13"/>
  <c r="BF192" i="13"/>
  <c r="BF178" i="13"/>
  <c r="BF172" i="13"/>
  <c r="BF190" i="13"/>
  <c r="BF171" i="13"/>
  <c r="BF191" i="13"/>
  <c r="BF183" i="13"/>
  <c r="BF189" i="13"/>
  <c r="BF187" i="13"/>
  <c r="BF185" i="13"/>
  <c r="BF197" i="13"/>
  <c r="BF181" i="13"/>
  <c r="BF195" i="13"/>
  <c r="BF168" i="13"/>
  <c r="BF123" i="13"/>
  <c r="BF179" i="13"/>
  <c r="BF200" i="13"/>
  <c r="BF167" i="13"/>
  <c r="BF102" i="13"/>
  <c r="BF180" i="13"/>
  <c r="BF177" i="13"/>
  <c r="BF173" i="13"/>
  <c r="BF163" i="13"/>
  <c r="BF193" i="13"/>
  <c r="BF199" i="13"/>
  <c r="BF165" i="13"/>
  <c r="BF184" i="13"/>
  <c r="BF166" i="13"/>
  <c r="BF206" i="13"/>
  <c r="BF164" i="13"/>
  <c r="BF162" i="13"/>
  <c r="BF204" i="13"/>
  <c r="BF207" i="13"/>
  <c r="BF101" i="13"/>
  <c r="BF170" i="13"/>
  <c r="BF175" i="13"/>
  <c r="BF100" i="13"/>
  <c r="BF176" i="13"/>
  <c r="BF132" i="13"/>
  <c r="BF205" i="13"/>
  <c r="BF293" i="13"/>
  <c r="BF203" i="13"/>
  <c r="BF129" i="13"/>
  <c r="BF105" i="13"/>
  <c r="BF104" i="13"/>
  <c r="BF169" i="13"/>
  <c r="BF99" i="13"/>
  <c r="BF174" i="13"/>
  <c r="BF125" i="13"/>
  <c r="BF127" i="13"/>
  <c r="BF126" i="13"/>
  <c r="BF103" i="13"/>
  <c r="BG4" i="13"/>
  <c r="X60" i="40" l="1"/>
  <c r="B60" i="40" s="1"/>
  <c r="B59" i="40"/>
  <c r="I509" i="5"/>
  <c r="J462" i="5"/>
  <c r="I422" i="5"/>
  <c r="I304" i="5"/>
  <c r="J25" i="5"/>
  <c r="BG305" i="13"/>
  <c r="BG308" i="13"/>
  <c r="BG311" i="13"/>
  <c r="BG314" i="13"/>
  <c r="BG298" i="13"/>
  <c r="BG301" i="13"/>
  <c r="BG304" i="13"/>
  <c r="BG310" i="13"/>
  <c r="BG313" i="13"/>
  <c r="BG297" i="13"/>
  <c r="BG316" i="13"/>
  <c r="BG300" i="13"/>
  <c r="BG309" i="13"/>
  <c r="BG312" i="13"/>
  <c r="BG295" i="13"/>
  <c r="BG306" i="13"/>
  <c r="BG284" i="13"/>
  <c r="BG315" i="13"/>
  <c r="BG287" i="13"/>
  <c r="BG302" i="13"/>
  <c r="BG299" i="13"/>
  <c r="BG281" i="13"/>
  <c r="BG291" i="13"/>
  <c r="BG289" i="13"/>
  <c r="BG285" i="13"/>
  <c r="BG283" i="13"/>
  <c r="BG303" i="13"/>
  <c r="BG292" i="13"/>
  <c r="BG282" i="13"/>
  <c r="BG279" i="13"/>
  <c r="BG294" i="13"/>
  <c r="BG290" i="13"/>
  <c r="BG296" i="13"/>
  <c r="BG307" i="13"/>
  <c r="BG280" i="13"/>
  <c r="BG286" i="13"/>
  <c r="BG278" i="13"/>
  <c r="BG288" i="13"/>
  <c r="BG117" i="13"/>
  <c r="BG124" i="13"/>
  <c r="BG114" i="13"/>
  <c r="BG119" i="13"/>
  <c r="BG98" i="13"/>
  <c r="BG116" i="13"/>
  <c r="BG95" i="13"/>
  <c r="BG122" i="13"/>
  <c r="BG110" i="13"/>
  <c r="BG118" i="13"/>
  <c r="BG97" i="13"/>
  <c r="BG115" i="13"/>
  <c r="BG94" i="13"/>
  <c r="BG121" i="13"/>
  <c r="BG106" i="13"/>
  <c r="BG91" i="13"/>
  <c r="BG93" i="13"/>
  <c r="BG96" i="13"/>
  <c r="BG92" i="13"/>
  <c r="BG128" i="13"/>
  <c r="BG120" i="13"/>
  <c r="BG108" i="13"/>
  <c r="BG109" i="13"/>
  <c r="BG107" i="13"/>
  <c r="BG112" i="13"/>
  <c r="BG111" i="13"/>
  <c r="BG113" i="13"/>
  <c r="BG200" i="13"/>
  <c r="BG192" i="13"/>
  <c r="BG199" i="13"/>
  <c r="BG191" i="13"/>
  <c r="BG196" i="13"/>
  <c r="BG188" i="13"/>
  <c r="BG198" i="13"/>
  <c r="BG190" i="13"/>
  <c r="BG182" i="13"/>
  <c r="BG194" i="13"/>
  <c r="BG187" i="13"/>
  <c r="BG179" i="13"/>
  <c r="BG178" i="13"/>
  <c r="BG202" i="13"/>
  <c r="BG185" i="13"/>
  <c r="BG206" i="13"/>
  <c r="BG201" i="13"/>
  <c r="BG166" i="13"/>
  <c r="BG184" i="13"/>
  <c r="BG189" i="13"/>
  <c r="BG173" i="13"/>
  <c r="BG164" i="13"/>
  <c r="BG195" i="13"/>
  <c r="BG165" i="13"/>
  <c r="BG197" i="13"/>
  <c r="BG163" i="13"/>
  <c r="BG123" i="13"/>
  <c r="BG162" i="13"/>
  <c r="BG180" i="13"/>
  <c r="BG186" i="13"/>
  <c r="BG193" i="13"/>
  <c r="BG102" i="13"/>
  <c r="BG183" i="13"/>
  <c r="BG167" i="13"/>
  <c r="BG177" i="13"/>
  <c r="BG168" i="13"/>
  <c r="BG132" i="13"/>
  <c r="BG181" i="13"/>
  <c r="BG172" i="13"/>
  <c r="BG171" i="13"/>
  <c r="BG100" i="13"/>
  <c r="BG293" i="13"/>
  <c r="BG101" i="13"/>
  <c r="BG170" i="13"/>
  <c r="BG126" i="13"/>
  <c r="BG104" i="13"/>
  <c r="BG129" i="13"/>
  <c r="BG99" i="13"/>
  <c r="BG175" i="13"/>
  <c r="BG204" i="13"/>
  <c r="BG176" i="13"/>
  <c r="BG207" i="13"/>
  <c r="BG169" i="13"/>
  <c r="BG205" i="13"/>
  <c r="BG103" i="13"/>
  <c r="BG174" i="13"/>
  <c r="BG127" i="13"/>
  <c r="BG105" i="13"/>
  <c r="BG125" i="13"/>
  <c r="BG203" i="13"/>
  <c r="BH4" i="13"/>
  <c r="J505" i="5" l="1"/>
  <c r="J465" i="5"/>
  <c r="I423" i="5"/>
  <c r="J300" i="5"/>
  <c r="J26" i="5"/>
  <c r="BH308" i="13"/>
  <c r="BH311" i="13"/>
  <c r="BH314" i="13"/>
  <c r="BH301" i="13"/>
  <c r="BH304" i="13"/>
  <c r="BH307" i="13"/>
  <c r="BH310" i="13"/>
  <c r="BH313" i="13"/>
  <c r="BH316" i="13"/>
  <c r="BH300" i="13"/>
  <c r="BH303" i="13"/>
  <c r="BH306" i="13"/>
  <c r="BH309" i="13"/>
  <c r="BH312" i="13"/>
  <c r="BH315" i="13"/>
  <c r="BH299" i="13"/>
  <c r="BH302" i="13"/>
  <c r="BH294" i="13"/>
  <c r="BH287" i="13"/>
  <c r="BH290" i="13"/>
  <c r="BH296" i="13"/>
  <c r="BH286" i="13"/>
  <c r="BH280" i="13"/>
  <c r="BH278" i="13"/>
  <c r="BH295" i="13"/>
  <c r="BH279" i="13"/>
  <c r="BH289" i="13"/>
  <c r="BH281" i="13"/>
  <c r="BH285" i="13"/>
  <c r="BH292" i="13"/>
  <c r="BH298" i="13"/>
  <c r="BH297" i="13"/>
  <c r="BH283" i="13"/>
  <c r="BH305" i="13"/>
  <c r="BH282" i="13"/>
  <c r="BH284" i="13"/>
  <c r="BH291" i="13"/>
  <c r="BH288" i="13"/>
  <c r="BH117" i="13"/>
  <c r="BH124" i="13"/>
  <c r="BH114" i="13"/>
  <c r="BH119" i="13"/>
  <c r="BH116" i="13"/>
  <c r="BH95" i="13"/>
  <c r="BH122" i="13"/>
  <c r="BH110" i="13"/>
  <c r="BH118" i="13"/>
  <c r="BH115" i="13"/>
  <c r="BH94" i="13"/>
  <c r="BH128" i="13"/>
  <c r="BH98" i="13"/>
  <c r="BH93" i="13"/>
  <c r="BH106" i="13"/>
  <c r="BH121" i="13"/>
  <c r="BH92" i="13"/>
  <c r="BH91" i="13"/>
  <c r="BH96" i="13"/>
  <c r="BH97" i="13"/>
  <c r="BH112" i="13"/>
  <c r="BH120" i="13"/>
  <c r="BH107" i="13"/>
  <c r="BH111" i="13"/>
  <c r="BH108" i="13"/>
  <c r="BH109" i="13"/>
  <c r="BH113" i="13"/>
  <c r="BH199" i="13"/>
  <c r="BH191" i="13"/>
  <c r="BH201" i="13"/>
  <c r="BH193" i="13"/>
  <c r="BH185" i="13"/>
  <c r="BH206" i="13"/>
  <c r="BH194" i="13"/>
  <c r="BH187" i="13"/>
  <c r="BH179" i="13"/>
  <c r="BH202" i="13"/>
  <c r="BH196" i="13"/>
  <c r="BH183" i="13"/>
  <c r="BH167" i="13"/>
  <c r="BH200" i="13"/>
  <c r="BH166" i="13"/>
  <c r="BH198" i="13"/>
  <c r="BH186" i="13"/>
  <c r="BH177" i="13"/>
  <c r="BH172" i="13"/>
  <c r="BH173" i="13"/>
  <c r="BH163" i="13"/>
  <c r="BH184" i="13"/>
  <c r="BH171" i="13"/>
  <c r="BH123" i="13"/>
  <c r="BH181" i="13"/>
  <c r="BH180" i="13"/>
  <c r="BH164" i="13"/>
  <c r="BH182" i="13"/>
  <c r="BH178" i="13"/>
  <c r="BH195" i="13"/>
  <c r="BH192" i="13"/>
  <c r="BH189" i="13"/>
  <c r="BH190" i="13"/>
  <c r="BH165" i="13"/>
  <c r="BH197" i="13"/>
  <c r="BH168" i="13"/>
  <c r="BH132" i="13"/>
  <c r="BH188" i="13"/>
  <c r="BH102" i="13"/>
  <c r="BH101" i="13"/>
  <c r="BH100" i="13"/>
  <c r="BH162" i="13"/>
  <c r="BH205" i="13"/>
  <c r="BH203" i="13"/>
  <c r="BH175" i="13"/>
  <c r="BH293" i="13"/>
  <c r="BH127" i="13"/>
  <c r="BH174" i="13"/>
  <c r="BH125" i="13"/>
  <c r="BH176" i="13"/>
  <c r="BH129" i="13"/>
  <c r="BH126" i="13"/>
  <c r="BH204" i="13"/>
  <c r="BH105" i="13"/>
  <c r="BH169" i="13"/>
  <c r="BH170" i="13"/>
  <c r="BH103" i="13"/>
  <c r="BH104" i="13"/>
  <c r="BH99" i="13"/>
  <c r="BH207" i="13"/>
  <c r="BI4" i="13"/>
  <c r="J508" i="5" l="1"/>
  <c r="J466" i="5"/>
  <c r="J419" i="5"/>
  <c r="J303" i="5"/>
  <c r="K23" i="5"/>
  <c r="BI308" i="13"/>
  <c r="BI311" i="13"/>
  <c r="BI314" i="13"/>
  <c r="BI304" i="13"/>
  <c r="BI307" i="13"/>
  <c r="BI310" i="13"/>
  <c r="BI313" i="13"/>
  <c r="BI316" i="13"/>
  <c r="BI303" i="13"/>
  <c r="BI306" i="13"/>
  <c r="BI309" i="13"/>
  <c r="BI312" i="13"/>
  <c r="BI315" i="13"/>
  <c r="BI299" i="13"/>
  <c r="BI302" i="13"/>
  <c r="BI300" i="13"/>
  <c r="BI295" i="13"/>
  <c r="BI285" i="13"/>
  <c r="BI305" i="13"/>
  <c r="BI290" i="13"/>
  <c r="BI301" i="13"/>
  <c r="BI279" i="13"/>
  <c r="BI289" i="13"/>
  <c r="BI281" i="13"/>
  <c r="BI283" i="13"/>
  <c r="BI292" i="13"/>
  <c r="BI280" i="13"/>
  <c r="BI298" i="13"/>
  <c r="BI297" i="13"/>
  <c r="BI294" i="13"/>
  <c r="BI296" i="13"/>
  <c r="BI288" i="13"/>
  <c r="BI286" i="13"/>
  <c r="BI278" i="13"/>
  <c r="BI284" i="13"/>
  <c r="BI287" i="13"/>
  <c r="BI291" i="13"/>
  <c r="BI282" i="13"/>
  <c r="BI124" i="13"/>
  <c r="BI119" i="13"/>
  <c r="BI98" i="13"/>
  <c r="BI116" i="13"/>
  <c r="BI95" i="13"/>
  <c r="BI122" i="13"/>
  <c r="BI110" i="13"/>
  <c r="BI118" i="13"/>
  <c r="BI115" i="13"/>
  <c r="BI94" i="13"/>
  <c r="BI128" i="13"/>
  <c r="BI121" i="13"/>
  <c r="BI106" i="13"/>
  <c r="BI117" i="13"/>
  <c r="BI96" i="13"/>
  <c r="BI93" i="13"/>
  <c r="BI114" i="13"/>
  <c r="BI92" i="13"/>
  <c r="BI97" i="13"/>
  <c r="BI91" i="13"/>
  <c r="BI111" i="13"/>
  <c r="BI120" i="13"/>
  <c r="BI107" i="13"/>
  <c r="BI112" i="13"/>
  <c r="BI108" i="13"/>
  <c r="BI113" i="13"/>
  <c r="BI109" i="13"/>
  <c r="BI197" i="13"/>
  <c r="BI189" i="13"/>
  <c r="BI196" i="13"/>
  <c r="BI188" i="13"/>
  <c r="BI201" i="13"/>
  <c r="BI193" i="13"/>
  <c r="BI185" i="13"/>
  <c r="BI206" i="13"/>
  <c r="BI195" i="13"/>
  <c r="BI187" i="13"/>
  <c r="BI179" i="13"/>
  <c r="BI173" i="13"/>
  <c r="BI183" i="13"/>
  <c r="BI200" i="13"/>
  <c r="BI198" i="13"/>
  <c r="BI191" i="13"/>
  <c r="BI181" i="13"/>
  <c r="BI180" i="13"/>
  <c r="BI168" i="13"/>
  <c r="BI164" i="13"/>
  <c r="BI163" i="13"/>
  <c r="BI192" i="13"/>
  <c r="BI190" i="13"/>
  <c r="BI186" i="13"/>
  <c r="BI172" i="13"/>
  <c r="BI162" i="13"/>
  <c r="BI199" i="13"/>
  <c r="BI177" i="13"/>
  <c r="BI184" i="13"/>
  <c r="BI202" i="13"/>
  <c r="BI178" i="13"/>
  <c r="BI166" i="13"/>
  <c r="BI123" i="13"/>
  <c r="BI194" i="13"/>
  <c r="BI182" i="13"/>
  <c r="BI171" i="13"/>
  <c r="BI102" i="13"/>
  <c r="BI204" i="13"/>
  <c r="BI132" i="13"/>
  <c r="BI101" i="13"/>
  <c r="BI170" i="13"/>
  <c r="BI126" i="13"/>
  <c r="BI104" i="13"/>
  <c r="BI293" i="13"/>
  <c r="BI129" i="13"/>
  <c r="BI99" i="13"/>
  <c r="BI167" i="13"/>
  <c r="BI175" i="13"/>
  <c r="BI165" i="13"/>
  <c r="BI207" i="13"/>
  <c r="BI169" i="13"/>
  <c r="BI205" i="13"/>
  <c r="BI105" i="13"/>
  <c r="BI176" i="13"/>
  <c r="BI203" i="13"/>
  <c r="BI100" i="13"/>
  <c r="BI127" i="13"/>
  <c r="BI125" i="13"/>
  <c r="BI103" i="13"/>
  <c r="BI174" i="13"/>
  <c r="BJ4" i="13"/>
  <c r="J509" i="5" l="1"/>
  <c r="K462" i="5"/>
  <c r="J422" i="5"/>
  <c r="J304" i="5"/>
  <c r="K25" i="5"/>
  <c r="BJ311" i="13"/>
  <c r="BJ314" i="13"/>
  <c r="BJ307" i="13"/>
  <c r="BJ310" i="13"/>
  <c r="BJ313" i="13"/>
  <c r="BJ297" i="13"/>
  <c r="BJ316" i="13"/>
  <c r="BJ306" i="13"/>
  <c r="BJ309" i="13"/>
  <c r="BJ312" i="13"/>
  <c r="BJ315" i="13"/>
  <c r="BJ302" i="13"/>
  <c r="BJ305" i="13"/>
  <c r="BJ288" i="13"/>
  <c r="BJ299" i="13"/>
  <c r="BJ301" i="13"/>
  <c r="BJ296" i="13"/>
  <c r="BJ279" i="13"/>
  <c r="BJ282" i="13"/>
  <c r="BJ300" i="13"/>
  <c r="BJ308" i="13"/>
  <c r="BJ283" i="13"/>
  <c r="BJ290" i="13"/>
  <c r="BJ294" i="13"/>
  <c r="BJ295" i="13"/>
  <c r="BJ289" i="13"/>
  <c r="BJ304" i="13"/>
  <c r="BJ303" i="13"/>
  <c r="BJ292" i="13"/>
  <c r="BJ291" i="13"/>
  <c r="BJ285" i="13"/>
  <c r="BJ280" i="13"/>
  <c r="BJ298" i="13"/>
  <c r="BJ278" i="13"/>
  <c r="BJ284" i="13"/>
  <c r="BJ286" i="13"/>
  <c r="BJ287" i="13"/>
  <c r="BJ281" i="13"/>
  <c r="BJ124" i="13"/>
  <c r="BJ114" i="13"/>
  <c r="BJ119" i="13"/>
  <c r="BJ116" i="13"/>
  <c r="BJ122" i="13"/>
  <c r="BJ110" i="13"/>
  <c r="BJ118" i="13"/>
  <c r="BJ97" i="13"/>
  <c r="BJ115" i="13"/>
  <c r="BJ128" i="13"/>
  <c r="BJ121" i="13"/>
  <c r="BJ106" i="13"/>
  <c r="BJ93" i="13"/>
  <c r="BJ117" i="13"/>
  <c r="BJ94" i="13"/>
  <c r="BJ92" i="13"/>
  <c r="BJ96" i="13"/>
  <c r="BJ95" i="13"/>
  <c r="BJ91" i="13"/>
  <c r="BJ98" i="13"/>
  <c r="BJ108" i="13"/>
  <c r="BJ111" i="13"/>
  <c r="BJ112" i="13"/>
  <c r="BJ120" i="13"/>
  <c r="BJ107" i="13"/>
  <c r="BJ113" i="13"/>
  <c r="BJ109" i="13"/>
  <c r="BJ196" i="13"/>
  <c r="BJ188" i="13"/>
  <c r="BJ198" i="13"/>
  <c r="BJ190" i="13"/>
  <c r="BJ206" i="13"/>
  <c r="BJ200" i="13"/>
  <c r="BJ187" i="13"/>
  <c r="BJ173" i="13"/>
  <c r="BJ195" i="13"/>
  <c r="BJ191" i="13"/>
  <c r="BJ185" i="13"/>
  <c r="BJ189" i="13"/>
  <c r="BJ180" i="13"/>
  <c r="BJ201" i="13"/>
  <c r="BJ181" i="13"/>
  <c r="BJ192" i="13"/>
  <c r="BJ184" i="13"/>
  <c r="BJ183" i="13"/>
  <c r="BJ182" i="13"/>
  <c r="BJ178" i="13"/>
  <c r="BJ177" i="13"/>
  <c r="BJ202" i="13"/>
  <c r="BJ171" i="13"/>
  <c r="BJ194" i="13"/>
  <c r="BJ164" i="13"/>
  <c r="BJ100" i="13"/>
  <c r="BJ197" i="13"/>
  <c r="BJ123" i="13"/>
  <c r="BJ162" i="13"/>
  <c r="BJ172" i="13"/>
  <c r="BJ132" i="13"/>
  <c r="BJ163" i="13"/>
  <c r="BJ179" i="13"/>
  <c r="BJ186" i="13"/>
  <c r="BJ101" i="13"/>
  <c r="BJ193" i="13"/>
  <c r="BJ199" i="13"/>
  <c r="BJ166" i="13"/>
  <c r="BJ167" i="13"/>
  <c r="BJ168" i="13"/>
  <c r="BJ203" i="13"/>
  <c r="BJ205" i="13"/>
  <c r="BJ207" i="13"/>
  <c r="BJ176" i="13"/>
  <c r="BJ169" i="13"/>
  <c r="BJ165" i="13"/>
  <c r="BJ174" i="13"/>
  <c r="BJ102" i="13"/>
  <c r="BJ175" i="13"/>
  <c r="BJ127" i="13"/>
  <c r="BJ104" i="13"/>
  <c r="BJ103" i="13"/>
  <c r="BJ170" i="13"/>
  <c r="BJ293" i="13"/>
  <c r="BJ204" i="13"/>
  <c r="BJ129" i="13"/>
  <c r="BJ126" i="13"/>
  <c r="BJ125" i="13"/>
  <c r="BJ105" i="13"/>
  <c r="BJ99" i="13"/>
  <c r="BK4" i="13"/>
  <c r="D136" i="5"/>
  <c r="E149" i="5" s="1"/>
  <c r="K505" i="5" l="1"/>
  <c r="K465" i="5"/>
  <c r="J423" i="5"/>
  <c r="K300" i="5"/>
  <c r="K26" i="5"/>
  <c r="E133" i="5"/>
  <c r="D152" i="5" s="1"/>
  <c r="BK314" i="13"/>
  <c r="BK307" i="13"/>
  <c r="BK310" i="13"/>
  <c r="BK313" i="13"/>
  <c r="BK297" i="13"/>
  <c r="BK316" i="13"/>
  <c r="BK300" i="13"/>
  <c r="BK309" i="13"/>
  <c r="BK312" i="13"/>
  <c r="BK315" i="13"/>
  <c r="BK305" i="13"/>
  <c r="BK308" i="13"/>
  <c r="BK291" i="13"/>
  <c r="BK296" i="13"/>
  <c r="BK303" i="13"/>
  <c r="BK283" i="13"/>
  <c r="BK282" i="13"/>
  <c r="BK294" i="13"/>
  <c r="BK304" i="13"/>
  <c r="BK306" i="13"/>
  <c r="BK290" i="13"/>
  <c r="BK298" i="13"/>
  <c r="BK284" i="13"/>
  <c r="BK301" i="13"/>
  <c r="BK299" i="13"/>
  <c r="BK295" i="13"/>
  <c r="BK289" i="13"/>
  <c r="BK302" i="13"/>
  <c r="BK288" i="13"/>
  <c r="BK279" i="13"/>
  <c r="BK311" i="13"/>
  <c r="BK281" i="13"/>
  <c r="BK292" i="13"/>
  <c r="BK285" i="13"/>
  <c r="BK280" i="13"/>
  <c r="BK278" i="13"/>
  <c r="BK286" i="13"/>
  <c r="BK287" i="13"/>
  <c r="BK119" i="13"/>
  <c r="BK116" i="13"/>
  <c r="BK95" i="13"/>
  <c r="BK122" i="13"/>
  <c r="BK110" i="13"/>
  <c r="BK118" i="13"/>
  <c r="BK97" i="13"/>
  <c r="BK115" i="13"/>
  <c r="BK128" i="13"/>
  <c r="BK121" i="13"/>
  <c r="BK106" i="13"/>
  <c r="BK117" i="13"/>
  <c r="BK96" i="13"/>
  <c r="BK124" i="13"/>
  <c r="BK114" i="13"/>
  <c r="BK93" i="13"/>
  <c r="BK94" i="13"/>
  <c r="BK92" i="13"/>
  <c r="BK98" i="13"/>
  <c r="BK91" i="13"/>
  <c r="BK112" i="13"/>
  <c r="BK120" i="13"/>
  <c r="BK108" i="13"/>
  <c r="BK109" i="13"/>
  <c r="BK111" i="13"/>
  <c r="BK107" i="13"/>
  <c r="BK113" i="13"/>
  <c r="BK202" i="13"/>
  <c r="BK194" i="13"/>
  <c r="BK186" i="13"/>
  <c r="BK201" i="13"/>
  <c r="BK193" i="13"/>
  <c r="BK185" i="13"/>
  <c r="BK198" i="13"/>
  <c r="BK190" i="13"/>
  <c r="BK206" i="13"/>
  <c r="BK200" i="13"/>
  <c r="BK192" i="13"/>
  <c r="BK184" i="13"/>
  <c r="BK173" i="13"/>
  <c r="BK195" i="13"/>
  <c r="BK191" i="13"/>
  <c r="BK181" i="13"/>
  <c r="BK189" i="13"/>
  <c r="BK180" i="13"/>
  <c r="BK197" i="13"/>
  <c r="BK196" i="13"/>
  <c r="BK188" i="13"/>
  <c r="BK183" i="13"/>
  <c r="BK182" i="13"/>
  <c r="BK178" i="13"/>
  <c r="BK177" i="13"/>
  <c r="BK179" i="13"/>
  <c r="BK168" i="13"/>
  <c r="BK132" i="13"/>
  <c r="BK187" i="13"/>
  <c r="BK171" i="13"/>
  <c r="BK172" i="13"/>
  <c r="BK162" i="13"/>
  <c r="BK101" i="13"/>
  <c r="BK163" i="13"/>
  <c r="BK100" i="13"/>
  <c r="BK199" i="13"/>
  <c r="BK123" i="13"/>
  <c r="BK167" i="13"/>
  <c r="BK164" i="13"/>
  <c r="BK293" i="13"/>
  <c r="BK166" i="13"/>
  <c r="BK165" i="13"/>
  <c r="BK102" i="13"/>
  <c r="BK204" i="13"/>
  <c r="BK125" i="13"/>
  <c r="BK103" i="13"/>
  <c r="BK207" i="13"/>
  <c r="BK169" i="13"/>
  <c r="BK127" i="13"/>
  <c r="BK105" i="13"/>
  <c r="BK170" i="13"/>
  <c r="BK175" i="13"/>
  <c r="BK104" i="13"/>
  <c r="BK203" i="13"/>
  <c r="BK205" i="13"/>
  <c r="BK174" i="13"/>
  <c r="BK176" i="13"/>
  <c r="BK99" i="13"/>
  <c r="BK126" i="13"/>
  <c r="BK129" i="13"/>
  <c r="BL4" i="13"/>
  <c r="Y136" i="5"/>
  <c r="N149" i="5"/>
  <c r="N150" i="5" s="1"/>
  <c r="M149" i="5"/>
  <c r="M150" i="5" s="1"/>
  <c r="L149" i="5"/>
  <c r="L150" i="5" s="1"/>
  <c r="K149" i="5"/>
  <c r="K150" i="5" s="1"/>
  <c r="J149" i="5"/>
  <c r="J150" i="5" s="1"/>
  <c r="I149" i="5"/>
  <c r="I150" i="5" s="1"/>
  <c r="H149" i="5"/>
  <c r="H150" i="5" s="1"/>
  <c r="G149" i="5"/>
  <c r="G150" i="5" s="1"/>
  <c r="F149" i="5"/>
  <c r="F150" i="5" s="1"/>
  <c r="I227" i="5"/>
  <c r="I228" i="5" s="1"/>
  <c r="H227" i="5"/>
  <c r="H228" i="5" s="1"/>
  <c r="F227" i="5"/>
  <c r="F228" i="5" s="1"/>
  <c r="E227" i="5"/>
  <c r="E228" i="5" s="1"/>
  <c r="K227" i="5"/>
  <c r="K228" i="5" s="1"/>
  <c r="G227" i="5"/>
  <c r="G228" i="5" s="1"/>
  <c r="N227" i="5"/>
  <c r="N228" i="5" s="1"/>
  <c r="M227" i="5"/>
  <c r="M228" i="5" s="1"/>
  <c r="J227" i="5"/>
  <c r="J228" i="5" s="1"/>
  <c r="L227" i="5"/>
  <c r="L228" i="5" s="1"/>
  <c r="D155" i="5"/>
  <c r="D236" i="5"/>
  <c r="N231" i="5"/>
  <c r="L231" i="5"/>
  <c r="M231" i="5"/>
  <c r="K231" i="5"/>
  <c r="J231" i="5"/>
  <c r="I231" i="5"/>
  <c r="D229" i="5"/>
  <c r="E231" i="5"/>
  <c r="D233" i="5"/>
  <c r="H231" i="5"/>
  <c r="G231" i="5"/>
  <c r="F231" i="5"/>
  <c r="F147" i="5"/>
  <c r="F148" i="5" s="1"/>
  <c r="L147" i="5"/>
  <c r="L148" i="5" s="1"/>
  <c r="K147" i="5"/>
  <c r="K148" i="5" s="1"/>
  <c r="I147" i="5"/>
  <c r="I148" i="5" s="1"/>
  <c r="E147" i="5"/>
  <c r="E148" i="5" s="1"/>
  <c r="H147" i="5"/>
  <c r="H148" i="5" s="1"/>
  <c r="J147" i="5"/>
  <c r="J148" i="5" s="1"/>
  <c r="N147" i="5"/>
  <c r="N148" i="5" s="1"/>
  <c r="M147" i="5"/>
  <c r="M148" i="5" s="1"/>
  <c r="G147" i="5"/>
  <c r="G148" i="5" s="1"/>
  <c r="Y59" i="5"/>
  <c r="K508" i="5" l="1"/>
  <c r="K466" i="5"/>
  <c r="K419" i="5"/>
  <c r="K303" i="5"/>
  <c r="L23" i="5"/>
  <c r="E150" i="5"/>
  <c r="BL304" i="13"/>
  <c r="BL307" i="13"/>
  <c r="BL310" i="13"/>
  <c r="BL313" i="13"/>
  <c r="BL297" i="13"/>
  <c r="BL316" i="13"/>
  <c r="BL300" i="13"/>
  <c r="BL303" i="13"/>
  <c r="BL309" i="13"/>
  <c r="BL312" i="13"/>
  <c r="BL315" i="13"/>
  <c r="BL299" i="13"/>
  <c r="BL308" i="13"/>
  <c r="BL311" i="13"/>
  <c r="BL302" i="13"/>
  <c r="BL294" i="13"/>
  <c r="BL283" i="13"/>
  <c r="BL286" i="13"/>
  <c r="BL306" i="13"/>
  <c r="BL280" i="13"/>
  <c r="BL298" i="13"/>
  <c r="BL295" i="13"/>
  <c r="BL287" i="13"/>
  <c r="BL314" i="13"/>
  <c r="BL290" i="13"/>
  <c r="BL301" i="13"/>
  <c r="BL284" i="13"/>
  <c r="BL305" i="13"/>
  <c r="BL291" i="13"/>
  <c r="BL281" i="13"/>
  <c r="BL288" i="13"/>
  <c r="BL296" i="13"/>
  <c r="BL278" i="13"/>
  <c r="BL292" i="13"/>
  <c r="BL285" i="13"/>
  <c r="BL279" i="13"/>
  <c r="BL289" i="13"/>
  <c r="BL282" i="13"/>
  <c r="BL119" i="13"/>
  <c r="BL116" i="13"/>
  <c r="BL122" i="13"/>
  <c r="BL118" i="13"/>
  <c r="BL97" i="13"/>
  <c r="BL115" i="13"/>
  <c r="BL94" i="13"/>
  <c r="BL128" i="13"/>
  <c r="BL121" i="13"/>
  <c r="BL117" i="13"/>
  <c r="BL96" i="13"/>
  <c r="BL124" i="13"/>
  <c r="BL114" i="13"/>
  <c r="BL106" i="13"/>
  <c r="BL92" i="13"/>
  <c r="BL110" i="13"/>
  <c r="BL95" i="13"/>
  <c r="BL98" i="13"/>
  <c r="BL91" i="13"/>
  <c r="BL93" i="13"/>
  <c r="BL108" i="13"/>
  <c r="BL107" i="13"/>
  <c r="BL120" i="13"/>
  <c r="BL111" i="13"/>
  <c r="BL112" i="13"/>
  <c r="BL109" i="13"/>
  <c r="BL113" i="13"/>
  <c r="BL201" i="13"/>
  <c r="BL193" i="13"/>
  <c r="BL185" i="13"/>
  <c r="BL206" i="13"/>
  <c r="BL195" i="13"/>
  <c r="BL187" i="13"/>
  <c r="BL197" i="13"/>
  <c r="BL191" i="13"/>
  <c r="BL181" i="13"/>
  <c r="BL184" i="13"/>
  <c r="BL177" i="13"/>
  <c r="BL202" i="13"/>
  <c r="BL171" i="13"/>
  <c r="BL192" i="13"/>
  <c r="BL180" i="13"/>
  <c r="BL179" i="13"/>
  <c r="BL168" i="13"/>
  <c r="BL173" i="13"/>
  <c r="BL166" i="13"/>
  <c r="BL200" i="13"/>
  <c r="BL178" i="13"/>
  <c r="BL167" i="13"/>
  <c r="BL188" i="13"/>
  <c r="BL186" i="13"/>
  <c r="BL199" i="13"/>
  <c r="BL102" i="13"/>
  <c r="BL190" i="13"/>
  <c r="BL183" i="13"/>
  <c r="BL182" i="13"/>
  <c r="BL163" i="13"/>
  <c r="BL189" i="13"/>
  <c r="BL101" i="13"/>
  <c r="BL196" i="13"/>
  <c r="BL194" i="13"/>
  <c r="BL132" i="13"/>
  <c r="BL198" i="13"/>
  <c r="BL172" i="13"/>
  <c r="BL123" i="13"/>
  <c r="BL162" i="13"/>
  <c r="BL174" i="13"/>
  <c r="BL176" i="13"/>
  <c r="BL129" i="13"/>
  <c r="BL165" i="13"/>
  <c r="BL170" i="13"/>
  <c r="BL126" i="13"/>
  <c r="BL164" i="13"/>
  <c r="BL203" i="13"/>
  <c r="BL207" i="13"/>
  <c r="BL175" i="13"/>
  <c r="BL105" i="13"/>
  <c r="BL169" i="13"/>
  <c r="BL99" i="13"/>
  <c r="BL293" i="13"/>
  <c r="BL127" i="13"/>
  <c r="BL100" i="13"/>
  <c r="BL125" i="13"/>
  <c r="BL103" i="13"/>
  <c r="BL205" i="13"/>
  <c r="BL204" i="13"/>
  <c r="BL104" i="13"/>
  <c r="Y137" i="5"/>
  <c r="BM4" i="13"/>
  <c r="E152" i="5"/>
  <c r="Y60" i="5"/>
  <c r="E233" i="5"/>
  <c r="E229" i="5"/>
  <c r="E207" i="5"/>
  <c r="D151" i="5"/>
  <c r="F70" i="5"/>
  <c r="H70" i="5"/>
  <c r="E71" i="5"/>
  <c r="N73" i="5"/>
  <c r="M70" i="5"/>
  <c r="D75" i="5"/>
  <c r="G73" i="5"/>
  <c r="I73" i="5"/>
  <c r="H73" i="5"/>
  <c r="J73" i="5"/>
  <c r="K73" i="5"/>
  <c r="L73" i="5"/>
  <c r="M73" i="5"/>
  <c r="I70" i="5"/>
  <c r="J70" i="5"/>
  <c r="K70" i="5"/>
  <c r="G70" i="5"/>
  <c r="N70" i="5"/>
  <c r="L70" i="5"/>
  <c r="F71" i="5" l="1"/>
  <c r="M71" i="5"/>
  <c r="N71" i="5"/>
  <c r="J71" i="5"/>
  <c r="H71" i="5"/>
  <c r="G71" i="5"/>
  <c r="I71" i="5"/>
  <c r="L71" i="5"/>
  <c r="K71" i="5"/>
  <c r="K509" i="5"/>
  <c r="L462" i="5"/>
  <c r="K422" i="5"/>
  <c r="K304" i="5"/>
  <c r="D74" i="5"/>
  <c r="D76" i="5" s="1"/>
  <c r="L25" i="5"/>
  <c r="BM307" i="13"/>
  <c r="BM310" i="13"/>
  <c r="BM313" i="13"/>
  <c r="BM316" i="13"/>
  <c r="BM300" i="13"/>
  <c r="BM303" i="13"/>
  <c r="BM306" i="13"/>
  <c r="BM309" i="13"/>
  <c r="BM312" i="13"/>
  <c r="BM315" i="13"/>
  <c r="BM299" i="13"/>
  <c r="BM302" i="13"/>
  <c r="BM305" i="13"/>
  <c r="BM308" i="13"/>
  <c r="BM311" i="13"/>
  <c r="BM314" i="13"/>
  <c r="BM298" i="13"/>
  <c r="BM301" i="13"/>
  <c r="BM286" i="13"/>
  <c r="BM289" i="13"/>
  <c r="BM295" i="13"/>
  <c r="BM294" i="13"/>
  <c r="BM296" i="13"/>
  <c r="BM284" i="13"/>
  <c r="BM291" i="13"/>
  <c r="BM304" i="13"/>
  <c r="BM288" i="13"/>
  <c r="BM283" i="13"/>
  <c r="BM278" i="13"/>
  <c r="BM287" i="13"/>
  <c r="BM280" i="13"/>
  <c r="BM281" i="13"/>
  <c r="BM292" i="13"/>
  <c r="BM290" i="13"/>
  <c r="BM297" i="13"/>
  <c r="BM285" i="13"/>
  <c r="BM282" i="13"/>
  <c r="BM279" i="13"/>
  <c r="BM116" i="13"/>
  <c r="BM122" i="13"/>
  <c r="BM110" i="13"/>
  <c r="BM118" i="13"/>
  <c r="BM97" i="13"/>
  <c r="BM115" i="13"/>
  <c r="BM94" i="13"/>
  <c r="BM128" i="13"/>
  <c r="BM121" i="13"/>
  <c r="BM106" i="13"/>
  <c r="BM117" i="13"/>
  <c r="BM96" i="13"/>
  <c r="BM124" i="13"/>
  <c r="BM114" i="13"/>
  <c r="BM119" i="13"/>
  <c r="BM98" i="13"/>
  <c r="BM93" i="13"/>
  <c r="BM92" i="13"/>
  <c r="BM95" i="13"/>
  <c r="BM91" i="13"/>
  <c r="BM107" i="13"/>
  <c r="BM109" i="13"/>
  <c r="BM120" i="13"/>
  <c r="BM112" i="13"/>
  <c r="BM111" i="13"/>
  <c r="BM108" i="13"/>
  <c r="BM113" i="13"/>
  <c r="BM199" i="13"/>
  <c r="BM191" i="13"/>
  <c r="BM198" i="13"/>
  <c r="BM190" i="13"/>
  <c r="BM206" i="13"/>
  <c r="BM195" i="13"/>
  <c r="BM187" i="13"/>
  <c r="BM197" i="13"/>
  <c r="BM189" i="13"/>
  <c r="BM181" i="13"/>
  <c r="BM184" i="13"/>
  <c r="BM178" i="13"/>
  <c r="BM177" i="13"/>
  <c r="BM193" i="13"/>
  <c r="BM173" i="13"/>
  <c r="BM165" i="13"/>
  <c r="BM202" i="13"/>
  <c r="BM179" i="13"/>
  <c r="BM200" i="13"/>
  <c r="BM185" i="13"/>
  <c r="BM167" i="13"/>
  <c r="BM201" i="13"/>
  <c r="BM196" i="13"/>
  <c r="BM194" i="13"/>
  <c r="BM162" i="13"/>
  <c r="BM172" i="13"/>
  <c r="BM132" i="13"/>
  <c r="BM186" i="13"/>
  <c r="BM168" i="13"/>
  <c r="BM166" i="13"/>
  <c r="BM180" i="13"/>
  <c r="BM100" i="13"/>
  <c r="BM101" i="13"/>
  <c r="BM102" i="13"/>
  <c r="BM183" i="13"/>
  <c r="BM164" i="13"/>
  <c r="BM188" i="13"/>
  <c r="BM182" i="13"/>
  <c r="BM171" i="13"/>
  <c r="BM192" i="13"/>
  <c r="BM163" i="13"/>
  <c r="BM123" i="13"/>
  <c r="BM203" i="13"/>
  <c r="BM204" i="13"/>
  <c r="BM125" i="13"/>
  <c r="BM103" i="13"/>
  <c r="BM207" i="13"/>
  <c r="BM169" i="13"/>
  <c r="BM127" i="13"/>
  <c r="BM105" i="13"/>
  <c r="BM176" i="13"/>
  <c r="BM129" i="13"/>
  <c r="BM293" i="13"/>
  <c r="BM175" i="13"/>
  <c r="BM99" i="13"/>
  <c r="BM205" i="13"/>
  <c r="BM174" i="13"/>
  <c r="BM126" i="13"/>
  <c r="BM104" i="13"/>
  <c r="BM170" i="13"/>
  <c r="BN4" i="13"/>
  <c r="F229" i="5"/>
  <c r="F207" i="5"/>
  <c r="E151" i="5"/>
  <c r="D154" i="5"/>
  <c r="D153" i="5"/>
  <c r="E75" i="5"/>
  <c r="L505" i="5" l="1"/>
  <c r="L465" i="5"/>
  <c r="K423" i="5"/>
  <c r="L300" i="5"/>
  <c r="L26" i="5"/>
  <c r="T140" i="5"/>
  <c r="S140" i="5"/>
  <c r="R140" i="5"/>
  <c r="E140" i="5"/>
  <c r="Q140" i="5"/>
  <c r="P140" i="5"/>
  <c r="O140" i="5"/>
  <c r="N140" i="5"/>
  <c r="M140" i="5"/>
  <c r="L140" i="5"/>
  <c r="K140" i="5"/>
  <c r="J140" i="5"/>
  <c r="U140" i="5"/>
  <c r="I140" i="5"/>
  <c r="X140" i="5"/>
  <c r="H140" i="5"/>
  <c r="W140" i="5"/>
  <c r="G140" i="5"/>
  <c r="V140" i="5"/>
  <c r="F140" i="5"/>
  <c r="W63" i="5"/>
  <c r="V63" i="5"/>
  <c r="F63" i="5"/>
  <c r="U63" i="5"/>
  <c r="E63" i="5"/>
  <c r="T63" i="5"/>
  <c r="S63" i="5"/>
  <c r="R63" i="5"/>
  <c r="Q63" i="5"/>
  <c r="O63" i="5"/>
  <c r="N63" i="5"/>
  <c r="P63" i="5"/>
  <c r="M63" i="5"/>
  <c r="H63" i="5"/>
  <c r="L63" i="5"/>
  <c r="K63" i="5"/>
  <c r="X63" i="5"/>
  <c r="J63" i="5"/>
  <c r="G63" i="5"/>
  <c r="I63" i="5"/>
  <c r="BN307" i="13"/>
  <c r="BN310" i="13"/>
  <c r="BN313" i="13"/>
  <c r="BN316" i="13"/>
  <c r="BN303" i="13"/>
  <c r="BN306" i="13"/>
  <c r="BN309" i="13"/>
  <c r="BN312" i="13"/>
  <c r="BN315" i="13"/>
  <c r="BN302" i="13"/>
  <c r="BN305" i="13"/>
  <c r="BN308" i="13"/>
  <c r="BN311" i="13"/>
  <c r="BN314" i="13"/>
  <c r="BN298" i="13"/>
  <c r="BN301" i="13"/>
  <c r="BN294" i="13"/>
  <c r="BN304" i="13"/>
  <c r="BN297" i="13"/>
  <c r="BN284" i="13"/>
  <c r="BN296" i="13"/>
  <c r="BN289" i="13"/>
  <c r="BN292" i="13"/>
  <c r="BN278" i="13"/>
  <c r="BN300" i="13"/>
  <c r="BN288" i="13"/>
  <c r="BN291" i="13"/>
  <c r="BN285" i="13"/>
  <c r="BN282" i="13"/>
  <c r="BN299" i="13"/>
  <c r="BN295" i="13"/>
  <c r="BN283" i="13"/>
  <c r="BN287" i="13"/>
  <c r="BN281" i="13"/>
  <c r="BN279" i="13"/>
  <c r="BN290" i="13"/>
  <c r="BN280" i="13"/>
  <c r="BN286" i="13"/>
  <c r="BN116" i="13"/>
  <c r="BN122" i="13"/>
  <c r="BN118" i="13"/>
  <c r="BN115" i="13"/>
  <c r="BN94" i="13"/>
  <c r="BN128" i="13"/>
  <c r="BN121" i="13"/>
  <c r="BN106" i="13"/>
  <c r="BN117" i="13"/>
  <c r="BN124" i="13"/>
  <c r="BN114" i="13"/>
  <c r="BN92" i="13"/>
  <c r="BN95" i="13"/>
  <c r="BN96" i="13"/>
  <c r="BN91" i="13"/>
  <c r="BN98" i="13"/>
  <c r="BN97" i="13"/>
  <c r="BN110" i="13"/>
  <c r="BN119" i="13"/>
  <c r="BN93" i="13"/>
  <c r="BN108" i="13"/>
  <c r="BN107" i="13"/>
  <c r="BN120" i="13"/>
  <c r="BN109" i="13"/>
  <c r="BN111" i="13"/>
  <c r="BN112" i="13"/>
  <c r="BN113" i="13"/>
  <c r="BN198" i="13"/>
  <c r="BN190" i="13"/>
  <c r="BN200" i="13"/>
  <c r="BN192" i="13"/>
  <c r="BN184" i="13"/>
  <c r="BN202" i="13"/>
  <c r="BN195" i="13"/>
  <c r="BN178" i="13"/>
  <c r="BN188" i="13"/>
  <c r="BN193" i="13"/>
  <c r="BN197" i="13"/>
  <c r="BN186" i="13"/>
  <c r="BN182" i="13"/>
  <c r="BN199" i="13"/>
  <c r="BN189" i="13"/>
  <c r="BN166" i="13"/>
  <c r="BN206" i="13"/>
  <c r="BN165" i="13"/>
  <c r="BN162" i="13"/>
  <c r="BN102" i="13"/>
  <c r="BN185" i="13"/>
  <c r="BN180" i="13"/>
  <c r="BN201" i="13"/>
  <c r="BN173" i="13"/>
  <c r="BN101" i="13"/>
  <c r="BN179" i="13"/>
  <c r="BN196" i="13"/>
  <c r="BN187" i="13"/>
  <c r="BN167" i="13"/>
  <c r="BN194" i="13"/>
  <c r="BN183" i="13"/>
  <c r="BN164" i="13"/>
  <c r="BN132" i="13"/>
  <c r="BN168" i="13"/>
  <c r="BN191" i="13"/>
  <c r="BN177" i="13"/>
  <c r="BN171" i="13"/>
  <c r="BN172" i="13"/>
  <c r="BN181" i="13"/>
  <c r="BN100" i="13"/>
  <c r="BN163" i="13"/>
  <c r="BN207" i="13"/>
  <c r="BN204" i="13"/>
  <c r="BN175" i="13"/>
  <c r="BN205" i="13"/>
  <c r="BN170" i="13"/>
  <c r="BN174" i="13"/>
  <c r="BN176" i="13"/>
  <c r="BN126" i="13"/>
  <c r="BN103" i="13"/>
  <c r="BN99" i="13"/>
  <c r="BN203" i="13"/>
  <c r="BN129" i="13"/>
  <c r="BN105" i="13"/>
  <c r="BN169" i="13"/>
  <c r="BN125" i="13"/>
  <c r="BN123" i="13"/>
  <c r="BN293" i="13"/>
  <c r="BN104" i="13"/>
  <c r="BN127" i="13"/>
  <c r="BO4" i="13"/>
  <c r="D77" i="5"/>
  <c r="D143" i="5"/>
  <c r="E153" i="5"/>
  <c r="E154" i="5"/>
  <c r="D137" i="5"/>
  <c r="D156" i="5"/>
  <c r="G229" i="5"/>
  <c r="G207" i="5"/>
  <c r="E74" i="5"/>
  <c r="L508" i="5" l="1"/>
  <c r="L466" i="5"/>
  <c r="L419" i="5"/>
  <c r="L303" i="5"/>
  <c r="E139" i="5"/>
  <c r="E77" i="5"/>
  <c r="M23" i="5"/>
  <c r="BO310" i="13"/>
  <c r="BO313" i="13"/>
  <c r="BO316" i="13"/>
  <c r="BO306" i="13"/>
  <c r="BO309" i="13"/>
  <c r="BO312" i="13"/>
  <c r="BO315" i="13"/>
  <c r="BO305" i="13"/>
  <c r="BO308" i="13"/>
  <c r="BO311" i="13"/>
  <c r="BO314" i="13"/>
  <c r="BO301" i="13"/>
  <c r="BO304" i="13"/>
  <c r="BO287" i="13"/>
  <c r="BO303" i="13"/>
  <c r="BO292" i="13"/>
  <c r="BO298" i="13"/>
  <c r="BO295" i="13"/>
  <c r="BO291" i="13"/>
  <c r="BO285" i="13"/>
  <c r="BO296" i="13"/>
  <c r="BO278" i="13"/>
  <c r="BO290" i="13"/>
  <c r="BO288" i="13"/>
  <c r="BO281" i="13"/>
  <c r="BO297" i="13"/>
  <c r="BO284" i="13"/>
  <c r="BO282" i="13"/>
  <c r="BO299" i="13"/>
  <c r="BO289" i="13"/>
  <c r="BO300" i="13"/>
  <c r="BO302" i="13"/>
  <c r="BO286" i="13"/>
  <c r="BO307" i="13"/>
  <c r="BO294" i="13"/>
  <c r="BO280" i="13"/>
  <c r="BO283" i="13"/>
  <c r="BO279" i="13"/>
  <c r="BO122" i="13"/>
  <c r="BO118" i="13"/>
  <c r="BO97" i="13"/>
  <c r="BO115" i="13"/>
  <c r="BO94" i="13"/>
  <c r="BO128" i="13"/>
  <c r="BO121" i="13"/>
  <c r="BO106" i="13"/>
  <c r="BO117" i="13"/>
  <c r="BO124" i="13"/>
  <c r="BO114" i="13"/>
  <c r="BO119" i="13"/>
  <c r="BO98" i="13"/>
  <c r="BO116" i="13"/>
  <c r="BO95" i="13"/>
  <c r="BO92" i="13"/>
  <c r="BO91" i="13"/>
  <c r="BO96" i="13"/>
  <c r="BO93" i="13"/>
  <c r="BO110" i="13"/>
  <c r="BO120" i="13"/>
  <c r="BO111" i="13"/>
  <c r="BO108" i="13"/>
  <c r="BO107" i="13"/>
  <c r="BO112" i="13"/>
  <c r="BO109" i="13"/>
  <c r="BO113" i="13"/>
  <c r="BO196" i="13"/>
  <c r="BO188" i="13"/>
  <c r="BO206" i="13"/>
  <c r="BO195" i="13"/>
  <c r="BO187" i="13"/>
  <c r="BO200" i="13"/>
  <c r="BO192" i="13"/>
  <c r="BO184" i="13"/>
  <c r="BO202" i="13"/>
  <c r="BO194" i="13"/>
  <c r="BO186" i="13"/>
  <c r="BO178" i="13"/>
  <c r="BO198" i="13"/>
  <c r="BO183" i="13"/>
  <c r="BO197" i="13"/>
  <c r="BO182" i="13"/>
  <c r="BO199" i="13"/>
  <c r="BO172" i="13"/>
  <c r="BO163" i="13"/>
  <c r="BO162" i="13"/>
  <c r="BO180" i="13"/>
  <c r="BO165" i="13"/>
  <c r="BO190" i="13"/>
  <c r="BO193" i="13"/>
  <c r="BO189" i="13"/>
  <c r="BO179" i="13"/>
  <c r="BO177" i="13"/>
  <c r="BO173" i="13"/>
  <c r="BO102" i="13"/>
  <c r="BO132" i="13"/>
  <c r="BO185" i="13"/>
  <c r="BO168" i="13"/>
  <c r="BO100" i="13"/>
  <c r="BO201" i="13"/>
  <c r="BO164" i="13"/>
  <c r="BO191" i="13"/>
  <c r="BO171" i="13"/>
  <c r="BO181" i="13"/>
  <c r="BO101" i="13"/>
  <c r="BO166" i="13"/>
  <c r="BO167" i="13"/>
  <c r="BO123" i="13"/>
  <c r="BO129" i="13"/>
  <c r="BO99" i="13"/>
  <c r="BO176" i="13"/>
  <c r="BO126" i="13"/>
  <c r="BO104" i="13"/>
  <c r="BO204" i="13"/>
  <c r="BO170" i="13"/>
  <c r="BO203" i="13"/>
  <c r="BO205" i="13"/>
  <c r="BO174" i="13"/>
  <c r="BO125" i="13"/>
  <c r="BO207" i="13"/>
  <c r="BO127" i="13"/>
  <c r="BO105" i="13"/>
  <c r="BO293" i="13"/>
  <c r="BO103" i="13"/>
  <c r="BO175" i="13"/>
  <c r="BO169" i="13"/>
  <c r="BP4" i="13"/>
  <c r="D60" i="5"/>
  <c r="E142" i="5"/>
  <c r="D79" i="5"/>
  <c r="D66" i="5"/>
  <c r="H229" i="5"/>
  <c r="H207" i="5"/>
  <c r="E76" i="5"/>
  <c r="L509" i="5" l="1"/>
  <c r="M462" i="5"/>
  <c r="L422" i="5"/>
  <c r="L304" i="5"/>
  <c r="E143" i="5"/>
  <c r="F139" i="5" s="1"/>
  <c r="E62" i="5"/>
  <c r="M25" i="5"/>
  <c r="BP313" i="13"/>
  <c r="BP316" i="13"/>
  <c r="BP309" i="13"/>
  <c r="BP312" i="13"/>
  <c r="BP315" i="13"/>
  <c r="BP299" i="13"/>
  <c r="BP308" i="13"/>
  <c r="BP311" i="13"/>
  <c r="BP314" i="13"/>
  <c r="BP304" i="13"/>
  <c r="BP307" i="13"/>
  <c r="BP297" i="13"/>
  <c r="BP290" i="13"/>
  <c r="BP306" i="13"/>
  <c r="BP298" i="13"/>
  <c r="BP295" i="13"/>
  <c r="BP289" i="13"/>
  <c r="BP287" i="13"/>
  <c r="BP283" i="13"/>
  <c r="BP288" i="13"/>
  <c r="BP281" i="13"/>
  <c r="BP301" i="13"/>
  <c r="BP292" i="13"/>
  <c r="BP286" i="13"/>
  <c r="BP284" i="13"/>
  <c r="BP291" i="13"/>
  <c r="BP305" i="13"/>
  <c r="BP285" i="13"/>
  <c r="BP294" i="13"/>
  <c r="BP310" i="13"/>
  <c r="BP300" i="13"/>
  <c r="BP302" i="13"/>
  <c r="BP278" i="13"/>
  <c r="BP296" i="13"/>
  <c r="BP303" i="13"/>
  <c r="BP279" i="13"/>
  <c r="BP282" i="13"/>
  <c r="BP280" i="13"/>
  <c r="BP122" i="13"/>
  <c r="BP110" i="13"/>
  <c r="BP118" i="13"/>
  <c r="BP115" i="13"/>
  <c r="BP128" i="13"/>
  <c r="BP121" i="13"/>
  <c r="BP106" i="13"/>
  <c r="BP117" i="13"/>
  <c r="BP96" i="13"/>
  <c r="BP124" i="13"/>
  <c r="BP114" i="13"/>
  <c r="BP119" i="13"/>
  <c r="BP98" i="13"/>
  <c r="BP95" i="13"/>
  <c r="BP92" i="13"/>
  <c r="BP94" i="13"/>
  <c r="BP91" i="13"/>
  <c r="BP97" i="13"/>
  <c r="BP93" i="13"/>
  <c r="BP116" i="13"/>
  <c r="BP111" i="13"/>
  <c r="BP120" i="13"/>
  <c r="BP112" i="13"/>
  <c r="BP107" i="13"/>
  <c r="BP108" i="13"/>
  <c r="BP113" i="13"/>
  <c r="BP109" i="13"/>
  <c r="BP206" i="13"/>
  <c r="BP195" i="13"/>
  <c r="BP187" i="13"/>
  <c r="BP197" i="13"/>
  <c r="BP189" i="13"/>
  <c r="BP199" i="13"/>
  <c r="BP184" i="13"/>
  <c r="BP198" i="13"/>
  <c r="BP188" i="13"/>
  <c r="BP183" i="13"/>
  <c r="BP200" i="13"/>
  <c r="BP192" i="13"/>
  <c r="BP186" i="13"/>
  <c r="BP179" i="13"/>
  <c r="BP172" i="13"/>
  <c r="BP202" i="13"/>
  <c r="BP193" i="13"/>
  <c r="BP185" i="13"/>
  <c r="BP181" i="13"/>
  <c r="BP180" i="13"/>
  <c r="BP178" i="13"/>
  <c r="BP165" i="13"/>
  <c r="BP196" i="13"/>
  <c r="BP194" i="13"/>
  <c r="BP182" i="13"/>
  <c r="BP191" i="13"/>
  <c r="BP171" i="13"/>
  <c r="BP167" i="13"/>
  <c r="BP201" i="13"/>
  <c r="BP166" i="13"/>
  <c r="BP101" i="13"/>
  <c r="BP102" i="13"/>
  <c r="BP123" i="13"/>
  <c r="BP190" i="13"/>
  <c r="BP132" i="13"/>
  <c r="BP168" i="13"/>
  <c r="BP177" i="13"/>
  <c r="BP163" i="13"/>
  <c r="BP173" i="13"/>
  <c r="BP293" i="13"/>
  <c r="BP203" i="13"/>
  <c r="BP100" i="13"/>
  <c r="BP162" i="13"/>
  <c r="BP205" i="13"/>
  <c r="BP170" i="13"/>
  <c r="BP204" i="13"/>
  <c r="BP169" i="13"/>
  <c r="BP125" i="13"/>
  <c r="BP164" i="13"/>
  <c r="BP174" i="13"/>
  <c r="BP105" i="13"/>
  <c r="BP176" i="13"/>
  <c r="BP103" i="13"/>
  <c r="BP129" i="13"/>
  <c r="BP175" i="13"/>
  <c r="BP207" i="13"/>
  <c r="BP104" i="13"/>
  <c r="BP126" i="13"/>
  <c r="BP127" i="13"/>
  <c r="BP99" i="13"/>
  <c r="BQ4" i="13"/>
  <c r="K201" i="5"/>
  <c r="X201" i="5"/>
  <c r="I201" i="5"/>
  <c r="H201" i="5"/>
  <c r="O201" i="5"/>
  <c r="Q201" i="5"/>
  <c r="N201" i="5"/>
  <c r="P201" i="5"/>
  <c r="J201" i="5"/>
  <c r="L201" i="5"/>
  <c r="V201" i="5"/>
  <c r="F201" i="5"/>
  <c r="S201" i="5"/>
  <c r="W201" i="5"/>
  <c r="M201" i="5"/>
  <c r="R201" i="5"/>
  <c r="U201" i="5"/>
  <c r="G201" i="5"/>
  <c r="E201" i="5"/>
  <c r="T201" i="5"/>
  <c r="I207" i="5"/>
  <c r="I229" i="5"/>
  <c r="M505" i="5" l="1"/>
  <c r="M465" i="5"/>
  <c r="L423" i="5"/>
  <c r="M300" i="5"/>
  <c r="F142" i="5"/>
  <c r="E65" i="5"/>
  <c r="M26" i="5"/>
  <c r="BQ316" i="13"/>
  <c r="BQ309" i="13"/>
  <c r="BQ312" i="13"/>
  <c r="BQ315" i="13"/>
  <c r="BQ299" i="13"/>
  <c r="BQ302" i="13"/>
  <c r="BQ308" i="13"/>
  <c r="BQ311" i="13"/>
  <c r="BQ314" i="13"/>
  <c r="BQ298" i="13"/>
  <c r="BQ307" i="13"/>
  <c r="BQ310" i="13"/>
  <c r="BQ313" i="13"/>
  <c r="BQ285" i="13"/>
  <c r="BQ279" i="13"/>
  <c r="BQ301" i="13"/>
  <c r="BQ292" i="13"/>
  <c r="BQ290" i="13"/>
  <c r="BQ286" i="13"/>
  <c r="BQ284" i="13"/>
  <c r="BQ304" i="13"/>
  <c r="BQ306" i="13"/>
  <c r="BQ305" i="13"/>
  <c r="BQ294" i="13"/>
  <c r="BQ282" i="13"/>
  <c r="BQ280" i="13"/>
  <c r="BQ300" i="13"/>
  <c r="BQ295" i="13"/>
  <c r="BQ296" i="13"/>
  <c r="BQ303" i="13"/>
  <c r="BQ287" i="13"/>
  <c r="BQ281" i="13"/>
  <c r="BQ291" i="13"/>
  <c r="BQ297" i="13"/>
  <c r="BQ278" i="13"/>
  <c r="BQ283" i="13"/>
  <c r="BQ288" i="13"/>
  <c r="BQ289" i="13"/>
  <c r="BQ118" i="13"/>
  <c r="BQ115" i="13"/>
  <c r="BQ94" i="13"/>
  <c r="BQ128" i="13"/>
  <c r="BQ121" i="13"/>
  <c r="BQ106" i="13"/>
  <c r="BQ117" i="13"/>
  <c r="BQ96" i="13"/>
  <c r="BQ124" i="13"/>
  <c r="BQ114" i="13"/>
  <c r="BQ119" i="13"/>
  <c r="BQ98" i="13"/>
  <c r="BQ116" i="13"/>
  <c r="BQ95" i="13"/>
  <c r="BQ122" i="13"/>
  <c r="BQ110" i="13"/>
  <c r="BQ92" i="13"/>
  <c r="BQ91" i="13"/>
  <c r="BQ97" i="13"/>
  <c r="BQ93" i="13"/>
  <c r="BQ112" i="13"/>
  <c r="BQ108" i="13"/>
  <c r="BQ111" i="13"/>
  <c r="BQ120" i="13"/>
  <c r="BQ107" i="13"/>
  <c r="BQ109" i="13"/>
  <c r="BQ113" i="13"/>
  <c r="BQ201" i="13"/>
  <c r="BQ193" i="13"/>
  <c r="BQ185" i="13"/>
  <c r="BQ206" i="13"/>
  <c r="BQ200" i="13"/>
  <c r="BQ192" i="13"/>
  <c r="BQ184" i="13"/>
  <c r="BQ197" i="13"/>
  <c r="BQ189" i="13"/>
  <c r="BQ199" i="13"/>
  <c r="BQ191" i="13"/>
  <c r="BQ198" i="13"/>
  <c r="BQ188" i="13"/>
  <c r="BQ183" i="13"/>
  <c r="BQ202" i="13"/>
  <c r="BQ196" i="13"/>
  <c r="BQ180" i="13"/>
  <c r="BQ179" i="13"/>
  <c r="BQ194" i="13"/>
  <c r="BQ190" i="13"/>
  <c r="BQ167" i="13"/>
  <c r="BQ177" i="13"/>
  <c r="BQ173" i="13"/>
  <c r="BQ181" i="13"/>
  <c r="BQ178" i="13"/>
  <c r="BQ164" i="13"/>
  <c r="BQ123" i="13"/>
  <c r="BQ172" i="13"/>
  <c r="BQ168" i="13"/>
  <c r="BQ100" i="13"/>
  <c r="BQ102" i="13"/>
  <c r="BQ186" i="13"/>
  <c r="BQ165" i="13"/>
  <c r="BQ162" i="13"/>
  <c r="BQ166" i="13"/>
  <c r="BQ187" i="13"/>
  <c r="BQ171" i="13"/>
  <c r="BQ182" i="13"/>
  <c r="BQ163" i="13"/>
  <c r="BQ195" i="13"/>
  <c r="BQ132" i="13"/>
  <c r="BQ129" i="13"/>
  <c r="BQ99" i="13"/>
  <c r="BQ293" i="13"/>
  <c r="BQ175" i="13"/>
  <c r="BQ126" i="13"/>
  <c r="BQ104" i="13"/>
  <c r="BQ101" i="13"/>
  <c r="BQ169" i="13"/>
  <c r="BQ207" i="13"/>
  <c r="BQ174" i="13"/>
  <c r="BQ205" i="13"/>
  <c r="BQ204" i="13"/>
  <c r="BQ170" i="13"/>
  <c r="BQ176" i="13"/>
  <c r="BQ103" i="13"/>
  <c r="BQ203" i="13"/>
  <c r="BQ125" i="13"/>
  <c r="BQ127" i="13"/>
  <c r="BQ105" i="13"/>
  <c r="BR4" i="13"/>
  <c r="I122" i="5"/>
  <c r="S122" i="5"/>
  <c r="H122" i="5"/>
  <c r="P122" i="5"/>
  <c r="L122" i="5"/>
  <c r="J122" i="5"/>
  <c r="U122" i="5"/>
  <c r="W122" i="5"/>
  <c r="F122" i="5"/>
  <c r="O122" i="5"/>
  <c r="T122" i="5"/>
  <c r="M122" i="5"/>
  <c r="E122" i="5"/>
  <c r="X122" i="5"/>
  <c r="Q122" i="5"/>
  <c r="N122" i="5"/>
  <c r="V122" i="5"/>
  <c r="R122" i="5"/>
  <c r="K122" i="5"/>
  <c r="G122" i="5"/>
  <c r="W45" i="5"/>
  <c r="K45" i="5"/>
  <c r="G45" i="5"/>
  <c r="V45" i="5"/>
  <c r="F45" i="5"/>
  <c r="O45" i="5"/>
  <c r="U45" i="5"/>
  <c r="N45" i="5"/>
  <c r="E45" i="5"/>
  <c r="R45" i="5"/>
  <c r="T45" i="5"/>
  <c r="M45" i="5"/>
  <c r="S45" i="5"/>
  <c r="I45" i="5"/>
  <c r="P45" i="5"/>
  <c r="X45" i="5"/>
  <c r="L45" i="5"/>
  <c r="Q45" i="5"/>
  <c r="H45" i="5"/>
  <c r="J45" i="5"/>
  <c r="J207" i="5"/>
  <c r="J229" i="5"/>
  <c r="M508" i="5" l="1"/>
  <c r="M466" i="5"/>
  <c r="M419" i="5"/>
  <c r="M303" i="5"/>
  <c r="F143" i="5"/>
  <c r="E66" i="5"/>
  <c r="N23" i="5"/>
  <c r="BR306" i="13"/>
  <c r="BR309" i="13"/>
  <c r="BR312" i="13"/>
  <c r="BR315" i="13"/>
  <c r="BR299" i="13"/>
  <c r="BR302" i="13"/>
  <c r="BR305" i="13"/>
  <c r="BR311" i="13"/>
  <c r="BR314" i="13"/>
  <c r="BR298" i="13"/>
  <c r="BR301" i="13"/>
  <c r="BR304" i="13"/>
  <c r="BR307" i="13"/>
  <c r="BR310" i="13"/>
  <c r="BR313" i="13"/>
  <c r="BR297" i="13"/>
  <c r="BR296" i="13"/>
  <c r="BR303" i="13"/>
  <c r="BR285" i="13"/>
  <c r="BR308" i="13"/>
  <c r="BR300" i="13"/>
  <c r="BR288" i="13"/>
  <c r="BR282" i="13"/>
  <c r="BR281" i="13"/>
  <c r="BR279" i="13"/>
  <c r="BR280" i="13"/>
  <c r="BR294" i="13"/>
  <c r="BR278" i="13"/>
  <c r="BR292" i="13"/>
  <c r="BR295" i="13"/>
  <c r="BR287" i="13"/>
  <c r="BR286" i="13"/>
  <c r="BR316" i="13"/>
  <c r="BR290" i="13"/>
  <c r="BR291" i="13"/>
  <c r="BR284" i="13"/>
  <c r="BR283" i="13"/>
  <c r="BR289" i="13"/>
  <c r="BR118" i="13"/>
  <c r="BR115" i="13"/>
  <c r="BR128" i="13"/>
  <c r="BR121" i="13"/>
  <c r="BR117" i="13"/>
  <c r="BR96" i="13"/>
  <c r="BR124" i="13"/>
  <c r="BR114" i="13"/>
  <c r="BR119" i="13"/>
  <c r="BR116" i="13"/>
  <c r="BR95" i="13"/>
  <c r="BR106" i="13"/>
  <c r="BR92" i="13"/>
  <c r="BR122" i="13"/>
  <c r="BR94" i="13"/>
  <c r="BR91" i="13"/>
  <c r="BR97" i="13"/>
  <c r="BR98" i="13"/>
  <c r="BR93" i="13"/>
  <c r="BR110" i="13"/>
  <c r="BR111" i="13"/>
  <c r="BR120" i="13"/>
  <c r="BR112" i="13"/>
  <c r="BR108" i="13"/>
  <c r="BR107" i="13"/>
  <c r="BR109" i="13"/>
  <c r="BR113" i="13"/>
  <c r="BR206" i="13"/>
  <c r="BR200" i="13"/>
  <c r="BR192" i="13"/>
  <c r="BR184" i="13"/>
  <c r="BR202" i="13"/>
  <c r="BR194" i="13"/>
  <c r="BR186" i="13"/>
  <c r="BR196" i="13"/>
  <c r="BR180" i="13"/>
  <c r="BR199" i="13"/>
  <c r="BR190" i="13"/>
  <c r="BR201" i="13"/>
  <c r="BR173" i="13"/>
  <c r="BR168" i="13"/>
  <c r="BR193" i="13"/>
  <c r="BR185" i="13"/>
  <c r="BR167" i="13"/>
  <c r="BR197" i="13"/>
  <c r="BR195" i="13"/>
  <c r="BR171" i="13"/>
  <c r="BR182" i="13"/>
  <c r="BR164" i="13"/>
  <c r="BR198" i="13"/>
  <c r="BR183" i="13"/>
  <c r="BR163" i="13"/>
  <c r="BR101" i="13"/>
  <c r="BR165" i="13"/>
  <c r="BR166" i="13"/>
  <c r="BR178" i="13"/>
  <c r="BR187" i="13"/>
  <c r="BR189" i="13"/>
  <c r="BR179" i="13"/>
  <c r="BR102" i="13"/>
  <c r="BR162" i="13"/>
  <c r="BR123" i="13"/>
  <c r="BR191" i="13"/>
  <c r="BR177" i="13"/>
  <c r="BR188" i="13"/>
  <c r="BR181" i="13"/>
  <c r="BR172" i="13"/>
  <c r="BR100" i="13"/>
  <c r="BR205" i="13"/>
  <c r="BR203" i="13"/>
  <c r="BR132" i="13"/>
  <c r="BR204" i="13"/>
  <c r="BR174" i="13"/>
  <c r="BR176" i="13"/>
  <c r="BR169" i="13"/>
  <c r="BR170" i="13"/>
  <c r="BR207" i="13"/>
  <c r="BR125" i="13"/>
  <c r="BR99" i="13"/>
  <c r="BR129" i="13"/>
  <c r="BR127" i="13"/>
  <c r="BR104" i="13"/>
  <c r="BR126" i="13"/>
  <c r="BR175" i="13"/>
  <c r="BR105" i="13"/>
  <c r="BR293" i="13"/>
  <c r="BR103" i="13"/>
  <c r="BS4" i="13"/>
  <c r="K207" i="5"/>
  <c r="K229" i="5"/>
  <c r="M509" i="5" l="1"/>
  <c r="N462" i="5"/>
  <c r="M422" i="5"/>
  <c r="M304" i="5"/>
  <c r="G139" i="5"/>
  <c r="F62" i="5"/>
  <c r="N25" i="5"/>
  <c r="BS309" i="13"/>
  <c r="BS312" i="13"/>
  <c r="BS315" i="13"/>
  <c r="BS302" i="13"/>
  <c r="BS305" i="13"/>
  <c r="BS308" i="13"/>
  <c r="BS311" i="13"/>
  <c r="BS314" i="13"/>
  <c r="BS301" i="13"/>
  <c r="BS304" i="13"/>
  <c r="BS307" i="13"/>
  <c r="BS310" i="13"/>
  <c r="BS313" i="13"/>
  <c r="BS297" i="13"/>
  <c r="BS316" i="13"/>
  <c r="BS300" i="13"/>
  <c r="BS299" i="13"/>
  <c r="BS283" i="13"/>
  <c r="BS295" i="13"/>
  <c r="BS288" i="13"/>
  <c r="BS291" i="13"/>
  <c r="BS298" i="13"/>
  <c r="BS289" i="13"/>
  <c r="BS294" i="13"/>
  <c r="BS285" i="13"/>
  <c r="BS282" i="13"/>
  <c r="BS278" i="13"/>
  <c r="BS286" i="13"/>
  <c r="BS292" i="13"/>
  <c r="BS290" i="13"/>
  <c r="BS306" i="13"/>
  <c r="BS296" i="13"/>
  <c r="BS303" i="13"/>
  <c r="BS279" i="13"/>
  <c r="BS284" i="13"/>
  <c r="BS281" i="13"/>
  <c r="BS280" i="13"/>
  <c r="BS287" i="13"/>
  <c r="BS115" i="13"/>
  <c r="BS128" i="13"/>
  <c r="BS121" i="13"/>
  <c r="BS106" i="13"/>
  <c r="BS117" i="13"/>
  <c r="BS96" i="13"/>
  <c r="BS124" i="13"/>
  <c r="BS114" i="13"/>
  <c r="BS119" i="13"/>
  <c r="BS116" i="13"/>
  <c r="BS95" i="13"/>
  <c r="BS122" i="13"/>
  <c r="BS110" i="13"/>
  <c r="BS118" i="13"/>
  <c r="BS97" i="13"/>
  <c r="BS91" i="13"/>
  <c r="BS94" i="13"/>
  <c r="BS93" i="13"/>
  <c r="BS98" i="13"/>
  <c r="BS92" i="13"/>
  <c r="BS111" i="13"/>
  <c r="BS108" i="13"/>
  <c r="BS112" i="13"/>
  <c r="BS120" i="13"/>
  <c r="BS107" i="13"/>
  <c r="BS109" i="13"/>
  <c r="BS113" i="13"/>
  <c r="BS198" i="13"/>
  <c r="BS190" i="13"/>
  <c r="BS206" i="13"/>
  <c r="BS197" i="13"/>
  <c r="BS189" i="13"/>
  <c r="BS202" i="13"/>
  <c r="BS194" i="13"/>
  <c r="BS186" i="13"/>
  <c r="BS196" i="13"/>
  <c r="BS188" i="13"/>
  <c r="BS180" i="13"/>
  <c r="BS200" i="13"/>
  <c r="BS192" i="13"/>
  <c r="BS185" i="13"/>
  <c r="BS177" i="13"/>
  <c r="BS201" i="13"/>
  <c r="BS173" i="13"/>
  <c r="BS182" i="13"/>
  <c r="BS181" i="13"/>
  <c r="BS184" i="13"/>
  <c r="BS193" i="13"/>
  <c r="BS191" i="13"/>
  <c r="BS183" i="13"/>
  <c r="BS164" i="13"/>
  <c r="BS199" i="13"/>
  <c r="BS172" i="13"/>
  <c r="BS179" i="13"/>
  <c r="BS178" i="13"/>
  <c r="BS165" i="13"/>
  <c r="BS132" i="13"/>
  <c r="BS100" i="13"/>
  <c r="BS101" i="13"/>
  <c r="BS162" i="13"/>
  <c r="BS123" i="13"/>
  <c r="BS187" i="13"/>
  <c r="BS168" i="13"/>
  <c r="BS171" i="13"/>
  <c r="BS195" i="13"/>
  <c r="BS102" i="13"/>
  <c r="BS293" i="13"/>
  <c r="BS167" i="13"/>
  <c r="BS163" i="13"/>
  <c r="BS207" i="13"/>
  <c r="BS203" i="13"/>
  <c r="BS175" i="13"/>
  <c r="BS127" i="13"/>
  <c r="BS105" i="13"/>
  <c r="BS205" i="13"/>
  <c r="BS125" i="13"/>
  <c r="BS103" i="13"/>
  <c r="BS166" i="13"/>
  <c r="BS176" i="13"/>
  <c r="BS169" i="13"/>
  <c r="BS204" i="13"/>
  <c r="BS99" i="13"/>
  <c r="BS104" i="13"/>
  <c r="BS170" i="13"/>
  <c r="BS126" i="13"/>
  <c r="BS174" i="13"/>
  <c r="BS129" i="13"/>
  <c r="BT4" i="13"/>
  <c r="L207" i="5"/>
  <c r="L229" i="5"/>
  <c r="N505" i="5" l="1"/>
  <c r="N465" i="5"/>
  <c r="M423" i="5"/>
  <c r="N300" i="5"/>
  <c r="G142" i="5"/>
  <c r="F65" i="5"/>
  <c r="N26" i="5"/>
  <c r="BT309" i="13"/>
  <c r="BT312" i="13"/>
  <c r="BT315" i="13"/>
  <c r="BT305" i="13"/>
  <c r="BT308" i="13"/>
  <c r="BT311" i="13"/>
  <c r="BT314" i="13"/>
  <c r="BT304" i="13"/>
  <c r="BT307" i="13"/>
  <c r="BT310" i="13"/>
  <c r="BT313" i="13"/>
  <c r="BT316" i="13"/>
  <c r="BT300" i="13"/>
  <c r="BT303" i="13"/>
  <c r="BT296" i="13"/>
  <c r="BT286" i="13"/>
  <c r="BT291" i="13"/>
  <c r="BT294" i="13"/>
  <c r="BT280" i="13"/>
  <c r="BT292" i="13"/>
  <c r="BT298" i="13"/>
  <c r="BT301" i="13"/>
  <c r="BT297" i="13"/>
  <c r="BT299" i="13"/>
  <c r="BT295" i="13"/>
  <c r="BT288" i="13"/>
  <c r="BT302" i="13"/>
  <c r="BT279" i="13"/>
  <c r="BT284" i="13"/>
  <c r="BT290" i="13"/>
  <c r="BT282" i="13"/>
  <c r="BT306" i="13"/>
  <c r="BT289" i="13"/>
  <c r="BT278" i="13"/>
  <c r="BT283" i="13"/>
  <c r="BT285" i="13"/>
  <c r="BT287" i="13"/>
  <c r="BT281" i="13"/>
  <c r="BT115" i="13"/>
  <c r="BT128" i="13"/>
  <c r="BT121" i="13"/>
  <c r="BT117" i="13"/>
  <c r="BT124" i="13"/>
  <c r="BT114" i="13"/>
  <c r="BT119" i="13"/>
  <c r="BT98" i="13"/>
  <c r="BT116" i="13"/>
  <c r="BT122" i="13"/>
  <c r="BT110" i="13"/>
  <c r="BT118" i="13"/>
  <c r="BT106" i="13"/>
  <c r="BT94" i="13"/>
  <c r="BT91" i="13"/>
  <c r="BT95" i="13"/>
  <c r="BT97" i="13"/>
  <c r="BT96" i="13"/>
  <c r="BT93" i="13"/>
  <c r="BT92" i="13"/>
  <c r="BT108" i="13"/>
  <c r="BT111" i="13"/>
  <c r="BT107" i="13"/>
  <c r="BT112" i="13"/>
  <c r="BT120" i="13"/>
  <c r="BT109" i="13"/>
  <c r="BT113" i="13"/>
  <c r="BT206" i="13"/>
  <c r="BT197" i="13"/>
  <c r="BT189" i="13"/>
  <c r="BT199" i="13"/>
  <c r="BT191" i="13"/>
  <c r="BT201" i="13"/>
  <c r="BT200" i="13"/>
  <c r="BT196" i="13"/>
  <c r="BT192" i="13"/>
  <c r="BT202" i="13"/>
  <c r="BT185" i="13"/>
  <c r="BT177" i="13"/>
  <c r="BT194" i="13"/>
  <c r="BT181" i="13"/>
  <c r="BT190" i="13"/>
  <c r="BT183" i="13"/>
  <c r="BT179" i="13"/>
  <c r="BT178" i="13"/>
  <c r="BT165" i="13"/>
  <c r="BT182" i="13"/>
  <c r="BT172" i="13"/>
  <c r="BT132" i="13"/>
  <c r="BT187" i="13"/>
  <c r="BT163" i="13"/>
  <c r="BT101" i="13"/>
  <c r="BT166" i="13"/>
  <c r="BT173" i="13"/>
  <c r="BT198" i="13"/>
  <c r="BT186" i="13"/>
  <c r="BT188" i="13"/>
  <c r="BT102" i="13"/>
  <c r="BT162" i="13"/>
  <c r="BT123" i="13"/>
  <c r="BT193" i="13"/>
  <c r="BT167" i="13"/>
  <c r="BT171" i="13"/>
  <c r="BT184" i="13"/>
  <c r="BT195" i="13"/>
  <c r="BT180" i="13"/>
  <c r="BT100" i="13"/>
  <c r="BT164" i="13"/>
  <c r="BT293" i="13"/>
  <c r="BT169" i="13"/>
  <c r="BT168" i="13"/>
  <c r="BT203" i="13"/>
  <c r="BT174" i="13"/>
  <c r="BT205" i="13"/>
  <c r="BT175" i="13"/>
  <c r="BT204" i="13"/>
  <c r="BT104" i="13"/>
  <c r="BT207" i="13"/>
  <c r="BT125" i="13"/>
  <c r="BT127" i="13"/>
  <c r="BT103" i="13"/>
  <c r="BT129" i="13"/>
  <c r="BT170" i="13"/>
  <c r="BT126" i="13"/>
  <c r="BT105" i="13"/>
  <c r="BT99" i="13"/>
  <c r="BT176" i="13"/>
  <c r="BU4" i="13"/>
  <c r="M229" i="5"/>
  <c r="M207" i="5"/>
  <c r="N508" i="5" l="1"/>
  <c r="N419" i="5"/>
  <c r="N303" i="5"/>
  <c r="G143" i="5"/>
  <c r="F66" i="5"/>
  <c r="O23" i="5"/>
  <c r="BU312" i="13"/>
  <c r="BU315" i="13"/>
  <c r="BU308" i="13"/>
  <c r="BU311" i="13"/>
  <c r="BU314" i="13"/>
  <c r="BU298" i="13"/>
  <c r="BU307" i="13"/>
  <c r="BU310" i="13"/>
  <c r="BU313" i="13"/>
  <c r="BU316" i="13"/>
  <c r="BU303" i="13"/>
  <c r="BU306" i="13"/>
  <c r="BU304" i="13"/>
  <c r="BU299" i="13"/>
  <c r="BU305" i="13"/>
  <c r="BU301" i="13"/>
  <c r="BU289" i="13"/>
  <c r="BU300" i="13"/>
  <c r="BU294" i="13"/>
  <c r="BU297" i="13"/>
  <c r="BU309" i="13"/>
  <c r="BU280" i="13"/>
  <c r="BU295" i="13"/>
  <c r="BU283" i="13"/>
  <c r="BU302" i="13"/>
  <c r="BU286" i="13"/>
  <c r="BU287" i="13"/>
  <c r="BU296" i="13"/>
  <c r="BU291" i="13"/>
  <c r="BU282" i="13"/>
  <c r="BU290" i="13"/>
  <c r="BU278" i="13"/>
  <c r="BU285" i="13"/>
  <c r="BU284" i="13"/>
  <c r="BU288" i="13"/>
  <c r="BU281" i="13"/>
  <c r="BU279" i="13"/>
  <c r="BU292" i="13"/>
  <c r="BU128" i="13"/>
  <c r="BU121" i="13"/>
  <c r="BU117" i="13"/>
  <c r="BU96" i="13"/>
  <c r="BU124" i="13"/>
  <c r="BU114" i="13"/>
  <c r="BU119" i="13"/>
  <c r="BU98" i="13"/>
  <c r="BU116" i="13"/>
  <c r="BU122" i="13"/>
  <c r="BU110" i="13"/>
  <c r="BU118" i="13"/>
  <c r="BU97" i="13"/>
  <c r="BU115" i="13"/>
  <c r="BU94" i="13"/>
  <c r="BU106" i="13"/>
  <c r="BU91" i="13"/>
  <c r="BU95" i="13"/>
  <c r="BU93" i="13"/>
  <c r="BU92" i="13"/>
  <c r="BU112" i="13"/>
  <c r="BU107" i="13"/>
  <c r="BU111" i="13"/>
  <c r="BU108" i="13"/>
  <c r="BU109" i="13"/>
  <c r="BU120" i="13"/>
  <c r="BU113" i="13"/>
  <c r="BU206" i="13"/>
  <c r="BU195" i="13"/>
  <c r="BU187" i="13"/>
  <c r="BU202" i="13"/>
  <c r="BU194" i="13"/>
  <c r="BU186" i="13"/>
  <c r="BU199" i="13"/>
  <c r="BU191" i="13"/>
  <c r="BU201" i="13"/>
  <c r="BU193" i="13"/>
  <c r="BU185" i="13"/>
  <c r="BU177" i="13"/>
  <c r="BU182" i="13"/>
  <c r="BU181" i="13"/>
  <c r="BU180" i="13"/>
  <c r="BU173" i="13"/>
  <c r="BU171" i="13"/>
  <c r="BU167" i="13"/>
  <c r="BU162" i="13"/>
  <c r="BU196" i="13"/>
  <c r="BU132" i="13"/>
  <c r="BU168" i="13"/>
  <c r="BU198" i="13"/>
  <c r="BU189" i="13"/>
  <c r="BU192" i="13"/>
  <c r="BU163" i="13"/>
  <c r="BU184" i="13"/>
  <c r="BU165" i="13"/>
  <c r="BU166" i="13"/>
  <c r="BU190" i="13"/>
  <c r="BU178" i="13"/>
  <c r="BU197" i="13"/>
  <c r="BU183" i="13"/>
  <c r="BU188" i="13"/>
  <c r="BU172" i="13"/>
  <c r="BU101" i="13"/>
  <c r="BU200" i="13"/>
  <c r="BU179" i="13"/>
  <c r="BU123" i="13"/>
  <c r="BU164" i="13"/>
  <c r="BU127" i="13"/>
  <c r="BU105" i="13"/>
  <c r="BU100" i="13"/>
  <c r="BU207" i="13"/>
  <c r="BU125" i="13"/>
  <c r="BU103" i="13"/>
  <c r="BU204" i="13"/>
  <c r="BU174" i="13"/>
  <c r="BU102" i="13"/>
  <c r="BU170" i="13"/>
  <c r="BU175" i="13"/>
  <c r="BU293" i="13"/>
  <c r="BU169" i="13"/>
  <c r="BU104" i="13"/>
  <c r="BU203" i="13"/>
  <c r="BU126" i="13"/>
  <c r="BU129" i="13"/>
  <c r="BU205" i="13"/>
  <c r="BU99" i="13"/>
  <c r="BU176" i="13"/>
  <c r="BV4" i="13"/>
  <c r="N229" i="5"/>
  <c r="O207" i="5" s="1"/>
  <c r="N207" i="5"/>
  <c r="N422" i="5" l="1"/>
  <c r="H139" i="5"/>
  <c r="G62" i="5"/>
  <c r="O25" i="5"/>
  <c r="BV315" i="13"/>
  <c r="BV308" i="13"/>
  <c r="BV311" i="13"/>
  <c r="BV314" i="13"/>
  <c r="BV298" i="13"/>
  <c r="BV301" i="13"/>
  <c r="BV307" i="13"/>
  <c r="BV310" i="13"/>
  <c r="BV313" i="13"/>
  <c r="BV297" i="13"/>
  <c r="BV316" i="13"/>
  <c r="BV306" i="13"/>
  <c r="BV309" i="13"/>
  <c r="BV292" i="13"/>
  <c r="BV312" i="13"/>
  <c r="BV284" i="13"/>
  <c r="BV303" i="13"/>
  <c r="BV300" i="13"/>
  <c r="BV278" i="13"/>
  <c r="BV304" i="13"/>
  <c r="BV302" i="13"/>
  <c r="BV290" i="13"/>
  <c r="BV286" i="13"/>
  <c r="BV287" i="13"/>
  <c r="BV296" i="13"/>
  <c r="BV289" i="13"/>
  <c r="BV280" i="13"/>
  <c r="BV285" i="13"/>
  <c r="BV281" i="13"/>
  <c r="BV305" i="13"/>
  <c r="BV294" i="13"/>
  <c r="BV295" i="13"/>
  <c r="BV299" i="13"/>
  <c r="BV283" i="13"/>
  <c r="BV288" i="13"/>
  <c r="BV291" i="13"/>
  <c r="BV282" i="13"/>
  <c r="BV279" i="13"/>
  <c r="BV121" i="13"/>
  <c r="BV106" i="13"/>
  <c r="BV117" i="13"/>
  <c r="BV124" i="13"/>
  <c r="BV114" i="13"/>
  <c r="BV119" i="13"/>
  <c r="BV98" i="13"/>
  <c r="BV116" i="13"/>
  <c r="BV95" i="13"/>
  <c r="BV122" i="13"/>
  <c r="BV110" i="13"/>
  <c r="BV118" i="13"/>
  <c r="BV97" i="13"/>
  <c r="BV128" i="13"/>
  <c r="BV115" i="13"/>
  <c r="BV94" i="13"/>
  <c r="BV91" i="13"/>
  <c r="BV93" i="13"/>
  <c r="BV96" i="13"/>
  <c r="BV92" i="13"/>
  <c r="BV111" i="13"/>
  <c r="BV107" i="13"/>
  <c r="BV112" i="13"/>
  <c r="BV120" i="13"/>
  <c r="BV109" i="13"/>
  <c r="BV108" i="13"/>
  <c r="BV113" i="13"/>
  <c r="BV202" i="13"/>
  <c r="BV194" i="13"/>
  <c r="BV186" i="13"/>
  <c r="BV196" i="13"/>
  <c r="BV188" i="13"/>
  <c r="BV198" i="13"/>
  <c r="BV185" i="13"/>
  <c r="BV182" i="13"/>
  <c r="BV193" i="13"/>
  <c r="BV189" i="13"/>
  <c r="BV206" i="13"/>
  <c r="BV187" i="13"/>
  <c r="BV178" i="13"/>
  <c r="BV191" i="13"/>
  <c r="BV177" i="13"/>
  <c r="BV172" i="13"/>
  <c r="BV201" i="13"/>
  <c r="BV171" i="13"/>
  <c r="BV199" i="13"/>
  <c r="BV173" i="13"/>
  <c r="BV168" i="13"/>
  <c r="BV166" i="13"/>
  <c r="BV179" i="13"/>
  <c r="BV183" i="13"/>
  <c r="BV181" i="13"/>
  <c r="BV180" i="13"/>
  <c r="BV165" i="13"/>
  <c r="BV197" i="13"/>
  <c r="BV123" i="13"/>
  <c r="BV101" i="13"/>
  <c r="BV102" i="13"/>
  <c r="BV190" i="13"/>
  <c r="BV184" i="13"/>
  <c r="BV163" i="13"/>
  <c r="BV100" i="13"/>
  <c r="BV195" i="13"/>
  <c r="BV200" i="13"/>
  <c r="BV192" i="13"/>
  <c r="BV162" i="13"/>
  <c r="BV204" i="13"/>
  <c r="BV207" i="13"/>
  <c r="BV167" i="13"/>
  <c r="BV170" i="13"/>
  <c r="BV203" i="13"/>
  <c r="BV175" i="13"/>
  <c r="BV129" i="13"/>
  <c r="BV164" i="13"/>
  <c r="BV169" i="13"/>
  <c r="BV176" i="13"/>
  <c r="BV205" i="13"/>
  <c r="BV293" i="13"/>
  <c r="BV127" i="13"/>
  <c r="BV126" i="13"/>
  <c r="BV103" i="13"/>
  <c r="BV105" i="13"/>
  <c r="BV174" i="13"/>
  <c r="BV99" i="13"/>
  <c r="BV132" i="13"/>
  <c r="BV104" i="13"/>
  <c r="BV125" i="13"/>
  <c r="BW4" i="13"/>
  <c r="H142" i="5" l="1"/>
  <c r="G65" i="5"/>
  <c r="O26" i="5"/>
  <c r="BW305" i="13"/>
  <c r="BW308" i="13"/>
  <c r="BW311" i="13"/>
  <c r="BW314" i="13"/>
  <c r="BW298" i="13"/>
  <c r="BW301" i="13"/>
  <c r="BW304" i="13"/>
  <c r="BW310" i="13"/>
  <c r="BW313" i="13"/>
  <c r="BW297" i="13"/>
  <c r="BW316" i="13"/>
  <c r="BW300" i="13"/>
  <c r="BW309" i="13"/>
  <c r="BW312" i="13"/>
  <c r="BW307" i="13"/>
  <c r="BW306" i="13"/>
  <c r="BW295" i="13"/>
  <c r="BW315" i="13"/>
  <c r="BW284" i="13"/>
  <c r="BW302" i="13"/>
  <c r="BW287" i="13"/>
  <c r="BW294" i="13"/>
  <c r="BW281" i="13"/>
  <c r="BW299" i="13"/>
  <c r="BW296" i="13"/>
  <c r="BW283" i="13"/>
  <c r="BW303" i="13"/>
  <c r="BW286" i="13"/>
  <c r="BW280" i="13"/>
  <c r="BW285" i="13"/>
  <c r="BW292" i="13"/>
  <c r="BW290" i="13"/>
  <c r="BW289" i="13"/>
  <c r="BW288" i="13"/>
  <c r="BW282" i="13"/>
  <c r="BW279" i="13"/>
  <c r="BW291" i="13"/>
  <c r="BW278" i="13"/>
  <c r="BW117" i="13"/>
  <c r="BW124" i="13"/>
  <c r="BW114" i="13"/>
  <c r="BW119" i="13"/>
  <c r="BW98" i="13"/>
  <c r="BW116" i="13"/>
  <c r="BW95" i="13"/>
  <c r="BW122" i="13"/>
  <c r="BW110" i="13"/>
  <c r="BW118" i="13"/>
  <c r="BW97" i="13"/>
  <c r="BW115" i="13"/>
  <c r="BW94" i="13"/>
  <c r="BW121" i="13"/>
  <c r="BW106" i="13"/>
  <c r="BW91" i="13"/>
  <c r="BW96" i="13"/>
  <c r="BW93" i="13"/>
  <c r="BW128" i="13"/>
  <c r="BW92" i="13"/>
  <c r="BW120" i="13"/>
  <c r="BW108" i="13"/>
  <c r="BW107" i="13"/>
  <c r="BW112" i="13"/>
  <c r="BW109" i="13"/>
  <c r="BW111" i="13"/>
  <c r="BW113" i="13"/>
  <c r="BW200" i="13"/>
  <c r="BW192" i="13"/>
  <c r="BW184" i="13"/>
  <c r="BW202" i="13"/>
  <c r="BW199" i="13"/>
  <c r="BW191" i="13"/>
  <c r="BW196" i="13"/>
  <c r="BW188" i="13"/>
  <c r="BW198" i="13"/>
  <c r="BW190" i="13"/>
  <c r="BW182" i="13"/>
  <c r="BW193" i="13"/>
  <c r="BW189" i="13"/>
  <c r="BW179" i="13"/>
  <c r="BW206" i="13"/>
  <c r="BW187" i="13"/>
  <c r="BW178" i="13"/>
  <c r="BW201" i="13"/>
  <c r="BW195" i="13"/>
  <c r="BW194" i="13"/>
  <c r="BW186" i="13"/>
  <c r="BW166" i="13"/>
  <c r="BW165" i="13"/>
  <c r="BW185" i="13"/>
  <c r="BW132" i="13"/>
  <c r="BW162" i="13"/>
  <c r="BW123" i="13"/>
  <c r="BW167" i="13"/>
  <c r="BW164" i="13"/>
  <c r="BW197" i="13"/>
  <c r="BW183" i="13"/>
  <c r="BW177" i="13"/>
  <c r="BW163" i="13"/>
  <c r="BW100" i="13"/>
  <c r="BW172" i="13"/>
  <c r="BW181" i="13"/>
  <c r="BW101" i="13"/>
  <c r="BW102" i="13"/>
  <c r="BW180" i="13"/>
  <c r="BW173" i="13"/>
  <c r="BW205" i="13"/>
  <c r="BW171" i="13"/>
  <c r="BW126" i="13"/>
  <c r="BW104" i="13"/>
  <c r="BW174" i="13"/>
  <c r="BW99" i="13"/>
  <c r="BW170" i="13"/>
  <c r="BW293" i="13"/>
  <c r="BW175" i="13"/>
  <c r="BW129" i="13"/>
  <c r="BW168" i="13"/>
  <c r="BW169" i="13"/>
  <c r="BW203" i="13"/>
  <c r="BW127" i="13"/>
  <c r="BW207" i="13"/>
  <c r="BW105" i="13"/>
  <c r="BW176" i="13"/>
  <c r="BW125" i="13"/>
  <c r="BW103" i="13"/>
  <c r="BW204" i="13"/>
  <c r="BX4" i="13"/>
  <c r="E110" i="2"/>
  <c r="E141" i="2"/>
  <c r="E108" i="2"/>
  <c r="V143" i="4"/>
  <c r="H143" i="5" l="1"/>
  <c r="G66" i="5"/>
  <c r="P23" i="5"/>
  <c r="BX308" i="13"/>
  <c r="BX311" i="13"/>
  <c r="BX314" i="13"/>
  <c r="BX301" i="13"/>
  <c r="BX304" i="13"/>
  <c r="BX307" i="13"/>
  <c r="BX310" i="13"/>
  <c r="BX313" i="13"/>
  <c r="BX316" i="13"/>
  <c r="BX300" i="13"/>
  <c r="BX303" i="13"/>
  <c r="BX306" i="13"/>
  <c r="BX309" i="13"/>
  <c r="BX312" i="13"/>
  <c r="BX315" i="13"/>
  <c r="BX299" i="13"/>
  <c r="BX305" i="13"/>
  <c r="BX298" i="13"/>
  <c r="BX294" i="13"/>
  <c r="BX302" i="13"/>
  <c r="BX287" i="13"/>
  <c r="BX290" i="13"/>
  <c r="BX296" i="13"/>
  <c r="BX295" i="13"/>
  <c r="BX288" i="13"/>
  <c r="BX286" i="13"/>
  <c r="BX280" i="13"/>
  <c r="BX285" i="13"/>
  <c r="BX281" i="13"/>
  <c r="BX292" i="13"/>
  <c r="BX291" i="13"/>
  <c r="BX278" i="13"/>
  <c r="BX289" i="13"/>
  <c r="BX297" i="13"/>
  <c r="BX283" i="13"/>
  <c r="BX282" i="13"/>
  <c r="BX284" i="13"/>
  <c r="BX279" i="13"/>
  <c r="BX117" i="13"/>
  <c r="BX124" i="13"/>
  <c r="BX114" i="13"/>
  <c r="BX119" i="13"/>
  <c r="BX116" i="13"/>
  <c r="BX95" i="13"/>
  <c r="BX122" i="13"/>
  <c r="BX110" i="13"/>
  <c r="BX118" i="13"/>
  <c r="BX115" i="13"/>
  <c r="BX94" i="13"/>
  <c r="BX128" i="13"/>
  <c r="BX97" i="13"/>
  <c r="BX106" i="13"/>
  <c r="BX96" i="13"/>
  <c r="BX93" i="13"/>
  <c r="BX98" i="13"/>
  <c r="BX121" i="13"/>
  <c r="BX91" i="13"/>
  <c r="BX92" i="13"/>
  <c r="BX120" i="13"/>
  <c r="BX112" i="13"/>
  <c r="BX111" i="13"/>
  <c r="BX107" i="13"/>
  <c r="BX108" i="13"/>
  <c r="BX113" i="13"/>
  <c r="BX109" i="13"/>
  <c r="BX199" i="13"/>
  <c r="BX191" i="13"/>
  <c r="BX201" i="13"/>
  <c r="BX193" i="13"/>
  <c r="BX185" i="13"/>
  <c r="BX206" i="13"/>
  <c r="BX202" i="13"/>
  <c r="BX189" i="13"/>
  <c r="BX179" i="13"/>
  <c r="BX195" i="13"/>
  <c r="BX183" i="13"/>
  <c r="BX167" i="13"/>
  <c r="BX198" i="13"/>
  <c r="BX194" i="13"/>
  <c r="BX186" i="13"/>
  <c r="BX166" i="13"/>
  <c r="BX187" i="13"/>
  <c r="BX192" i="13"/>
  <c r="BX190" i="13"/>
  <c r="BX163" i="13"/>
  <c r="BX181" i="13"/>
  <c r="BX180" i="13"/>
  <c r="BX197" i="13"/>
  <c r="BX182" i="13"/>
  <c r="BX123" i="13"/>
  <c r="BX200" i="13"/>
  <c r="BX188" i="13"/>
  <c r="BX184" i="13"/>
  <c r="BX178" i="13"/>
  <c r="BX102" i="13"/>
  <c r="BX171" i="13"/>
  <c r="BX164" i="13"/>
  <c r="BX165" i="13"/>
  <c r="BX196" i="13"/>
  <c r="BX168" i="13"/>
  <c r="BX177" i="13"/>
  <c r="BX100" i="13"/>
  <c r="BX172" i="13"/>
  <c r="BX173" i="13"/>
  <c r="BX101" i="13"/>
  <c r="BX132" i="13"/>
  <c r="BX207" i="13"/>
  <c r="BX176" i="13"/>
  <c r="BX204" i="13"/>
  <c r="BX129" i="13"/>
  <c r="BX162" i="13"/>
  <c r="BX105" i="13"/>
  <c r="BX103" i="13"/>
  <c r="BX170" i="13"/>
  <c r="BX205" i="13"/>
  <c r="BX104" i="13"/>
  <c r="BX174" i="13"/>
  <c r="BX125" i="13"/>
  <c r="BX175" i="13"/>
  <c r="BX99" i="13"/>
  <c r="BX293" i="13"/>
  <c r="BX126" i="13"/>
  <c r="BX203" i="13"/>
  <c r="BX127" i="13"/>
  <c r="BX169" i="13"/>
  <c r="E115" i="2"/>
  <c r="E148" i="2"/>
  <c r="E143" i="2"/>
  <c r="G143" i="4"/>
  <c r="H143" i="4"/>
  <c r="J143" i="4"/>
  <c r="K143" i="4"/>
  <c r="S143" i="4"/>
  <c r="T143" i="4"/>
  <c r="W143" i="4"/>
  <c r="X143" i="4"/>
  <c r="I143" i="4"/>
  <c r="L143" i="4"/>
  <c r="M143" i="4"/>
  <c r="N143" i="4"/>
  <c r="O143" i="4"/>
  <c r="P143" i="4"/>
  <c r="Q143" i="4"/>
  <c r="R143" i="4"/>
  <c r="E143" i="4"/>
  <c r="U143" i="4"/>
  <c r="F143" i="4"/>
  <c r="I139" i="5" l="1"/>
  <c r="H62" i="5"/>
  <c r="P25" i="5"/>
  <c r="B17" i="16"/>
  <c r="B16" i="16"/>
  <c r="B14" i="16"/>
  <c r="B12" i="16"/>
  <c r="B10" i="16"/>
  <c r="B8" i="16"/>
  <c r="B34" i="16"/>
  <c r="B6" i="16"/>
  <c r="B5" i="16"/>
  <c r="B4" i="16"/>
  <c r="G7" i="4"/>
  <c r="H7" i="4" s="1"/>
  <c r="I7" i="4" s="1"/>
  <c r="J7" i="4" s="1"/>
  <c r="K7" i="4" s="1"/>
  <c r="L7" i="4" s="1"/>
  <c r="M7" i="4" s="1"/>
  <c r="N7" i="4" s="1"/>
  <c r="O7" i="4" s="1"/>
  <c r="P7" i="4" s="1"/>
  <c r="Q7" i="4" s="1"/>
  <c r="R7" i="4" s="1"/>
  <c r="S7" i="4" s="1"/>
  <c r="T7" i="4" s="1"/>
  <c r="U7" i="4" s="1"/>
  <c r="V7" i="4" s="1"/>
  <c r="W7" i="4" s="1"/>
  <c r="X7" i="4" s="1"/>
  <c r="I142" i="5" l="1"/>
  <c r="H65" i="5"/>
  <c r="P26" i="5"/>
  <c r="B56" i="16"/>
  <c r="B54" i="16"/>
  <c r="B53" i="16"/>
  <c r="B52" i="16"/>
  <c r="B51" i="16"/>
  <c r="B50" i="16"/>
  <c r="B49" i="16"/>
  <c r="B48" i="16"/>
  <c r="B46" i="16"/>
  <c r="B45" i="16"/>
  <c r="B44" i="16"/>
  <c r="B42" i="16"/>
  <c r="B41" i="16"/>
  <c r="B40" i="16"/>
  <c r="B7" i="16"/>
  <c r="F323" i="5"/>
  <c r="F242" i="5"/>
  <c r="F161" i="5"/>
  <c r="F84" i="5"/>
  <c r="U388" i="5"/>
  <c r="O269" i="5"/>
  <c r="X188" i="5"/>
  <c r="N109" i="5"/>
  <c r="F360" i="5"/>
  <c r="F322" i="5"/>
  <c r="F241" i="5"/>
  <c r="F160" i="5"/>
  <c r="F83" i="5"/>
  <c r="F361" i="5"/>
  <c r="E1" i="5"/>
  <c r="E74" i="7"/>
  <c r="E43" i="7"/>
  <c r="E72" i="7"/>
  <c r="E41" i="7"/>
  <c r="E11" i="7"/>
  <c r="E1" i="7"/>
  <c r="E46" i="7" s="1"/>
  <c r="I143" i="5" l="1"/>
  <c r="H66" i="5"/>
  <c r="G84" i="5"/>
  <c r="G361" i="5"/>
  <c r="G161" i="5"/>
  <c r="G242" i="5"/>
  <c r="G323" i="5"/>
  <c r="H323" i="5" s="1"/>
  <c r="Q23" i="5"/>
  <c r="E10" i="5"/>
  <c r="E11" i="5"/>
  <c r="E404" i="5"/>
  <c r="E285" i="5"/>
  <c r="E446" i="5"/>
  <c r="E447" i="5"/>
  <c r="E326" i="5"/>
  <c r="E489" i="5"/>
  <c r="E364" i="5"/>
  <c r="E365" i="5"/>
  <c r="E204" i="5"/>
  <c r="E164" i="5"/>
  <c r="E87" i="5"/>
  <c r="E88" i="5"/>
  <c r="E165" i="5"/>
  <c r="E490" i="5"/>
  <c r="E491" i="5"/>
  <c r="E327" i="5"/>
  <c r="E405" i="5"/>
  <c r="E246" i="5"/>
  <c r="E125" i="5"/>
  <c r="E124" i="5"/>
  <c r="E205" i="5"/>
  <c r="E245" i="5"/>
  <c r="E284" i="5"/>
  <c r="E403" i="5"/>
  <c r="E47" i="5"/>
  <c r="E448" i="5"/>
  <c r="E203" i="5"/>
  <c r="E48" i="5"/>
  <c r="E50" i="5"/>
  <c r="E286" i="5"/>
  <c r="E126" i="5"/>
  <c r="E49" i="5"/>
  <c r="E206" i="5"/>
  <c r="E406" i="5"/>
  <c r="E492" i="5"/>
  <c r="E287" i="5"/>
  <c r="E449" i="5"/>
  <c r="E127" i="5"/>
  <c r="E12" i="5"/>
  <c r="E84" i="7"/>
  <c r="E53" i="7"/>
  <c r="E23" i="7"/>
  <c r="E55" i="7"/>
  <c r="E17" i="7"/>
  <c r="E19" i="7" s="1"/>
  <c r="E47" i="7"/>
  <c r="E49" i="7" s="1"/>
  <c r="E78" i="7"/>
  <c r="E80" i="7" s="1"/>
  <c r="F1" i="7"/>
  <c r="E68" i="7"/>
  <c r="E85" i="7" s="1"/>
  <c r="E7" i="7"/>
  <c r="E24" i="7" s="1"/>
  <c r="F1" i="5"/>
  <c r="I350" i="5"/>
  <c r="D352" i="5"/>
  <c r="G188" i="5"/>
  <c r="H188" i="5"/>
  <c r="W188" i="5"/>
  <c r="D271" i="5"/>
  <c r="D390" i="5"/>
  <c r="V388" i="5"/>
  <c r="V188" i="5"/>
  <c r="W388" i="5"/>
  <c r="F388" i="5"/>
  <c r="G388" i="5"/>
  <c r="D386" i="5"/>
  <c r="E367" i="5" s="1"/>
  <c r="H388" i="5"/>
  <c r="X388" i="5"/>
  <c r="D393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Y386" i="5"/>
  <c r="E388" i="5"/>
  <c r="Y337" i="5"/>
  <c r="Y348" i="5" s="1"/>
  <c r="J350" i="5"/>
  <c r="K350" i="5"/>
  <c r="L350" i="5"/>
  <c r="M350" i="5"/>
  <c r="D348" i="5"/>
  <c r="E329" i="5" s="1"/>
  <c r="N350" i="5"/>
  <c r="O350" i="5"/>
  <c r="D355" i="5"/>
  <c r="P350" i="5"/>
  <c r="Q350" i="5"/>
  <c r="R350" i="5"/>
  <c r="S350" i="5"/>
  <c r="T350" i="5"/>
  <c r="E350" i="5"/>
  <c r="U350" i="5"/>
  <c r="F350" i="5"/>
  <c r="V350" i="5"/>
  <c r="G350" i="5"/>
  <c r="W350" i="5"/>
  <c r="E346" i="5"/>
  <c r="E347" i="5" s="1"/>
  <c r="H350" i="5"/>
  <c r="X350" i="5"/>
  <c r="P269" i="5"/>
  <c r="Q269" i="5"/>
  <c r="R269" i="5"/>
  <c r="S269" i="5"/>
  <c r="T269" i="5"/>
  <c r="E269" i="5"/>
  <c r="U269" i="5"/>
  <c r="F269" i="5"/>
  <c r="V269" i="5"/>
  <c r="G269" i="5"/>
  <c r="W269" i="5"/>
  <c r="H269" i="5"/>
  <c r="X269" i="5"/>
  <c r="Y256" i="5"/>
  <c r="Y257" i="5" s="1"/>
  <c r="I269" i="5"/>
  <c r="J269" i="5"/>
  <c r="K269" i="5"/>
  <c r="D267" i="5"/>
  <c r="E248" i="5" s="1"/>
  <c r="L269" i="5"/>
  <c r="D274" i="5"/>
  <c r="M269" i="5"/>
  <c r="N269" i="5"/>
  <c r="I188" i="5"/>
  <c r="D190" i="5"/>
  <c r="J188" i="5"/>
  <c r="E184" i="5"/>
  <c r="E185" i="5" s="1"/>
  <c r="K188" i="5"/>
  <c r="L188" i="5"/>
  <c r="M188" i="5"/>
  <c r="D186" i="5"/>
  <c r="E167" i="5" s="1"/>
  <c r="N188" i="5"/>
  <c r="Y175" i="5"/>
  <c r="Y186" i="5" s="1"/>
  <c r="D193" i="5"/>
  <c r="O188" i="5"/>
  <c r="P188" i="5"/>
  <c r="Q188" i="5"/>
  <c r="R188" i="5"/>
  <c r="S188" i="5"/>
  <c r="T188" i="5"/>
  <c r="E188" i="5"/>
  <c r="U188" i="5"/>
  <c r="F188" i="5"/>
  <c r="O109" i="5"/>
  <c r="P109" i="5"/>
  <c r="R109" i="5"/>
  <c r="Q109" i="5"/>
  <c r="D111" i="5"/>
  <c r="S109" i="5"/>
  <c r="T109" i="5"/>
  <c r="Y97" i="5"/>
  <c r="E109" i="5"/>
  <c r="U109" i="5"/>
  <c r="F109" i="5"/>
  <c r="V109" i="5"/>
  <c r="G109" i="5"/>
  <c r="W109" i="5"/>
  <c r="H109" i="5"/>
  <c r="X109" i="5"/>
  <c r="D114" i="5"/>
  <c r="I109" i="5"/>
  <c r="J109" i="5"/>
  <c r="K109" i="5"/>
  <c r="L109" i="5"/>
  <c r="M109" i="5"/>
  <c r="E324" i="5"/>
  <c r="G360" i="5"/>
  <c r="F362" i="5"/>
  <c r="E362" i="5"/>
  <c r="F324" i="5"/>
  <c r="G322" i="5"/>
  <c r="G241" i="5"/>
  <c r="F243" i="5"/>
  <c r="E243" i="5"/>
  <c r="G160" i="5"/>
  <c r="F162" i="5"/>
  <c r="E162" i="5"/>
  <c r="G83" i="5"/>
  <c r="F85" i="5"/>
  <c r="E85" i="5"/>
  <c r="E14" i="7"/>
  <c r="E75" i="7"/>
  <c r="E44" i="7"/>
  <c r="S68" i="7"/>
  <c r="T68" i="7"/>
  <c r="U68" i="7"/>
  <c r="F68" i="7"/>
  <c r="V68" i="7"/>
  <c r="G68" i="7"/>
  <c r="W68" i="7"/>
  <c r="H68" i="7"/>
  <c r="X68" i="7"/>
  <c r="I68" i="7"/>
  <c r="J68" i="7"/>
  <c r="K68" i="7"/>
  <c r="L68" i="7"/>
  <c r="M68" i="7"/>
  <c r="N68" i="7"/>
  <c r="O68" i="7"/>
  <c r="P68" i="7"/>
  <c r="Q68" i="7"/>
  <c r="R68" i="7"/>
  <c r="P36" i="7"/>
  <c r="Q36" i="7"/>
  <c r="T36" i="7"/>
  <c r="R36" i="7"/>
  <c r="S36" i="7"/>
  <c r="U36" i="7"/>
  <c r="V36" i="7"/>
  <c r="F36" i="7"/>
  <c r="G36" i="7"/>
  <c r="W36" i="7"/>
  <c r="H36" i="7"/>
  <c r="X36" i="7"/>
  <c r="I36" i="7"/>
  <c r="J36" i="7"/>
  <c r="L36" i="7"/>
  <c r="K36" i="7"/>
  <c r="M36" i="7"/>
  <c r="N36" i="7"/>
  <c r="E36" i="7"/>
  <c r="E54" i="7" s="1"/>
  <c r="O36" i="7"/>
  <c r="K7" i="7"/>
  <c r="L7" i="7"/>
  <c r="M7" i="7"/>
  <c r="N7" i="7"/>
  <c r="O7" i="7"/>
  <c r="P7" i="7"/>
  <c r="Q7" i="7"/>
  <c r="R7" i="7"/>
  <c r="S7" i="7"/>
  <c r="T7" i="7"/>
  <c r="U7" i="7"/>
  <c r="V7" i="7"/>
  <c r="F7" i="7"/>
  <c r="G7" i="7"/>
  <c r="W7" i="7"/>
  <c r="H7" i="7"/>
  <c r="X7" i="7"/>
  <c r="I7" i="7"/>
  <c r="J7" i="7"/>
  <c r="J139" i="5" l="1"/>
  <c r="I62" i="5"/>
  <c r="E247" i="5"/>
  <c r="E249" i="5" s="1"/>
  <c r="E166" i="5"/>
  <c r="E366" i="5"/>
  <c r="F166" i="5"/>
  <c r="H242" i="5"/>
  <c r="E328" i="5"/>
  <c r="H161" i="5"/>
  <c r="H361" i="5"/>
  <c r="F89" i="5"/>
  <c r="E89" i="5"/>
  <c r="H84" i="5"/>
  <c r="Q25" i="5"/>
  <c r="F88" i="5"/>
  <c r="F10" i="5"/>
  <c r="F54" i="7"/>
  <c r="F85" i="7"/>
  <c r="F24" i="7"/>
  <c r="E79" i="7"/>
  <c r="E81" i="7" s="1"/>
  <c r="T79" i="7"/>
  <c r="N79" i="7"/>
  <c r="L79" i="7"/>
  <c r="I79" i="7"/>
  <c r="W79" i="7"/>
  <c r="S79" i="7"/>
  <c r="R79" i="7"/>
  <c r="K79" i="7"/>
  <c r="X79" i="7"/>
  <c r="F79" i="7"/>
  <c r="Q79" i="7"/>
  <c r="P79" i="7"/>
  <c r="M79" i="7"/>
  <c r="H79" i="7"/>
  <c r="U79" i="7"/>
  <c r="O79" i="7"/>
  <c r="J79" i="7"/>
  <c r="G79" i="7"/>
  <c r="V79" i="7"/>
  <c r="J48" i="7"/>
  <c r="E48" i="7"/>
  <c r="E50" i="7" s="1"/>
  <c r="I48" i="7"/>
  <c r="X48" i="7"/>
  <c r="H48" i="7"/>
  <c r="W48" i="7"/>
  <c r="G48" i="7"/>
  <c r="V48" i="7"/>
  <c r="F48" i="7"/>
  <c r="U48" i="7"/>
  <c r="T48" i="7"/>
  <c r="S48" i="7"/>
  <c r="R48" i="7"/>
  <c r="Q48" i="7"/>
  <c r="P48" i="7"/>
  <c r="O48" i="7"/>
  <c r="N48" i="7"/>
  <c r="M48" i="7"/>
  <c r="L48" i="7"/>
  <c r="K48" i="7"/>
  <c r="F17" i="7"/>
  <c r="F19" i="7" s="1"/>
  <c r="E13" i="5"/>
  <c r="E51" i="5"/>
  <c r="E128" i="5"/>
  <c r="F247" i="5"/>
  <c r="F366" i="5"/>
  <c r="E56" i="7"/>
  <c r="E57" i="7" s="1"/>
  <c r="E58" i="7" s="1"/>
  <c r="F328" i="5"/>
  <c r="F327" i="5"/>
  <c r="F127" i="5"/>
  <c r="F287" i="5"/>
  <c r="F206" i="5"/>
  <c r="F406" i="5"/>
  <c r="F449" i="5"/>
  <c r="F492" i="5"/>
  <c r="F50" i="5"/>
  <c r="F284" i="5"/>
  <c r="F405" i="5"/>
  <c r="F125" i="5"/>
  <c r="F447" i="5"/>
  <c r="F87" i="5"/>
  <c r="F48" i="5"/>
  <c r="F364" i="5"/>
  <c r="F164" i="5"/>
  <c r="F490" i="5"/>
  <c r="F404" i="5"/>
  <c r="F245" i="5"/>
  <c r="F49" i="5"/>
  <c r="F286" i="5"/>
  <c r="F204" i="5"/>
  <c r="F47" i="5"/>
  <c r="F403" i="5"/>
  <c r="F491" i="5"/>
  <c r="F446" i="5"/>
  <c r="F448" i="5"/>
  <c r="F203" i="5"/>
  <c r="F126" i="5"/>
  <c r="F326" i="5"/>
  <c r="F205" i="5"/>
  <c r="F285" i="5"/>
  <c r="F489" i="5"/>
  <c r="F124" i="5"/>
  <c r="F11" i="5"/>
  <c r="F12" i="5"/>
  <c r="F365" i="5"/>
  <c r="F246" i="5"/>
  <c r="F165" i="5"/>
  <c r="F47" i="7"/>
  <c r="F49" i="7" s="1"/>
  <c r="G1" i="7"/>
  <c r="F23" i="7"/>
  <c r="F53" i="7"/>
  <c r="F55" i="7"/>
  <c r="F56" i="7" s="1"/>
  <c r="F84" i="7"/>
  <c r="F78" i="7"/>
  <c r="F80" i="7" s="1"/>
  <c r="E86" i="7"/>
  <c r="E87" i="7" s="1"/>
  <c r="E25" i="7"/>
  <c r="E408" i="5"/>
  <c r="E208" i="5"/>
  <c r="E451" i="5"/>
  <c r="E494" i="5"/>
  <c r="E289" i="5"/>
  <c r="G1" i="5"/>
  <c r="G246" i="5" s="1"/>
  <c r="Y338" i="5"/>
  <c r="E386" i="5"/>
  <c r="F386" i="5" s="1"/>
  <c r="G367" i="5" s="1"/>
  <c r="E352" i="5"/>
  <c r="G384" i="5"/>
  <c r="G385" i="5" s="1"/>
  <c r="E348" i="5"/>
  <c r="Y267" i="5"/>
  <c r="E267" i="5" s="1"/>
  <c r="F267" i="5" s="1"/>
  <c r="G267" i="5" s="1"/>
  <c r="E271" i="5"/>
  <c r="E390" i="5"/>
  <c r="G265" i="5"/>
  <c r="G266" i="5" s="1"/>
  <c r="E190" i="5"/>
  <c r="U106" i="5"/>
  <c r="U107" i="5" s="1"/>
  <c r="F265" i="5"/>
  <c r="F266" i="5" s="1"/>
  <c r="K106" i="5"/>
  <c r="K107" i="5" s="1"/>
  <c r="L184" i="5"/>
  <c r="L185" i="5" s="1"/>
  <c r="H106" i="5"/>
  <c r="H107" i="5" s="1"/>
  <c r="U384" i="5"/>
  <c r="U385" i="5" s="1"/>
  <c r="F346" i="5"/>
  <c r="F347" i="5" s="1"/>
  <c r="P265" i="5"/>
  <c r="P266" i="5" s="1"/>
  <c r="R384" i="5"/>
  <c r="R385" i="5" s="1"/>
  <c r="S106" i="5"/>
  <c r="S107" i="5" s="1"/>
  <c r="G346" i="5"/>
  <c r="G347" i="5" s="1"/>
  <c r="E111" i="5"/>
  <c r="W384" i="5"/>
  <c r="W385" i="5" s="1"/>
  <c r="S384" i="5"/>
  <c r="S385" i="5" s="1"/>
  <c r="X346" i="5"/>
  <c r="X347" i="5" s="1"/>
  <c r="S346" i="5"/>
  <c r="S347" i="5" s="1"/>
  <c r="K346" i="5"/>
  <c r="K347" i="5" s="1"/>
  <c r="D270" i="5"/>
  <c r="E270" i="5" s="1"/>
  <c r="N265" i="5"/>
  <c r="N266" i="5" s="1"/>
  <c r="Y176" i="5"/>
  <c r="P106" i="5"/>
  <c r="P107" i="5" s="1"/>
  <c r="D110" i="5"/>
  <c r="D112" i="5" s="1"/>
  <c r="J384" i="5"/>
  <c r="J385" i="5" s="1"/>
  <c r="D389" i="5"/>
  <c r="E389" i="5" s="1"/>
  <c r="L384" i="5"/>
  <c r="L385" i="5" s="1"/>
  <c r="K384" i="5"/>
  <c r="K385" i="5" s="1"/>
  <c r="M384" i="5"/>
  <c r="M385" i="5" s="1"/>
  <c r="I384" i="5"/>
  <c r="I385" i="5" s="1"/>
  <c r="F384" i="5"/>
  <c r="F385" i="5" s="1"/>
  <c r="H384" i="5"/>
  <c r="H385" i="5" s="1"/>
  <c r="X384" i="5"/>
  <c r="X385" i="5" s="1"/>
  <c r="E384" i="5"/>
  <c r="E385" i="5" s="1"/>
  <c r="O384" i="5"/>
  <c r="O385" i="5" s="1"/>
  <c r="V384" i="5"/>
  <c r="V385" i="5" s="1"/>
  <c r="Y376" i="5"/>
  <c r="T384" i="5"/>
  <c r="T385" i="5" s="1"/>
  <c r="Q384" i="5"/>
  <c r="Q385" i="5" s="1"/>
  <c r="P384" i="5"/>
  <c r="P385" i="5" s="1"/>
  <c r="N384" i="5"/>
  <c r="N385" i="5" s="1"/>
  <c r="I346" i="5"/>
  <c r="I347" i="5" s="1"/>
  <c r="R346" i="5"/>
  <c r="R347" i="5" s="1"/>
  <c r="U346" i="5"/>
  <c r="U347" i="5" s="1"/>
  <c r="D351" i="5"/>
  <c r="D354" i="5" s="1"/>
  <c r="O346" i="5"/>
  <c r="O347" i="5" s="1"/>
  <c r="T346" i="5"/>
  <c r="T347" i="5" s="1"/>
  <c r="Q346" i="5"/>
  <c r="Q347" i="5" s="1"/>
  <c r="N346" i="5"/>
  <c r="N347" i="5" s="1"/>
  <c r="M346" i="5"/>
  <c r="M347" i="5" s="1"/>
  <c r="L346" i="5"/>
  <c r="L347" i="5" s="1"/>
  <c r="P346" i="5"/>
  <c r="P347" i="5" s="1"/>
  <c r="J346" i="5"/>
  <c r="J347" i="5" s="1"/>
  <c r="H346" i="5"/>
  <c r="H347" i="5" s="1"/>
  <c r="W346" i="5"/>
  <c r="W347" i="5" s="1"/>
  <c r="V346" i="5"/>
  <c r="V347" i="5" s="1"/>
  <c r="H265" i="5"/>
  <c r="H266" i="5" s="1"/>
  <c r="E265" i="5"/>
  <c r="E266" i="5" s="1"/>
  <c r="V265" i="5"/>
  <c r="V266" i="5" s="1"/>
  <c r="L265" i="5"/>
  <c r="L266" i="5" s="1"/>
  <c r="J265" i="5"/>
  <c r="J266" i="5" s="1"/>
  <c r="S265" i="5"/>
  <c r="S266" i="5" s="1"/>
  <c r="I265" i="5"/>
  <c r="I266" i="5" s="1"/>
  <c r="M265" i="5"/>
  <c r="M266" i="5" s="1"/>
  <c r="Q265" i="5"/>
  <c r="Q266" i="5" s="1"/>
  <c r="O265" i="5"/>
  <c r="O266" i="5" s="1"/>
  <c r="X265" i="5"/>
  <c r="X266" i="5" s="1"/>
  <c r="K265" i="5"/>
  <c r="K266" i="5" s="1"/>
  <c r="T265" i="5"/>
  <c r="T266" i="5" s="1"/>
  <c r="U265" i="5"/>
  <c r="U266" i="5" s="1"/>
  <c r="W265" i="5"/>
  <c r="W266" i="5" s="1"/>
  <c r="R265" i="5"/>
  <c r="R266" i="5" s="1"/>
  <c r="E186" i="5"/>
  <c r="F167" i="5" s="1"/>
  <c r="Q184" i="5"/>
  <c r="Q185" i="5" s="1"/>
  <c r="I184" i="5"/>
  <c r="I185" i="5" s="1"/>
  <c r="K184" i="5"/>
  <c r="K185" i="5" s="1"/>
  <c r="F184" i="5"/>
  <c r="F185" i="5" s="1"/>
  <c r="T184" i="5"/>
  <c r="T185" i="5" s="1"/>
  <c r="D189" i="5"/>
  <c r="D192" i="5" s="1"/>
  <c r="X184" i="5"/>
  <c r="X185" i="5" s="1"/>
  <c r="H184" i="5"/>
  <c r="H185" i="5" s="1"/>
  <c r="V184" i="5"/>
  <c r="V185" i="5" s="1"/>
  <c r="U184" i="5"/>
  <c r="U185" i="5" s="1"/>
  <c r="S184" i="5"/>
  <c r="S185" i="5" s="1"/>
  <c r="R184" i="5"/>
  <c r="R185" i="5" s="1"/>
  <c r="P184" i="5"/>
  <c r="P185" i="5" s="1"/>
  <c r="W184" i="5"/>
  <c r="W185" i="5" s="1"/>
  <c r="O184" i="5"/>
  <c r="O185" i="5" s="1"/>
  <c r="G184" i="5"/>
  <c r="G185" i="5" s="1"/>
  <c r="N184" i="5"/>
  <c r="N185" i="5" s="1"/>
  <c r="M184" i="5"/>
  <c r="M185" i="5" s="1"/>
  <c r="J184" i="5"/>
  <c r="J185" i="5" s="1"/>
  <c r="Y98" i="5"/>
  <c r="T106" i="5"/>
  <c r="T107" i="5" s="1"/>
  <c r="R106" i="5"/>
  <c r="R107" i="5" s="1"/>
  <c r="W106" i="5"/>
  <c r="W107" i="5" s="1"/>
  <c r="Q106" i="5"/>
  <c r="Q107" i="5" s="1"/>
  <c r="M106" i="5"/>
  <c r="M107" i="5" s="1"/>
  <c r="L106" i="5"/>
  <c r="L107" i="5" s="1"/>
  <c r="N106" i="5"/>
  <c r="N107" i="5" s="1"/>
  <c r="I106" i="5"/>
  <c r="I107" i="5" s="1"/>
  <c r="E106" i="5"/>
  <c r="E107" i="5" s="1"/>
  <c r="V106" i="5"/>
  <c r="V107" i="5" s="1"/>
  <c r="J106" i="5"/>
  <c r="J107" i="5" s="1"/>
  <c r="G106" i="5"/>
  <c r="G107" i="5" s="1"/>
  <c r="F106" i="5"/>
  <c r="F107" i="5" s="1"/>
  <c r="X106" i="5"/>
  <c r="X107" i="5" s="1"/>
  <c r="O106" i="5"/>
  <c r="O107" i="5" s="1"/>
  <c r="E168" i="5"/>
  <c r="H241" i="5"/>
  <c r="H322" i="5"/>
  <c r="H360" i="5"/>
  <c r="G362" i="5"/>
  <c r="G324" i="5"/>
  <c r="G243" i="5"/>
  <c r="H160" i="5"/>
  <c r="G162" i="5"/>
  <c r="H83" i="5"/>
  <c r="G85" i="5"/>
  <c r="I323" i="5"/>
  <c r="M18" i="7"/>
  <c r="L18" i="7"/>
  <c r="K18" i="7"/>
  <c r="J18" i="7"/>
  <c r="I18" i="7"/>
  <c r="X18" i="7"/>
  <c r="H18" i="7"/>
  <c r="N18" i="7"/>
  <c r="W18" i="7"/>
  <c r="G18" i="7"/>
  <c r="V18" i="7"/>
  <c r="F18" i="7"/>
  <c r="U18" i="7"/>
  <c r="E18" i="7"/>
  <c r="E20" i="7" s="1"/>
  <c r="T18" i="7"/>
  <c r="S18" i="7"/>
  <c r="R18" i="7"/>
  <c r="Q18" i="7"/>
  <c r="P18" i="7"/>
  <c r="O18" i="7"/>
  <c r="F25" i="7" l="1"/>
  <c r="F26" i="7" s="1"/>
  <c r="G24" i="7"/>
  <c r="G78" i="7"/>
  <c r="D338" i="5"/>
  <c r="D176" i="5"/>
  <c r="J142" i="5"/>
  <c r="I65" i="5"/>
  <c r="E90" i="5"/>
  <c r="E170" i="5"/>
  <c r="E54" i="5"/>
  <c r="I84" i="5"/>
  <c r="I242" i="5"/>
  <c r="E92" i="5"/>
  <c r="E411" i="5"/>
  <c r="I361" i="5"/>
  <c r="E292" i="5"/>
  <c r="E211" i="5"/>
  <c r="E330" i="5"/>
  <c r="E497" i="5"/>
  <c r="F90" i="5"/>
  <c r="E454" i="5"/>
  <c r="E251" i="5"/>
  <c r="E368" i="5"/>
  <c r="E131" i="5"/>
  <c r="I161" i="5"/>
  <c r="Q26" i="5"/>
  <c r="E15" i="5"/>
  <c r="F86" i="7"/>
  <c r="F87" i="7" s="1"/>
  <c r="G247" i="5"/>
  <c r="F20" i="7"/>
  <c r="F28" i="7" s="1"/>
  <c r="X101" i="5"/>
  <c r="H101" i="5"/>
  <c r="W101" i="5"/>
  <c r="G101" i="5"/>
  <c r="V101" i="5"/>
  <c r="F101" i="5"/>
  <c r="U101" i="5"/>
  <c r="E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F51" i="5"/>
  <c r="F128" i="5"/>
  <c r="F13" i="5"/>
  <c r="G328" i="5"/>
  <c r="G366" i="5"/>
  <c r="G89" i="5"/>
  <c r="G166" i="5"/>
  <c r="F50" i="7"/>
  <c r="G88" i="5"/>
  <c r="G327" i="5"/>
  <c r="G365" i="5"/>
  <c r="G406" i="5"/>
  <c r="G50" i="5"/>
  <c r="G287" i="5"/>
  <c r="G206" i="5"/>
  <c r="G449" i="5"/>
  <c r="G127" i="5"/>
  <c r="G492" i="5"/>
  <c r="G125" i="5"/>
  <c r="G204" i="5"/>
  <c r="G285" i="5"/>
  <c r="G205" i="5"/>
  <c r="G284" i="5"/>
  <c r="G47" i="5"/>
  <c r="G326" i="5"/>
  <c r="G48" i="5"/>
  <c r="G245" i="5"/>
  <c r="G490" i="5"/>
  <c r="G403" i="5"/>
  <c r="G164" i="5"/>
  <c r="G448" i="5"/>
  <c r="G491" i="5"/>
  <c r="G203" i="5"/>
  <c r="G49" i="5"/>
  <c r="G10" i="5"/>
  <c r="G405" i="5"/>
  <c r="G404" i="5"/>
  <c r="G446" i="5"/>
  <c r="G364" i="5"/>
  <c r="G126" i="5"/>
  <c r="G489" i="5"/>
  <c r="G87" i="5"/>
  <c r="G447" i="5"/>
  <c r="G124" i="5"/>
  <c r="G286" i="5"/>
  <c r="G11" i="5"/>
  <c r="G12" i="5"/>
  <c r="G165" i="5"/>
  <c r="F81" i="7"/>
  <c r="F57" i="7"/>
  <c r="F58" i="7" s="1"/>
  <c r="H1" i="7"/>
  <c r="G55" i="7"/>
  <c r="G84" i="7"/>
  <c r="G23" i="7"/>
  <c r="G25" i="7" s="1"/>
  <c r="G26" i="7" s="1"/>
  <c r="G53" i="7"/>
  <c r="G47" i="7"/>
  <c r="G49" i="7" s="1"/>
  <c r="G80" i="7"/>
  <c r="G17" i="7"/>
  <c r="G19" i="7" s="1"/>
  <c r="G85" i="7"/>
  <c r="G54" i="7"/>
  <c r="H324" i="5"/>
  <c r="H243" i="5"/>
  <c r="F208" i="5"/>
  <c r="F494" i="5"/>
  <c r="F289" i="5"/>
  <c r="F408" i="5"/>
  <c r="F451" i="5"/>
  <c r="F168" i="5"/>
  <c r="G386" i="5"/>
  <c r="H386" i="5" s="1"/>
  <c r="H1" i="5"/>
  <c r="H327" i="5" s="1"/>
  <c r="F329" i="5"/>
  <c r="F330" i="5" s="1"/>
  <c r="F367" i="5"/>
  <c r="F368" i="5" s="1"/>
  <c r="F348" i="5"/>
  <c r="G348" i="5" s="1"/>
  <c r="D391" i="5"/>
  <c r="D392" i="5"/>
  <c r="D273" i="5"/>
  <c r="D272" i="5"/>
  <c r="E192" i="5"/>
  <c r="D191" i="5"/>
  <c r="E189" i="5"/>
  <c r="E112" i="5"/>
  <c r="D103" i="5"/>
  <c r="E110" i="5"/>
  <c r="D113" i="5"/>
  <c r="E351" i="5"/>
  <c r="D353" i="5"/>
  <c r="E354" i="5"/>
  <c r="F248" i="5"/>
  <c r="F249" i="5" s="1"/>
  <c r="G248" i="5"/>
  <c r="F186" i="5"/>
  <c r="G167" i="5" s="1"/>
  <c r="I322" i="5"/>
  <c r="I241" i="5"/>
  <c r="I360" i="5"/>
  <c r="H362" i="5"/>
  <c r="I160" i="5"/>
  <c r="H162" i="5"/>
  <c r="I83" i="5"/>
  <c r="H85" i="5"/>
  <c r="J323" i="5"/>
  <c r="H267" i="5"/>
  <c r="H248" i="5"/>
  <c r="E26" i="7"/>
  <c r="E28" i="7" s="1"/>
  <c r="E89" i="7"/>
  <c r="D79" i="7"/>
  <c r="E60" i="7"/>
  <c r="D48" i="7"/>
  <c r="D18" i="7"/>
  <c r="F89" i="7" l="1"/>
  <c r="F92" i="5"/>
  <c r="E392" i="5"/>
  <c r="D257" i="5"/>
  <c r="D115" i="5"/>
  <c r="E100" i="5"/>
  <c r="J143" i="5"/>
  <c r="I66" i="5"/>
  <c r="E455" i="5"/>
  <c r="J242" i="5"/>
  <c r="J84" i="5"/>
  <c r="E498" i="5"/>
  <c r="E332" i="5"/>
  <c r="E55" i="5"/>
  <c r="F251" i="5"/>
  <c r="F370" i="5"/>
  <c r="F332" i="5"/>
  <c r="J161" i="5"/>
  <c r="E293" i="5"/>
  <c r="J361" i="5"/>
  <c r="E132" i="5"/>
  <c r="F170" i="5"/>
  <c r="F454" i="5"/>
  <c r="F411" i="5"/>
  <c r="E370" i="5"/>
  <c r="F292" i="5"/>
  <c r="F131" i="5"/>
  <c r="E412" i="5"/>
  <c r="F497" i="5"/>
  <c r="F54" i="5"/>
  <c r="F211" i="5"/>
  <c r="R23" i="5"/>
  <c r="E16" i="5"/>
  <c r="F15" i="5"/>
  <c r="P179" i="5"/>
  <c r="O179" i="5"/>
  <c r="N179" i="5"/>
  <c r="M179" i="5"/>
  <c r="L179" i="5"/>
  <c r="K179" i="5"/>
  <c r="J179" i="5"/>
  <c r="I179" i="5"/>
  <c r="X179" i="5"/>
  <c r="H179" i="5"/>
  <c r="Q179" i="5"/>
  <c r="W179" i="5"/>
  <c r="G179" i="5"/>
  <c r="V179" i="5"/>
  <c r="F179" i="5"/>
  <c r="U179" i="5"/>
  <c r="E179" i="5"/>
  <c r="T179" i="5"/>
  <c r="S179" i="5"/>
  <c r="R179" i="5"/>
  <c r="L379" i="5"/>
  <c r="M379" i="5"/>
  <c r="K379" i="5"/>
  <c r="J379" i="5"/>
  <c r="I379" i="5"/>
  <c r="X379" i="5"/>
  <c r="H379" i="5"/>
  <c r="W379" i="5"/>
  <c r="G379" i="5"/>
  <c r="V379" i="5"/>
  <c r="F379" i="5"/>
  <c r="U379" i="5"/>
  <c r="E379" i="5"/>
  <c r="T379" i="5"/>
  <c r="S379" i="5"/>
  <c r="R379" i="5"/>
  <c r="Q379" i="5"/>
  <c r="P379" i="5"/>
  <c r="O379" i="5"/>
  <c r="N379" i="5"/>
  <c r="D262" i="5"/>
  <c r="X260" i="5"/>
  <c r="H260" i="5"/>
  <c r="W260" i="5"/>
  <c r="G260" i="5"/>
  <c r="V260" i="5"/>
  <c r="F260" i="5"/>
  <c r="U260" i="5"/>
  <c r="E260" i="5"/>
  <c r="T260" i="5"/>
  <c r="S260" i="5"/>
  <c r="I260" i="5"/>
  <c r="R260" i="5"/>
  <c r="Q260" i="5"/>
  <c r="P260" i="5"/>
  <c r="O260" i="5"/>
  <c r="N260" i="5"/>
  <c r="M260" i="5"/>
  <c r="L260" i="5"/>
  <c r="K260" i="5"/>
  <c r="J260" i="5"/>
  <c r="P341" i="5"/>
  <c r="O341" i="5"/>
  <c r="N341" i="5"/>
  <c r="M341" i="5"/>
  <c r="L341" i="5"/>
  <c r="K341" i="5"/>
  <c r="J341" i="5"/>
  <c r="I341" i="5"/>
  <c r="X341" i="5"/>
  <c r="H341" i="5"/>
  <c r="W341" i="5"/>
  <c r="G341" i="5"/>
  <c r="Q341" i="5"/>
  <c r="V341" i="5"/>
  <c r="F341" i="5"/>
  <c r="U341" i="5"/>
  <c r="E341" i="5"/>
  <c r="T341" i="5"/>
  <c r="S341" i="5"/>
  <c r="R341" i="5"/>
  <c r="F60" i="7"/>
  <c r="G90" i="5"/>
  <c r="G128" i="5"/>
  <c r="G51" i="5"/>
  <c r="G13" i="5"/>
  <c r="H89" i="5"/>
  <c r="H166" i="5"/>
  <c r="H246" i="5"/>
  <c r="H247" i="5"/>
  <c r="H50" i="5"/>
  <c r="H492" i="5"/>
  <c r="H127" i="5"/>
  <c r="H287" i="5"/>
  <c r="H449" i="5"/>
  <c r="H406" i="5"/>
  <c r="H206" i="5"/>
  <c r="H48" i="5"/>
  <c r="H404" i="5"/>
  <c r="H326" i="5"/>
  <c r="H405" i="5"/>
  <c r="H489" i="5"/>
  <c r="H447" i="5"/>
  <c r="H203" i="5"/>
  <c r="H245" i="5"/>
  <c r="H285" i="5"/>
  <c r="H124" i="5"/>
  <c r="H205" i="5"/>
  <c r="H125" i="5"/>
  <c r="H164" i="5"/>
  <c r="H448" i="5"/>
  <c r="H49" i="5"/>
  <c r="H87" i="5"/>
  <c r="H10" i="5"/>
  <c r="H490" i="5"/>
  <c r="H286" i="5"/>
  <c r="H403" i="5"/>
  <c r="H47" i="5"/>
  <c r="H126" i="5"/>
  <c r="H446" i="5"/>
  <c r="H284" i="5"/>
  <c r="H364" i="5"/>
  <c r="H491" i="5"/>
  <c r="H204" i="5"/>
  <c r="H11" i="5"/>
  <c r="H12" i="5"/>
  <c r="H328" i="5"/>
  <c r="H366" i="5"/>
  <c r="H365" i="5"/>
  <c r="H165" i="5"/>
  <c r="H88" i="5"/>
  <c r="G50" i="7"/>
  <c r="G20" i="7"/>
  <c r="G28" i="7" s="1"/>
  <c r="G86" i="7"/>
  <c r="G87" i="7" s="1"/>
  <c r="I1" i="7"/>
  <c r="H53" i="7"/>
  <c r="H55" i="7"/>
  <c r="H23" i="7"/>
  <c r="H84" i="7"/>
  <c r="H47" i="7"/>
  <c r="H78" i="7"/>
  <c r="H17" i="7"/>
  <c r="H24" i="7"/>
  <c r="H54" i="7"/>
  <c r="H85" i="7"/>
  <c r="G56" i="7"/>
  <c r="G57" i="7" s="1"/>
  <c r="G58" i="7" s="1"/>
  <c r="G81" i="7"/>
  <c r="G408" i="5"/>
  <c r="G208" i="5"/>
  <c r="G451" i="5"/>
  <c r="G494" i="5"/>
  <c r="G289" i="5"/>
  <c r="H367" i="5"/>
  <c r="G368" i="5"/>
  <c r="G249" i="5"/>
  <c r="G168" i="5"/>
  <c r="I1" i="5"/>
  <c r="I88" i="5" s="1"/>
  <c r="G329" i="5"/>
  <c r="G330" i="5" s="1"/>
  <c r="E391" i="5"/>
  <c r="D376" i="5"/>
  <c r="D394" i="5"/>
  <c r="D275" i="5"/>
  <c r="D381" i="5"/>
  <c r="D356" i="5"/>
  <c r="E272" i="5"/>
  <c r="E273" i="5"/>
  <c r="D194" i="5"/>
  <c r="G186" i="5"/>
  <c r="H186" i="5" s="1"/>
  <c r="I186" i="5" s="1"/>
  <c r="E191" i="5"/>
  <c r="D181" i="5"/>
  <c r="E113" i="5"/>
  <c r="D98" i="5"/>
  <c r="E353" i="5"/>
  <c r="D343" i="5"/>
  <c r="J241" i="5"/>
  <c r="I243" i="5"/>
  <c r="J322" i="5"/>
  <c r="I324" i="5"/>
  <c r="J360" i="5"/>
  <c r="I362" i="5"/>
  <c r="J160" i="5"/>
  <c r="I162" i="5"/>
  <c r="J83" i="5"/>
  <c r="I85" i="5"/>
  <c r="I386" i="5"/>
  <c r="I367" i="5"/>
  <c r="H348" i="5"/>
  <c r="H329" i="5"/>
  <c r="K323" i="5"/>
  <c r="I267" i="5"/>
  <c r="I248" i="5"/>
  <c r="E378" i="5" l="1"/>
  <c r="E340" i="5"/>
  <c r="E259" i="5"/>
  <c r="E178" i="5"/>
  <c r="E93" i="5"/>
  <c r="E95" i="5" s="1"/>
  <c r="E102" i="5"/>
  <c r="K139" i="5"/>
  <c r="J62" i="5"/>
  <c r="F55" i="5"/>
  <c r="F57" i="5" s="1"/>
  <c r="E18" i="5"/>
  <c r="E20" i="5" s="1"/>
  <c r="K84" i="5"/>
  <c r="F412" i="5"/>
  <c r="G370" i="5"/>
  <c r="G292" i="5"/>
  <c r="F455" i="5"/>
  <c r="K242" i="5"/>
  <c r="G170" i="5"/>
  <c r="G497" i="5"/>
  <c r="G211" i="5"/>
  <c r="F498" i="5"/>
  <c r="E457" i="5"/>
  <c r="G411" i="5"/>
  <c r="E134" i="5"/>
  <c r="G454" i="5"/>
  <c r="G54" i="5"/>
  <c r="G131" i="5"/>
  <c r="E414" i="5"/>
  <c r="G251" i="5"/>
  <c r="G92" i="5"/>
  <c r="K361" i="5"/>
  <c r="E57" i="5"/>
  <c r="F132" i="5"/>
  <c r="F293" i="5"/>
  <c r="E295" i="5"/>
  <c r="G332" i="5"/>
  <c r="K161" i="5"/>
  <c r="E500" i="5"/>
  <c r="R25" i="5"/>
  <c r="G15" i="5"/>
  <c r="F16" i="5"/>
  <c r="E261" i="5"/>
  <c r="I328" i="5"/>
  <c r="I247" i="5"/>
  <c r="I89" i="5"/>
  <c r="I166" i="5"/>
  <c r="I366" i="5"/>
  <c r="G60" i="7"/>
  <c r="I246" i="5"/>
  <c r="I327" i="5"/>
  <c r="H13" i="5"/>
  <c r="H90" i="5"/>
  <c r="H128" i="5"/>
  <c r="H51" i="5"/>
  <c r="I365" i="5"/>
  <c r="I165" i="5"/>
  <c r="I50" i="5"/>
  <c r="I492" i="5"/>
  <c r="I206" i="5"/>
  <c r="I287" i="5"/>
  <c r="I406" i="5"/>
  <c r="I127" i="5"/>
  <c r="I449" i="5"/>
  <c r="I87" i="5"/>
  <c r="I284" i="5"/>
  <c r="I447" i="5"/>
  <c r="I126" i="5"/>
  <c r="I364" i="5"/>
  <c r="I326" i="5"/>
  <c r="I491" i="5"/>
  <c r="I204" i="5"/>
  <c r="I446" i="5"/>
  <c r="I164" i="5"/>
  <c r="I490" i="5"/>
  <c r="I48" i="5"/>
  <c r="I489" i="5"/>
  <c r="I404" i="5"/>
  <c r="I405" i="5"/>
  <c r="I124" i="5"/>
  <c r="I125" i="5"/>
  <c r="I448" i="5"/>
  <c r="I205" i="5"/>
  <c r="I285" i="5"/>
  <c r="I49" i="5"/>
  <c r="I47" i="5"/>
  <c r="I203" i="5"/>
  <c r="I403" i="5"/>
  <c r="I245" i="5"/>
  <c r="I286" i="5"/>
  <c r="I10" i="5"/>
  <c r="I11" i="5"/>
  <c r="I12" i="5"/>
  <c r="G89" i="7"/>
  <c r="H25" i="7"/>
  <c r="H26" i="7" s="1"/>
  <c r="H80" i="7"/>
  <c r="H81" i="7" s="1"/>
  <c r="H49" i="7"/>
  <c r="H50" i="7" s="1"/>
  <c r="H86" i="7"/>
  <c r="H19" i="7"/>
  <c r="H20" i="7" s="1"/>
  <c r="J1" i="7"/>
  <c r="I55" i="7"/>
  <c r="I84" i="7"/>
  <c r="I23" i="7"/>
  <c r="I53" i="7"/>
  <c r="I47" i="7"/>
  <c r="I78" i="7"/>
  <c r="I17" i="7"/>
  <c r="I24" i="7"/>
  <c r="I54" i="7"/>
  <c r="I85" i="7"/>
  <c r="H56" i="7"/>
  <c r="H57" i="7" s="1"/>
  <c r="J324" i="5"/>
  <c r="H289" i="5"/>
  <c r="H451" i="5"/>
  <c r="H408" i="5"/>
  <c r="H494" i="5"/>
  <c r="H208" i="5"/>
  <c r="H249" i="5"/>
  <c r="H368" i="5"/>
  <c r="H330" i="5"/>
  <c r="J1" i="5"/>
  <c r="J365" i="5" s="1"/>
  <c r="H167" i="5"/>
  <c r="H168" i="5" s="1"/>
  <c r="E380" i="5"/>
  <c r="I167" i="5"/>
  <c r="E371" i="5"/>
  <c r="E180" i="5"/>
  <c r="E342" i="5"/>
  <c r="K322" i="5"/>
  <c r="K241" i="5"/>
  <c r="J243" i="5"/>
  <c r="K360" i="5"/>
  <c r="J362" i="5"/>
  <c r="K160" i="5"/>
  <c r="J162" i="5"/>
  <c r="K83" i="5"/>
  <c r="J85" i="5"/>
  <c r="J386" i="5"/>
  <c r="J367" i="5"/>
  <c r="L323" i="5"/>
  <c r="I348" i="5"/>
  <c r="I329" i="5"/>
  <c r="J248" i="5"/>
  <c r="J267" i="5"/>
  <c r="J186" i="5"/>
  <c r="J167" i="5"/>
  <c r="E381" i="5" l="1"/>
  <c r="E343" i="5"/>
  <c r="E333" i="5"/>
  <c r="E252" i="5"/>
  <c r="E262" i="5"/>
  <c r="E181" i="5"/>
  <c r="E171" i="5"/>
  <c r="E103" i="5"/>
  <c r="K142" i="5"/>
  <c r="J65" i="5"/>
  <c r="F59" i="5"/>
  <c r="F500" i="5"/>
  <c r="H370" i="5"/>
  <c r="H251" i="5"/>
  <c r="H54" i="5"/>
  <c r="F134" i="5"/>
  <c r="G293" i="5"/>
  <c r="H211" i="5"/>
  <c r="H131" i="5"/>
  <c r="E59" i="5"/>
  <c r="G55" i="5"/>
  <c r="H92" i="5"/>
  <c r="E502" i="5"/>
  <c r="L361" i="5"/>
  <c r="E97" i="5"/>
  <c r="F414" i="5"/>
  <c r="H411" i="5"/>
  <c r="H454" i="5"/>
  <c r="H292" i="5"/>
  <c r="L161" i="5"/>
  <c r="G455" i="5"/>
  <c r="L84" i="5"/>
  <c r="H497" i="5"/>
  <c r="G498" i="5"/>
  <c r="E136" i="5"/>
  <c r="E373" i="5"/>
  <c r="L242" i="5"/>
  <c r="E297" i="5"/>
  <c r="G412" i="5"/>
  <c r="E416" i="5"/>
  <c r="F295" i="5"/>
  <c r="E459" i="5"/>
  <c r="F457" i="5"/>
  <c r="H332" i="5"/>
  <c r="H170" i="5"/>
  <c r="G132" i="5"/>
  <c r="R26" i="5"/>
  <c r="H15" i="5"/>
  <c r="F18" i="5"/>
  <c r="E21" i="5"/>
  <c r="G16" i="5"/>
  <c r="I90" i="5"/>
  <c r="I128" i="5"/>
  <c r="I13" i="5"/>
  <c r="I51" i="5"/>
  <c r="J89" i="5"/>
  <c r="I86" i="7"/>
  <c r="I87" i="7" s="1"/>
  <c r="J165" i="5"/>
  <c r="J246" i="5"/>
  <c r="J366" i="5"/>
  <c r="J166" i="5"/>
  <c r="J327" i="5"/>
  <c r="J50" i="5"/>
  <c r="J206" i="5"/>
  <c r="J492" i="5"/>
  <c r="J406" i="5"/>
  <c r="J287" i="5"/>
  <c r="J127" i="5"/>
  <c r="J449" i="5"/>
  <c r="J245" i="5"/>
  <c r="J49" i="5"/>
  <c r="J204" i="5"/>
  <c r="J403" i="5"/>
  <c r="J205" i="5"/>
  <c r="J446" i="5"/>
  <c r="J125" i="5"/>
  <c r="J126" i="5"/>
  <c r="J489" i="5"/>
  <c r="J10" i="5"/>
  <c r="J203" i="5"/>
  <c r="J48" i="5"/>
  <c r="J284" i="5"/>
  <c r="J490" i="5"/>
  <c r="J285" i="5"/>
  <c r="J447" i="5"/>
  <c r="J124" i="5"/>
  <c r="J286" i="5"/>
  <c r="J491" i="5"/>
  <c r="J405" i="5"/>
  <c r="J87" i="5"/>
  <c r="J47" i="5"/>
  <c r="J364" i="5"/>
  <c r="J326" i="5"/>
  <c r="J448" i="5"/>
  <c r="J164" i="5"/>
  <c r="J404" i="5"/>
  <c r="J11" i="5"/>
  <c r="J12" i="5"/>
  <c r="J247" i="5"/>
  <c r="J328" i="5"/>
  <c r="J88" i="5"/>
  <c r="H58" i="7"/>
  <c r="H60" i="7" s="1"/>
  <c r="H28" i="7"/>
  <c r="I19" i="7"/>
  <c r="I20" i="7" s="1"/>
  <c r="I80" i="7"/>
  <c r="I81" i="7" s="1"/>
  <c r="I25" i="7"/>
  <c r="H87" i="7"/>
  <c r="I56" i="7"/>
  <c r="I49" i="7"/>
  <c r="I50" i="7" s="1"/>
  <c r="K1" i="7"/>
  <c r="J55" i="7"/>
  <c r="J23" i="7"/>
  <c r="J84" i="7"/>
  <c r="J53" i="7"/>
  <c r="J78" i="7"/>
  <c r="J47" i="7"/>
  <c r="J17" i="7"/>
  <c r="J85" i="7"/>
  <c r="J54" i="7"/>
  <c r="J24" i="7"/>
  <c r="K324" i="5"/>
  <c r="I408" i="5"/>
  <c r="I289" i="5"/>
  <c r="I494" i="5"/>
  <c r="I451" i="5"/>
  <c r="I249" i="5"/>
  <c r="I208" i="5"/>
  <c r="I368" i="5"/>
  <c r="I168" i="5"/>
  <c r="I330" i="5"/>
  <c r="K1" i="5"/>
  <c r="K327" i="5" s="1"/>
  <c r="L241" i="5"/>
  <c r="K243" i="5"/>
  <c r="L322" i="5"/>
  <c r="L360" i="5"/>
  <c r="K362" i="5"/>
  <c r="L160" i="5"/>
  <c r="K162" i="5"/>
  <c r="L83" i="5"/>
  <c r="K85" i="5"/>
  <c r="K367" i="5"/>
  <c r="K386" i="5"/>
  <c r="M323" i="5"/>
  <c r="J348" i="5"/>
  <c r="J329" i="5"/>
  <c r="K248" i="5"/>
  <c r="K267" i="5"/>
  <c r="K167" i="5"/>
  <c r="K186" i="5"/>
  <c r="F378" i="5" l="1"/>
  <c r="E335" i="5"/>
  <c r="F340" i="5"/>
  <c r="F259" i="5"/>
  <c r="E254" i="5"/>
  <c r="E173" i="5"/>
  <c r="F178" i="5"/>
  <c r="F100" i="5"/>
  <c r="K143" i="5"/>
  <c r="J66" i="5"/>
  <c r="I251" i="5"/>
  <c r="F416" i="5"/>
  <c r="E60" i="5"/>
  <c r="G414" i="5"/>
  <c r="G134" i="5"/>
  <c r="H498" i="5"/>
  <c r="F502" i="5"/>
  <c r="I497" i="5"/>
  <c r="I292" i="5"/>
  <c r="M84" i="5"/>
  <c r="H132" i="5"/>
  <c r="I411" i="5"/>
  <c r="E298" i="5"/>
  <c r="F60" i="5"/>
  <c r="M242" i="5"/>
  <c r="E98" i="5"/>
  <c r="G457" i="5"/>
  <c r="M361" i="5"/>
  <c r="I54" i="5"/>
  <c r="M161" i="5"/>
  <c r="G295" i="5"/>
  <c r="F459" i="5"/>
  <c r="I131" i="5"/>
  <c r="E375" i="5"/>
  <c r="F136" i="5"/>
  <c r="I92" i="5"/>
  <c r="E460" i="5"/>
  <c r="H293" i="5"/>
  <c r="E503" i="5"/>
  <c r="E137" i="5"/>
  <c r="H55" i="5"/>
  <c r="I454" i="5"/>
  <c r="F297" i="5"/>
  <c r="H455" i="5"/>
  <c r="I332" i="5"/>
  <c r="I170" i="5"/>
  <c r="G500" i="5"/>
  <c r="I370" i="5"/>
  <c r="H412" i="5"/>
  <c r="G57" i="5"/>
  <c r="I211" i="5"/>
  <c r="E417" i="5"/>
  <c r="S23" i="5"/>
  <c r="I15" i="5"/>
  <c r="G18" i="5"/>
  <c r="F20" i="5"/>
  <c r="H16" i="5"/>
  <c r="K247" i="5"/>
  <c r="J90" i="5"/>
  <c r="J13" i="5"/>
  <c r="J51" i="5"/>
  <c r="J128" i="5"/>
  <c r="I89" i="7"/>
  <c r="K328" i="5"/>
  <c r="K89" i="5"/>
  <c r="K206" i="5"/>
  <c r="K492" i="5"/>
  <c r="K50" i="5"/>
  <c r="K449" i="5"/>
  <c r="K127" i="5"/>
  <c r="K406" i="5"/>
  <c r="K287" i="5"/>
  <c r="K205" i="5"/>
  <c r="K446" i="5"/>
  <c r="K164" i="5"/>
  <c r="K489" i="5"/>
  <c r="K48" i="5"/>
  <c r="K404" i="5"/>
  <c r="K126" i="5"/>
  <c r="K403" i="5"/>
  <c r="K364" i="5"/>
  <c r="K203" i="5"/>
  <c r="K10" i="5"/>
  <c r="K447" i="5"/>
  <c r="K124" i="5"/>
  <c r="K49" i="5"/>
  <c r="K87" i="5"/>
  <c r="K405" i="5"/>
  <c r="K491" i="5"/>
  <c r="K490" i="5"/>
  <c r="K125" i="5"/>
  <c r="K448" i="5"/>
  <c r="K284" i="5"/>
  <c r="K204" i="5"/>
  <c r="K47" i="5"/>
  <c r="K326" i="5"/>
  <c r="K285" i="5"/>
  <c r="K245" i="5"/>
  <c r="K286" i="5"/>
  <c r="K11" i="5"/>
  <c r="K12" i="5"/>
  <c r="K166" i="5"/>
  <c r="K246" i="5"/>
  <c r="K366" i="5"/>
  <c r="K365" i="5"/>
  <c r="K165" i="5"/>
  <c r="K88" i="5"/>
  <c r="J56" i="7"/>
  <c r="J57" i="7" s="1"/>
  <c r="J58" i="7" s="1"/>
  <c r="J19" i="7"/>
  <c r="J20" i="7" s="1"/>
  <c r="J25" i="7"/>
  <c r="J26" i="7" s="1"/>
  <c r="I26" i="7"/>
  <c r="I28" i="7" s="1"/>
  <c r="I57" i="7"/>
  <c r="J49" i="7"/>
  <c r="J50" i="7" s="1"/>
  <c r="L1" i="7"/>
  <c r="K55" i="7"/>
  <c r="K23" i="7"/>
  <c r="K53" i="7"/>
  <c r="K84" i="7"/>
  <c r="K47" i="7"/>
  <c r="K78" i="7"/>
  <c r="K17" i="7"/>
  <c r="K85" i="7"/>
  <c r="K24" i="7"/>
  <c r="K54" i="7"/>
  <c r="J86" i="7"/>
  <c r="H89" i="7"/>
  <c r="J80" i="7"/>
  <c r="J81" i="7" s="1"/>
  <c r="J451" i="5"/>
  <c r="J408" i="5"/>
  <c r="J289" i="5"/>
  <c r="J208" i="5"/>
  <c r="J494" i="5"/>
  <c r="J368" i="5"/>
  <c r="J249" i="5"/>
  <c r="J330" i="5"/>
  <c r="J168" i="5"/>
  <c r="L1" i="5"/>
  <c r="L88" i="5" s="1"/>
  <c r="M322" i="5"/>
  <c r="L324" i="5"/>
  <c r="M241" i="5"/>
  <c r="L243" i="5"/>
  <c r="M360" i="5"/>
  <c r="L362" i="5"/>
  <c r="M160" i="5"/>
  <c r="L162" i="5"/>
  <c r="M83" i="5"/>
  <c r="L85" i="5"/>
  <c r="L367" i="5"/>
  <c r="L386" i="5"/>
  <c r="K329" i="5"/>
  <c r="K348" i="5"/>
  <c r="N323" i="5"/>
  <c r="L248" i="5"/>
  <c r="L267" i="5"/>
  <c r="L167" i="5"/>
  <c r="L186" i="5"/>
  <c r="F380" i="5" l="1"/>
  <c r="F371" i="5"/>
  <c r="F333" i="5"/>
  <c r="F342" i="5"/>
  <c r="E337" i="5"/>
  <c r="E256" i="5"/>
  <c r="F252" i="5"/>
  <c r="F261" i="5"/>
  <c r="F180" i="5"/>
  <c r="F171" i="5"/>
  <c r="E175" i="5"/>
  <c r="F93" i="5"/>
  <c r="F102" i="5"/>
  <c r="L139" i="5"/>
  <c r="K62" i="5"/>
  <c r="I455" i="5"/>
  <c r="F503" i="5"/>
  <c r="F137" i="5"/>
  <c r="I55" i="5"/>
  <c r="H57" i="5"/>
  <c r="H500" i="5"/>
  <c r="J497" i="5"/>
  <c r="G502" i="5"/>
  <c r="E376" i="5"/>
  <c r="G136" i="5"/>
  <c r="N361" i="5"/>
  <c r="I412" i="5"/>
  <c r="G416" i="5"/>
  <c r="I132" i="5"/>
  <c r="H134" i="5"/>
  <c r="G459" i="5"/>
  <c r="N84" i="5"/>
  <c r="J211" i="5"/>
  <c r="J411" i="5"/>
  <c r="J454" i="5"/>
  <c r="J131" i="5"/>
  <c r="F460" i="5"/>
  <c r="J54" i="5"/>
  <c r="H457" i="5"/>
  <c r="H295" i="5"/>
  <c r="F417" i="5"/>
  <c r="G59" i="5"/>
  <c r="J332" i="5"/>
  <c r="J251" i="5"/>
  <c r="J92" i="5"/>
  <c r="N242" i="5"/>
  <c r="I293" i="5"/>
  <c r="J370" i="5"/>
  <c r="J292" i="5"/>
  <c r="H414" i="5"/>
  <c r="F298" i="5"/>
  <c r="G297" i="5"/>
  <c r="N161" i="5"/>
  <c r="I498" i="5"/>
  <c r="J170" i="5"/>
  <c r="S25" i="5"/>
  <c r="H18" i="5"/>
  <c r="F21" i="5"/>
  <c r="G20" i="5"/>
  <c r="J15" i="5"/>
  <c r="I16" i="5"/>
  <c r="K25" i="7"/>
  <c r="K26" i="7" s="1"/>
  <c r="L247" i="5"/>
  <c r="K90" i="5"/>
  <c r="K128" i="5"/>
  <c r="K13" i="5"/>
  <c r="K51" i="5"/>
  <c r="L328" i="5"/>
  <c r="L327" i="5"/>
  <c r="L365" i="5"/>
  <c r="L165" i="5"/>
  <c r="L206" i="5"/>
  <c r="L50" i="5"/>
  <c r="L406" i="5"/>
  <c r="L492" i="5"/>
  <c r="L127" i="5"/>
  <c r="L287" i="5"/>
  <c r="L449" i="5"/>
  <c r="L203" i="5"/>
  <c r="L286" i="5"/>
  <c r="L204" i="5"/>
  <c r="L404" i="5"/>
  <c r="L48" i="5"/>
  <c r="L491" i="5"/>
  <c r="L446" i="5"/>
  <c r="L10" i="5"/>
  <c r="L448" i="5"/>
  <c r="L126" i="5"/>
  <c r="L164" i="5"/>
  <c r="L405" i="5"/>
  <c r="L124" i="5"/>
  <c r="L490" i="5"/>
  <c r="L285" i="5"/>
  <c r="L87" i="5"/>
  <c r="L364" i="5"/>
  <c r="L489" i="5"/>
  <c r="L49" i="5"/>
  <c r="L284" i="5"/>
  <c r="L205" i="5"/>
  <c r="L47" i="5"/>
  <c r="L245" i="5"/>
  <c r="L125" i="5"/>
  <c r="L447" i="5"/>
  <c r="L326" i="5"/>
  <c r="L403" i="5"/>
  <c r="L11" i="5"/>
  <c r="L12" i="5"/>
  <c r="L89" i="5"/>
  <c r="L166" i="5"/>
  <c r="L366" i="5"/>
  <c r="L246" i="5"/>
  <c r="K56" i="7"/>
  <c r="K57" i="7" s="1"/>
  <c r="K58" i="7" s="1"/>
  <c r="J60" i="7"/>
  <c r="I58" i="7"/>
  <c r="K19" i="7"/>
  <c r="K20" i="7" s="1"/>
  <c r="K80" i="7"/>
  <c r="K81" i="7" s="1"/>
  <c r="K86" i="7"/>
  <c r="K87" i="7" s="1"/>
  <c r="J28" i="7"/>
  <c r="J87" i="7"/>
  <c r="M1" i="7"/>
  <c r="L55" i="7"/>
  <c r="L84" i="7"/>
  <c r="L53" i="7"/>
  <c r="L23" i="7"/>
  <c r="L17" i="7"/>
  <c r="L78" i="7"/>
  <c r="L47" i="7"/>
  <c r="L54" i="7"/>
  <c r="L24" i="7"/>
  <c r="L85" i="7"/>
  <c r="K49" i="7"/>
  <c r="K50" i="7" s="1"/>
  <c r="M324" i="5"/>
  <c r="K451" i="5"/>
  <c r="K289" i="5"/>
  <c r="K208" i="5"/>
  <c r="K494" i="5"/>
  <c r="K408" i="5"/>
  <c r="K249" i="5"/>
  <c r="K368" i="5"/>
  <c r="K330" i="5"/>
  <c r="K168" i="5"/>
  <c r="M1" i="5"/>
  <c r="M165" i="5" s="1"/>
  <c r="N241" i="5"/>
  <c r="M243" i="5"/>
  <c r="N322" i="5"/>
  <c r="N360" i="5"/>
  <c r="M362" i="5"/>
  <c r="N160" i="5"/>
  <c r="M162" i="5"/>
  <c r="N83" i="5"/>
  <c r="M85" i="5"/>
  <c r="M367" i="5"/>
  <c r="M386" i="5"/>
  <c r="L329" i="5"/>
  <c r="L348" i="5"/>
  <c r="O323" i="5"/>
  <c r="M248" i="5"/>
  <c r="M267" i="5"/>
  <c r="M167" i="5"/>
  <c r="M186" i="5"/>
  <c r="F373" i="5" l="1"/>
  <c r="F381" i="5"/>
  <c r="E338" i="5"/>
  <c r="F343" i="5"/>
  <c r="F335" i="5"/>
  <c r="F262" i="5"/>
  <c r="F254" i="5"/>
  <c r="E257" i="5"/>
  <c r="E176" i="5"/>
  <c r="F173" i="5"/>
  <c r="F181" i="5"/>
  <c r="F103" i="5"/>
  <c r="F95" i="5"/>
  <c r="L142" i="5"/>
  <c r="K65" i="5"/>
  <c r="H459" i="5"/>
  <c r="O84" i="5"/>
  <c r="I57" i="5"/>
  <c r="G298" i="5"/>
  <c r="G137" i="5"/>
  <c r="J55" i="5"/>
  <c r="G460" i="5"/>
  <c r="H416" i="5"/>
  <c r="H136" i="5"/>
  <c r="G503" i="5"/>
  <c r="K211" i="5"/>
  <c r="J293" i="5"/>
  <c r="I134" i="5"/>
  <c r="I457" i="5"/>
  <c r="K332" i="5"/>
  <c r="K251" i="5"/>
  <c r="G60" i="5"/>
  <c r="J132" i="5"/>
  <c r="G417" i="5"/>
  <c r="J498" i="5"/>
  <c r="K411" i="5"/>
  <c r="K292" i="5"/>
  <c r="K454" i="5"/>
  <c r="K54" i="5"/>
  <c r="I295" i="5"/>
  <c r="J455" i="5"/>
  <c r="O242" i="5"/>
  <c r="H502" i="5"/>
  <c r="K370" i="5"/>
  <c r="K497" i="5"/>
  <c r="K131" i="5"/>
  <c r="I500" i="5"/>
  <c r="J412" i="5"/>
  <c r="K170" i="5"/>
  <c r="K92" i="5"/>
  <c r="O161" i="5"/>
  <c r="I414" i="5"/>
  <c r="H59" i="5"/>
  <c r="H297" i="5"/>
  <c r="O361" i="5"/>
  <c r="S26" i="5"/>
  <c r="I18" i="5"/>
  <c r="J16" i="5"/>
  <c r="G21" i="5"/>
  <c r="K15" i="5"/>
  <c r="H20" i="5"/>
  <c r="K28" i="7"/>
  <c r="L90" i="5"/>
  <c r="L128" i="5"/>
  <c r="L13" i="5"/>
  <c r="L51" i="5"/>
  <c r="M247" i="5"/>
  <c r="M327" i="5"/>
  <c r="M328" i="5"/>
  <c r="M492" i="5"/>
  <c r="M50" i="5"/>
  <c r="M206" i="5"/>
  <c r="M406" i="5"/>
  <c r="M127" i="5"/>
  <c r="M449" i="5"/>
  <c r="M287" i="5"/>
  <c r="M286" i="5"/>
  <c r="M204" i="5"/>
  <c r="M326" i="5"/>
  <c r="M126" i="5"/>
  <c r="M405" i="5"/>
  <c r="M203" i="5"/>
  <c r="M124" i="5"/>
  <c r="M205" i="5"/>
  <c r="M284" i="5"/>
  <c r="M87" i="5"/>
  <c r="M448" i="5"/>
  <c r="M447" i="5"/>
  <c r="M245" i="5"/>
  <c r="M10" i="5"/>
  <c r="M48" i="5"/>
  <c r="M404" i="5"/>
  <c r="M491" i="5"/>
  <c r="M490" i="5"/>
  <c r="M164" i="5"/>
  <c r="M489" i="5"/>
  <c r="M47" i="5"/>
  <c r="M125" i="5"/>
  <c r="M403" i="5"/>
  <c r="M49" i="5"/>
  <c r="M446" i="5"/>
  <c r="M285" i="5"/>
  <c r="M364" i="5"/>
  <c r="M11" i="5"/>
  <c r="M12" i="5"/>
  <c r="M365" i="5"/>
  <c r="M89" i="5"/>
  <c r="M166" i="5"/>
  <c r="M88" i="5"/>
  <c r="M366" i="5"/>
  <c r="M246" i="5"/>
  <c r="L56" i="7"/>
  <c r="L57" i="7" s="1"/>
  <c r="K60" i="7"/>
  <c r="I60" i="7"/>
  <c r="L49" i="7"/>
  <c r="L50" i="7" s="1"/>
  <c r="L80" i="7"/>
  <c r="L81" i="7" s="1"/>
  <c r="L19" i="7"/>
  <c r="L20" i="7" s="1"/>
  <c r="J89" i="7"/>
  <c r="L25" i="7"/>
  <c r="N1" i="7"/>
  <c r="M55" i="7"/>
  <c r="M53" i="7"/>
  <c r="M23" i="7"/>
  <c r="M84" i="7"/>
  <c r="M47" i="7"/>
  <c r="M78" i="7"/>
  <c r="M17" i="7"/>
  <c r="M54" i="7"/>
  <c r="M85" i="7"/>
  <c r="M24" i="7"/>
  <c r="K89" i="7"/>
  <c r="L86" i="7"/>
  <c r="N324" i="5"/>
  <c r="L494" i="5"/>
  <c r="L289" i="5"/>
  <c r="L408" i="5"/>
  <c r="L451" i="5"/>
  <c r="L249" i="5"/>
  <c r="L208" i="5"/>
  <c r="L368" i="5"/>
  <c r="L168" i="5"/>
  <c r="N1" i="5"/>
  <c r="N88" i="5" s="1"/>
  <c r="L330" i="5"/>
  <c r="O322" i="5"/>
  <c r="O241" i="5"/>
  <c r="N243" i="5"/>
  <c r="O360" i="5"/>
  <c r="N362" i="5"/>
  <c r="O160" i="5"/>
  <c r="N162" i="5"/>
  <c r="O83" i="5"/>
  <c r="N85" i="5"/>
  <c r="N367" i="5"/>
  <c r="N386" i="5"/>
  <c r="P323" i="5"/>
  <c r="M329" i="5"/>
  <c r="M348" i="5"/>
  <c r="N248" i="5"/>
  <c r="N267" i="5"/>
  <c r="N167" i="5"/>
  <c r="N186" i="5"/>
  <c r="G378" i="5" l="1"/>
  <c r="F375" i="5"/>
  <c r="F337" i="5"/>
  <c r="G340" i="5"/>
  <c r="F256" i="5"/>
  <c r="G259" i="5"/>
  <c r="G178" i="5"/>
  <c r="F175" i="5"/>
  <c r="F97" i="5"/>
  <c r="G100" i="5"/>
  <c r="L143" i="5"/>
  <c r="K66" i="5"/>
  <c r="H503" i="5"/>
  <c r="K293" i="5"/>
  <c r="J57" i="5"/>
  <c r="P242" i="5"/>
  <c r="K412" i="5"/>
  <c r="J295" i="5"/>
  <c r="J500" i="5"/>
  <c r="P361" i="5"/>
  <c r="I59" i="5"/>
  <c r="P84" i="5"/>
  <c r="I502" i="5"/>
  <c r="J457" i="5"/>
  <c r="L54" i="5"/>
  <c r="L251" i="5"/>
  <c r="L497" i="5"/>
  <c r="J414" i="5"/>
  <c r="H60" i="5"/>
  <c r="K132" i="5"/>
  <c r="I297" i="5"/>
  <c r="H137" i="5"/>
  <c r="H460" i="5"/>
  <c r="L131" i="5"/>
  <c r="L211" i="5"/>
  <c r="L411" i="5"/>
  <c r="H298" i="5"/>
  <c r="L332" i="5"/>
  <c r="L92" i="5"/>
  <c r="I416" i="5"/>
  <c r="K498" i="5"/>
  <c r="K55" i="5"/>
  <c r="J134" i="5"/>
  <c r="H417" i="5"/>
  <c r="L454" i="5"/>
  <c r="L292" i="5"/>
  <c r="P161" i="5"/>
  <c r="I459" i="5"/>
  <c r="K455" i="5"/>
  <c r="L170" i="5"/>
  <c r="L370" i="5"/>
  <c r="I136" i="5"/>
  <c r="T23" i="5"/>
  <c r="L15" i="5"/>
  <c r="H21" i="5"/>
  <c r="K16" i="5"/>
  <c r="J18" i="5"/>
  <c r="I20" i="5"/>
  <c r="N366" i="5"/>
  <c r="N247" i="5"/>
  <c r="M13" i="5"/>
  <c r="M90" i="5"/>
  <c r="M128" i="5"/>
  <c r="M51" i="5"/>
  <c r="N327" i="5"/>
  <c r="N328" i="5"/>
  <c r="N165" i="5"/>
  <c r="N365" i="5"/>
  <c r="N206" i="5"/>
  <c r="N492" i="5"/>
  <c r="N50" i="5"/>
  <c r="N406" i="5"/>
  <c r="N287" i="5"/>
  <c r="N449" i="5"/>
  <c r="N127" i="5"/>
  <c r="N405" i="5"/>
  <c r="N164" i="5"/>
  <c r="N203" i="5"/>
  <c r="N126" i="5"/>
  <c r="N205" i="5"/>
  <c r="N48" i="5"/>
  <c r="N47" i="5"/>
  <c r="N404" i="5"/>
  <c r="N124" i="5"/>
  <c r="N364" i="5"/>
  <c r="N326" i="5"/>
  <c r="N448" i="5"/>
  <c r="N490" i="5"/>
  <c r="N204" i="5"/>
  <c r="N285" i="5"/>
  <c r="N245" i="5"/>
  <c r="N286" i="5"/>
  <c r="N125" i="5"/>
  <c r="N284" i="5"/>
  <c r="N491" i="5"/>
  <c r="N489" i="5"/>
  <c r="N49" i="5"/>
  <c r="N446" i="5"/>
  <c r="N403" i="5"/>
  <c r="N447" i="5"/>
  <c r="N87" i="5"/>
  <c r="N10" i="5"/>
  <c r="N11" i="5"/>
  <c r="N12" i="5"/>
  <c r="N89" i="5"/>
  <c r="N166" i="5"/>
  <c r="N246" i="5"/>
  <c r="M56" i="7"/>
  <c r="M57" i="7" s="1"/>
  <c r="M58" i="7" s="1"/>
  <c r="M86" i="7"/>
  <c r="M87" i="7" s="1"/>
  <c r="M49" i="7"/>
  <c r="M50" i="7" s="1"/>
  <c r="M19" i="7"/>
  <c r="M20" i="7" s="1"/>
  <c r="M25" i="7"/>
  <c r="M26" i="7" s="1"/>
  <c r="O1" i="7"/>
  <c r="N55" i="7"/>
  <c r="N84" i="7"/>
  <c r="N23" i="7"/>
  <c r="N53" i="7"/>
  <c r="N17" i="7"/>
  <c r="N47" i="7"/>
  <c r="N78" i="7"/>
  <c r="N85" i="7"/>
  <c r="N54" i="7"/>
  <c r="N24" i="7"/>
  <c r="L58" i="7"/>
  <c r="L60" i="7" s="1"/>
  <c r="L87" i="7"/>
  <c r="L26" i="7"/>
  <c r="L28" i="7" s="1"/>
  <c r="M80" i="7"/>
  <c r="M81" i="7" s="1"/>
  <c r="O324" i="5"/>
  <c r="M451" i="5"/>
  <c r="M289" i="5"/>
  <c r="M208" i="5"/>
  <c r="M494" i="5"/>
  <c r="M408" i="5"/>
  <c r="M368" i="5"/>
  <c r="M249" i="5"/>
  <c r="M330" i="5"/>
  <c r="M168" i="5"/>
  <c r="O1" i="5"/>
  <c r="P241" i="5"/>
  <c r="O243" i="5"/>
  <c r="P322" i="5"/>
  <c r="P360" i="5"/>
  <c r="O362" i="5"/>
  <c r="P160" i="5"/>
  <c r="O162" i="5"/>
  <c r="P83" i="5"/>
  <c r="O85" i="5"/>
  <c r="O367" i="5"/>
  <c r="O386" i="5"/>
  <c r="N329" i="5"/>
  <c r="N348" i="5"/>
  <c r="Q323" i="5"/>
  <c r="O248" i="5"/>
  <c r="O267" i="5"/>
  <c r="O167" i="5"/>
  <c r="O186" i="5"/>
  <c r="O88" i="5" l="1"/>
  <c r="O52" i="5"/>
  <c r="F376" i="5"/>
  <c r="G380" i="5"/>
  <c r="G371" i="5"/>
  <c r="G333" i="5"/>
  <c r="G342" i="5"/>
  <c r="F338" i="5"/>
  <c r="G252" i="5"/>
  <c r="G261" i="5"/>
  <c r="F257" i="5"/>
  <c r="F176" i="5"/>
  <c r="G171" i="5"/>
  <c r="G180" i="5"/>
  <c r="G102" i="5"/>
  <c r="G93" i="5"/>
  <c r="F98" i="5"/>
  <c r="M139" i="5"/>
  <c r="L62" i="5"/>
  <c r="L55" i="5" s="1"/>
  <c r="L293" i="5"/>
  <c r="K134" i="5"/>
  <c r="I503" i="5"/>
  <c r="J297" i="5"/>
  <c r="L455" i="5"/>
  <c r="Q84" i="5"/>
  <c r="M411" i="5"/>
  <c r="M497" i="5"/>
  <c r="K414" i="5"/>
  <c r="M251" i="5"/>
  <c r="L412" i="5"/>
  <c r="J416" i="5"/>
  <c r="J136" i="5"/>
  <c r="L498" i="5"/>
  <c r="I60" i="5"/>
  <c r="Q242" i="5"/>
  <c r="M211" i="5"/>
  <c r="M54" i="5"/>
  <c r="M131" i="5"/>
  <c r="K57" i="5"/>
  <c r="L132" i="5"/>
  <c r="M454" i="5"/>
  <c r="M92" i="5"/>
  <c r="J59" i="5"/>
  <c r="M292" i="5"/>
  <c r="K457" i="5"/>
  <c r="K500" i="5"/>
  <c r="Q361" i="5"/>
  <c r="I137" i="5"/>
  <c r="M370" i="5"/>
  <c r="I460" i="5"/>
  <c r="I417" i="5"/>
  <c r="Q161" i="5"/>
  <c r="J502" i="5"/>
  <c r="K295" i="5"/>
  <c r="I298" i="5"/>
  <c r="M170" i="5"/>
  <c r="M332" i="5"/>
  <c r="J459" i="5"/>
  <c r="T25" i="5"/>
  <c r="M15" i="5"/>
  <c r="I21" i="5"/>
  <c r="J20" i="5"/>
  <c r="K18" i="5"/>
  <c r="L16" i="5"/>
  <c r="N25" i="7"/>
  <c r="N26" i="7" s="1"/>
  <c r="O166" i="5"/>
  <c r="O366" i="5"/>
  <c r="N13" i="5"/>
  <c r="N90" i="5"/>
  <c r="N128" i="5"/>
  <c r="N51" i="5"/>
  <c r="O247" i="5"/>
  <c r="O165" i="5"/>
  <c r="O327" i="5"/>
  <c r="O328" i="5"/>
  <c r="O50" i="5"/>
  <c r="O206" i="5"/>
  <c r="O406" i="5"/>
  <c r="O492" i="5"/>
  <c r="O449" i="5"/>
  <c r="O287" i="5"/>
  <c r="O127" i="5"/>
  <c r="O48" i="5"/>
  <c r="O125" i="5"/>
  <c r="O491" i="5"/>
  <c r="O164" i="5"/>
  <c r="O404" i="5"/>
  <c r="O405" i="5"/>
  <c r="O403" i="5"/>
  <c r="O49" i="5"/>
  <c r="O10" i="5"/>
  <c r="O285" i="5"/>
  <c r="O205" i="5"/>
  <c r="O47" i="5"/>
  <c r="O326" i="5"/>
  <c r="O124" i="5"/>
  <c r="O452" i="5"/>
  <c r="O447" i="5"/>
  <c r="O490" i="5"/>
  <c r="O284" i="5"/>
  <c r="O209" i="5"/>
  <c r="O126" i="5"/>
  <c r="O203" i="5"/>
  <c r="O87" i="5"/>
  <c r="O448" i="5"/>
  <c r="O495" i="5"/>
  <c r="O245" i="5"/>
  <c r="O364" i="5"/>
  <c r="O129" i="5"/>
  <c r="O146" i="5" s="1"/>
  <c r="O489" i="5"/>
  <c r="O204" i="5"/>
  <c r="O286" i="5"/>
  <c r="O290" i="5"/>
  <c r="O409" i="5"/>
  <c r="O446" i="5"/>
  <c r="O11" i="5"/>
  <c r="O12" i="5"/>
  <c r="O246" i="5"/>
  <c r="O89" i="5"/>
  <c r="O365" i="5"/>
  <c r="M28" i="7"/>
  <c r="N56" i="7"/>
  <c r="N57" i="7" s="1"/>
  <c r="N58" i="7" s="1"/>
  <c r="M89" i="7"/>
  <c r="N80" i="7"/>
  <c r="N81" i="7" s="1"/>
  <c r="N49" i="7"/>
  <c r="N50" i="7" s="1"/>
  <c r="N19" i="7"/>
  <c r="N20" i="7" s="1"/>
  <c r="N86" i="7"/>
  <c r="M60" i="7"/>
  <c r="P1" i="7"/>
  <c r="O55" i="7"/>
  <c r="O53" i="7"/>
  <c r="O23" i="7"/>
  <c r="O84" i="7"/>
  <c r="O47" i="7"/>
  <c r="O78" i="7"/>
  <c r="O17" i="7"/>
  <c r="O54" i="7"/>
  <c r="O24" i="7"/>
  <c r="O85" i="7"/>
  <c r="L89" i="7"/>
  <c r="P324" i="5"/>
  <c r="N494" i="5"/>
  <c r="N408" i="5"/>
  <c r="N451" i="5"/>
  <c r="N289" i="5"/>
  <c r="N208" i="5"/>
  <c r="N249" i="5"/>
  <c r="N330" i="5"/>
  <c r="N368" i="5"/>
  <c r="N168" i="5"/>
  <c r="P1" i="5"/>
  <c r="P165" i="5" s="1"/>
  <c r="Q322" i="5"/>
  <c r="Q241" i="5"/>
  <c r="P243" i="5"/>
  <c r="Q360" i="5"/>
  <c r="P362" i="5"/>
  <c r="Q160" i="5"/>
  <c r="P162" i="5"/>
  <c r="Q83" i="5"/>
  <c r="P85" i="5"/>
  <c r="P367" i="5"/>
  <c r="P386" i="5"/>
  <c r="R323" i="5"/>
  <c r="O329" i="5"/>
  <c r="O348" i="5"/>
  <c r="P248" i="5"/>
  <c r="P267" i="5"/>
  <c r="P167" i="5"/>
  <c r="P186" i="5"/>
  <c r="O72" i="5" l="1"/>
  <c r="O69" i="5"/>
  <c r="O64" i="5"/>
  <c r="G373" i="5"/>
  <c r="G381" i="5"/>
  <c r="G343" i="5"/>
  <c r="G335" i="5"/>
  <c r="G262" i="5"/>
  <c r="G254" i="5"/>
  <c r="G181" i="5"/>
  <c r="G173" i="5"/>
  <c r="G95" i="5"/>
  <c r="G103" i="5"/>
  <c r="M142" i="5"/>
  <c r="L65" i="5"/>
  <c r="R361" i="5"/>
  <c r="L134" i="5"/>
  <c r="J137" i="5"/>
  <c r="N211" i="5"/>
  <c r="M412" i="5"/>
  <c r="K502" i="5"/>
  <c r="K59" i="5"/>
  <c r="R84" i="5"/>
  <c r="K459" i="5"/>
  <c r="M132" i="5"/>
  <c r="K297" i="5"/>
  <c r="J417" i="5"/>
  <c r="L457" i="5"/>
  <c r="N411" i="5"/>
  <c r="M293" i="5"/>
  <c r="J503" i="5"/>
  <c r="L57" i="5"/>
  <c r="L414" i="5"/>
  <c r="J298" i="5"/>
  <c r="J60" i="5"/>
  <c r="R242" i="5"/>
  <c r="N292" i="5"/>
  <c r="R161" i="5"/>
  <c r="N170" i="5"/>
  <c r="N54" i="5"/>
  <c r="J460" i="5"/>
  <c r="K416" i="5"/>
  <c r="N454" i="5"/>
  <c r="N131" i="5"/>
  <c r="M455" i="5"/>
  <c r="K136" i="5"/>
  <c r="N332" i="5"/>
  <c r="N92" i="5"/>
  <c r="M498" i="5"/>
  <c r="N497" i="5"/>
  <c r="N370" i="5"/>
  <c r="N251" i="5"/>
  <c r="L500" i="5"/>
  <c r="L295" i="5"/>
  <c r="T26" i="5"/>
  <c r="N15" i="5"/>
  <c r="L18" i="5"/>
  <c r="K20" i="5"/>
  <c r="J21" i="5"/>
  <c r="M16" i="5"/>
  <c r="X146" i="5"/>
  <c r="W146" i="5"/>
  <c r="V146" i="5"/>
  <c r="U146" i="5"/>
  <c r="T146" i="5"/>
  <c r="S146" i="5"/>
  <c r="R146" i="5"/>
  <c r="Q146" i="5"/>
  <c r="P146" i="5"/>
  <c r="X512" i="5"/>
  <c r="W512" i="5"/>
  <c r="V512" i="5"/>
  <c r="U512" i="5"/>
  <c r="T512" i="5"/>
  <c r="S512" i="5"/>
  <c r="R512" i="5"/>
  <c r="Q512" i="5"/>
  <c r="P512" i="5"/>
  <c r="O512" i="5"/>
  <c r="X226" i="5"/>
  <c r="W226" i="5"/>
  <c r="V226" i="5"/>
  <c r="U226" i="5"/>
  <c r="T226" i="5"/>
  <c r="S226" i="5"/>
  <c r="R226" i="5"/>
  <c r="Q226" i="5"/>
  <c r="P226" i="5"/>
  <c r="O226" i="5"/>
  <c r="P69" i="5"/>
  <c r="Q69" i="5"/>
  <c r="X69" i="5"/>
  <c r="W69" i="5"/>
  <c r="V69" i="5"/>
  <c r="U69" i="5"/>
  <c r="T69" i="5"/>
  <c r="S69" i="5"/>
  <c r="R69" i="5"/>
  <c r="O421" i="5"/>
  <c r="P426" i="5"/>
  <c r="O426" i="5"/>
  <c r="X426" i="5"/>
  <c r="W426" i="5"/>
  <c r="Q426" i="5"/>
  <c r="V426" i="5"/>
  <c r="U426" i="5"/>
  <c r="T426" i="5"/>
  <c r="S426" i="5"/>
  <c r="R426" i="5"/>
  <c r="T307" i="5"/>
  <c r="S307" i="5"/>
  <c r="R307" i="5"/>
  <c r="Q307" i="5"/>
  <c r="P307" i="5"/>
  <c r="O307" i="5"/>
  <c r="U307" i="5"/>
  <c r="X307" i="5"/>
  <c r="W307" i="5"/>
  <c r="V307" i="5"/>
  <c r="X469" i="5"/>
  <c r="W469" i="5"/>
  <c r="V469" i="5"/>
  <c r="U469" i="5"/>
  <c r="T469" i="5"/>
  <c r="S469" i="5"/>
  <c r="R469" i="5"/>
  <c r="Q469" i="5"/>
  <c r="P469" i="5"/>
  <c r="O469" i="5"/>
  <c r="N28" i="7"/>
  <c r="O13" i="5"/>
  <c r="O51" i="5"/>
  <c r="O128" i="5"/>
  <c r="O90" i="5"/>
  <c r="P328" i="5"/>
  <c r="P327" i="5"/>
  <c r="P246" i="5"/>
  <c r="P406" i="5"/>
  <c r="P50" i="5"/>
  <c r="P492" i="5"/>
  <c r="P206" i="5"/>
  <c r="P287" i="5"/>
  <c r="P449" i="5"/>
  <c r="P127" i="5"/>
  <c r="P48" i="5"/>
  <c r="P126" i="5"/>
  <c r="P286" i="5"/>
  <c r="P446" i="5"/>
  <c r="P87" i="5"/>
  <c r="P491" i="5"/>
  <c r="P245" i="5"/>
  <c r="P448" i="5"/>
  <c r="P447" i="5"/>
  <c r="P125" i="5"/>
  <c r="P205" i="5"/>
  <c r="P326" i="5"/>
  <c r="P164" i="5"/>
  <c r="P49" i="5"/>
  <c r="P403" i="5"/>
  <c r="P364" i="5"/>
  <c r="P284" i="5"/>
  <c r="P489" i="5"/>
  <c r="P404" i="5"/>
  <c r="P47" i="5"/>
  <c r="P490" i="5"/>
  <c r="P204" i="5"/>
  <c r="P203" i="5"/>
  <c r="P124" i="5"/>
  <c r="P10" i="5"/>
  <c r="P285" i="5"/>
  <c r="P405" i="5"/>
  <c r="P11" i="5"/>
  <c r="P12" i="5"/>
  <c r="P365" i="5"/>
  <c r="P89" i="5"/>
  <c r="P166" i="5"/>
  <c r="P366" i="5"/>
  <c r="P247" i="5"/>
  <c r="P88" i="5"/>
  <c r="O56" i="7"/>
  <c r="O57" i="7" s="1"/>
  <c r="Q1" i="7"/>
  <c r="P55" i="7"/>
  <c r="P84" i="7"/>
  <c r="P53" i="7"/>
  <c r="P23" i="7"/>
  <c r="P47" i="7"/>
  <c r="P78" i="7"/>
  <c r="P17" i="7"/>
  <c r="P54" i="7"/>
  <c r="P85" i="7"/>
  <c r="P24" i="7"/>
  <c r="N87" i="7"/>
  <c r="N89" i="7" s="1"/>
  <c r="O49" i="7"/>
  <c r="O50" i="7" s="1"/>
  <c r="O86" i="7"/>
  <c r="O87" i="7" s="1"/>
  <c r="N60" i="7"/>
  <c r="O25" i="7"/>
  <c r="O19" i="7"/>
  <c r="O20" i="7" s="1"/>
  <c r="O80" i="7"/>
  <c r="O81" i="7" s="1"/>
  <c r="Q324" i="5"/>
  <c r="O289" i="5"/>
  <c r="X72" i="5"/>
  <c r="X73" i="5" s="1"/>
  <c r="W72" i="5"/>
  <c r="W73" i="5" s="1"/>
  <c r="V72" i="5"/>
  <c r="V73" i="5" s="1"/>
  <c r="U72" i="5"/>
  <c r="U73" i="5" s="1"/>
  <c r="T72" i="5"/>
  <c r="T73" i="5" s="1"/>
  <c r="S72" i="5"/>
  <c r="S73" i="5" s="1"/>
  <c r="R72" i="5"/>
  <c r="R73" i="5" s="1"/>
  <c r="Q72" i="5"/>
  <c r="Q73" i="5" s="1"/>
  <c r="P72" i="5"/>
  <c r="P73" i="5" s="1"/>
  <c r="O73" i="5"/>
  <c r="Q516" i="5"/>
  <c r="P516" i="5"/>
  <c r="R516" i="5"/>
  <c r="X516" i="5"/>
  <c r="W516" i="5"/>
  <c r="V516" i="5"/>
  <c r="U516" i="5"/>
  <c r="T516" i="5"/>
  <c r="S516" i="5"/>
  <c r="Q507" i="5"/>
  <c r="R507" i="5"/>
  <c r="S507" i="5"/>
  <c r="T507" i="5"/>
  <c r="O516" i="5"/>
  <c r="U507" i="5"/>
  <c r="V507" i="5"/>
  <c r="W507" i="5"/>
  <c r="X507" i="5"/>
  <c r="O507" i="5"/>
  <c r="P507" i="5"/>
  <c r="O515" i="5"/>
  <c r="N509" i="5"/>
  <c r="O208" i="5"/>
  <c r="X230" i="5"/>
  <c r="X231" i="5" s="1"/>
  <c r="W230" i="5"/>
  <c r="W231" i="5" s="1"/>
  <c r="V230" i="5"/>
  <c r="V231" i="5" s="1"/>
  <c r="U230" i="5"/>
  <c r="U231" i="5" s="1"/>
  <c r="O230" i="5"/>
  <c r="O231" i="5" s="1"/>
  <c r="T230" i="5"/>
  <c r="T231" i="5" s="1"/>
  <c r="S230" i="5"/>
  <c r="S231" i="5" s="1"/>
  <c r="R230" i="5"/>
  <c r="R231" i="5" s="1"/>
  <c r="Q230" i="5"/>
  <c r="Q231" i="5" s="1"/>
  <c r="P230" i="5"/>
  <c r="P231" i="5" s="1"/>
  <c r="S221" i="5"/>
  <c r="U221" i="5"/>
  <c r="V221" i="5"/>
  <c r="P221" i="5"/>
  <c r="X221" i="5"/>
  <c r="Q221" i="5"/>
  <c r="T221" i="5"/>
  <c r="W221" i="5"/>
  <c r="O221" i="5"/>
  <c r="R221" i="5"/>
  <c r="O229" i="5"/>
  <c r="V149" i="5"/>
  <c r="V150" i="5" s="1"/>
  <c r="U149" i="5"/>
  <c r="U150" i="5" s="1"/>
  <c r="T149" i="5"/>
  <c r="T150" i="5" s="1"/>
  <c r="S149" i="5"/>
  <c r="S150" i="5" s="1"/>
  <c r="R149" i="5"/>
  <c r="R150" i="5" s="1"/>
  <c r="Q149" i="5"/>
  <c r="Q150" i="5" s="1"/>
  <c r="P149" i="5"/>
  <c r="P150" i="5" s="1"/>
  <c r="O149" i="5"/>
  <c r="O150" i="5" s="1"/>
  <c r="W149" i="5"/>
  <c r="W150" i="5" s="1"/>
  <c r="X149" i="5"/>
  <c r="X150" i="5" s="1"/>
  <c r="O141" i="5"/>
  <c r="V141" i="5"/>
  <c r="W141" i="5"/>
  <c r="X141" i="5"/>
  <c r="P141" i="5"/>
  <c r="Q141" i="5"/>
  <c r="R141" i="5"/>
  <c r="S141" i="5"/>
  <c r="T141" i="5"/>
  <c r="U141" i="5"/>
  <c r="O430" i="5"/>
  <c r="O431" i="5" s="1"/>
  <c r="X430" i="5"/>
  <c r="X431" i="5" s="1"/>
  <c r="W430" i="5"/>
  <c r="W431" i="5" s="1"/>
  <c r="V430" i="5"/>
  <c r="V431" i="5" s="1"/>
  <c r="U430" i="5"/>
  <c r="U431" i="5" s="1"/>
  <c r="T430" i="5"/>
  <c r="T431" i="5" s="1"/>
  <c r="S430" i="5"/>
  <c r="S431" i="5" s="1"/>
  <c r="R430" i="5"/>
  <c r="R431" i="5" s="1"/>
  <c r="Q430" i="5"/>
  <c r="Q431" i="5" s="1"/>
  <c r="P430" i="5"/>
  <c r="P431" i="5" s="1"/>
  <c r="P421" i="5"/>
  <c r="Q421" i="5"/>
  <c r="R421" i="5"/>
  <c r="S421" i="5"/>
  <c r="T421" i="5"/>
  <c r="U421" i="5"/>
  <c r="V421" i="5"/>
  <c r="X421" i="5"/>
  <c r="W421" i="5"/>
  <c r="O429" i="5"/>
  <c r="N423" i="5"/>
  <c r="P473" i="5"/>
  <c r="P474" i="5" s="1"/>
  <c r="X473" i="5"/>
  <c r="X474" i="5" s="1"/>
  <c r="W473" i="5"/>
  <c r="W474" i="5" s="1"/>
  <c r="V473" i="5"/>
  <c r="V474" i="5" s="1"/>
  <c r="U473" i="5"/>
  <c r="U474" i="5" s="1"/>
  <c r="T473" i="5"/>
  <c r="T474" i="5" s="1"/>
  <c r="S473" i="5"/>
  <c r="S474" i="5" s="1"/>
  <c r="R473" i="5"/>
  <c r="R474" i="5" s="1"/>
  <c r="Q473" i="5"/>
  <c r="Q474" i="5" s="1"/>
  <c r="O464" i="5"/>
  <c r="P464" i="5"/>
  <c r="Q464" i="5"/>
  <c r="R464" i="5"/>
  <c r="S464" i="5"/>
  <c r="T464" i="5"/>
  <c r="O473" i="5"/>
  <c r="O474" i="5" s="1"/>
  <c r="U464" i="5"/>
  <c r="V464" i="5"/>
  <c r="W464" i="5"/>
  <c r="X464" i="5"/>
  <c r="O472" i="5"/>
  <c r="N466" i="5"/>
  <c r="O494" i="5"/>
  <c r="R311" i="5"/>
  <c r="R312" i="5" s="1"/>
  <c r="P302" i="5"/>
  <c r="S311" i="5"/>
  <c r="S312" i="5" s="1"/>
  <c r="Q302" i="5"/>
  <c r="T311" i="5"/>
  <c r="T312" i="5" s="1"/>
  <c r="U311" i="5"/>
  <c r="U312" i="5" s="1"/>
  <c r="S302" i="5"/>
  <c r="V311" i="5"/>
  <c r="V312" i="5" s="1"/>
  <c r="T302" i="5"/>
  <c r="W311" i="5"/>
  <c r="W312" i="5" s="1"/>
  <c r="U302" i="5"/>
  <c r="X311" i="5"/>
  <c r="X312" i="5" s="1"/>
  <c r="V302" i="5"/>
  <c r="W302" i="5"/>
  <c r="R302" i="5"/>
  <c r="P311" i="5"/>
  <c r="P312" i="5" s="1"/>
  <c r="X302" i="5"/>
  <c r="Q311" i="5"/>
  <c r="Q312" i="5" s="1"/>
  <c r="O311" i="5"/>
  <c r="O312" i="5" s="1"/>
  <c r="O302" i="5"/>
  <c r="O310" i="5"/>
  <c r="N304" i="5"/>
  <c r="O408" i="5"/>
  <c r="O451" i="5"/>
  <c r="O249" i="5"/>
  <c r="Q64" i="5"/>
  <c r="S64" i="5"/>
  <c r="P64" i="5"/>
  <c r="T64" i="5"/>
  <c r="U64" i="5"/>
  <c r="V64" i="5"/>
  <c r="X64" i="5"/>
  <c r="R64" i="5"/>
  <c r="W64" i="5"/>
  <c r="O368" i="5"/>
  <c r="O330" i="5"/>
  <c r="O168" i="5"/>
  <c r="Q1" i="5"/>
  <c r="Q365" i="5" s="1"/>
  <c r="R241" i="5"/>
  <c r="Q243" i="5"/>
  <c r="R322" i="5"/>
  <c r="R360" i="5"/>
  <c r="Q362" i="5"/>
  <c r="R160" i="5"/>
  <c r="Q162" i="5"/>
  <c r="R83" i="5"/>
  <c r="Q85" i="5"/>
  <c r="Q386" i="5"/>
  <c r="Q367" i="5"/>
  <c r="P329" i="5"/>
  <c r="P348" i="5"/>
  <c r="S323" i="5"/>
  <c r="Q267" i="5"/>
  <c r="Q248" i="5"/>
  <c r="Q167" i="5"/>
  <c r="Q186" i="5"/>
  <c r="H378" i="5" l="1"/>
  <c r="G375" i="5"/>
  <c r="G337" i="5"/>
  <c r="H340" i="5"/>
  <c r="G256" i="5"/>
  <c r="H259" i="5"/>
  <c r="G175" i="5"/>
  <c r="H178" i="5"/>
  <c r="H100" i="5"/>
  <c r="G97" i="5"/>
  <c r="O300" i="5"/>
  <c r="O303" i="5" s="1"/>
  <c r="O462" i="5"/>
  <c r="M143" i="5"/>
  <c r="O419" i="5"/>
  <c r="L66" i="5"/>
  <c r="T517" i="5"/>
  <c r="O211" i="5"/>
  <c r="U517" i="5"/>
  <c r="N498" i="5"/>
  <c r="K417" i="5"/>
  <c r="L459" i="5"/>
  <c r="M414" i="5"/>
  <c r="O251" i="5"/>
  <c r="O505" i="5"/>
  <c r="V517" i="5"/>
  <c r="O292" i="5"/>
  <c r="W517" i="5"/>
  <c r="M500" i="5"/>
  <c r="O170" i="5"/>
  <c r="O411" i="5"/>
  <c r="X517" i="5"/>
  <c r="O92" i="5"/>
  <c r="O332" i="5"/>
  <c r="R517" i="5"/>
  <c r="O131" i="5"/>
  <c r="L416" i="5"/>
  <c r="K298" i="5"/>
  <c r="O370" i="5"/>
  <c r="P517" i="5"/>
  <c r="O54" i="5"/>
  <c r="O454" i="5"/>
  <c r="Q517" i="5"/>
  <c r="L297" i="5"/>
  <c r="L59" i="5"/>
  <c r="M134" i="5"/>
  <c r="L502" i="5"/>
  <c r="K137" i="5"/>
  <c r="K460" i="5"/>
  <c r="O517" i="5"/>
  <c r="S161" i="5"/>
  <c r="S84" i="5"/>
  <c r="M457" i="5"/>
  <c r="L136" i="5"/>
  <c r="N293" i="5"/>
  <c r="M295" i="5"/>
  <c r="K60" i="5"/>
  <c r="O497" i="5"/>
  <c r="S242" i="5"/>
  <c r="S361" i="5"/>
  <c r="S517" i="5"/>
  <c r="N455" i="5"/>
  <c r="N412" i="5"/>
  <c r="K503" i="5"/>
  <c r="U23" i="5"/>
  <c r="M18" i="5"/>
  <c r="K21" i="5"/>
  <c r="O15" i="5"/>
  <c r="L20" i="5"/>
  <c r="N16" i="5"/>
  <c r="P51" i="5"/>
  <c r="P90" i="5"/>
  <c r="P13" i="5"/>
  <c r="P128" i="5"/>
  <c r="Q366" i="5"/>
  <c r="P56" i="7"/>
  <c r="P57" i="7" s="1"/>
  <c r="P58" i="7" s="1"/>
  <c r="Q327" i="5"/>
  <c r="Q328" i="5"/>
  <c r="Q247" i="5"/>
  <c r="Q50" i="5"/>
  <c r="Q206" i="5"/>
  <c r="Q406" i="5"/>
  <c r="Q492" i="5"/>
  <c r="Q287" i="5"/>
  <c r="Q449" i="5"/>
  <c r="Q127" i="5"/>
  <c r="Q404" i="5"/>
  <c r="Q124" i="5"/>
  <c r="Q47" i="5"/>
  <c r="Q364" i="5"/>
  <c r="Q87" i="5"/>
  <c r="Q10" i="5"/>
  <c r="Q446" i="5"/>
  <c r="Q125" i="5"/>
  <c r="Q204" i="5"/>
  <c r="Q49" i="5"/>
  <c r="Q448" i="5"/>
  <c r="Q490" i="5"/>
  <c r="Q405" i="5"/>
  <c r="Q286" i="5"/>
  <c r="Q245" i="5"/>
  <c r="Q164" i="5"/>
  <c r="Q285" i="5"/>
  <c r="Q48" i="5"/>
  <c r="Q205" i="5"/>
  <c r="Q326" i="5"/>
  <c r="Q203" i="5"/>
  <c r="Q491" i="5"/>
  <c r="Q284" i="5"/>
  <c r="Q489" i="5"/>
  <c r="Q126" i="5"/>
  <c r="Q447" i="5"/>
  <c r="Q403" i="5"/>
  <c r="Q11" i="5"/>
  <c r="Q12" i="5"/>
  <c r="Q165" i="5"/>
  <c r="Q88" i="5"/>
  <c r="Q246" i="5"/>
  <c r="Q89" i="5"/>
  <c r="Q166" i="5"/>
  <c r="P25" i="7"/>
  <c r="P26" i="7" s="1"/>
  <c r="P19" i="7"/>
  <c r="P20" i="7" s="1"/>
  <c r="P80" i="7"/>
  <c r="P81" i="7" s="1"/>
  <c r="O26" i="7"/>
  <c r="P49" i="7"/>
  <c r="P50" i="7" s="1"/>
  <c r="P86" i="7"/>
  <c r="P87" i="7" s="1"/>
  <c r="O89" i="7"/>
  <c r="R1" i="7"/>
  <c r="Q55" i="7"/>
  <c r="Q23" i="7"/>
  <c r="Q53" i="7"/>
  <c r="Q84" i="7"/>
  <c r="Q17" i="7"/>
  <c r="Q78" i="7"/>
  <c r="Q47" i="7"/>
  <c r="Q85" i="7"/>
  <c r="Q24" i="7"/>
  <c r="Q54" i="7"/>
  <c r="O58" i="7"/>
  <c r="O60" i="7" s="1"/>
  <c r="R324" i="5"/>
  <c r="D232" i="5"/>
  <c r="O465" i="5"/>
  <c r="X308" i="5"/>
  <c r="X309" i="5" s="1"/>
  <c r="S308" i="5"/>
  <c r="S309" i="5" s="1"/>
  <c r="T308" i="5"/>
  <c r="T309" i="5" s="1"/>
  <c r="U308" i="5"/>
  <c r="U309" i="5" s="1"/>
  <c r="V308" i="5"/>
  <c r="V309" i="5" s="1"/>
  <c r="W308" i="5"/>
  <c r="W309" i="5" s="1"/>
  <c r="R308" i="5"/>
  <c r="R309" i="5" s="1"/>
  <c r="Q308" i="5"/>
  <c r="Q309" i="5" s="1"/>
  <c r="P308" i="5"/>
  <c r="P309" i="5" s="1"/>
  <c r="O308" i="5"/>
  <c r="O309" i="5" s="1"/>
  <c r="U427" i="5"/>
  <c r="U428" i="5" s="1"/>
  <c r="X427" i="5"/>
  <c r="X428" i="5" s="1"/>
  <c r="T427" i="5"/>
  <c r="T428" i="5" s="1"/>
  <c r="W427" i="5"/>
  <c r="W428" i="5" s="1"/>
  <c r="S427" i="5"/>
  <c r="S428" i="5" s="1"/>
  <c r="R427" i="5"/>
  <c r="R428" i="5" s="1"/>
  <c r="V427" i="5"/>
  <c r="V428" i="5" s="1"/>
  <c r="O427" i="5"/>
  <c r="O428" i="5" s="1"/>
  <c r="Q427" i="5"/>
  <c r="Q428" i="5" s="1"/>
  <c r="P427" i="5"/>
  <c r="P428" i="5" s="1"/>
  <c r="P470" i="5"/>
  <c r="P471" i="5" s="1"/>
  <c r="W470" i="5"/>
  <c r="W471" i="5" s="1"/>
  <c r="V470" i="5"/>
  <c r="V471" i="5" s="1"/>
  <c r="X470" i="5"/>
  <c r="X471" i="5" s="1"/>
  <c r="R470" i="5"/>
  <c r="R471" i="5" s="1"/>
  <c r="U470" i="5"/>
  <c r="U471" i="5" s="1"/>
  <c r="T470" i="5"/>
  <c r="T471" i="5" s="1"/>
  <c r="O470" i="5"/>
  <c r="O471" i="5" s="1"/>
  <c r="Q470" i="5"/>
  <c r="Q471" i="5" s="1"/>
  <c r="S470" i="5"/>
  <c r="S471" i="5" s="1"/>
  <c r="X147" i="5"/>
  <c r="X148" i="5" s="1"/>
  <c r="U147" i="5"/>
  <c r="U148" i="5" s="1"/>
  <c r="S147" i="5"/>
  <c r="S148" i="5" s="1"/>
  <c r="T147" i="5"/>
  <c r="T148" i="5" s="1"/>
  <c r="W147" i="5"/>
  <c r="W148" i="5" s="1"/>
  <c r="R147" i="5"/>
  <c r="R148" i="5" s="1"/>
  <c r="Q147" i="5"/>
  <c r="Q148" i="5" s="1"/>
  <c r="P147" i="5"/>
  <c r="P148" i="5" s="1"/>
  <c r="O147" i="5"/>
  <c r="O148" i="5" s="1"/>
  <c r="V147" i="5"/>
  <c r="V148" i="5" s="1"/>
  <c r="Q227" i="5"/>
  <c r="Q228" i="5" s="1"/>
  <c r="R227" i="5"/>
  <c r="R228" i="5" s="1"/>
  <c r="V227" i="5"/>
  <c r="V228" i="5" s="1"/>
  <c r="S227" i="5"/>
  <c r="S228" i="5" s="1"/>
  <c r="X227" i="5"/>
  <c r="X228" i="5" s="1"/>
  <c r="P227" i="5"/>
  <c r="P228" i="5" s="1"/>
  <c r="O227" i="5"/>
  <c r="O228" i="5" s="1"/>
  <c r="T227" i="5"/>
  <c r="T228" i="5" s="1"/>
  <c r="U227" i="5"/>
  <c r="U228" i="5" s="1"/>
  <c r="W227" i="5"/>
  <c r="W228" i="5" s="1"/>
  <c r="P310" i="5"/>
  <c r="P288" i="5"/>
  <c r="P289" i="5" s="1"/>
  <c r="P472" i="5"/>
  <c r="P450" i="5"/>
  <c r="P451" i="5" s="1"/>
  <c r="P429" i="5"/>
  <c r="P407" i="5"/>
  <c r="P408" i="5" s="1"/>
  <c r="P229" i="5"/>
  <c r="P207" i="5"/>
  <c r="P208" i="5" s="1"/>
  <c r="T513" i="5"/>
  <c r="T514" i="5" s="1"/>
  <c r="S513" i="5"/>
  <c r="S514" i="5" s="1"/>
  <c r="R513" i="5"/>
  <c r="R514" i="5" s="1"/>
  <c r="V513" i="5"/>
  <c r="V514" i="5" s="1"/>
  <c r="P513" i="5"/>
  <c r="P514" i="5" s="1"/>
  <c r="O513" i="5"/>
  <c r="O514" i="5" s="1"/>
  <c r="Q513" i="5"/>
  <c r="Q514" i="5" s="1"/>
  <c r="U513" i="5"/>
  <c r="U514" i="5" s="1"/>
  <c r="X513" i="5"/>
  <c r="X514" i="5" s="1"/>
  <c r="W513" i="5"/>
  <c r="W514" i="5" s="1"/>
  <c r="P515" i="5"/>
  <c r="P493" i="5"/>
  <c r="T70" i="5"/>
  <c r="W70" i="5"/>
  <c r="S70" i="5"/>
  <c r="R70" i="5"/>
  <c r="V70" i="5"/>
  <c r="X70" i="5"/>
  <c r="O70" i="5"/>
  <c r="U70" i="5"/>
  <c r="P70" i="5"/>
  <c r="Q70" i="5"/>
  <c r="P330" i="5"/>
  <c r="P249" i="5"/>
  <c r="P168" i="5"/>
  <c r="P368" i="5"/>
  <c r="R1" i="5"/>
  <c r="R246" i="5" s="1"/>
  <c r="S322" i="5"/>
  <c r="S241" i="5"/>
  <c r="R243" i="5"/>
  <c r="S360" i="5"/>
  <c r="R362" i="5"/>
  <c r="S160" i="5"/>
  <c r="R162" i="5"/>
  <c r="S83" i="5"/>
  <c r="R85" i="5"/>
  <c r="R367" i="5"/>
  <c r="R386" i="5"/>
  <c r="T323" i="5"/>
  <c r="Q348" i="5"/>
  <c r="Q329" i="5"/>
  <c r="R267" i="5"/>
  <c r="R248" i="5"/>
  <c r="R167" i="5"/>
  <c r="R186" i="5"/>
  <c r="O455" i="5" l="1"/>
  <c r="O457" i="5" s="1"/>
  <c r="O293" i="5"/>
  <c r="O295" i="5" s="1"/>
  <c r="R71" i="5"/>
  <c r="S71" i="5"/>
  <c r="T71" i="5"/>
  <c r="Q71" i="5"/>
  <c r="P71" i="5"/>
  <c r="O71" i="5"/>
  <c r="X71" i="5"/>
  <c r="W71" i="5"/>
  <c r="U71" i="5"/>
  <c r="V71" i="5"/>
  <c r="O498" i="5"/>
  <c r="O500" i="5" s="1"/>
  <c r="O422" i="5"/>
  <c r="O423" i="5" s="1"/>
  <c r="G376" i="5"/>
  <c r="H371" i="5"/>
  <c r="H380" i="5"/>
  <c r="H342" i="5"/>
  <c r="H333" i="5"/>
  <c r="G338" i="5"/>
  <c r="H252" i="5"/>
  <c r="H261" i="5"/>
  <c r="G257" i="5"/>
  <c r="H171" i="5"/>
  <c r="H180" i="5"/>
  <c r="G176" i="5"/>
  <c r="G98" i="5"/>
  <c r="H93" i="5"/>
  <c r="H102" i="5"/>
  <c r="O304" i="5"/>
  <c r="O508" i="5"/>
  <c r="O509" i="5" s="1"/>
  <c r="N139" i="5"/>
  <c r="O466" i="5"/>
  <c r="M62" i="5"/>
  <c r="O412" i="5"/>
  <c r="T242" i="5"/>
  <c r="P332" i="5"/>
  <c r="P292" i="5"/>
  <c r="P131" i="5"/>
  <c r="L137" i="5"/>
  <c r="L417" i="5"/>
  <c r="M416" i="5"/>
  <c r="P92" i="5"/>
  <c r="P251" i="5"/>
  <c r="P54" i="5"/>
  <c r="N414" i="5"/>
  <c r="L460" i="5"/>
  <c r="M459" i="5"/>
  <c r="N457" i="5"/>
  <c r="M502" i="5"/>
  <c r="P170" i="5"/>
  <c r="L503" i="5"/>
  <c r="M297" i="5"/>
  <c r="T84" i="5"/>
  <c r="N500" i="5"/>
  <c r="M136" i="5"/>
  <c r="N295" i="5"/>
  <c r="T161" i="5"/>
  <c r="P211" i="5"/>
  <c r="L60" i="5"/>
  <c r="P411" i="5"/>
  <c r="T361" i="5"/>
  <c r="L298" i="5"/>
  <c r="P370" i="5"/>
  <c r="P494" i="5"/>
  <c r="P454" i="5"/>
  <c r="U25" i="5"/>
  <c r="N18" i="5"/>
  <c r="L21" i="5"/>
  <c r="P15" i="5"/>
  <c r="O16" i="5"/>
  <c r="M20" i="5"/>
  <c r="Q13" i="5"/>
  <c r="Q90" i="5"/>
  <c r="Q51" i="5"/>
  <c r="Q128" i="5"/>
  <c r="P28" i="7"/>
  <c r="R89" i="5"/>
  <c r="R88" i="5"/>
  <c r="R327" i="5"/>
  <c r="R365" i="5"/>
  <c r="R328" i="5"/>
  <c r="R366" i="5"/>
  <c r="R247" i="5"/>
  <c r="R166" i="5"/>
  <c r="R206" i="5"/>
  <c r="R406" i="5"/>
  <c r="R50" i="5"/>
  <c r="R492" i="5"/>
  <c r="R287" i="5"/>
  <c r="R127" i="5"/>
  <c r="R449" i="5"/>
  <c r="R286" i="5"/>
  <c r="R48" i="5"/>
  <c r="R403" i="5"/>
  <c r="R285" i="5"/>
  <c r="R404" i="5"/>
  <c r="R126" i="5"/>
  <c r="R87" i="5"/>
  <c r="R205" i="5"/>
  <c r="R491" i="5"/>
  <c r="R326" i="5"/>
  <c r="R49" i="5"/>
  <c r="R164" i="5"/>
  <c r="R204" i="5"/>
  <c r="R489" i="5"/>
  <c r="R448" i="5"/>
  <c r="R10" i="5"/>
  <c r="R245" i="5"/>
  <c r="R203" i="5"/>
  <c r="R124" i="5"/>
  <c r="R405" i="5"/>
  <c r="R47" i="5"/>
  <c r="R125" i="5"/>
  <c r="R284" i="5"/>
  <c r="R446" i="5"/>
  <c r="R447" i="5"/>
  <c r="R490" i="5"/>
  <c r="R364" i="5"/>
  <c r="R11" i="5"/>
  <c r="R12" i="5"/>
  <c r="R165" i="5"/>
  <c r="Q56" i="7"/>
  <c r="Q57" i="7" s="1"/>
  <c r="Q58" i="7" s="1"/>
  <c r="P60" i="7"/>
  <c r="Q49" i="7"/>
  <c r="Q50" i="7" s="1"/>
  <c r="Q80" i="7"/>
  <c r="Q81" i="7" s="1"/>
  <c r="Q19" i="7"/>
  <c r="Q20" i="7" s="1"/>
  <c r="Q86" i="7"/>
  <c r="Q87" i="7" s="1"/>
  <c r="P89" i="7"/>
  <c r="Q25" i="7"/>
  <c r="S1" i="7"/>
  <c r="R55" i="7"/>
  <c r="R53" i="7"/>
  <c r="R23" i="7"/>
  <c r="R84" i="7"/>
  <c r="R47" i="7"/>
  <c r="R78" i="7"/>
  <c r="R17" i="7"/>
  <c r="R54" i="7"/>
  <c r="R24" i="7"/>
  <c r="R85" i="7"/>
  <c r="O28" i="7"/>
  <c r="S324" i="5"/>
  <c r="D235" i="5"/>
  <c r="E232" i="5"/>
  <c r="D234" i="5"/>
  <c r="Q515" i="5"/>
  <c r="Q493" i="5"/>
  <c r="Q229" i="5"/>
  <c r="Q207" i="5"/>
  <c r="Q208" i="5" s="1"/>
  <c r="Q429" i="5"/>
  <c r="Q407" i="5"/>
  <c r="Q408" i="5" s="1"/>
  <c r="Q472" i="5"/>
  <c r="Q450" i="5"/>
  <c r="Q451" i="5" s="1"/>
  <c r="Q310" i="5"/>
  <c r="Q288" i="5"/>
  <c r="Q289" i="5" s="1"/>
  <c r="Q249" i="5"/>
  <c r="Q168" i="5"/>
  <c r="Q368" i="5"/>
  <c r="Q330" i="5"/>
  <c r="S1" i="5"/>
  <c r="S365" i="5" s="1"/>
  <c r="T241" i="5"/>
  <c r="S243" i="5"/>
  <c r="T322" i="5"/>
  <c r="T360" i="5"/>
  <c r="S362" i="5"/>
  <c r="T160" i="5"/>
  <c r="S162" i="5"/>
  <c r="T83" i="5"/>
  <c r="S85" i="5"/>
  <c r="S386" i="5"/>
  <c r="S367" i="5"/>
  <c r="R329" i="5"/>
  <c r="R348" i="5"/>
  <c r="U323" i="5"/>
  <c r="S267" i="5"/>
  <c r="S248" i="5"/>
  <c r="S186" i="5"/>
  <c r="S167" i="5"/>
  <c r="O414" i="5" l="1"/>
  <c r="O416" i="5" s="1"/>
  <c r="H381" i="5"/>
  <c r="H373" i="5"/>
  <c r="H335" i="5"/>
  <c r="H343" i="5"/>
  <c r="H262" i="5"/>
  <c r="H254" i="5"/>
  <c r="H181" i="5"/>
  <c r="H173" i="5"/>
  <c r="H103" i="5"/>
  <c r="H95" i="5"/>
  <c r="P462" i="5"/>
  <c r="N142" i="5"/>
  <c r="N132" i="5"/>
  <c r="P300" i="5"/>
  <c r="P419" i="5"/>
  <c r="P412" i="5" s="1"/>
  <c r="M65" i="5"/>
  <c r="M55" i="5"/>
  <c r="Q92" i="5"/>
  <c r="N416" i="5"/>
  <c r="U361" i="5"/>
  <c r="N297" i="5"/>
  <c r="M503" i="5"/>
  <c r="M137" i="5"/>
  <c r="Q251" i="5"/>
  <c r="N459" i="5"/>
  <c r="O459" i="5"/>
  <c r="Q211" i="5"/>
  <c r="P497" i="5"/>
  <c r="P505" i="5"/>
  <c r="N502" i="5"/>
  <c r="Q494" i="5"/>
  <c r="O297" i="5"/>
  <c r="U84" i="5"/>
  <c r="M460" i="5"/>
  <c r="Q454" i="5"/>
  <c r="Q411" i="5"/>
  <c r="O502" i="5"/>
  <c r="Q292" i="5"/>
  <c r="Q332" i="5"/>
  <c r="Q131" i="5"/>
  <c r="M298" i="5"/>
  <c r="M417" i="5"/>
  <c r="U242" i="5"/>
  <c r="Q170" i="5"/>
  <c r="Q370" i="5"/>
  <c r="Q54" i="5"/>
  <c r="U161" i="5"/>
  <c r="U26" i="5"/>
  <c r="Q15" i="5"/>
  <c r="M21" i="5"/>
  <c r="O18" i="5"/>
  <c r="P16" i="5"/>
  <c r="N20" i="5"/>
  <c r="L220" i="5"/>
  <c r="K220" i="5"/>
  <c r="J220" i="5"/>
  <c r="I220" i="5"/>
  <c r="X220" i="5"/>
  <c r="H220" i="5"/>
  <c r="W220" i="5"/>
  <c r="G220" i="5"/>
  <c r="V220" i="5"/>
  <c r="F220" i="5"/>
  <c r="U220" i="5"/>
  <c r="E220" i="5"/>
  <c r="T220" i="5"/>
  <c r="S220" i="5"/>
  <c r="R220" i="5"/>
  <c r="Q220" i="5"/>
  <c r="P220" i="5"/>
  <c r="O220" i="5"/>
  <c r="M220" i="5"/>
  <c r="N220" i="5"/>
  <c r="R90" i="5"/>
  <c r="R51" i="5"/>
  <c r="R128" i="5"/>
  <c r="R13" i="5"/>
  <c r="S327" i="5"/>
  <c r="S328" i="5"/>
  <c r="S246" i="5"/>
  <c r="S89" i="5"/>
  <c r="S50" i="5"/>
  <c r="S406" i="5"/>
  <c r="S206" i="5"/>
  <c r="S492" i="5"/>
  <c r="S449" i="5"/>
  <c r="S287" i="5"/>
  <c r="S127" i="5"/>
  <c r="S405" i="5"/>
  <c r="S10" i="5"/>
  <c r="S203" i="5"/>
  <c r="S326" i="5"/>
  <c r="S446" i="5"/>
  <c r="S124" i="5"/>
  <c r="S87" i="5"/>
  <c r="S245" i="5"/>
  <c r="S204" i="5"/>
  <c r="S448" i="5"/>
  <c r="S490" i="5"/>
  <c r="S286" i="5"/>
  <c r="S491" i="5"/>
  <c r="S49" i="5"/>
  <c r="S285" i="5"/>
  <c r="S403" i="5"/>
  <c r="S205" i="5"/>
  <c r="S126" i="5"/>
  <c r="S447" i="5"/>
  <c r="S164" i="5"/>
  <c r="S125" i="5"/>
  <c r="S404" i="5"/>
  <c r="S47" i="5"/>
  <c r="S489" i="5"/>
  <c r="S364" i="5"/>
  <c r="S48" i="5"/>
  <c r="S284" i="5"/>
  <c r="S11" i="5"/>
  <c r="S12" i="5"/>
  <c r="S165" i="5"/>
  <c r="S166" i="5"/>
  <c r="S366" i="5"/>
  <c r="S247" i="5"/>
  <c r="S88" i="5"/>
  <c r="R56" i="7"/>
  <c r="R57" i="7" s="1"/>
  <c r="R58" i="7" s="1"/>
  <c r="T1" i="7"/>
  <c r="S55" i="7"/>
  <c r="S53" i="7"/>
  <c r="S23" i="7"/>
  <c r="S84" i="7"/>
  <c r="S78" i="7"/>
  <c r="S17" i="7"/>
  <c r="S47" i="7"/>
  <c r="S85" i="7"/>
  <c r="S24" i="7"/>
  <c r="S54" i="7"/>
  <c r="R80" i="7"/>
  <c r="R81" i="7" s="1"/>
  <c r="R49" i="7"/>
  <c r="R50" i="7" s="1"/>
  <c r="Q89" i="7"/>
  <c r="R86" i="7"/>
  <c r="R87" i="7" s="1"/>
  <c r="R25" i="7"/>
  <c r="R26" i="7" s="1"/>
  <c r="Q60" i="7"/>
  <c r="Q26" i="7"/>
  <c r="Q28" i="7" s="1"/>
  <c r="R19" i="7"/>
  <c r="R20" i="7" s="1"/>
  <c r="D237" i="5"/>
  <c r="D223" i="5"/>
  <c r="E234" i="5"/>
  <c r="E235" i="5"/>
  <c r="D217" i="5"/>
  <c r="R429" i="5"/>
  <c r="R407" i="5"/>
  <c r="R408" i="5" s="1"/>
  <c r="R310" i="5"/>
  <c r="R288" i="5"/>
  <c r="R289" i="5" s="1"/>
  <c r="R229" i="5"/>
  <c r="R207" i="5"/>
  <c r="R208" i="5" s="1"/>
  <c r="R472" i="5"/>
  <c r="R450" i="5"/>
  <c r="R451" i="5" s="1"/>
  <c r="R515" i="5"/>
  <c r="R493" i="5"/>
  <c r="R368" i="5"/>
  <c r="R249" i="5"/>
  <c r="R168" i="5"/>
  <c r="R330" i="5"/>
  <c r="T1" i="5"/>
  <c r="T365" i="5" s="1"/>
  <c r="U322" i="5"/>
  <c r="T324" i="5"/>
  <c r="U241" i="5"/>
  <c r="T243" i="5"/>
  <c r="U360" i="5"/>
  <c r="T362" i="5"/>
  <c r="U160" i="5"/>
  <c r="T162" i="5"/>
  <c r="U83" i="5"/>
  <c r="T85" i="5"/>
  <c r="T386" i="5"/>
  <c r="T367" i="5"/>
  <c r="V323" i="5"/>
  <c r="S348" i="5"/>
  <c r="S329" i="5"/>
  <c r="T248" i="5"/>
  <c r="T267" i="5"/>
  <c r="T186" i="5"/>
  <c r="T167" i="5"/>
  <c r="H375" i="5" l="1"/>
  <c r="I378" i="5"/>
  <c r="I340" i="5"/>
  <c r="H337" i="5"/>
  <c r="H256" i="5"/>
  <c r="I259" i="5"/>
  <c r="H175" i="5"/>
  <c r="I178" i="5"/>
  <c r="H97" i="5"/>
  <c r="I100" i="5"/>
  <c r="P422" i="5"/>
  <c r="P303" i="5"/>
  <c r="P293" i="5"/>
  <c r="N134" i="5"/>
  <c r="N143" i="5"/>
  <c r="P465" i="5"/>
  <c r="P455" i="5"/>
  <c r="M57" i="5"/>
  <c r="M66" i="5"/>
  <c r="V242" i="5"/>
  <c r="R131" i="5"/>
  <c r="V84" i="5"/>
  <c r="R454" i="5"/>
  <c r="R54" i="5"/>
  <c r="V161" i="5"/>
  <c r="R211" i="5"/>
  <c r="R92" i="5"/>
  <c r="P414" i="5"/>
  <c r="R494" i="5"/>
  <c r="O298" i="5"/>
  <c r="O417" i="5"/>
  <c r="Q497" i="5"/>
  <c r="N298" i="5"/>
  <c r="R411" i="5"/>
  <c r="O503" i="5"/>
  <c r="V361" i="5"/>
  <c r="N503" i="5"/>
  <c r="O460" i="5"/>
  <c r="R370" i="5"/>
  <c r="P508" i="5"/>
  <c r="N417" i="5"/>
  <c r="N460" i="5"/>
  <c r="R170" i="5"/>
  <c r="P498" i="5"/>
  <c r="R292" i="5"/>
  <c r="R332" i="5"/>
  <c r="R251" i="5"/>
  <c r="V23" i="5"/>
  <c r="N21" i="5"/>
  <c r="P18" i="5"/>
  <c r="O20" i="5"/>
  <c r="R15" i="5"/>
  <c r="Q16" i="5"/>
  <c r="E219" i="5"/>
  <c r="S13" i="5"/>
  <c r="S51" i="5"/>
  <c r="S90" i="5"/>
  <c r="S128" i="5"/>
  <c r="T328" i="5"/>
  <c r="R28" i="7"/>
  <c r="S56" i="7"/>
  <c r="S57" i="7" s="1"/>
  <c r="S58" i="7" s="1"/>
  <c r="T89" i="5"/>
  <c r="T166" i="5"/>
  <c r="T327" i="5"/>
  <c r="T492" i="5"/>
  <c r="T406" i="5"/>
  <c r="T206" i="5"/>
  <c r="T50" i="5"/>
  <c r="T287" i="5"/>
  <c r="T449" i="5"/>
  <c r="T127" i="5"/>
  <c r="T205" i="5"/>
  <c r="T204" i="5"/>
  <c r="T404" i="5"/>
  <c r="T285" i="5"/>
  <c r="T490" i="5"/>
  <c r="T284" i="5"/>
  <c r="T489" i="5"/>
  <c r="T491" i="5"/>
  <c r="T164" i="5"/>
  <c r="T126" i="5"/>
  <c r="T405" i="5"/>
  <c r="T446" i="5"/>
  <c r="T124" i="5"/>
  <c r="T125" i="5"/>
  <c r="T49" i="5"/>
  <c r="T47" i="5"/>
  <c r="T326" i="5"/>
  <c r="T286" i="5"/>
  <c r="T48" i="5"/>
  <c r="T448" i="5"/>
  <c r="T245" i="5"/>
  <c r="T447" i="5"/>
  <c r="T87" i="5"/>
  <c r="T203" i="5"/>
  <c r="T364" i="5"/>
  <c r="T403" i="5"/>
  <c r="T10" i="5"/>
  <c r="T11" i="5"/>
  <c r="T12" i="5"/>
  <c r="T165" i="5"/>
  <c r="T366" i="5"/>
  <c r="T88" i="5"/>
  <c r="T246" i="5"/>
  <c r="T247" i="5"/>
  <c r="R60" i="7"/>
  <c r="R89" i="7"/>
  <c r="S49" i="7"/>
  <c r="S50" i="7" s="1"/>
  <c r="S19" i="7"/>
  <c r="S20" i="7" s="1"/>
  <c r="S80" i="7"/>
  <c r="S81" i="7" s="1"/>
  <c r="S86" i="7"/>
  <c r="S87" i="7" s="1"/>
  <c r="S25" i="7"/>
  <c r="S26" i="7" s="1"/>
  <c r="U1" i="7"/>
  <c r="T55" i="7"/>
  <c r="T23" i="7"/>
  <c r="T53" i="7"/>
  <c r="T84" i="7"/>
  <c r="T17" i="7"/>
  <c r="T47" i="7"/>
  <c r="T78" i="7"/>
  <c r="T85" i="7"/>
  <c r="T24" i="7"/>
  <c r="T54" i="7"/>
  <c r="U324" i="5"/>
  <c r="E222" i="5"/>
  <c r="S229" i="5"/>
  <c r="S207" i="5"/>
  <c r="S208" i="5" s="1"/>
  <c r="S310" i="5"/>
  <c r="S288" i="5"/>
  <c r="S289" i="5" s="1"/>
  <c r="S429" i="5"/>
  <c r="S407" i="5"/>
  <c r="S408" i="5" s="1"/>
  <c r="S515" i="5"/>
  <c r="S493" i="5"/>
  <c r="S472" i="5"/>
  <c r="S450" i="5"/>
  <c r="S451" i="5" s="1"/>
  <c r="S249" i="5"/>
  <c r="S368" i="5"/>
  <c r="S168" i="5"/>
  <c r="S330" i="5"/>
  <c r="U1" i="5"/>
  <c r="U165" i="5" s="1"/>
  <c r="V241" i="5"/>
  <c r="U243" i="5"/>
  <c r="V322" i="5"/>
  <c r="V360" i="5"/>
  <c r="U362" i="5"/>
  <c r="V160" i="5"/>
  <c r="U162" i="5"/>
  <c r="V83" i="5"/>
  <c r="U85" i="5"/>
  <c r="U386" i="5"/>
  <c r="U367" i="5"/>
  <c r="T348" i="5"/>
  <c r="T329" i="5"/>
  <c r="W323" i="5"/>
  <c r="U267" i="5"/>
  <c r="U248" i="5"/>
  <c r="U186" i="5"/>
  <c r="U167" i="5"/>
  <c r="I371" i="5" l="1"/>
  <c r="I380" i="5"/>
  <c r="H376" i="5"/>
  <c r="H338" i="5"/>
  <c r="I342" i="5"/>
  <c r="I333" i="5"/>
  <c r="I261" i="5"/>
  <c r="I252" i="5"/>
  <c r="H257" i="5"/>
  <c r="E212" i="5"/>
  <c r="E214" i="5" s="1"/>
  <c r="E223" i="5"/>
  <c r="I180" i="5"/>
  <c r="I171" i="5"/>
  <c r="H176" i="5"/>
  <c r="I93" i="5"/>
  <c r="I102" i="5"/>
  <c r="H98" i="5"/>
  <c r="P457" i="5"/>
  <c r="P466" i="5"/>
  <c r="O139" i="5"/>
  <c r="N136" i="5"/>
  <c r="P295" i="5"/>
  <c r="P304" i="5"/>
  <c r="P423" i="5"/>
  <c r="N62" i="5"/>
  <c r="M59" i="5"/>
  <c r="R497" i="5"/>
  <c r="W84" i="5"/>
  <c r="P416" i="5"/>
  <c r="S170" i="5"/>
  <c r="S131" i="5"/>
  <c r="S92" i="5"/>
  <c r="W361" i="5"/>
  <c r="S370" i="5"/>
  <c r="S251" i="5"/>
  <c r="S54" i="5"/>
  <c r="S211" i="5"/>
  <c r="S494" i="5"/>
  <c r="P500" i="5"/>
  <c r="W161" i="5"/>
  <c r="W242" i="5"/>
  <c r="P509" i="5"/>
  <c r="S332" i="5"/>
  <c r="S411" i="5"/>
  <c r="S454" i="5"/>
  <c r="S292" i="5"/>
  <c r="V25" i="5"/>
  <c r="Q18" i="5"/>
  <c r="R16" i="5"/>
  <c r="O21" i="5"/>
  <c r="P20" i="5"/>
  <c r="S15" i="5"/>
  <c r="T51" i="5"/>
  <c r="T128" i="5"/>
  <c r="T13" i="5"/>
  <c r="T90" i="5"/>
  <c r="U88" i="5"/>
  <c r="U89" i="5"/>
  <c r="U328" i="5"/>
  <c r="U366" i="5"/>
  <c r="U327" i="5"/>
  <c r="U166" i="5"/>
  <c r="U365" i="5"/>
  <c r="U246" i="5"/>
  <c r="U247" i="5"/>
  <c r="U406" i="5"/>
  <c r="U492" i="5"/>
  <c r="U206" i="5"/>
  <c r="U50" i="5"/>
  <c r="U287" i="5"/>
  <c r="U449" i="5"/>
  <c r="U127" i="5"/>
  <c r="U47" i="5"/>
  <c r="U364" i="5"/>
  <c r="U10" i="5"/>
  <c r="U203" i="5"/>
  <c r="U405" i="5"/>
  <c r="U446" i="5"/>
  <c r="U447" i="5"/>
  <c r="U204" i="5"/>
  <c r="U205" i="5"/>
  <c r="U286" i="5"/>
  <c r="U403" i="5"/>
  <c r="U126" i="5"/>
  <c r="U124" i="5"/>
  <c r="U491" i="5"/>
  <c r="U285" i="5"/>
  <c r="U284" i="5"/>
  <c r="U87" i="5"/>
  <c r="U448" i="5"/>
  <c r="U404" i="5"/>
  <c r="U490" i="5"/>
  <c r="U125" i="5"/>
  <c r="U49" i="5"/>
  <c r="U489" i="5"/>
  <c r="U326" i="5"/>
  <c r="U245" i="5"/>
  <c r="U48" i="5"/>
  <c r="U164" i="5"/>
  <c r="U11" i="5"/>
  <c r="U12" i="5"/>
  <c r="S60" i="7"/>
  <c r="T56" i="7"/>
  <c r="T57" i="7" s="1"/>
  <c r="T58" i="7" s="1"/>
  <c r="T49" i="7"/>
  <c r="T50" i="7" s="1"/>
  <c r="S89" i="7"/>
  <c r="T19" i="7"/>
  <c r="T20" i="7" s="1"/>
  <c r="S28" i="7"/>
  <c r="T86" i="7"/>
  <c r="T87" i="7" s="1"/>
  <c r="T25" i="7"/>
  <c r="T26" i="7" s="1"/>
  <c r="V1" i="7"/>
  <c r="U55" i="7"/>
  <c r="U84" i="7"/>
  <c r="U23" i="7"/>
  <c r="U53" i="7"/>
  <c r="U78" i="7"/>
  <c r="U17" i="7"/>
  <c r="U47" i="7"/>
  <c r="U54" i="7"/>
  <c r="U85" i="7"/>
  <c r="U24" i="7"/>
  <c r="T80" i="7"/>
  <c r="T81" i="7" s="1"/>
  <c r="V324" i="5"/>
  <c r="T429" i="5"/>
  <c r="T407" i="5"/>
  <c r="T408" i="5" s="1"/>
  <c r="T472" i="5"/>
  <c r="T450" i="5"/>
  <c r="T451" i="5" s="1"/>
  <c r="T310" i="5"/>
  <c r="T288" i="5"/>
  <c r="T289" i="5" s="1"/>
  <c r="T515" i="5"/>
  <c r="T493" i="5"/>
  <c r="T229" i="5"/>
  <c r="T207" i="5"/>
  <c r="T208" i="5" s="1"/>
  <c r="T368" i="5"/>
  <c r="T249" i="5"/>
  <c r="T330" i="5"/>
  <c r="T168" i="5"/>
  <c r="V1" i="5"/>
  <c r="W322" i="5"/>
  <c r="W241" i="5"/>
  <c r="V243" i="5"/>
  <c r="W360" i="5"/>
  <c r="V362" i="5"/>
  <c r="W160" i="5"/>
  <c r="V162" i="5"/>
  <c r="W83" i="5"/>
  <c r="V85" i="5"/>
  <c r="V386" i="5"/>
  <c r="V367" i="5"/>
  <c r="U348" i="5"/>
  <c r="U329" i="5"/>
  <c r="X323" i="5"/>
  <c r="V267" i="5"/>
  <c r="V248" i="5"/>
  <c r="V186" i="5"/>
  <c r="V167" i="5"/>
  <c r="F219" i="5" l="1"/>
  <c r="F212" i="5" s="1"/>
  <c r="F214" i="5" s="1"/>
  <c r="I381" i="5"/>
  <c r="I373" i="5"/>
  <c r="I335" i="5"/>
  <c r="I343" i="5"/>
  <c r="I254" i="5"/>
  <c r="I262" i="5"/>
  <c r="I173" i="5"/>
  <c r="I181" i="5"/>
  <c r="I103" i="5"/>
  <c r="I95" i="5"/>
  <c r="Q419" i="5"/>
  <c r="Q300" i="5"/>
  <c r="F222" i="5"/>
  <c r="P297" i="5"/>
  <c r="N137" i="5"/>
  <c r="O132" i="5"/>
  <c r="O142" i="5"/>
  <c r="Q462" i="5"/>
  <c r="P459" i="5"/>
  <c r="M60" i="5"/>
  <c r="N65" i="5"/>
  <c r="N55" i="5"/>
  <c r="T411" i="5"/>
  <c r="Q505" i="5"/>
  <c r="P417" i="5"/>
  <c r="X242" i="5"/>
  <c r="T370" i="5"/>
  <c r="T211" i="5"/>
  <c r="T92" i="5"/>
  <c r="X161" i="5"/>
  <c r="X361" i="5"/>
  <c r="X84" i="5"/>
  <c r="T170" i="5"/>
  <c r="T251" i="5"/>
  <c r="T494" i="5"/>
  <c r="T131" i="5"/>
  <c r="T332" i="5"/>
  <c r="T54" i="5"/>
  <c r="P502" i="5"/>
  <c r="E216" i="5"/>
  <c r="T292" i="5"/>
  <c r="S497" i="5"/>
  <c r="T454" i="5"/>
  <c r="V26" i="5"/>
  <c r="T15" i="5"/>
  <c r="S16" i="5"/>
  <c r="P21" i="5"/>
  <c r="R18" i="5"/>
  <c r="Q20" i="5"/>
  <c r="U128" i="5"/>
  <c r="U90" i="5"/>
  <c r="U13" i="5"/>
  <c r="U51" i="5"/>
  <c r="T89" i="7"/>
  <c r="U86" i="7"/>
  <c r="U87" i="7" s="1"/>
  <c r="V492" i="5"/>
  <c r="V50" i="5"/>
  <c r="V406" i="5"/>
  <c r="V206" i="5"/>
  <c r="V287" i="5"/>
  <c r="V449" i="5"/>
  <c r="V127" i="5"/>
  <c r="V87" i="5"/>
  <c r="V364" i="5"/>
  <c r="V204" i="5"/>
  <c r="V47" i="5"/>
  <c r="V49" i="5"/>
  <c r="V326" i="5"/>
  <c r="V125" i="5"/>
  <c r="V490" i="5"/>
  <c r="V205" i="5"/>
  <c r="V405" i="5"/>
  <c r="V126" i="5"/>
  <c r="V447" i="5"/>
  <c r="V446" i="5"/>
  <c r="V245" i="5"/>
  <c r="V403" i="5"/>
  <c r="V10" i="5"/>
  <c r="V48" i="5"/>
  <c r="V448" i="5"/>
  <c r="V284" i="5"/>
  <c r="V164" i="5"/>
  <c r="V489" i="5"/>
  <c r="V286" i="5"/>
  <c r="V285" i="5"/>
  <c r="V404" i="5"/>
  <c r="V203" i="5"/>
  <c r="V491" i="5"/>
  <c r="V124" i="5"/>
  <c r="V11" i="5"/>
  <c r="V12" i="5"/>
  <c r="V166" i="5"/>
  <c r="V89" i="5"/>
  <c r="V327" i="5"/>
  <c r="V328" i="5"/>
  <c r="V246" i="5"/>
  <c r="V247" i="5"/>
  <c r="V88" i="5"/>
  <c r="V365" i="5"/>
  <c r="V366" i="5"/>
  <c r="V165" i="5"/>
  <c r="W1" i="7"/>
  <c r="V55" i="7"/>
  <c r="V84" i="7"/>
  <c r="V23" i="7"/>
  <c r="V53" i="7"/>
  <c r="V17" i="7"/>
  <c r="V47" i="7"/>
  <c r="V78" i="7"/>
  <c r="V54" i="7"/>
  <c r="V24" i="7"/>
  <c r="V85" i="7"/>
  <c r="U56" i="7"/>
  <c r="U57" i="7" s="1"/>
  <c r="U58" i="7" s="1"/>
  <c r="U49" i="7"/>
  <c r="U50" i="7" s="1"/>
  <c r="U19" i="7"/>
  <c r="U20" i="7" s="1"/>
  <c r="T28" i="7"/>
  <c r="U80" i="7"/>
  <c r="U81" i="7" s="1"/>
  <c r="U25" i="7"/>
  <c r="U26" i="7" s="1"/>
  <c r="T60" i="7"/>
  <c r="W324" i="5"/>
  <c r="U310" i="5"/>
  <c r="U288" i="5"/>
  <c r="U289" i="5" s="1"/>
  <c r="U472" i="5"/>
  <c r="U450" i="5"/>
  <c r="U451" i="5" s="1"/>
  <c r="U229" i="5"/>
  <c r="U207" i="5"/>
  <c r="U208" i="5" s="1"/>
  <c r="U515" i="5"/>
  <c r="U493" i="5"/>
  <c r="U429" i="5"/>
  <c r="U407" i="5"/>
  <c r="U408" i="5" s="1"/>
  <c r="U249" i="5"/>
  <c r="U368" i="5"/>
  <c r="U330" i="5"/>
  <c r="U168" i="5"/>
  <c r="W1" i="5"/>
  <c r="W88" i="5" s="1"/>
  <c r="X322" i="5"/>
  <c r="X241" i="5"/>
  <c r="W243" i="5"/>
  <c r="X360" i="5"/>
  <c r="W362" i="5"/>
  <c r="X160" i="5"/>
  <c r="W162" i="5"/>
  <c r="X83" i="5"/>
  <c r="W85" i="5"/>
  <c r="W386" i="5"/>
  <c r="W367" i="5"/>
  <c r="V348" i="5"/>
  <c r="V329" i="5"/>
  <c r="W267" i="5"/>
  <c r="W248" i="5"/>
  <c r="W186" i="5"/>
  <c r="W167" i="5"/>
  <c r="I375" i="5" l="1"/>
  <c r="J378" i="5"/>
  <c r="J340" i="5"/>
  <c r="I337" i="5"/>
  <c r="J259" i="5"/>
  <c r="I256" i="5"/>
  <c r="J178" i="5"/>
  <c r="I175" i="5"/>
  <c r="I97" i="5"/>
  <c r="J100" i="5"/>
  <c r="Q465" i="5"/>
  <c r="Q455" i="5"/>
  <c r="O143" i="5"/>
  <c r="O134" i="5"/>
  <c r="P298" i="5"/>
  <c r="F223" i="5"/>
  <c r="Q303" i="5"/>
  <c r="Q293" i="5"/>
  <c r="P460" i="5"/>
  <c r="Q422" i="5"/>
  <c r="Q412" i="5"/>
  <c r="N57" i="5"/>
  <c r="N66" i="5"/>
  <c r="U454" i="5"/>
  <c r="T497" i="5"/>
  <c r="E217" i="5"/>
  <c r="P503" i="5"/>
  <c r="U292" i="5"/>
  <c r="U251" i="5"/>
  <c r="U170" i="5"/>
  <c r="U411" i="5"/>
  <c r="U54" i="5"/>
  <c r="U92" i="5"/>
  <c r="F216" i="5"/>
  <c r="U332" i="5"/>
  <c r="U370" i="5"/>
  <c r="U494" i="5"/>
  <c r="U131" i="5"/>
  <c r="U211" i="5"/>
  <c r="Q508" i="5"/>
  <c r="Q498" i="5"/>
  <c r="W23" i="5"/>
  <c r="U15" i="5"/>
  <c r="Q21" i="5"/>
  <c r="R20" i="5"/>
  <c r="S18" i="5"/>
  <c r="T16" i="5"/>
  <c r="U89" i="7"/>
  <c r="W247" i="5"/>
  <c r="W365" i="5"/>
  <c r="W327" i="5"/>
  <c r="W328" i="5"/>
  <c r="W89" i="5"/>
  <c r="W166" i="5"/>
  <c r="W366" i="5"/>
  <c r="V51" i="5"/>
  <c r="V90" i="5"/>
  <c r="V13" i="5"/>
  <c r="V128" i="5"/>
  <c r="V56" i="7"/>
  <c r="V57" i="7" s="1"/>
  <c r="V58" i="7" s="1"/>
  <c r="W246" i="5"/>
  <c r="W165" i="5"/>
  <c r="W50" i="5"/>
  <c r="W406" i="5"/>
  <c r="W206" i="5"/>
  <c r="W492" i="5"/>
  <c r="W449" i="5"/>
  <c r="W287" i="5"/>
  <c r="W127" i="5"/>
  <c r="W48" i="5"/>
  <c r="W286" i="5"/>
  <c r="W49" i="5"/>
  <c r="W285" i="5"/>
  <c r="W205" i="5"/>
  <c r="W326" i="5"/>
  <c r="W10" i="5"/>
  <c r="W364" i="5"/>
  <c r="W491" i="5"/>
  <c r="W490" i="5"/>
  <c r="W403" i="5"/>
  <c r="W125" i="5"/>
  <c r="W284" i="5"/>
  <c r="W404" i="5"/>
  <c r="W446" i="5"/>
  <c r="W245" i="5"/>
  <c r="W405" i="5"/>
  <c r="W448" i="5"/>
  <c r="W126" i="5"/>
  <c r="W124" i="5"/>
  <c r="W47" i="5"/>
  <c r="W489" i="5"/>
  <c r="W447" i="5"/>
  <c r="W164" i="5"/>
  <c r="W87" i="5"/>
  <c r="W204" i="5"/>
  <c r="W203" i="5"/>
  <c r="W11" i="5"/>
  <c r="W12" i="5"/>
  <c r="V80" i="7"/>
  <c r="V81" i="7" s="1"/>
  <c r="V49" i="7"/>
  <c r="V50" i="7" s="1"/>
  <c r="V19" i="7"/>
  <c r="V20" i="7" s="1"/>
  <c r="V25" i="7"/>
  <c r="V26" i="7" s="1"/>
  <c r="V86" i="7"/>
  <c r="V87" i="7" s="1"/>
  <c r="U60" i="7"/>
  <c r="U28" i="7"/>
  <c r="X1" i="7"/>
  <c r="W55" i="7"/>
  <c r="W23" i="7"/>
  <c r="W84" i="7"/>
  <c r="W53" i="7"/>
  <c r="W17" i="7"/>
  <c r="W78" i="7"/>
  <c r="W47" i="7"/>
  <c r="W85" i="7"/>
  <c r="W24" i="7"/>
  <c r="W54" i="7"/>
  <c r="V229" i="5"/>
  <c r="V207" i="5"/>
  <c r="V208" i="5" s="1"/>
  <c r="V429" i="5"/>
  <c r="V407" i="5"/>
  <c r="V408" i="5" s="1"/>
  <c r="V472" i="5"/>
  <c r="V450" i="5"/>
  <c r="V451" i="5" s="1"/>
  <c r="V515" i="5"/>
  <c r="V493" i="5"/>
  <c r="V310" i="5"/>
  <c r="V288" i="5"/>
  <c r="V289" i="5" s="1"/>
  <c r="V168" i="5"/>
  <c r="V249" i="5"/>
  <c r="V330" i="5"/>
  <c r="V368" i="5"/>
  <c r="X1" i="5"/>
  <c r="X243" i="5"/>
  <c r="X324" i="5"/>
  <c r="X85" i="5"/>
  <c r="X162" i="5"/>
  <c r="X362" i="5"/>
  <c r="X386" i="5"/>
  <c r="X367" i="5"/>
  <c r="W348" i="5"/>
  <c r="W329" i="5"/>
  <c r="X267" i="5"/>
  <c r="X248" i="5"/>
  <c r="X186" i="5"/>
  <c r="X167" i="5"/>
  <c r="J380" i="5" l="1"/>
  <c r="J371" i="5"/>
  <c r="I376" i="5"/>
  <c r="I338" i="5"/>
  <c r="J333" i="5"/>
  <c r="J342" i="5"/>
  <c r="I257" i="5"/>
  <c r="J261" i="5"/>
  <c r="J252" i="5"/>
  <c r="I176" i="5"/>
  <c r="J180" i="5"/>
  <c r="J171" i="5"/>
  <c r="J93" i="5"/>
  <c r="J102" i="5"/>
  <c r="I98" i="5"/>
  <c r="Q295" i="5"/>
  <c r="Q304" i="5"/>
  <c r="G219" i="5"/>
  <c r="O136" i="5"/>
  <c r="Q414" i="5"/>
  <c r="P139" i="5"/>
  <c r="Q457" i="5"/>
  <c r="Q423" i="5"/>
  <c r="Q466" i="5"/>
  <c r="O62" i="5"/>
  <c r="N59" i="5"/>
  <c r="V494" i="5"/>
  <c r="F217" i="5"/>
  <c r="V131" i="5"/>
  <c r="V92" i="5"/>
  <c r="V292" i="5"/>
  <c r="V211" i="5"/>
  <c r="V54" i="5"/>
  <c r="V411" i="5"/>
  <c r="V370" i="5"/>
  <c r="Q500" i="5"/>
  <c r="U497" i="5"/>
  <c r="V454" i="5"/>
  <c r="V332" i="5"/>
  <c r="V251" i="5"/>
  <c r="Q509" i="5"/>
  <c r="V170" i="5"/>
  <c r="W25" i="5"/>
  <c r="T18" i="5"/>
  <c r="V15" i="5"/>
  <c r="S20" i="5"/>
  <c r="R21" i="5"/>
  <c r="U16" i="5"/>
  <c r="X247" i="5"/>
  <c r="W90" i="5"/>
  <c r="W13" i="5"/>
  <c r="W51" i="5"/>
  <c r="W128" i="5"/>
  <c r="X206" i="5"/>
  <c r="X492" i="5"/>
  <c r="X406" i="5"/>
  <c r="X50" i="5"/>
  <c r="X449" i="5"/>
  <c r="X287" i="5"/>
  <c r="X127" i="5"/>
  <c r="X286" i="5"/>
  <c r="X47" i="5"/>
  <c r="X403" i="5"/>
  <c r="X203" i="5"/>
  <c r="X285" i="5"/>
  <c r="X326" i="5"/>
  <c r="X164" i="5"/>
  <c r="X490" i="5"/>
  <c r="X405" i="5"/>
  <c r="X49" i="5"/>
  <c r="X491" i="5"/>
  <c r="X48" i="5"/>
  <c r="X125" i="5"/>
  <c r="X446" i="5"/>
  <c r="X284" i="5"/>
  <c r="X448" i="5"/>
  <c r="X245" i="5"/>
  <c r="X205" i="5"/>
  <c r="X126" i="5"/>
  <c r="X364" i="5"/>
  <c r="X404" i="5"/>
  <c r="X447" i="5"/>
  <c r="X10" i="5"/>
  <c r="X124" i="5"/>
  <c r="X87" i="5"/>
  <c r="X204" i="5"/>
  <c r="X489" i="5"/>
  <c r="X11" i="5"/>
  <c r="X12" i="5"/>
  <c r="X327" i="5"/>
  <c r="X165" i="5"/>
  <c r="X88" i="5"/>
  <c r="X366" i="5"/>
  <c r="X166" i="5"/>
  <c r="X246" i="5"/>
  <c r="X89" i="5"/>
  <c r="X328" i="5"/>
  <c r="X365" i="5"/>
  <c r="V60" i="7"/>
  <c r="W56" i="7"/>
  <c r="W57" i="7" s="1"/>
  <c r="W58" i="7" s="1"/>
  <c r="X53" i="7"/>
  <c r="X55" i="7"/>
  <c r="D55" i="7" s="1"/>
  <c r="X23" i="7"/>
  <c r="X84" i="7"/>
  <c r="X17" i="7"/>
  <c r="X47" i="7"/>
  <c r="X78" i="7"/>
  <c r="X54" i="7"/>
  <c r="X85" i="7"/>
  <c r="D85" i="7" s="1"/>
  <c r="X24" i="7"/>
  <c r="D24" i="7" s="1"/>
  <c r="V28" i="7"/>
  <c r="W19" i="7"/>
  <c r="W20" i="7" s="1"/>
  <c r="W86" i="7"/>
  <c r="W87" i="7" s="1"/>
  <c r="W49" i="7"/>
  <c r="W50" i="7" s="1"/>
  <c r="W25" i="7"/>
  <c r="W26" i="7" s="1"/>
  <c r="V89" i="7"/>
  <c r="W80" i="7"/>
  <c r="W81" i="7" s="1"/>
  <c r="W472" i="5"/>
  <c r="W450" i="5"/>
  <c r="W451" i="5" s="1"/>
  <c r="W429" i="5"/>
  <c r="W407" i="5"/>
  <c r="W408" i="5" s="1"/>
  <c r="W310" i="5"/>
  <c r="W288" i="5"/>
  <c r="W289" i="5" s="1"/>
  <c r="W515" i="5"/>
  <c r="W493" i="5"/>
  <c r="W229" i="5"/>
  <c r="W207" i="5"/>
  <c r="W208" i="5" s="1"/>
  <c r="W168" i="5"/>
  <c r="W249" i="5"/>
  <c r="W368" i="5"/>
  <c r="W330" i="5"/>
  <c r="Y1" i="5"/>
  <c r="X348" i="5"/>
  <c r="X329" i="5"/>
  <c r="J373" i="5" l="1"/>
  <c r="J381" i="5"/>
  <c r="J343" i="5"/>
  <c r="J335" i="5"/>
  <c r="J254" i="5"/>
  <c r="J262" i="5"/>
  <c r="J173" i="5"/>
  <c r="J181" i="5"/>
  <c r="J103" i="5"/>
  <c r="J95" i="5"/>
  <c r="R419" i="5"/>
  <c r="Q459" i="5"/>
  <c r="P142" i="5"/>
  <c r="P132" i="5"/>
  <c r="Q416" i="5"/>
  <c r="O137" i="5"/>
  <c r="G212" i="5"/>
  <c r="G222" i="5"/>
  <c r="R300" i="5"/>
  <c r="R462" i="5"/>
  <c r="Q297" i="5"/>
  <c r="N60" i="5"/>
  <c r="O65" i="5"/>
  <c r="O55" i="5"/>
  <c r="V497" i="5"/>
  <c r="W131" i="5"/>
  <c r="W411" i="5"/>
  <c r="W454" i="5"/>
  <c r="W54" i="5"/>
  <c r="W251" i="5"/>
  <c r="W170" i="5"/>
  <c r="W370" i="5"/>
  <c r="W211" i="5"/>
  <c r="W92" i="5"/>
  <c r="R505" i="5"/>
  <c r="W494" i="5"/>
  <c r="W332" i="5"/>
  <c r="W292" i="5"/>
  <c r="Q502" i="5"/>
  <c r="W26" i="5"/>
  <c r="W15" i="5"/>
  <c r="U18" i="5"/>
  <c r="S21" i="5"/>
  <c r="V16" i="5"/>
  <c r="T20" i="5"/>
  <c r="X51" i="5"/>
  <c r="X90" i="5"/>
  <c r="X128" i="5"/>
  <c r="X13" i="5"/>
  <c r="W89" i="7"/>
  <c r="D47" i="7"/>
  <c r="X19" i="7"/>
  <c r="D19" i="7" s="1"/>
  <c r="D17" i="7"/>
  <c r="X86" i="7"/>
  <c r="D84" i="7"/>
  <c r="X80" i="7"/>
  <c r="D80" i="7" s="1"/>
  <c r="D78" i="7"/>
  <c r="X25" i="7"/>
  <c r="D23" i="7"/>
  <c r="D53" i="7"/>
  <c r="X56" i="7"/>
  <c r="D56" i="7" s="1"/>
  <c r="D54" i="7"/>
  <c r="W60" i="7"/>
  <c r="W28" i="7"/>
  <c r="X49" i="7"/>
  <c r="D49" i="7" s="1"/>
  <c r="X310" i="5"/>
  <c r="X288" i="5"/>
  <c r="X289" i="5" s="1"/>
  <c r="X429" i="5"/>
  <c r="X407" i="5"/>
  <c r="X408" i="5" s="1"/>
  <c r="X229" i="5"/>
  <c r="X207" i="5"/>
  <c r="X208" i="5" s="1"/>
  <c r="X515" i="5"/>
  <c r="X493" i="5"/>
  <c r="X472" i="5"/>
  <c r="X450" i="5"/>
  <c r="X451" i="5" s="1"/>
  <c r="X168" i="5"/>
  <c r="X368" i="5"/>
  <c r="X249" i="5"/>
  <c r="X330" i="5"/>
  <c r="K378" i="5" l="1"/>
  <c r="J375" i="5"/>
  <c r="J337" i="5"/>
  <c r="K340" i="5"/>
  <c r="K259" i="5"/>
  <c r="J256" i="5"/>
  <c r="K178" i="5"/>
  <c r="J175" i="5"/>
  <c r="J97" i="5"/>
  <c r="K100" i="5"/>
  <c r="R303" i="5"/>
  <c r="R293" i="5"/>
  <c r="G223" i="5"/>
  <c r="G214" i="5"/>
  <c r="Q417" i="5"/>
  <c r="P134" i="5"/>
  <c r="P143" i="5"/>
  <c r="Q298" i="5"/>
  <c r="Q460" i="5"/>
  <c r="R465" i="5"/>
  <c r="R455" i="5"/>
  <c r="R422" i="5"/>
  <c r="R412" i="5"/>
  <c r="O57" i="5"/>
  <c r="O66" i="5"/>
  <c r="X170" i="5"/>
  <c r="X454" i="5"/>
  <c r="X131" i="5"/>
  <c r="X54" i="5"/>
  <c r="X494" i="5"/>
  <c r="X211" i="5"/>
  <c r="X411" i="5"/>
  <c r="X370" i="5"/>
  <c r="X292" i="5"/>
  <c r="R508" i="5"/>
  <c r="R498" i="5"/>
  <c r="W497" i="5"/>
  <c r="X332" i="5"/>
  <c r="X92" i="5"/>
  <c r="X251" i="5"/>
  <c r="Q503" i="5"/>
  <c r="X23" i="5"/>
  <c r="T21" i="5"/>
  <c r="U20" i="5"/>
  <c r="X15" i="5"/>
  <c r="V18" i="5"/>
  <c r="W16" i="5"/>
  <c r="X20" i="7"/>
  <c r="D20" i="7" s="1"/>
  <c r="D30" i="7" s="1"/>
  <c r="A10" i="20" s="1"/>
  <c r="X81" i="7"/>
  <c r="D81" i="7" s="1"/>
  <c r="D91" i="7" s="1"/>
  <c r="A7" i="20" s="1"/>
  <c r="X26" i="7"/>
  <c r="D26" i="7" s="1"/>
  <c r="D31" i="7" s="1"/>
  <c r="A11" i="20" s="1"/>
  <c r="D25" i="7"/>
  <c r="X87" i="7"/>
  <c r="D87" i="7" s="1"/>
  <c r="D92" i="7" s="1"/>
  <c r="A8" i="20" s="1"/>
  <c r="D86" i="7"/>
  <c r="X50" i="7"/>
  <c r="D50" i="7" s="1"/>
  <c r="D62" i="7" s="1"/>
  <c r="A4" i="20" s="1"/>
  <c r="X57" i="7"/>
  <c r="J376" i="5" l="1"/>
  <c r="K380" i="5"/>
  <c r="K371" i="5"/>
  <c r="K342" i="5"/>
  <c r="K333" i="5"/>
  <c r="J338" i="5"/>
  <c r="J257" i="5"/>
  <c r="K261" i="5"/>
  <c r="K252" i="5"/>
  <c r="J176" i="5"/>
  <c r="K171" i="5"/>
  <c r="K180" i="5"/>
  <c r="K93" i="5"/>
  <c r="K102" i="5"/>
  <c r="J98" i="5"/>
  <c r="Q139" i="5"/>
  <c r="P136" i="5"/>
  <c r="R414" i="5"/>
  <c r="R423" i="5"/>
  <c r="G216" i="5"/>
  <c r="R457" i="5"/>
  <c r="H219" i="5"/>
  <c r="R466" i="5"/>
  <c r="R295" i="5"/>
  <c r="R304" i="5"/>
  <c r="P62" i="5"/>
  <c r="O59" i="5"/>
  <c r="X497" i="5"/>
  <c r="R509" i="5"/>
  <c r="R500" i="5"/>
  <c r="X25" i="5"/>
  <c r="W18" i="5"/>
  <c r="V20" i="5"/>
  <c r="U21" i="5"/>
  <c r="X16" i="5"/>
  <c r="X28" i="7"/>
  <c r="D28" i="7" s="1"/>
  <c r="D29" i="7" s="1"/>
  <c r="A9" i="20" s="1"/>
  <c r="X89" i="7"/>
  <c r="D89" i="7" s="1"/>
  <c r="D90" i="7" s="1"/>
  <c r="A6" i="20" s="1"/>
  <c r="X58" i="7"/>
  <c r="D57" i="7"/>
  <c r="K373" i="5" l="1"/>
  <c r="K381" i="5"/>
  <c r="K335" i="5"/>
  <c r="K343" i="5"/>
  <c r="K254" i="5"/>
  <c r="K262" i="5"/>
  <c r="K181" i="5"/>
  <c r="K173" i="5"/>
  <c r="K103" i="5"/>
  <c r="K95" i="5"/>
  <c r="R459" i="5"/>
  <c r="G217" i="5"/>
  <c r="H222" i="5"/>
  <c r="H212" i="5"/>
  <c r="S419" i="5"/>
  <c r="R416" i="5"/>
  <c r="S300" i="5"/>
  <c r="S462" i="5"/>
  <c r="P137" i="5"/>
  <c r="R297" i="5"/>
  <c r="Q142" i="5"/>
  <c r="Q132" i="5"/>
  <c r="O60" i="5"/>
  <c r="P65" i="5"/>
  <c r="P55" i="5"/>
  <c r="R502" i="5"/>
  <c r="S505" i="5"/>
  <c r="X26" i="5"/>
  <c r="V21" i="5"/>
  <c r="X18" i="5"/>
  <c r="W20" i="5"/>
  <c r="X60" i="7"/>
  <c r="D60" i="7" s="1"/>
  <c r="D61" i="7" s="1"/>
  <c r="A3" i="20" s="1"/>
  <c r="D58" i="7"/>
  <c r="D63" i="7" s="1"/>
  <c r="A5" i="20" s="1"/>
  <c r="L378" i="5" l="1"/>
  <c r="K375" i="5"/>
  <c r="L340" i="5"/>
  <c r="K337" i="5"/>
  <c r="L259" i="5"/>
  <c r="K256" i="5"/>
  <c r="K175" i="5"/>
  <c r="L178" i="5"/>
  <c r="K97" i="5"/>
  <c r="L100" i="5"/>
  <c r="S465" i="5"/>
  <c r="S455" i="5"/>
  <c r="S422" i="5"/>
  <c r="S412" i="5"/>
  <c r="Q134" i="5"/>
  <c r="H214" i="5"/>
  <c r="H223" i="5"/>
  <c r="Q143" i="5"/>
  <c r="R298" i="5"/>
  <c r="R417" i="5"/>
  <c r="S303" i="5"/>
  <c r="S293" i="5"/>
  <c r="R460" i="5"/>
  <c r="P57" i="5"/>
  <c r="P66" i="5"/>
  <c r="S508" i="5"/>
  <c r="S498" i="5"/>
  <c r="R503" i="5"/>
  <c r="W21" i="5"/>
  <c r="X20" i="5"/>
  <c r="K376" i="5" l="1"/>
  <c r="L380" i="5"/>
  <c r="L371" i="5"/>
  <c r="K338" i="5"/>
  <c r="L342" i="5"/>
  <c r="L333" i="5"/>
  <c r="K257" i="5"/>
  <c r="L261" i="5"/>
  <c r="L252" i="5"/>
  <c r="L180" i="5"/>
  <c r="L171" i="5"/>
  <c r="K176" i="5"/>
  <c r="L102" i="5"/>
  <c r="L93" i="5"/>
  <c r="K98" i="5"/>
  <c r="I219" i="5"/>
  <c r="S295" i="5"/>
  <c r="S414" i="5"/>
  <c r="Q136" i="5"/>
  <c r="H216" i="5"/>
  <c r="S304" i="5"/>
  <c r="S423" i="5"/>
  <c r="S457" i="5"/>
  <c r="R139" i="5"/>
  <c r="S466" i="5"/>
  <c r="Q62" i="5"/>
  <c r="P59" i="5"/>
  <c r="S500" i="5"/>
  <c r="S509" i="5"/>
  <c r="X21" i="5"/>
  <c r="L373" i="5" l="1"/>
  <c r="L381" i="5"/>
  <c r="L335" i="5"/>
  <c r="L343" i="5"/>
  <c r="L262" i="5"/>
  <c r="L254" i="5"/>
  <c r="L173" i="5"/>
  <c r="L181" i="5"/>
  <c r="L95" i="5"/>
  <c r="L103" i="5"/>
  <c r="T419" i="5"/>
  <c r="S459" i="5"/>
  <c r="Q137" i="5"/>
  <c r="S416" i="5"/>
  <c r="T300" i="5"/>
  <c r="T462" i="5"/>
  <c r="H217" i="5"/>
  <c r="S297" i="5"/>
  <c r="R142" i="5"/>
  <c r="R132" i="5"/>
  <c r="I212" i="5"/>
  <c r="I222" i="5"/>
  <c r="P60" i="5"/>
  <c r="Q65" i="5"/>
  <c r="Q55" i="5"/>
  <c r="T505" i="5"/>
  <c r="S502" i="5"/>
  <c r="M378" i="5" l="1"/>
  <c r="L375" i="5"/>
  <c r="M340" i="5"/>
  <c r="L337" i="5"/>
  <c r="L256" i="5"/>
  <c r="M259" i="5"/>
  <c r="M178" i="5"/>
  <c r="L175" i="5"/>
  <c r="L97" i="5"/>
  <c r="M100" i="5"/>
  <c r="S298" i="5"/>
  <c r="T303" i="5"/>
  <c r="T293" i="5"/>
  <c r="T465" i="5"/>
  <c r="T455" i="5"/>
  <c r="R134" i="5"/>
  <c r="S460" i="5"/>
  <c r="I223" i="5"/>
  <c r="S417" i="5"/>
  <c r="I214" i="5"/>
  <c r="R143" i="5"/>
  <c r="T422" i="5"/>
  <c r="T412" i="5"/>
  <c r="Q66" i="5"/>
  <c r="Q57" i="5"/>
  <c r="S503" i="5"/>
  <c r="T508" i="5"/>
  <c r="T498" i="5"/>
  <c r="L376" i="5" l="1"/>
  <c r="M371" i="5"/>
  <c r="M380" i="5"/>
  <c r="L338" i="5"/>
  <c r="M342" i="5"/>
  <c r="M333" i="5"/>
  <c r="M252" i="5"/>
  <c r="M261" i="5"/>
  <c r="L257" i="5"/>
  <c r="L176" i="5"/>
  <c r="M180" i="5"/>
  <c r="M171" i="5"/>
  <c r="M102" i="5"/>
  <c r="M93" i="5"/>
  <c r="L98" i="5"/>
  <c r="J219" i="5"/>
  <c r="T466" i="5"/>
  <c r="T295" i="5"/>
  <c r="T414" i="5"/>
  <c r="S139" i="5"/>
  <c r="I216" i="5"/>
  <c r="T304" i="5"/>
  <c r="R136" i="5"/>
  <c r="T457" i="5"/>
  <c r="T423" i="5"/>
  <c r="R62" i="5"/>
  <c r="Q59" i="5"/>
  <c r="T500" i="5"/>
  <c r="T509" i="5"/>
  <c r="M381" i="5" l="1"/>
  <c r="M373" i="5"/>
  <c r="M343" i="5"/>
  <c r="M335" i="5"/>
  <c r="M262" i="5"/>
  <c r="M254" i="5"/>
  <c r="M173" i="5"/>
  <c r="M181" i="5"/>
  <c r="M95" i="5"/>
  <c r="M103" i="5"/>
  <c r="I217" i="5"/>
  <c r="T297" i="5"/>
  <c r="U300" i="5"/>
  <c r="T416" i="5"/>
  <c r="R137" i="5"/>
  <c r="U419" i="5"/>
  <c r="U462" i="5"/>
  <c r="S142" i="5"/>
  <c r="S132" i="5"/>
  <c r="T459" i="5"/>
  <c r="J222" i="5"/>
  <c r="J212" i="5"/>
  <c r="Q60" i="5"/>
  <c r="R55" i="5"/>
  <c r="R65" i="5"/>
  <c r="U505" i="5"/>
  <c r="T502" i="5"/>
  <c r="M375" i="5" l="1"/>
  <c r="N378" i="5"/>
  <c r="M337" i="5"/>
  <c r="N340" i="5"/>
  <c r="M256" i="5"/>
  <c r="N259" i="5"/>
  <c r="N178" i="5"/>
  <c r="M175" i="5"/>
  <c r="N100" i="5"/>
  <c r="M97" i="5"/>
  <c r="U422" i="5"/>
  <c r="U412" i="5"/>
  <c r="U303" i="5"/>
  <c r="U293" i="5"/>
  <c r="S143" i="5"/>
  <c r="T417" i="5"/>
  <c r="U465" i="5"/>
  <c r="U455" i="5"/>
  <c r="J223" i="5"/>
  <c r="T298" i="5"/>
  <c r="J214" i="5"/>
  <c r="T460" i="5"/>
  <c r="S134" i="5"/>
  <c r="R57" i="5"/>
  <c r="R66" i="5"/>
  <c r="T503" i="5"/>
  <c r="U508" i="5"/>
  <c r="U498" i="5"/>
  <c r="N380" i="5" l="1"/>
  <c r="N371" i="5"/>
  <c r="M376" i="5"/>
  <c r="N333" i="5"/>
  <c r="N342" i="5"/>
  <c r="M338" i="5"/>
  <c r="N252" i="5"/>
  <c r="N261" i="5"/>
  <c r="M257" i="5"/>
  <c r="M176" i="5"/>
  <c r="N171" i="5"/>
  <c r="N180" i="5"/>
  <c r="M98" i="5"/>
  <c r="N102" i="5"/>
  <c r="N93" i="5"/>
  <c r="U457" i="5"/>
  <c r="K219" i="5"/>
  <c r="U466" i="5"/>
  <c r="U295" i="5"/>
  <c r="T139" i="5"/>
  <c r="U304" i="5"/>
  <c r="S136" i="5"/>
  <c r="U414" i="5"/>
  <c r="J216" i="5"/>
  <c r="U423" i="5"/>
  <c r="S62" i="5"/>
  <c r="R59" i="5"/>
  <c r="U500" i="5"/>
  <c r="U509" i="5"/>
  <c r="N373" i="5" l="1"/>
  <c r="N381" i="5"/>
  <c r="N343" i="5"/>
  <c r="N335" i="5"/>
  <c r="N262" i="5"/>
  <c r="N254" i="5"/>
  <c r="N181" i="5"/>
  <c r="N173" i="5"/>
  <c r="N103" i="5"/>
  <c r="N95" i="5"/>
  <c r="U416" i="5"/>
  <c r="T142" i="5"/>
  <c r="T132" i="5"/>
  <c r="V462" i="5"/>
  <c r="V300" i="5"/>
  <c r="U297" i="5"/>
  <c r="V419" i="5"/>
  <c r="K222" i="5"/>
  <c r="K212" i="5"/>
  <c r="S137" i="5"/>
  <c r="J217" i="5"/>
  <c r="U459" i="5"/>
  <c r="R60" i="5"/>
  <c r="S65" i="5"/>
  <c r="S55" i="5"/>
  <c r="V505" i="5"/>
  <c r="U502" i="5"/>
  <c r="O378" i="5" l="1"/>
  <c r="N375" i="5"/>
  <c r="N337" i="5"/>
  <c r="O340" i="5"/>
  <c r="N256" i="5"/>
  <c r="O259" i="5"/>
  <c r="N175" i="5"/>
  <c r="O178" i="5"/>
  <c r="N97" i="5"/>
  <c r="O100" i="5"/>
  <c r="K223" i="5"/>
  <c r="V422" i="5"/>
  <c r="V412" i="5"/>
  <c r="K214" i="5"/>
  <c r="U298" i="5"/>
  <c r="T134" i="5"/>
  <c r="V303" i="5"/>
  <c r="V293" i="5"/>
  <c r="V465" i="5"/>
  <c r="V455" i="5"/>
  <c r="T143" i="5"/>
  <c r="U460" i="5"/>
  <c r="U417" i="5"/>
  <c r="S66" i="5"/>
  <c r="S57" i="5"/>
  <c r="U503" i="5"/>
  <c r="V508" i="5"/>
  <c r="V498" i="5"/>
  <c r="N376" i="5" l="1"/>
  <c r="O371" i="5"/>
  <c r="O380" i="5"/>
  <c r="O333" i="5"/>
  <c r="O342" i="5"/>
  <c r="N338" i="5"/>
  <c r="O261" i="5"/>
  <c r="O252" i="5"/>
  <c r="N257" i="5"/>
  <c r="O180" i="5"/>
  <c r="O171" i="5"/>
  <c r="N176" i="5"/>
  <c r="O102" i="5"/>
  <c r="O93" i="5"/>
  <c r="N98" i="5"/>
  <c r="V295" i="5"/>
  <c r="V304" i="5"/>
  <c r="V466" i="5"/>
  <c r="V414" i="5"/>
  <c r="V423" i="5"/>
  <c r="U139" i="5"/>
  <c r="T136" i="5"/>
  <c r="K216" i="5"/>
  <c r="V457" i="5"/>
  <c r="L219" i="5"/>
  <c r="T62" i="5"/>
  <c r="S59" i="5"/>
  <c r="V500" i="5"/>
  <c r="V509" i="5"/>
  <c r="O381" i="5" l="1"/>
  <c r="O373" i="5"/>
  <c r="O343" i="5"/>
  <c r="O335" i="5"/>
  <c r="O254" i="5"/>
  <c r="O262" i="5"/>
  <c r="O173" i="5"/>
  <c r="O181" i="5"/>
  <c r="O95" i="5"/>
  <c r="O103" i="5"/>
  <c r="T137" i="5"/>
  <c r="W462" i="5"/>
  <c r="K217" i="5"/>
  <c r="W419" i="5"/>
  <c r="L222" i="5"/>
  <c r="L212" i="5"/>
  <c r="W300" i="5"/>
  <c r="U142" i="5"/>
  <c r="U132" i="5"/>
  <c r="V416" i="5"/>
  <c r="V459" i="5"/>
  <c r="V297" i="5"/>
  <c r="T65" i="5"/>
  <c r="T55" i="5"/>
  <c r="S60" i="5"/>
  <c r="W505" i="5"/>
  <c r="V502" i="5"/>
  <c r="O375" i="5" l="1"/>
  <c r="P378" i="5"/>
  <c r="O337" i="5"/>
  <c r="P340" i="5"/>
  <c r="P259" i="5"/>
  <c r="O256" i="5"/>
  <c r="P178" i="5"/>
  <c r="O175" i="5"/>
  <c r="P100" i="5"/>
  <c r="O97" i="5"/>
  <c r="U143" i="5"/>
  <c r="L214" i="5"/>
  <c r="V298" i="5"/>
  <c r="U134" i="5"/>
  <c r="L223" i="5"/>
  <c r="W303" i="5"/>
  <c r="W293" i="5"/>
  <c r="V460" i="5"/>
  <c r="W465" i="5"/>
  <c r="W455" i="5"/>
  <c r="W422" i="5"/>
  <c r="W412" i="5"/>
  <c r="V417" i="5"/>
  <c r="T57" i="5"/>
  <c r="T66" i="5"/>
  <c r="W508" i="5"/>
  <c r="W498" i="5"/>
  <c r="V503" i="5"/>
  <c r="P380" i="5" l="1"/>
  <c r="P371" i="5"/>
  <c r="O376" i="5"/>
  <c r="P333" i="5"/>
  <c r="P342" i="5"/>
  <c r="O338" i="5"/>
  <c r="O257" i="5"/>
  <c r="P261" i="5"/>
  <c r="P252" i="5"/>
  <c r="O176" i="5"/>
  <c r="P180" i="5"/>
  <c r="P171" i="5"/>
  <c r="O98" i="5"/>
  <c r="P102" i="5"/>
  <c r="P93" i="5"/>
  <c r="W295" i="5"/>
  <c r="W414" i="5"/>
  <c r="W304" i="5"/>
  <c r="W423" i="5"/>
  <c r="U136" i="5"/>
  <c r="W457" i="5"/>
  <c r="L216" i="5"/>
  <c r="M219" i="5"/>
  <c r="W466" i="5"/>
  <c r="V139" i="5"/>
  <c r="U62" i="5"/>
  <c r="T59" i="5"/>
  <c r="W500" i="5"/>
  <c r="W509" i="5"/>
  <c r="B21" i="5"/>
  <c r="B20" i="5"/>
  <c r="P373" i="5" l="1"/>
  <c r="P381" i="5"/>
  <c r="P343" i="5"/>
  <c r="P335" i="5"/>
  <c r="P262" i="5"/>
  <c r="P254" i="5"/>
  <c r="P173" i="5"/>
  <c r="P181" i="5"/>
  <c r="P95" i="5"/>
  <c r="P103" i="5"/>
  <c r="W459" i="5"/>
  <c r="X300" i="5"/>
  <c r="W416" i="5"/>
  <c r="M222" i="5"/>
  <c r="M212" i="5"/>
  <c r="U137" i="5"/>
  <c r="V142" i="5"/>
  <c r="V132" i="5"/>
  <c r="L217" i="5"/>
  <c r="X419" i="5"/>
  <c r="X462" i="5"/>
  <c r="W297" i="5"/>
  <c r="U55" i="5"/>
  <c r="U65" i="5"/>
  <c r="T60" i="5"/>
  <c r="X505" i="5"/>
  <c r="W502" i="5"/>
  <c r="Q378" i="5" l="1"/>
  <c r="P375" i="5"/>
  <c r="P337" i="5"/>
  <c r="Q340" i="5"/>
  <c r="P256" i="5"/>
  <c r="Q259" i="5"/>
  <c r="Q178" i="5"/>
  <c r="P175" i="5"/>
  <c r="Q100" i="5"/>
  <c r="P97" i="5"/>
  <c r="V143" i="5"/>
  <c r="M214" i="5"/>
  <c r="W417" i="5"/>
  <c r="V134" i="5"/>
  <c r="M223" i="5"/>
  <c r="X465" i="5"/>
  <c r="X455" i="5"/>
  <c r="X303" i="5"/>
  <c r="X293" i="5"/>
  <c r="W298" i="5"/>
  <c r="X422" i="5"/>
  <c r="X412" i="5"/>
  <c r="W460" i="5"/>
  <c r="U66" i="5"/>
  <c r="U57" i="5"/>
  <c r="W503" i="5"/>
  <c r="X508" i="5"/>
  <c r="X498" i="5"/>
  <c r="P376" i="5" l="1"/>
  <c r="Q380" i="5"/>
  <c r="Q371" i="5"/>
  <c r="Q333" i="5"/>
  <c r="Q342" i="5"/>
  <c r="P338" i="5"/>
  <c r="Q252" i="5"/>
  <c r="Q261" i="5"/>
  <c r="P257" i="5"/>
  <c r="P176" i="5"/>
  <c r="Q180" i="5"/>
  <c r="Q171" i="5"/>
  <c r="Q93" i="5"/>
  <c r="Q102" i="5"/>
  <c r="P98" i="5"/>
  <c r="X457" i="5"/>
  <c r="X466" i="5"/>
  <c r="X295" i="5"/>
  <c r="X304" i="5"/>
  <c r="X414" i="5"/>
  <c r="N219" i="5"/>
  <c r="V136" i="5"/>
  <c r="X423" i="5"/>
  <c r="M216" i="5"/>
  <c r="W139" i="5"/>
  <c r="V62" i="5"/>
  <c r="U59" i="5"/>
  <c r="X509" i="5"/>
  <c r="X500" i="5"/>
  <c r="Q373" i="5" l="1"/>
  <c r="Q381" i="5"/>
  <c r="Q343" i="5"/>
  <c r="Q335" i="5"/>
  <c r="Q262" i="5"/>
  <c r="Q254" i="5"/>
  <c r="Q173" i="5"/>
  <c r="Q181" i="5"/>
  <c r="Q103" i="5"/>
  <c r="Q95" i="5"/>
  <c r="N222" i="5"/>
  <c r="N212" i="5"/>
  <c r="X297" i="5"/>
  <c r="V137" i="5"/>
  <c r="W142" i="5"/>
  <c r="W132" i="5"/>
  <c r="X459" i="5"/>
  <c r="X416" i="5"/>
  <c r="M217" i="5"/>
  <c r="V65" i="5"/>
  <c r="V55" i="5"/>
  <c r="U60" i="5"/>
  <c r="X502" i="5"/>
  <c r="B502" i="5" l="1"/>
  <c r="R378" i="5"/>
  <c r="Q375" i="5"/>
  <c r="Q337" i="5"/>
  <c r="R340" i="5"/>
  <c r="Q256" i="5"/>
  <c r="R259" i="5"/>
  <c r="R178" i="5"/>
  <c r="Q175" i="5"/>
  <c r="Q97" i="5"/>
  <c r="R100" i="5"/>
  <c r="X460" i="5"/>
  <c r="B460" i="5" s="1"/>
  <c r="B459" i="5"/>
  <c r="X417" i="5"/>
  <c r="X298" i="5"/>
  <c r="B298" i="5" s="1"/>
  <c r="W143" i="5"/>
  <c r="N214" i="5"/>
  <c r="N223" i="5"/>
  <c r="W134" i="5"/>
  <c r="V57" i="5"/>
  <c r="V66" i="5"/>
  <c r="X503" i="5"/>
  <c r="B297" i="5"/>
  <c r="Q376" i="5" l="1"/>
  <c r="R380" i="5"/>
  <c r="R371" i="5"/>
  <c r="R333" i="5"/>
  <c r="R342" i="5"/>
  <c r="Q338" i="5"/>
  <c r="R261" i="5"/>
  <c r="R252" i="5"/>
  <c r="Q257" i="5"/>
  <c r="Q176" i="5"/>
  <c r="R171" i="5"/>
  <c r="R180" i="5"/>
  <c r="Q98" i="5"/>
  <c r="R102" i="5"/>
  <c r="R93" i="5"/>
  <c r="O219" i="5"/>
  <c r="W136" i="5"/>
  <c r="N216" i="5"/>
  <c r="X139" i="5"/>
  <c r="W62" i="5"/>
  <c r="V59" i="5"/>
  <c r="B503" i="5"/>
  <c r="E237" i="6"/>
  <c r="E238" i="6" s="1"/>
  <c r="E216" i="6"/>
  <c r="E217" i="6" s="1"/>
  <c r="E195" i="6"/>
  <c r="E196" i="6" s="1"/>
  <c r="E174" i="6"/>
  <c r="E175" i="6" s="1"/>
  <c r="E153" i="6"/>
  <c r="E132" i="6"/>
  <c r="E111" i="6"/>
  <c r="E90" i="6"/>
  <c r="E69" i="6"/>
  <c r="F48" i="6"/>
  <c r="G48" i="6" s="1"/>
  <c r="H48" i="6" s="1"/>
  <c r="I48" i="6" s="1"/>
  <c r="J48" i="6" s="1"/>
  <c r="K48" i="6" s="1"/>
  <c r="L48" i="6" s="1"/>
  <c r="M48" i="6" s="1"/>
  <c r="N48" i="6" s="1"/>
  <c r="O48" i="6" s="1"/>
  <c r="P48" i="6" s="1"/>
  <c r="Q48" i="6" s="1"/>
  <c r="R48" i="6" s="1"/>
  <c r="S48" i="6" s="1"/>
  <c r="T48" i="6" s="1"/>
  <c r="U48" i="6" s="1"/>
  <c r="V48" i="6" s="1"/>
  <c r="W48" i="6" s="1"/>
  <c r="X48" i="6" s="1"/>
  <c r="E27" i="6"/>
  <c r="E6" i="6"/>
  <c r="E7" i="6" s="1"/>
  <c r="E1" i="6"/>
  <c r="R373" i="5" l="1"/>
  <c r="R381" i="5"/>
  <c r="R343" i="5"/>
  <c r="R335" i="5"/>
  <c r="R254" i="5"/>
  <c r="R262" i="5"/>
  <c r="R181" i="5"/>
  <c r="R173" i="5"/>
  <c r="R95" i="5"/>
  <c r="R103" i="5"/>
  <c r="N217" i="5"/>
  <c r="W137" i="5"/>
  <c r="X142" i="5"/>
  <c r="X132" i="5"/>
  <c r="O212" i="5"/>
  <c r="O222" i="5"/>
  <c r="V60" i="5"/>
  <c r="W55" i="5"/>
  <c r="W65" i="5"/>
  <c r="E204" i="6"/>
  <c r="F111" i="6"/>
  <c r="G111" i="6" s="1"/>
  <c r="H111" i="6" s="1"/>
  <c r="I111" i="6" s="1"/>
  <c r="J111" i="6" s="1"/>
  <c r="K111" i="6" s="1"/>
  <c r="L111" i="6" s="1"/>
  <c r="M111" i="6" s="1"/>
  <c r="N111" i="6" s="1"/>
  <c r="O111" i="6" s="1"/>
  <c r="P111" i="6" s="1"/>
  <c r="Q111" i="6" s="1"/>
  <c r="R111" i="6" s="1"/>
  <c r="S111" i="6" s="1"/>
  <c r="T111" i="6" s="1"/>
  <c r="U111" i="6" s="1"/>
  <c r="V111" i="6" s="1"/>
  <c r="W111" i="6" s="1"/>
  <c r="X111" i="6" s="1"/>
  <c r="E112" i="6"/>
  <c r="E120" i="6" s="1"/>
  <c r="F27" i="6"/>
  <c r="G27" i="6" s="1"/>
  <c r="H27" i="6" s="1"/>
  <c r="I27" i="6" s="1"/>
  <c r="J27" i="6" s="1"/>
  <c r="K27" i="6" s="1"/>
  <c r="L27" i="6" s="1"/>
  <c r="M27" i="6" s="1"/>
  <c r="N27" i="6" s="1"/>
  <c r="O27" i="6" s="1"/>
  <c r="P27" i="6" s="1"/>
  <c r="Q27" i="6" s="1"/>
  <c r="R27" i="6" s="1"/>
  <c r="S27" i="6" s="1"/>
  <c r="T27" i="6" s="1"/>
  <c r="U27" i="6" s="1"/>
  <c r="V27" i="6" s="1"/>
  <c r="W27" i="6" s="1"/>
  <c r="X27" i="6" s="1"/>
  <c r="E28" i="6"/>
  <c r="E36" i="6" s="1"/>
  <c r="F132" i="6"/>
  <c r="G132" i="6" s="1"/>
  <c r="H132" i="6" s="1"/>
  <c r="I132" i="6" s="1"/>
  <c r="J132" i="6" s="1"/>
  <c r="K132" i="6" s="1"/>
  <c r="L132" i="6" s="1"/>
  <c r="M132" i="6" s="1"/>
  <c r="N132" i="6" s="1"/>
  <c r="O132" i="6" s="1"/>
  <c r="P132" i="6" s="1"/>
  <c r="Q132" i="6" s="1"/>
  <c r="R132" i="6" s="1"/>
  <c r="S132" i="6" s="1"/>
  <c r="T132" i="6" s="1"/>
  <c r="U132" i="6" s="1"/>
  <c r="V132" i="6" s="1"/>
  <c r="W132" i="6" s="1"/>
  <c r="X132" i="6" s="1"/>
  <c r="E133" i="6"/>
  <c r="E141" i="6" s="1"/>
  <c r="F90" i="6"/>
  <c r="G90" i="6" s="1"/>
  <c r="H90" i="6" s="1"/>
  <c r="I90" i="6" s="1"/>
  <c r="J90" i="6" s="1"/>
  <c r="K90" i="6" s="1"/>
  <c r="L90" i="6" s="1"/>
  <c r="M90" i="6" s="1"/>
  <c r="N90" i="6" s="1"/>
  <c r="O90" i="6" s="1"/>
  <c r="P90" i="6" s="1"/>
  <c r="Q90" i="6" s="1"/>
  <c r="R90" i="6" s="1"/>
  <c r="S90" i="6" s="1"/>
  <c r="T90" i="6" s="1"/>
  <c r="U90" i="6" s="1"/>
  <c r="V90" i="6" s="1"/>
  <c r="W90" i="6" s="1"/>
  <c r="X90" i="6" s="1"/>
  <c r="E91" i="6"/>
  <c r="E99" i="6" s="1"/>
  <c r="F153" i="6"/>
  <c r="G153" i="6" s="1"/>
  <c r="H153" i="6" s="1"/>
  <c r="I153" i="6" s="1"/>
  <c r="J153" i="6" s="1"/>
  <c r="K153" i="6" s="1"/>
  <c r="L153" i="6" s="1"/>
  <c r="M153" i="6" s="1"/>
  <c r="N153" i="6" s="1"/>
  <c r="O153" i="6" s="1"/>
  <c r="P153" i="6" s="1"/>
  <c r="Q153" i="6" s="1"/>
  <c r="R153" i="6" s="1"/>
  <c r="S153" i="6" s="1"/>
  <c r="T153" i="6" s="1"/>
  <c r="U153" i="6" s="1"/>
  <c r="V153" i="6" s="1"/>
  <c r="W153" i="6" s="1"/>
  <c r="X153" i="6" s="1"/>
  <c r="E154" i="6"/>
  <c r="E162" i="6" s="1"/>
  <c r="F69" i="6"/>
  <c r="G69" i="6" s="1"/>
  <c r="H69" i="6" s="1"/>
  <c r="I69" i="6" s="1"/>
  <c r="J69" i="6" s="1"/>
  <c r="K69" i="6" s="1"/>
  <c r="L69" i="6" s="1"/>
  <c r="M69" i="6" s="1"/>
  <c r="N69" i="6" s="1"/>
  <c r="O69" i="6" s="1"/>
  <c r="P69" i="6" s="1"/>
  <c r="Q69" i="6" s="1"/>
  <c r="R69" i="6" s="1"/>
  <c r="S69" i="6" s="1"/>
  <c r="T69" i="6" s="1"/>
  <c r="U69" i="6" s="1"/>
  <c r="V69" i="6" s="1"/>
  <c r="W69" i="6" s="1"/>
  <c r="X69" i="6" s="1"/>
  <c r="E70" i="6"/>
  <c r="E78" i="6" s="1"/>
  <c r="E135" i="6"/>
  <c r="E198" i="6"/>
  <c r="E200" i="6" s="1"/>
  <c r="E201" i="6" s="1"/>
  <c r="E9" i="6"/>
  <c r="E161" i="6"/>
  <c r="E225" i="6"/>
  <c r="E72" i="6"/>
  <c r="E74" i="6" s="1"/>
  <c r="E75" i="6" s="1"/>
  <c r="E177" i="6"/>
  <c r="E140" i="6"/>
  <c r="E98" i="6"/>
  <c r="E203" i="6"/>
  <c r="E156" i="6"/>
  <c r="E158" i="6" s="1"/>
  <c r="E159" i="6" s="1"/>
  <c r="E51" i="6"/>
  <c r="E53" i="6" s="1"/>
  <c r="E54" i="6" s="1"/>
  <c r="E35" i="6"/>
  <c r="E56" i="6"/>
  <c r="E77" i="6"/>
  <c r="E219" i="6"/>
  <c r="E221" i="6" s="1"/>
  <c r="E93" i="6"/>
  <c r="E245" i="6"/>
  <c r="E114" i="6"/>
  <c r="E224" i="6"/>
  <c r="E240" i="6"/>
  <c r="E242" i="6" s="1"/>
  <c r="E243" i="6" s="1"/>
  <c r="E119" i="6"/>
  <c r="E14" i="6"/>
  <c r="E182" i="6"/>
  <c r="E30" i="6"/>
  <c r="E32" i="6" s="1"/>
  <c r="E33" i="6" s="1"/>
  <c r="E183" i="6"/>
  <c r="E246" i="6"/>
  <c r="E15" i="6"/>
  <c r="E57" i="6"/>
  <c r="F195" i="6"/>
  <c r="F216" i="6"/>
  <c r="F237" i="6"/>
  <c r="F1" i="6"/>
  <c r="D73" i="6"/>
  <c r="D94" i="6"/>
  <c r="D178" i="6"/>
  <c r="D199" i="6"/>
  <c r="D10" i="6"/>
  <c r="D31" i="6"/>
  <c r="D52" i="6"/>
  <c r="D115" i="6"/>
  <c r="D136" i="6"/>
  <c r="D157" i="6"/>
  <c r="D220" i="6"/>
  <c r="D241" i="6"/>
  <c r="F6" i="6"/>
  <c r="F174" i="6"/>
  <c r="S378" i="5" l="1"/>
  <c r="R375" i="5"/>
  <c r="R337" i="5"/>
  <c r="S340" i="5"/>
  <c r="S259" i="5"/>
  <c r="R256" i="5"/>
  <c r="R175" i="5"/>
  <c r="S178" i="5"/>
  <c r="S100" i="5"/>
  <c r="R97" i="5"/>
  <c r="X134" i="5"/>
  <c r="X143" i="5"/>
  <c r="O214" i="5"/>
  <c r="O223" i="5"/>
  <c r="W66" i="5"/>
  <c r="W57" i="5"/>
  <c r="F14" i="6"/>
  <c r="G1" i="6"/>
  <c r="F119" i="6"/>
  <c r="F93" i="6"/>
  <c r="F95" i="6" s="1"/>
  <c r="F96" i="6" s="1"/>
  <c r="F156" i="6"/>
  <c r="F158" i="6" s="1"/>
  <c r="F159" i="6" s="1"/>
  <c r="F51" i="6"/>
  <c r="F53" i="6" s="1"/>
  <c r="F54" i="6" s="1"/>
  <c r="F98" i="6"/>
  <c r="F114" i="6"/>
  <c r="F116" i="6" s="1"/>
  <c r="F117" i="6" s="1"/>
  <c r="F56" i="6"/>
  <c r="F77" i="6"/>
  <c r="F177" i="6"/>
  <c r="F179" i="6" s="1"/>
  <c r="F180" i="6" s="1"/>
  <c r="F161" i="6"/>
  <c r="F35" i="6"/>
  <c r="F240" i="6"/>
  <c r="F242" i="6" s="1"/>
  <c r="F243" i="6" s="1"/>
  <c r="F198" i="6"/>
  <c r="F200" i="6" s="1"/>
  <c r="F201" i="6" s="1"/>
  <c r="F135" i="6"/>
  <c r="F137" i="6" s="1"/>
  <c r="F138" i="6" s="1"/>
  <c r="F9" i="6"/>
  <c r="F11" i="6" s="1"/>
  <c r="F72" i="6"/>
  <c r="F74" i="6" s="1"/>
  <c r="F75" i="6" s="1"/>
  <c r="F224" i="6"/>
  <c r="F30" i="6"/>
  <c r="F32" i="6" s="1"/>
  <c r="F33" i="6" s="1"/>
  <c r="F245" i="6"/>
  <c r="F219" i="6"/>
  <c r="F221" i="6" s="1"/>
  <c r="F222" i="6" s="1"/>
  <c r="F140" i="6"/>
  <c r="F203" i="6"/>
  <c r="F182" i="6"/>
  <c r="F175" i="6"/>
  <c r="G237" i="6"/>
  <c r="G216" i="6"/>
  <c r="G195" i="6"/>
  <c r="F238" i="6"/>
  <c r="F246" i="6" s="1"/>
  <c r="E247" i="6"/>
  <c r="E248" i="6" s="1"/>
  <c r="F196" i="6"/>
  <c r="F204" i="6" s="1"/>
  <c r="E205" i="6"/>
  <c r="E206" i="6" s="1"/>
  <c r="E208" i="6" s="1"/>
  <c r="F217" i="6"/>
  <c r="F225" i="6" s="1"/>
  <c r="E226" i="6"/>
  <c r="E227" i="6" s="1"/>
  <c r="E184" i="6"/>
  <c r="E185" i="6" s="1"/>
  <c r="F154" i="6"/>
  <c r="F162" i="6" s="1"/>
  <c r="F133" i="6"/>
  <c r="F141" i="6" s="1"/>
  <c r="F112" i="6"/>
  <c r="F120" i="6" s="1"/>
  <c r="E121" i="6"/>
  <c r="F91" i="6"/>
  <c r="F99" i="6" s="1"/>
  <c r="E100" i="6"/>
  <c r="F70" i="6"/>
  <c r="F78" i="6" s="1"/>
  <c r="E79" i="6"/>
  <c r="E80" i="6" s="1"/>
  <c r="E82" i="6" s="1"/>
  <c r="F49" i="6"/>
  <c r="F57" i="6" s="1"/>
  <c r="G6" i="6"/>
  <c r="F7" i="6"/>
  <c r="F28" i="6"/>
  <c r="F36" i="6" s="1"/>
  <c r="G174" i="6"/>
  <c r="E95" i="6"/>
  <c r="E96" i="6" s="1"/>
  <c r="E137" i="6"/>
  <c r="E138" i="6" s="1"/>
  <c r="E179" i="6"/>
  <c r="E116" i="6"/>
  <c r="E11" i="6"/>
  <c r="E12" i="6" s="1"/>
  <c r="R376" i="5" l="1"/>
  <c r="S380" i="5"/>
  <c r="S371" i="5"/>
  <c r="S342" i="5"/>
  <c r="S333" i="5"/>
  <c r="R338" i="5"/>
  <c r="R257" i="5"/>
  <c r="S252" i="5"/>
  <c r="S261" i="5"/>
  <c r="S180" i="5"/>
  <c r="S171" i="5"/>
  <c r="R176" i="5"/>
  <c r="R98" i="5"/>
  <c r="S102" i="5"/>
  <c r="S93" i="5"/>
  <c r="O216" i="5"/>
  <c r="P219" i="5"/>
  <c r="X136" i="5"/>
  <c r="W59" i="5"/>
  <c r="X62" i="5"/>
  <c r="G14" i="6"/>
  <c r="H1" i="6"/>
  <c r="G240" i="6"/>
  <c r="G242" i="6" s="1"/>
  <c r="G243" i="6" s="1"/>
  <c r="G219" i="6"/>
  <c r="G221" i="6" s="1"/>
  <c r="G222" i="6" s="1"/>
  <c r="G198" i="6"/>
  <c r="G200" i="6" s="1"/>
  <c r="G201" i="6" s="1"/>
  <c r="G119" i="6"/>
  <c r="G56" i="6"/>
  <c r="G30" i="6"/>
  <c r="G135" i="6"/>
  <c r="G137" i="6" s="1"/>
  <c r="G138" i="6" s="1"/>
  <c r="G177" i="6"/>
  <c r="G179" i="6" s="1"/>
  <c r="G180" i="6" s="1"/>
  <c r="G72" i="6"/>
  <c r="G74" i="6" s="1"/>
  <c r="G75" i="6" s="1"/>
  <c r="G93" i="6"/>
  <c r="G95" i="6" s="1"/>
  <c r="G96" i="6" s="1"/>
  <c r="G114" i="6"/>
  <c r="G116" i="6" s="1"/>
  <c r="G117" i="6" s="1"/>
  <c r="G245" i="6"/>
  <c r="G98" i="6"/>
  <c r="G140" i="6"/>
  <c r="G224" i="6"/>
  <c r="G51" i="6"/>
  <c r="G53" i="6" s="1"/>
  <c r="G54" i="6" s="1"/>
  <c r="G35" i="6"/>
  <c r="G77" i="6"/>
  <c r="G161" i="6"/>
  <c r="G203" i="6"/>
  <c r="G156" i="6"/>
  <c r="G9" i="6"/>
  <c r="G11" i="6" s="1"/>
  <c r="G12" i="6" s="1"/>
  <c r="G182" i="6"/>
  <c r="G7" i="6"/>
  <c r="F15" i="6"/>
  <c r="G175" i="6"/>
  <c r="F183" i="6"/>
  <c r="F184" i="6" s="1"/>
  <c r="F12" i="6"/>
  <c r="H195" i="6"/>
  <c r="H216" i="6"/>
  <c r="H237" i="6"/>
  <c r="G217" i="6"/>
  <c r="G225" i="6" s="1"/>
  <c r="F226" i="6"/>
  <c r="G238" i="6"/>
  <c r="G246" i="6" s="1"/>
  <c r="F247" i="6"/>
  <c r="F248" i="6" s="1"/>
  <c r="F250" i="6" s="1"/>
  <c r="G196" i="6"/>
  <c r="G204" i="6" s="1"/>
  <c r="G154" i="6"/>
  <c r="G162" i="6" s="1"/>
  <c r="F163" i="6"/>
  <c r="F164" i="6" s="1"/>
  <c r="F166" i="6" s="1"/>
  <c r="E163" i="6"/>
  <c r="G133" i="6"/>
  <c r="G141" i="6" s="1"/>
  <c r="F142" i="6"/>
  <c r="F143" i="6" s="1"/>
  <c r="F145" i="6" s="1"/>
  <c r="E142" i="6"/>
  <c r="E122" i="6"/>
  <c r="G112" i="6"/>
  <c r="G120" i="6" s="1"/>
  <c r="F121" i="6"/>
  <c r="F122" i="6" s="1"/>
  <c r="F124" i="6" s="1"/>
  <c r="E101" i="6"/>
  <c r="E103" i="6" s="1"/>
  <c r="G91" i="6"/>
  <c r="G99" i="6" s="1"/>
  <c r="F100" i="6"/>
  <c r="F101" i="6" s="1"/>
  <c r="F103" i="6" s="1"/>
  <c r="G70" i="6"/>
  <c r="G78" i="6" s="1"/>
  <c r="F79" i="6"/>
  <c r="F80" i="6" s="1"/>
  <c r="G49" i="6"/>
  <c r="G57" i="6" s="1"/>
  <c r="F58" i="6"/>
  <c r="F59" i="6" s="1"/>
  <c r="F61" i="6" s="1"/>
  <c r="E58" i="6"/>
  <c r="H6" i="6"/>
  <c r="E16" i="6"/>
  <c r="E17" i="6" s="1"/>
  <c r="E19" i="6" s="1"/>
  <c r="G28" i="6"/>
  <c r="G36" i="6" s="1"/>
  <c r="F37" i="6"/>
  <c r="F38" i="6" s="1"/>
  <c r="F40" i="6" s="1"/>
  <c r="E37" i="6"/>
  <c r="E38" i="6" s="1"/>
  <c r="E40" i="6" s="1"/>
  <c r="E250" i="6"/>
  <c r="H174" i="6"/>
  <c r="E117" i="6"/>
  <c r="E180" i="6"/>
  <c r="E222" i="6"/>
  <c r="S373" i="5" l="1"/>
  <c r="S381" i="5"/>
  <c r="S335" i="5"/>
  <c r="S343" i="5"/>
  <c r="S262" i="5"/>
  <c r="S254" i="5"/>
  <c r="S173" i="5"/>
  <c r="S181" i="5"/>
  <c r="S95" i="5"/>
  <c r="S103" i="5"/>
  <c r="P222" i="5"/>
  <c r="P212" i="5"/>
  <c r="O217" i="5"/>
  <c r="X137" i="5"/>
  <c r="B136" i="5"/>
  <c r="X65" i="5"/>
  <c r="X55" i="5"/>
  <c r="W60" i="5"/>
  <c r="H14" i="6"/>
  <c r="G32" i="6"/>
  <c r="G158" i="6"/>
  <c r="I1" i="6"/>
  <c r="H198" i="6"/>
  <c r="H114" i="6"/>
  <c r="H135" i="6"/>
  <c r="H30" i="6"/>
  <c r="H32" i="6" s="1"/>
  <c r="H33" i="6" s="1"/>
  <c r="H240" i="6"/>
  <c r="H219" i="6"/>
  <c r="H93" i="6"/>
  <c r="H177" i="6"/>
  <c r="H72" i="6"/>
  <c r="H35" i="6"/>
  <c r="H140" i="6"/>
  <c r="H224" i="6"/>
  <c r="H119" i="6"/>
  <c r="H203" i="6"/>
  <c r="H77" i="6"/>
  <c r="H51" i="6"/>
  <c r="H56" i="6"/>
  <c r="H98" i="6"/>
  <c r="H161" i="6"/>
  <c r="H182" i="6"/>
  <c r="H9" i="6"/>
  <c r="H11" i="6" s="1"/>
  <c r="H156" i="6"/>
  <c r="H158" i="6" s="1"/>
  <c r="H159" i="6" s="1"/>
  <c r="H245" i="6"/>
  <c r="H175" i="6"/>
  <c r="G183" i="6"/>
  <c r="G184" i="6" s="1"/>
  <c r="G185" i="6" s="1"/>
  <c r="G187" i="6" s="1"/>
  <c r="H7" i="6"/>
  <c r="G15" i="6"/>
  <c r="G16" i="6" s="1"/>
  <c r="G17" i="6" s="1"/>
  <c r="G19" i="6" s="1"/>
  <c r="F16" i="6"/>
  <c r="F17" i="6" s="1"/>
  <c r="F19" i="6" s="1"/>
  <c r="I237" i="6"/>
  <c r="I216" i="6"/>
  <c r="I195" i="6"/>
  <c r="H238" i="6"/>
  <c r="H246" i="6" s="1"/>
  <c r="F227" i="6"/>
  <c r="H217" i="6"/>
  <c r="H225" i="6" s="1"/>
  <c r="G226" i="6"/>
  <c r="G227" i="6" s="1"/>
  <c r="G229" i="6" s="1"/>
  <c r="F205" i="6"/>
  <c r="H196" i="6"/>
  <c r="H204" i="6" s="1"/>
  <c r="G205" i="6"/>
  <c r="G206" i="6" s="1"/>
  <c r="G208" i="6" s="1"/>
  <c r="H154" i="6"/>
  <c r="H162" i="6" s="1"/>
  <c r="G163" i="6"/>
  <c r="G164" i="6" s="1"/>
  <c r="E164" i="6"/>
  <c r="E143" i="6"/>
  <c r="H133" i="6"/>
  <c r="H141" i="6" s="1"/>
  <c r="H112" i="6"/>
  <c r="H120" i="6" s="1"/>
  <c r="G121" i="6"/>
  <c r="G122" i="6" s="1"/>
  <c r="G124" i="6" s="1"/>
  <c r="H91" i="6"/>
  <c r="H99" i="6" s="1"/>
  <c r="G100" i="6"/>
  <c r="G101" i="6" s="1"/>
  <c r="G103" i="6" s="1"/>
  <c r="F82" i="6"/>
  <c r="H70" i="6"/>
  <c r="H78" i="6" s="1"/>
  <c r="G79" i="6"/>
  <c r="G80" i="6" s="1"/>
  <c r="G82" i="6" s="1"/>
  <c r="E59" i="6"/>
  <c r="H49" i="6"/>
  <c r="H57" i="6" s="1"/>
  <c r="G58" i="6"/>
  <c r="G59" i="6" s="1"/>
  <c r="G61" i="6" s="1"/>
  <c r="I6" i="6"/>
  <c r="I14" i="6" s="1"/>
  <c r="H28" i="6"/>
  <c r="H36" i="6" s="1"/>
  <c r="G37" i="6"/>
  <c r="G38" i="6" s="1"/>
  <c r="I174" i="6"/>
  <c r="F185" i="6"/>
  <c r="E124" i="6"/>
  <c r="E187" i="6"/>
  <c r="E229" i="6"/>
  <c r="T378" i="5" l="1"/>
  <c r="S375" i="5"/>
  <c r="T340" i="5"/>
  <c r="S337" i="5"/>
  <c r="S256" i="5"/>
  <c r="T259" i="5"/>
  <c r="T178" i="5"/>
  <c r="S175" i="5"/>
  <c r="T100" i="5"/>
  <c r="S97" i="5"/>
  <c r="B137" i="5"/>
  <c r="P214" i="5"/>
  <c r="P223" i="5"/>
  <c r="X57" i="5"/>
  <c r="X66" i="5"/>
  <c r="H74" i="6"/>
  <c r="H179" i="6"/>
  <c r="H95" i="6"/>
  <c r="H221" i="6"/>
  <c r="G159" i="6"/>
  <c r="G166" i="6" s="1"/>
  <c r="H12" i="6"/>
  <c r="H242" i="6"/>
  <c r="G33" i="6"/>
  <c r="G40" i="6" s="1"/>
  <c r="H137" i="6"/>
  <c r="H116" i="6"/>
  <c r="H200" i="6"/>
  <c r="H53" i="6"/>
  <c r="J1" i="6"/>
  <c r="I9" i="6"/>
  <c r="I114" i="6"/>
  <c r="I116" i="6" s="1"/>
  <c r="I117" i="6" s="1"/>
  <c r="I93" i="6"/>
  <c r="I95" i="6" s="1"/>
  <c r="I96" i="6" s="1"/>
  <c r="I177" i="6"/>
  <c r="I179" i="6" s="1"/>
  <c r="I180" i="6" s="1"/>
  <c r="I240" i="6"/>
  <c r="I242" i="6" s="1"/>
  <c r="I243" i="6" s="1"/>
  <c r="I119" i="6"/>
  <c r="I203" i="6"/>
  <c r="I156" i="6"/>
  <c r="I158" i="6" s="1"/>
  <c r="I159" i="6" s="1"/>
  <c r="I98" i="6"/>
  <c r="I161" i="6"/>
  <c r="I30" i="6"/>
  <c r="I32" i="6" s="1"/>
  <c r="I33" i="6" s="1"/>
  <c r="I56" i="6"/>
  <c r="I51" i="6"/>
  <c r="I53" i="6" s="1"/>
  <c r="I54" i="6" s="1"/>
  <c r="I198" i="6"/>
  <c r="I200" i="6" s="1"/>
  <c r="I201" i="6" s="1"/>
  <c r="I77" i="6"/>
  <c r="I35" i="6"/>
  <c r="I72" i="6"/>
  <c r="I74" i="6" s="1"/>
  <c r="I75" i="6" s="1"/>
  <c r="I219" i="6"/>
  <c r="I221" i="6" s="1"/>
  <c r="I222" i="6" s="1"/>
  <c r="I140" i="6"/>
  <c r="I182" i="6"/>
  <c r="I224" i="6"/>
  <c r="I135" i="6"/>
  <c r="I137" i="6" s="1"/>
  <c r="I138" i="6" s="1"/>
  <c r="I245" i="6"/>
  <c r="I7" i="6"/>
  <c r="H15" i="6"/>
  <c r="H16" i="6" s="1"/>
  <c r="H17" i="6" s="1"/>
  <c r="I175" i="6"/>
  <c r="H183" i="6"/>
  <c r="H184" i="6" s="1"/>
  <c r="H185" i="6" s="1"/>
  <c r="J195" i="6"/>
  <c r="J216" i="6"/>
  <c r="J237" i="6"/>
  <c r="I217" i="6"/>
  <c r="I225" i="6" s="1"/>
  <c r="H226" i="6"/>
  <c r="H227" i="6" s="1"/>
  <c r="F229" i="6"/>
  <c r="G247" i="6"/>
  <c r="I238" i="6"/>
  <c r="I246" i="6" s="1"/>
  <c r="H247" i="6"/>
  <c r="H248" i="6" s="1"/>
  <c r="I196" i="6"/>
  <c r="I204" i="6" s="1"/>
  <c r="H205" i="6"/>
  <c r="H206" i="6" s="1"/>
  <c r="F206" i="6"/>
  <c r="I154" i="6"/>
  <c r="I162" i="6" s="1"/>
  <c r="H163" i="6"/>
  <c r="H164" i="6" s="1"/>
  <c r="H166" i="6" s="1"/>
  <c r="E166" i="6"/>
  <c r="E145" i="6"/>
  <c r="G142" i="6"/>
  <c r="I133" i="6"/>
  <c r="I141" i="6" s="1"/>
  <c r="H142" i="6"/>
  <c r="H143" i="6" s="1"/>
  <c r="I112" i="6"/>
  <c r="I120" i="6" s="1"/>
  <c r="H121" i="6"/>
  <c r="H122" i="6" s="1"/>
  <c r="I91" i="6"/>
  <c r="I99" i="6" s="1"/>
  <c r="I70" i="6"/>
  <c r="I78" i="6" s="1"/>
  <c r="H79" i="6"/>
  <c r="H80" i="6" s="1"/>
  <c r="I49" i="6"/>
  <c r="I57" i="6" s="1"/>
  <c r="H58" i="6"/>
  <c r="H59" i="6" s="1"/>
  <c r="E61" i="6"/>
  <c r="J6" i="6"/>
  <c r="I28" i="6"/>
  <c r="I36" i="6" s="1"/>
  <c r="H37" i="6"/>
  <c r="H38" i="6" s="1"/>
  <c r="H40" i="6" s="1"/>
  <c r="F187" i="6"/>
  <c r="J174" i="6"/>
  <c r="S376" i="5" l="1"/>
  <c r="T371" i="5"/>
  <c r="T380" i="5"/>
  <c r="S338" i="5"/>
  <c r="T342" i="5"/>
  <c r="T333" i="5"/>
  <c r="T261" i="5"/>
  <c r="T252" i="5"/>
  <c r="S257" i="5"/>
  <c r="S176" i="5"/>
  <c r="T171" i="5"/>
  <c r="T180" i="5"/>
  <c r="S98" i="5"/>
  <c r="T102" i="5"/>
  <c r="T93" i="5"/>
  <c r="Q219" i="5"/>
  <c r="P216" i="5"/>
  <c r="X59" i="5"/>
  <c r="H19" i="6"/>
  <c r="J14" i="6"/>
  <c r="H54" i="6"/>
  <c r="H61" i="6" s="1"/>
  <c r="H222" i="6"/>
  <c r="H229" i="6" s="1"/>
  <c r="H201" i="6"/>
  <c r="H117" i="6"/>
  <c r="H124" i="6" s="1"/>
  <c r="H96" i="6"/>
  <c r="H138" i="6"/>
  <c r="H145" i="6" s="1"/>
  <c r="H180" i="6"/>
  <c r="H187" i="6" s="1"/>
  <c r="H75" i="6"/>
  <c r="H82" i="6" s="1"/>
  <c r="H243" i="6"/>
  <c r="H250" i="6" s="1"/>
  <c r="I11" i="6"/>
  <c r="K1" i="6"/>
  <c r="J219" i="6"/>
  <c r="J72" i="6"/>
  <c r="J74" i="6" s="1"/>
  <c r="J75" i="6" s="1"/>
  <c r="J140" i="6"/>
  <c r="J198" i="6"/>
  <c r="J200" i="6" s="1"/>
  <c r="J201" i="6" s="1"/>
  <c r="J114" i="6"/>
  <c r="J30" i="6"/>
  <c r="J32" i="6" s="1"/>
  <c r="J33" i="6" s="1"/>
  <c r="J182" i="6"/>
  <c r="J77" i="6"/>
  <c r="J51" i="6"/>
  <c r="J177" i="6"/>
  <c r="J179" i="6" s="1"/>
  <c r="J180" i="6" s="1"/>
  <c r="J98" i="6"/>
  <c r="J161" i="6"/>
  <c r="J56" i="6"/>
  <c r="J35" i="6"/>
  <c r="J203" i="6"/>
  <c r="J119" i="6"/>
  <c r="J135" i="6"/>
  <c r="J137" i="6" s="1"/>
  <c r="J138" i="6" s="1"/>
  <c r="J9" i="6"/>
  <c r="J11" i="6" s="1"/>
  <c r="J12" i="6" s="1"/>
  <c r="J156" i="6"/>
  <c r="J158" i="6" s="1"/>
  <c r="J240" i="6"/>
  <c r="J242" i="6" s="1"/>
  <c r="J243" i="6" s="1"/>
  <c r="J245" i="6"/>
  <c r="J224" i="6"/>
  <c r="J93" i="6"/>
  <c r="J175" i="6"/>
  <c r="I183" i="6"/>
  <c r="I184" i="6" s="1"/>
  <c r="I185" i="6" s="1"/>
  <c r="I187" i="6" s="1"/>
  <c r="J7" i="6"/>
  <c r="I15" i="6"/>
  <c r="I16" i="6" s="1"/>
  <c r="I17" i="6" s="1"/>
  <c r="K216" i="6"/>
  <c r="K237" i="6"/>
  <c r="K195" i="6"/>
  <c r="J217" i="6"/>
  <c r="J225" i="6" s="1"/>
  <c r="I226" i="6"/>
  <c r="F208" i="6"/>
  <c r="J196" i="6"/>
  <c r="J204" i="6" s="1"/>
  <c r="I205" i="6"/>
  <c r="I206" i="6" s="1"/>
  <c r="I208" i="6" s="1"/>
  <c r="J238" i="6"/>
  <c r="J246" i="6" s="1"/>
  <c r="G248" i="6"/>
  <c r="J154" i="6"/>
  <c r="J162" i="6" s="1"/>
  <c r="I163" i="6"/>
  <c r="I164" i="6" s="1"/>
  <c r="I166" i="6" s="1"/>
  <c r="J133" i="6"/>
  <c r="J141" i="6" s="1"/>
  <c r="I142" i="6"/>
  <c r="I143" i="6" s="1"/>
  <c r="I145" i="6" s="1"/>
  <c r="G143" i="6"/>
  <c r="J112" i="6"/>
  <c r="J120" i="6" s="1"/>
  <c r="I121" i="6"/>
  <c r="I122" i="6" s="1"/>
  <c r="I124" i="6" s="1"/>
  <c r="J91" i="6"/>
  <c r="J99" i="6" s="1"/>
  <c r="I100" i="6"/>
  <c r="I101" i="6" s="1"/>
  <c r="I103" i="6" s="1"/>
  <c r="H100" i="6"/>
  <c r="J70" i="6"/>
  <c r="J78" i="6" s="1"/>
  <c r="J49" i="6"/>
  <c r="J57" i="6" s="1"/>
  <c r="K6" i="6"/>
  <c r="J28" i="6"/>
  <c r="J36" i="6" s="1"/>
  <c r="I37" i="6"/>
  <c r="I38" i="6" s="1"/>
  <c r="I40" i="6" s="1"/>
  <c r="K174" i="6"/>
  <c r="T381" i="5" l="1"/>
  <c r="T373" i="5"/>
  <c r="T335" i="5"/>
  <c r="T343" i="5"/>
  <c r="T254" i="5"/>
  <c r="T262" i="5"/>
  <c r="T173" i="5"/>
  <c r="T181" i="5"/>
  <c r="T103" i="5"/>
  <c r="T95" i="5"/>
  <c r="P217" i="5"/>
  <c r="Q212" i="5"/>
  <c r="Q222" i="5"/>
  <c r="X60" i="5"/>
  <c r="B59" i="5"/>
  <c r="K14" i="6"/>
  <c r="L1" i="6"/>
  <c r="K224" i="6"/>
  <c r="K51" i="6"/>
  <c r="K53" i="6" s="1"/>
  <c r="K54" i="6" s="1"/>
  <c r="K93" i="6"/>
  <c r="K95" i="6" s="1"/>
  <c r="K96" i="6" s="1"/>
  <c r="K219" i="6"/>
  <c r="K221" i="6" s="1"/>
  <c r="K222" i="6" s="1"/>
  <c r="K119" i="6"/>
  <c r="K245" i="6"/>
  <c r="K156" i="6"/>
  <c r="K114" i="6"/>
  <c r="K116" i="6" s="1"/>
  <c r="K117" i="6" s="1"/>
  <c r="K140" i="6"/>
  <c r="K135" i="6"/>
  <c r="K137" i="6" s="1"/>
  <c r="K138" i="6" s="1"/>
  <c r="K240" i="6"/>
  <c r="K242" i="6" s="1"/>
  <c r="K243" i="6" s="1"/>
  <c r="K56" i="6"/>
  <c r="K30" i="6"/>
  <c r="K32" i="6" s="1"/>
  <c r="K203" i="6"/>
  <c r="K77" i="6"/>
  <c r="K182" i="6"/>
  <c r="K98" i="6"/>
  <c r="K35" i="6"/>
  <c r="K161" i="6"/>
  <c r="K198" i="6"/>
  <c r="K200" i="6" s="1"/>
  <c r="K72" i="6"/>
  <c r="K74" i="6" s="1"/>
  <c r="K75" i="6" s="1"/>
  <c r="K9" i="6"/>
  <c r="K11" i="6" s="1"/>
  <c r="K12" i="6" s="1"/>
  <c r="K177" i="6"/>
  <c r="K179" i="6" s="1"/>
  <c r="K180" i="6" s="1"/>
  <c r="I12" i="6"/>
  <c r="I19" i="6" s="1"/>
  <c r="J53" i="6"/>
  <c r="H208" i="6"/>
  <c r="J221" i="6"/>
  <c r="J95" i="6"/>
  <c r="J116" i="6"/>
  <c r="J159" i="6"/>
  <c r="K7" i="6"/>
  <c r="J15" i="6"/>
  <c r="J16" i="6" s="1"/>
  <c r="K175" i="6"/>
  <c r="J183" i="6"/>
  <c r="J184" i="6" s="1"/>
  <c r="J185" i="6" s="1"/>
  <c r="J187" i="6" s="1"/>
  <c r="L237" i="6"/>
  <c r="L195" i="6"/>
  <c r="L216" i="6"/>
  <c r="K217" i="6"/>
  <c r="K225" i="6" s="1"/>
  <c r="J226" i="6"/>
  <c r="J227" i="6" s="1"/>
  <c r="G250" i="6"/>
  <c r="I247" i="6"/>
  <c r="K238" i="6"/>
  <c r="K246" i="6" s="1"/>
  <c r="J247" i="6"/>
  <c r="J248" i="6" s="1"/>
  <c r="J250" i="6" s="1"/>
  <c r="K196" i="6"/>
  <c r="K204" i="6" s="1"/>
  <c r="J205" i="6"/>
  <c r="J206" i="6" s="1"/>
  <c r="J208" i="6" s="1"/>
  <c r="I227" i="6"/>
  <c r="K154" i="6"/>
  <c r="K162" i="6" s="1"/>
  <c r="J163" i="6"/>
  <c r="J164" i="6" s="1"/>
  <c r="K133" i="6"/>
  <c r="K141" i="6" s="1"/>
  <c r="J142" i="6"/>
  <c r="J143" i="6" s="1"/>
  <c r="J145" i="6" s="1"/>
  <c r="G145" i="6"/>
  <c r="K112" i="6"/>
  <c r="K120" i="6" s="1"/>
  <c r="J121" i="6"/>
  <c r="H101" i="6"/>
  <c r="H103" i="6" s="1"/>
  <c r="K91" i="6"/>
  <c r="K99" i="6" s="1"/>
  <c r="J100" i="6"/>
  <c r="J101" i="6" s="1"/>
  <c r="K70" i="6"/>
  <c r="K78" i="6" s="1"/>
  <c r="J79" i="6"/>
  <c r="J80" i="6" s="1"/>
  <c r="J82" i="6" s="1"/>
  <c r="I79" i="6"/>
  <c r="I58" i="6"/>
  <c r="K49" i="6"/>
  <c r="K57" i="6" s="1"/>
  <c r="J58" i="6"/>
  <c r="J59" i="6" s="1"/>
  <c r="L6" i="6"/>
  <c r="K28" i="6"/>
  <c r="K36" i="6" s="1"/>
  <c r="J37" i="6"/>
  <c r="J38" i="6" s="1"/>
  <c r="J40" i="6" s="1"/>
  <c r="L174" i="6"/>
  <c r="T375" i="5" l="1"/>
  <c r="U378" i="5"/>
  <c r="U340" i="5"/>
  <c r="T337" i="5"/>
  <c r="U259" i="5"/>
  <c r="T256" i="5"/>
  <c r="U178" i="5"/>
  <c r="T175" i="5"/>
  <c r="T97" i="5"/>
  <c r="U100" i="5"/>
  <c r="Q223" i="5"/>
  <c r="Q214" i="5"/>
  <c r="B60" i="5"/>
  <c r="L14" i="6"/>
  <c r="J166" i="6"/>
  <c r="J222" i="6"/>
  <c r="J229" i="6" s="1"/>
  <c r="K158" i="6"/>
  <c r="J96" i="6"/>
  <c r="J54" i="6"/>
  <c r="J61" i="6" s="1"/>
  <c r="K201" i="6"/>
  <c r="K33" i="6"/>
  <c r="J117" i="6"/>
  <c r="M1" i="6"/>
  <c r="L93" i="6"/>
  <c r="L30" i="6"/>
  <c r="L32" i="6" s="1"/>
  <c r="L33" i="6" s="1"/>
  <c r="L72" i="6"/>
  <c r="L161" i="6"/>
  <c r="L177" i="6"/>
  <c r="L114" i="6"/>
  <c r="L140" i="6"/>
  <c r="L135" i="6"/>
  <c r="L137" i="6" s="1"/>
  <c r="L138" i="6" s="1"/>
  <c r="L240" i="6"/>
  <c r="L242" i="6" s="1"/>
  <c r="L243" i="6" s="1"/>
  <c r="L77" i="6"/>
  <c r="L98" i="6"/>
  <c r="L224" i="6"/>
  <c r="L56" i="6"/>
  <c r="L35" i="6"/>
  <c r="L219" i="6"/>
  <c r="L182" i="6"/>
  <c r="L51" i="6"/>
  <c r="L9" i="6"/>
  <c r="L156" i="6"/>
  <c r="L158" i="6" s="1"/>
  <c r="L159" i="6" s="1"/>
  <c r="L245" i="6"/>
  <c r="L119" i="6"/>
  <c r="L203" i="6"/>
  <c r="L198" i="6"/>
  <c r="L175" i="6"/>
  <c r="K183" i="6"/>
  <c r="K184" i="6" s="1"/>
  <c r="K185" i="6" s="1"/>
  <c r="K187" i="6" s="1"/>
  <c r="L7" i="6"/>
  <c r="K15" i="6"/>
  <c r="K16" i="6" s="1"/>
  <c r="K17" i="6" s="1"/>
  <c r="K19" i="6" s="1"/>
  <c r="M216" i="6"/>
  <c r="M195" i="6"/>
  <c r="M237" i="6"/>
  <c r="I229" i="6"/>
  <c r="L196" i="6"/>
  <c r="L204" i="6" s="1"/>
  <c r="K205" i="6"/>
  <c r="L238" i="6"/>
  <c r="L246" i="6" s="1"/>
  <c r="K247" i="6"/>
  <c r="K248" i="6" s="1"/>
  <c r="K250" i="6" s="1"/>
  <c r="I248" i="6"/>
  <c r="L217" i="6"/>
  <c r="L225" i="6" s="1"/>
  <c r="K226" i="6"/>
  <c r="K227" i="6" s="1"/>
  <c r="K229" i="6" s="1"/>
  <c r="L154" i="6"/>
  <c r="L162" i="6" s="1"/>
  <c r="K163" i="6"/>
  <c r="K164" i="6" s="1"/>
  <c r="L133" i="6"/>
  <c r="L141" i="6" s="1"/>
  <c r="K142" i="6"/>
  <c r="K143" i="6" s="1"/>
  <c r="K145" i="6" s="1"/>
  <c r="L112" i="6"/>
  <c r="L120" i="6" s="1"/>
  <c r="K121" i="6"/>
  <c r="K122" i="6" s="1"/>
  <c r="K124" i="6" s="1"/>
  <c r="J122" i="6"/>
  <c r="L91" i="6"/>
  <c r="L99" i="6" s="1"/>
  <c r="K100" i="6"/>
  <c r="K101" i="6" s="1"/>
  <c r="K103" i="6" s="1"/>
  <c r="I80" i="6"/>
  <c r="L70" i="6"/>
  <c r="L78" i="6" s="1"/>
  <c r="K79" i="6"/>
  <c r="K80" i="6" s="1"/>
  <c r="K82" i="6" s="1"/>
  <c r="I59" i="6"/>
  <c r="L49" i="6"/>
  <c r="L57" i="6" s="1"/>
  <c r="K58" i="6"/>
  <c r="K59" i="6" s="1"/>
  <c r="K61" i="6" s="1"/>
  <c r="J17" i="6"/>
  <c r="M6" i="6"/>
  <c r="L28" i="6"/>
  <c r="L36" i="6" s="1"/>
  <c r="K37" i="6"/>
  <c r="K38" i="6" s="1"/>
  <c r="M174" i="6"/>
  <c r="U380" i="5" l="1"/>
  <c r="U371" i="5"/>
  <c r="T376" i="5"/>
  <c r="T338" i="5"/>
  <c r="U342" i="5"/>
  <c r="U333" i="5"/>
  <c r="T257" i="5"/>
  <c r="U261" i="5"/>
  <c r="U252" i="5"/>
  <c r="T176" i="5"/>
  <c r="U171" i="5"/>
  <c r="U180" i="5"/>
  <c r="U93" i="5"/>
  <c r="U102" i="5"/>
  <c r="T98" i="5"/>
  <c r="Q216" i="5"/>
  <c r="R219" i="5"/>
  <c r="M14" i="6"/>
  <c r="L179" i="6"/>
  <c r="L116" i="6"/>
  <c r="L200" i="6"/>
  <c r="L74" i="6"/>
  <c r="L53" i="6"/>
  <c r="L95" i="6"/>
  <c r="N1" i="6"/>
  <c r="M93" i="6"/>
  <c r="M95" i="6" s="1"/>
  <c r="M96" i="6" s="1"/>
  <c r="M119" i="6"/>
  <c r="M140" i="6"/>
  <c r="M35" i="6"/>
  <c r="M98" i="6"/>
  <c r="M203" i="6"/>
  <c r="M161" i="6"/>
  <c r="M219" i="6"/>
  <c r="M221" i="6" s="1"/>
  <c r="M222" i="6" s="1"/>
  <c r="M198" i="6"/>
  <c r="M200" i="6" s="1"/>
  <c r="M201" i="6" s="1"/>
  <c r="M114" i="6"/>
  <c r="M116" i="6" s="1"/>
  <c r="M117" i="6" s="1"/>
  <c r="M135" i="6"/>
  <c r="M72" i="6"/>
  <c r="M74" i="6" s="1"/>
  <c r="M75" i="6" s="1"/>
  <c r="M240" i="6"/>
  <c r="M51" i="6"/>
  <c r="M53" i="6" s="1"/>
  <c r="M54" i="6" s="1"/>
  <c r="M156" i="6"/>
  <c r="M158" i="6" s="1"/>
  <c r="M159" i="6" s="1"/>
  <c r="M224" i="6"/>
  <c r="M56" i="6"/>
  <c r="M77" i="6"/>
  <c r="M9" i="6"/>
  <c r="M11" i="6" s="1"/>
  <c r="M12" i="6" s="1"/>
  <c r="M30" i="6"/>
  <c r="M32" i="6" s="1"/>
  <c r="M33" i="6" s="1"/>
  <c r="M182" i="6"/>
  <c r="M245" i="6"/>
  <c r="M177" i="6"/>
  <c r="M179" i="6" s="1"/>
  <c r="M180" i="6" s="1"/>
  <c r="L221" i="6"/>
  <c r="K40" i="6"/>
  <c r="K159" i="6"/>
  <c r="L11" i="6"/>
  <c r="J103" i="6"/>
  <c r="M7" i="6"/>
  <c r="L15" i="6"/>
  <c r="L16" i="6" s="1"/>
  <c r="L17" i="6" s="1"/>
  <c r="M175" i="6"/>
  <c r="L183" i="6"/>
  <c r="L184" i="6" s="1"/>
  <c r="L185" i="6" s="1"/>
  <c r="N237" i="6"/>
  <c r="N195" i="6"/>
  <c r="N216" i="6"/>
  <c r="I250" i="6"/>
  <c r="M238" i="6"/>
  <c r="M246" i="6" s="1"/>
  <c r="L247" i="6"/>
  <c r="L248" i="6" s="1"/>
  <c r="L250" i="6" s="1"/>
  <c r="K206" i="6"/>
  <c r="M196" i="6"/>
  <c r="M204" i="6" s="1"/>
  <c r="M217" i="6"/>
  <c r="M225" i="6" s="1"/>
  <c r="L226" i="6"/>
  <c r="L227" i="6" s="1"/>
  <c r="M154" i="6"/>
  <c r="M162" i="6" s="1"/>
  <c r="L163" i="6"/>
  <c r="L164" i="6" s="1"/>
  <c r="L166" i="6" s="1"/>
  <c r="M133" i="6"/>
  <c r="M141" i="6" s="1"/>
  <c r="L142" i="6"/>
  <c r="J124" i="6"/>
  <c r="M112" i="6"/>
  <c r="M120" i="6" s="1"/>
  <c r="L121" i="6"/>
  <c r="L122" i="6" s="1"/>
  <c r="M91" i="6"/>
  <c r="M99" i="6" s="1"/>
  <c r="M70" i="6"/>
  <c r="M78" i="6" s="1"/>
  <c r="L79" i="6"/>
  <c r="L80" i="6" s="1"/>
  <c r="I82" i="6"/>
  <c r="M49" i="6"/>
  <c r="M57" i="6" s="1"/>
  <c r="L58" i="6"/>
  <c r="L59" i="6" s="1"/>
  <c r="I61" i="6"/>
  <c r="N6" i="6"/>
  <c r="J19" i="6"/>
  <c r="M28" i="6"/>
  <c r="M36" i="6" s="1"/>
  <c r="L37" i="6"/>
  <c r="L38" i="6" s="1"/>
  <c r="L40" i="6" s="1"/>
  <c r="N174" i="6"/>
  <c r="U373" i="5" l="1"/>
  <c r="U381" i="5"/>
  <c r="U343" i="5"/>
  <c r="U335" i="5"/>
  <c r="U262" i="5"/>
  <c r="U254" i="5"/>
  <c r="U173" i="5"/>
  <c r="U181" i="5"/>
  <c r="U103" i="5"/>
  <c r="U95" i="5"/>
  <c r="R222" i="5"/>
  <c r="R212" i="5"/>
  <c r="Q217" i="5"/>
  <c r="N14" i="6"/>
  <c r="L54" i="6"/>
  <c r="L61" i="6" s="1"/>
  <c r="M137" i="6"/>
  <c r="M242" i="6"/>
  <c r="L222" i="6"/>
  <c r="L229" i="6" s="1"/>
  <c r="L75" i="6"/>
  <c r="L96" i="6"/>
  <c r="L201" i="6"/>
  <c r="L117" i="6"/>
  <c r="K166" i="6"/>
  <c r="L180" i="6"/>
  <c r="L12" i="6"/>
  <c r="L19" i="6" s="1"/>
  <c r="O1" i="6"/>
  <c r="N9" i="6"/>
  <c r="N11" i="6" s="1"/>
  <c r="N12" i="6" s="1"/>
  <c r="N77" i="6"/>
  <c r="N114" i="6"/>
  <c r="N116" i="6" s="1"/>
  <c r="N117" i="6" s="1"/>
  <c r="N72" i="6"/>
  <c r="N74" i="6" s="1"/>
  <c r="N75" i="6" s="1"/>
  <c r="N135" i="6"/>
  <c r="N137" i="6" s="1"/>
  <c r="N138" i="6" s="1"/>
  <c r="N198" i="6"/>
  <c r="N200" i="6" s="1"/>
  <c r="N201" i="6" s="1"/>
  <c r="N203" i="6"/>
  <c r="N30" i="6"/>
  <c r="N32" i="6" s="1"/>
  <c r="N240" i="6"/>
  <c r="N242" i="6" s="1"/>
  <c r="N243" i="6" s="1"/>
  <c r="N93" i="6"/>
  <c r="N95" i="6" s="1"/>
  <c r="N96" i="6" s="1"/>
  <c r="N219" i="6"/>
  <c r="N140" i="6"/>
  <c r="N56" i="6"/>
  <c r="N35" i="6"/>
  <c r="N161" i="6"/>
  <c r="N119" i="6"/>
  <c r="N98" i="6"/>
  <c r="N51" i="6"/>
  <c r="N53" i="6" s="1"/>
  <c r="N54" i="6" s="1"/>
  <c r="N245" i="6"/>
  <c r="N224" i="6"/>
  <c r="N182" i="6"/>
  <c r="N177" i="6"/>
  <c r="N179" i="6" s="1"/>
  <c r="N180" i="6" s="1"/>
  <c r="N156" i="6"/>
  <c r="N158" i="6" s="1"/>
  <c r="N175" i="6"/>
  <c r="M183" i="6"/>
  <c r="M184" i="6" s="1"/>
  <c r="M185" i="6" s="1"/>
  <c r="M187" i="6" s="1"/>
  <c r="N7" i="6"/>
  <c r="M15" i="6"/>
  <c r="M16" i="6" s="1"/>
  <c r="M17" i="6" s="1"/>
  <c r="M19" i="6" s="1"/>
  <c r="O216" i="6"/>
  <c r="O195" i="6"/>
  <c r="O237" i="6"/>
  <c r="L205" i="6"/>
  <c r="N196" i="6"/>
  <c r="N204" i="6" s="1"/>
  <c r="M205" i="6"/>
  <c r="M206" i="6" s="1"/>
  <c r="M208" i="6" s="1"/>
  <c r="K208" i="6"/>
  <c r="N238" i="6"/>
  <c r="N246" i="6" s="1"/>
  <c r="M247" i="6"/>
  <c r="M248" i="6" s="1"/>
  <c r="N217" i="6"/>
  <c r="N225" i="6" s="1"/>
  <c r="M226" i="6"/>
  <c r="M227" i="6" s="1"/>
  <c r="M229" i="6" s="1"/>
  <c r="N154" i="6"/>
  <c r="N162" i="6" s="1"/>
  <c r="M163" i="6"/>
  <c r="M164" i="6" s="1"/>
  <c r="M166" i="6" s="1"/>
  <c r="L143" i="6"/>
  <c r="N133" i="6"/>
  <c r="N141" i="6" s="1"/>
  <c r="M142" i="6"/>
  <c r="M143" i="6" s="1"/>
  <c r="N112" i="6"/>
  <c r="N120" i="6" s="1"/>
  <c r="M121" i="6"/>
  <c r="M122" i="6" s="1"/>
  <c r="M124" i="6" s="1"/>
  <c r="L100" i="6"/>
  <c r="L101" i="6" s="1"/>
  <c r="N91" i="6"/>
  <c r="N99" i="6" s="1"/>
  <c r="M100" i="6"/>
  <c r="M101" i="6" s="1"/>
  <c r="M103" i="6" s="1"/>
  <c r="N70" i="6"/>
  <c r="N78" i="6" s="1"/>
  <c r="M79" i="6"/>
  <c r="M80" i="6" s="1"/>
  <c r="M82" i="6" s="1"/>
  <c r="N49" i="6"/>
  <c r="N57" i="6" s="1"/>
  <c r="M58" i="6"/>
  <c r="M59" i="6" s="1"/>
  <c r="M61" i="6" s="1"/>
  <c r="O6" i="6"/>
  <c r="N28" i="6"/>
  <c r="N36" i="6" s="1"/>
  <c r="M37" i="6"/>
  <c r="M38" i="6" s="1"/>
  <c r="M40" i="6" s="1"/>
  <c r="O174" i="6"/>
  <c r="V378" i="5" l="1"/>
  <c r="U375" i="5"/>
  <c r="U337" i="5"/>
  <c r="V340" i="5"/>
  <c r="U256" i="5"/>
  <c r="V259" i="5"/>
  <c r="V178" i="5"/>
  <c r="U175" i="5"/>
  <c r="U97" i="5"/>
  <c r="V100" i="5"/>
  <c r="R214" i="5"/>
  <c r="R223" i="5"/>
  <c r="O14" i="6"/>
  <c r="N221" i="6"/>
  <c r="N33" i="6"/>
  <c r="L187" i="6"/>
  <c r="N159" i="6"/>
  <c r="M243" i="6"/>
  <c r="M250" i="6" s="1"/>
  <c r="M138" i="6"/>
  <c r="M145" i="6" s="1"/>
  <c r="L103" i="6"/>
  <c r="P1" i="6"/>
  <c r="O240" i="6"/>
  <c r="O242" i="6" s="1"/>
  <c r="O243" i="6" s="1"/>
  <c r="O30" i="6"/>
  <c r="O32" i="6" s="1"/>
  <c r="O33" i="6" s="1"/>
  <c r="O98" i="6"/>
  <c r="O182" i="6"/>
  <c r="O177" i="6"/>
  <c r="O179" i="6" s="1"/>
  <c r="O93" i="6"/>
  <c r="O219" i="6"/>
  <c r="O221" i="6" s="1"/>
  <c r="O222" i="6" s="1"/>
  <c r="O203" i="6"/>
  <c r="O119" i="6"/>
  <c r="O114" i="6"/>
  <c r="O116" i="6" s="1"/>
  <c r="O117" i="6" s="1"/>
  <c r="O198" i="6"/>
  <c r="O200" i="6" s="1"/>
  <c r="O201" i="6" s="1"/>
  <c r="O224" i="6"/>
  <c r="O161" i="6"/>
  <c r="O51" i="6"/>
  <c r="O53" i="6" s="1"/>
  <c r="O54" i="6" s="1"/>
  <c r="O245" i="6"/>
  <c r="O77" i="6"/>
  <c r="O56" i="6"/>
  <c r="O140" i="6"/>
  <c r="O135" i="6"/>
  <c r="O137" i="6" s="1"/>
  <c r="O138" i="6" s="1"/>
  <c r="O9" i="6"/>
  <c r="O11" i="6" s="1"/>
  <c r="O12" i="6" s="1"/>
  <c r="O35" i="6"/>
  <c r="O156" i="6"/>
  <c r="O158" i="6" s="1"/>
  <c r="O159" i="6" s="1"/>
  <c r="O72" i="6"/>
  <c r="O74" i="6" s="1"/>
  <c r="L82" i="6"/>
  <c r="L124" i="6"/>
  <c r="O7" i="6"/>
  <c r="N15" i="6"/>
  <c r="N16" i="6" s="1"/>
  <c r="N17" i="6" s="1"/>
  <c r="N19" i="6" s="1"/>
  <c r="O175" i="6"/>
  <c r="N183" i="6"/>
  <c r="N184" i="6" s="1"/>
  <c r="N185" i="6" s="1"/>
  <c r="N187" i="6" s="1"/>
  <c r="P237" i="6"/>
  <c r="P195" i="6"/>
  <c r="P216" i="6"/>
  <c r="O238" i="6"/>
  <c r="O246" i="6" s="1"/>
  <c r="N247" i="6"/>
  <c r="N248" i="6" s="1"/>
  <c r="N250" i="6" s="1"/>
  <c r="O196" i="6"/>
  <c r="O204" i="6" s="1"/>
  <c r="N205" i="6"/>
  <c r="N206" i="6" s="1"/>
  <c r="N208" i="6" s="1"/>
  <c r="L206" i="6"/>
  <c r="O217" i="6"/>
  <c r="O225" i="6" s="1"/>
  <c r="N226" i="6"/>
  <c r="N227" i="6" s="1"/>
  <c r="O154" i="6"/>
  <c r="O162" i="6" s="1"/>
  <c r="N163" i="6"/>
  <c r="N164" i="6" s="1"/>
  <c r="O133" i="6"/>
  <c r="O141" i="6" s="1"/>
  <c r="N142" i="6"/>
  <c r="N143" i="6" s="1"/>
  <c r="N145" i="6" s="1"/>
  <c r="L145" i="6"/>
  <c r="O112" i="6"/>
  <c r="O120" i="6" s="1"/>
  <c r="N121" i="6"/>
  <c r="N122" i="6" s="1"/>
  <c r="N124" i="6" s="1"/>
  <c r="O91" i="6"/>
  <c r="O99" i="6" s="1"/>
  <c r="N100" i="6"/>
  <c r="N101" i="6" s="1"/>
  <c r="N103" i="6" s="1"/>
  <c r="O70" i="6"/>
  <c r="O78" i="6" s="1"/>
  <c r="N79" i="6"/>
  <c r="N80" i="6" s="1"/>
  <c r="N82" i="6" s="1"/>
  <c r="O49" i="6"/>
  <c r="O57" i="6" s="1"/>
  <c r="N58" i="6"/>
  <c r="N59" i="6" s="1"/>
  <c r="N61" i="6" s="1"/>
  <c r="P6" i="6"/>
  <c r="P14" i="6" s="1"/>
  <c r="O28" i="6"/>
  <c r="O36" i="6" s="1"/>
  <c r="N37" i="6"/>
  <c r="N38" i="6" s="1"/>
  <c r="P174" i="6"/>
  <c r="N40" i="6" l="1"/>
  <c r="U376" i="5"/>
  <c r="V380" i="5"/>
  <c r="V371" i="5"/>
  <c r="V333" i="5"/>
  <c r="V342" i="5"/>
  <c r="U338" i="5"/>
  <c r="V252" i="5"/>
  <c r="V261" i="5"/>
  <c r="U257" i="5"/>
  <c r="U176" i="5"/>
  <c r="V180" i="5"/>
  <c r="V171" i="5"/>
  <c r="V102" i="5"/>
  <c r="V93" i="5"/>
  <c r="U98" i="5"/>
  <c r="S219" i="5"/>
  <c r="R216" i="5"/>
  <c r="N166" i="6"/>
  <c r="O95" i="6"/>
  <c r="O180" i="6"/>
  <c r="Q1" i="6"/>
  <c r="P72" i="6"/>
  <c r="P74" i="6" s="1"/>
  <c r="P75" i="6" s="1"/>
  <c r="P35" i="6"/>
  <c r="P56" i="6"/>
  <c r="P240" i="6"/>
  <c r="P242" i="6" s="1"/>
  <c r="P93" i="6"/>
  <c r="P95" i="6" s="1"/>
  <c r="P96" i="6" s="1"/>
  <c r="P198" i="6"/>
  <c r="P200" i="6" s="1"/>
  <c r="P201" i="6" s="1"/>
  <c r="P119" i="6"/>
  <c r="P135" i="6"/>
  <c r="P137" i="6" s="1"/>
  <c r="P138" i="6" s="1"/>
  <c r="P114" i="6"/>
  <c r="P116" i="6" s="1"/>
  <c r="P117" i="6" s="1"/>
  <c r="P161" i="6"/>
  <c r="P51" i="6"/>
  <c r="P53" i="6" s="1"/>
  <c r="P54" i="6" s="1"/>
  <c r="P98" i="6"/>
  <c r="P224" i="6"/>
  <c r="P77" i="6"/>
  <c r="P203" i="6"/>
  <c r="P9" i="6"/>
  <c r="P11" i="6" s="1"/>
  <c r="P140" i="6"/>
  <c r="P156" i="6"/>
  <c r="P158" i="6" s="1"/>
  <c r="P159" i="6" s="1"/>
  <c r="P245" i="6"/>
  <c r="P182" i="6"/>
  <c r="P30" i="6"/>
  <c r="P32" i="6" s="1"/>
  <c r="P33" i="6" s="1"/>
  <c r="P177" i="6"/>
  <c r="P179" i="6" s="1"/>
  <c r="P180" i="6" s="1"/>
  <c r="P219" i="6"/>
  <c r="P221" i="6" s="1"/>
  <c r="P222" i="6" s="1"/>
  <c r="O75" i="6"/>
  <c r="N222" i="6"/>
  <c r="N229" i="6" s="1"/>
  <c r="P175" i="6"/>
  <c r="O183" i="6"/>
  <c r="O184" i="6" s="1"/>
  <c r="O185" i="6" s="1"/>
  <c r="P7" i="6"/>
  <c r="O15" i="6"/>
  <c r="O16" i="6" s="1"/>
  <c r="O17" i="6" s="1"/>
  <c r="O19" i="6" s="1"/>
  <c r="Q216" i="6"/>
  <c r="Q195" i="6"/>
  <c r="Q237" i="6"/>
  <c r="P217" i="6"/>
  <c r="P225" i="6" s="1"/>
  <c r="O226" i="6"/>
  <c r="O227" i="6" s="1"/>
  <c r="O229" i="6" s="1"/>
  <c r="L208" i="6"/>
  <c r="P196" i="6"/>
  <c r="P204" i="6" s="1"/>
  <c r="O205" i="6"/>
  <c r="O206" i="6" s="1"/>
  <c r="O208" i="6" s="1"/>
  <c r="P238" i="6"/>
  <c r="P246" i="6" s="1"/>
  <c r="O247" i="6"/>
  <c r="O248" i="6" s="1"/>
  <c r="P154" i="6"/>
  <c r="P162" i="6" s="1"/>
  <c r="O163" i="6"/>
  <c r="O164" i="6" s="1"/>
  <c r="O166" i="6" s="1"/>
  <c r="P133" i="6"/>
  <c r="P141" i="6" s="1"/>
  <c r="O142" i="6"/>
  <c r="O143" i="6" s="1"/>
  <c r="O145" i="6" s="1"/>
  <c r="P112" i="6"/>
  <c r="P120" i="6" s="1"/>
  <c r="O121" i="6"/>
  <c r="O122" i="6" s="1"/>
  <c r="O124" i="6" s="1"/>
  <c r="P91" i="6"/>
  <c r="P99" i="6" s="1"/>
  <c r="O100" i="6"/>
  <c r="O101" i="6" s="1"/>
  <c r="P70" i="6"/>
  <c r="P78" i="6" s="1"/>
  <c r="O79" i="6"/>
  <c r="O80" i="6" s="1"/>
  <c r="P49" i="6"/>
  <c r="P57" i="6" s="1"/>
  <c r="Q6" i="6"/>
  <c r="Q14" i="6" s="1"/>
  <c r="P28" i="6"/>
  <c r="P36" i="6" s="1"/>
  <c r="O37" i="6"/>
  <c r="O38" i="6" s="1"/>
  <c r="O40" i="6" s="1"/>
  <c r="Q174" i="6"/>
  <c r="O187" i="6" l="1"/>
  <c r="V373" i="5"/>
  <c r="V381" i="5"/>
  <c r="V343" i="5"/>
  <c r="V335" i="5"/>
  <c r="V262" i="5"/>
  <c r="V254" i="5"/>
  <c r="V181" i="5"/>
  <c r="V173" i="5"/>
  <c r="V95" i="5"/>
  <c r="V103" i="5"/>
  <c r="R217" i="5"/>
  <c r="S212" i="5"/>
  <c r="S222" i="5"/>
  <c r="P243" i="6"/>
  <c r="P12" i="6"/>
  <c r="R1" i="6"/>
  <c r="Q240" i="6"/>
  <c r="Q242" i="6" s="1"/>
  <c r="Q243" i="6" s="1"/>
  <c r="Q119" i="6"/>
  <c r="Q93" i="6"/>
  <c r="Q95" i="6" s="1"/>
  <c r="Q96" i="6" s="1"/>
  <c r="Q156" i="6"/>
  <c r="Q158" i="6" s="1"/>
  <c r="Q159" i="6" s="1"/>
  <c r="Q35" i="6"/>
  <c r="Q114" i="6"/>
  <c r="Q116" i="6" s="1"/>
  <c r="Q117" i="6" s="1"/>
  <c r="Q72" i="6"/>
  <c r="Q74" i="6" s="1"/>
  <c r="Q75" i="6" s="1"/>
  <c r="Q177" i="6"/>
  <c r="Q179" i="6" s="1"/>
  <c r="Q180" i="6" s="1"/>
  <c r="Q203" i="6"/>
  <c r="Q77" i="6"/>
  <c r="Q56" i="6"/>
  <c r="Q198" i="6"/>
  <c r="Q200" i="6" s="1"/>
  <c r="Q201" i="6" s="1"/>
  <c r="Q140" i="6"/>
  <c r="Q98" i="6"/>
  <c r="Q9" i="6"/>
  <c r="Q11" i="6" s="1"/>
  <c r="Q12" i="6" s="1"/>
  <c r="Q245" i="6"/>
  <c r="Q30" i="6"/>
  <c r="Q32" i="6" s="1"/>
  <c r="Q33" i="6" s="1"/>
  <c r="Q161" i="6"/>
  <c r="Q51" i="6"/>
  <c r="Q53" i="6" s="1"/>
  <c r="Q54" i="6" s="1"/>
  <c r="Q219" i="6"/>
  <c r="Q221" i="6" s="1"/>
  <c r="Q222" i="6" s="1"/>
  <c r="Q224" i="6"/>
  <c r="Q135" i="6"/>
  <c r="Q137" i="6" s="1"/>
  <c r="Q138" i="6" s="1"/>
  <c r="Q182" i="6"/>
  <c r="O82" i="6"/>
  <c r="O96" i="6"/>
  <c r="O103" i="6" s="1"/>
  <c r="Q7" i="6"/>
  <c r="P15" i="6"/>
  <c r="P16" i="6" s="1"/>
  <c r="P17" i="6" s="1"/>
  <c r="Q175" i="6"/>
  <c r="P183" i="6"/>
  <c r="P184" i="6" s="1"/>
  <c r="P185" i="6" s="1"/>
  <c r="P187" i="6" s="1"/>
  <c r="R237" i="6"/>
  <c r="R195" i="6"/>
  <c r="R216" i="6"/>
  <c r="O250" i="6"/>
  <c r="Q238" i="6"/>
  <c r="Q246" i="6" s="1"/>
  <c r="P247" i="6"/>
  <c r="P248" i="6" s="1"/>
  <c r="Q196" i="6"/>
  <c r="Q204" i="6" s="1"/>
  <c r="P205" i="6"/>
  <c r="P206" i="6" s="1"/>
  <c r="P208" i="6" s="1"/>
  <c r="Q217" i="6"/>
  <c r="Q225" i="6" s="1"/>
  <c r="P226" i="6"/>
  <c r="P227" i="6" s="1"/>
  <c r="P229" i="6" s="1"/>
  <c r="Q154" i="6"/>
  <c r="Q162" i="6" s="1"/>
  <c r="P163" i="6"/>
  <c r="P164" i="6" s="1"/>
  <c r="P166" i="6" s="1"/>
  <c r="Q133" i="6"/>
  <c r="Q141" i="6" s="1"/>
  <c r="P142" i="6"/>
  <c r="P143" i="6" s="1"/>
  <c r="P145" i="6" s="1"/>
  <c r="Q112" i="6"/>
  <c r="Q120" i="6" s="1"/>
  <c r="P121" i="6"/>
  <c r="P122" i="6" s="1"/>
  <c r="P124" i="6" s="1"/>
  <c r="Q91" i="6"/>
  <c r="Q99" i="6" s="1"/>
  <c r="P100" i="6"/>
  <c r="P101" i="6" s="1"/>
  <c r="P103" i="6" s="1"/>
  <c r="Q70" i="6"/>
  <c r="Q78" i="6" s="1"/>
  <c r="P79" i="6"/>
  <c r="P80" i="6" s="1"/>
  <c r="P82" i="6" s="1"/>
  <c r="O58" i="6"/>
  <c r="O59" i="6" s="1"/>
  <c r="O61" i="6" s="1"/>
  <c r="Q49" i="6"/>
  <c r="Q57" i="6" s="1"/>
  <c r="P58" i="6"/>
  <c r="P59" i="6" s="1"/>
  <c r="P61" i="6" s="1"/>
  <c r="R6" i="6"/>
  <c r="R14" i="6" s="1"/>
  <c r="Q28" i="6"/>
  <c r="Q36" i="6" s="1"/>
  <c r="P37" i="6"/>
  <c r="P38" i="6" s="1"/>
  <c r="P40" i="6" s="1"/>
  <c r="R174" i="6"/>
  <c r="P19" i="6" l="1"/>
  <c r="P250" i="6"/>
  <c r="W378" i="5"/>
  <c r="V375" i="5"/>
  <c r="V337" i="5"/>
  <c r="W340" i="5"/>
  <c r="V256" i="5"/>
  <c r="W259" i="5"/>
  <c r="V175" i="5"/>
  <c r="W178" i="5"/>
  <c r="V97" i="5"/>
  <c r="W100" i="5"/>
  <c r="S214" i="5"/>
  <c r="S223" i="5"/>
  <c r="S1" i="6"/>
  <c r="R35" i="6"/>
  <c r="R51" i="6"/>
  <c r="R53" i="6" s="1"/>
  <c r="R54" i="6" s="1"/>
  <c r="R56" i="6"/>
  <c r="R198" i="6"/>
  <c r="R200" i="6" s="1"/>
  <c r="R201" i="6" s="1"/>
  <c r="R119" i="6"/>
  <c r="R156" i="6"/>
  <c r="R158" i="6" s="1"/>
  <c r="R159" i="6" s="1"/>
  <c r="R135" i="6"/>
  <c r="R137" i="6" s="1"/>
  <c r="R138" i="6" s="1"/>
  <c r="R240" i="6"/>
  <c r="R242" i="6" s="1"/>
  <c r="R243" i="6" s="1"/>
  <c r="R245" i="6"/>
  <c r="R182" i="6"/>
  <c r="R77" i="6"/>
  <c r="R219" i="6"/>
  <c r="R221" i="6" s="1"/>
  <c r="R222" i="6" s="1"/>
  <c r="R140" i="6"/>
  <c r="R72" i="6"/>
  <c r="R74" i="6" s="1"/>
  <c r="R75" i="6" s="1"/>
  <c r="R224" i="6"/>
  <c r="R161" i="6"/>
  <c r="R98" i="6"/>
  <c r="R114" i="6"/>
  <c r="R116" i="6" s="1"/>
  <c r="R117" i="6" s="1"/>
  <c r="R30" i="6"/>
  <c r="R32" i="6" s="1"/>
  <c r="R33" i="6" s="1"/>
  <c r="R9" i="6"/>
  <c r="R11" i="6" s="1"/>
  <c r="R12" i="6" s="1"/>
  <c r="R203" i="6"/>
  <c r="R93" i="6"/>
  <c r="R95" i="6" s="1"/>
  <c r="R96" i="6" s="1"/>
  <c r="R177" i="6"/>
  <c r="R179" i="6" s="1"/>
  <c r="R180" i="6" s="1"/>
  <c r="R175" i="6"/>
  <c r="Q183" i="6"/>
  <c r="Q184" i="6" s="1"/>
  <c r="Q185" i="6" s="1"/>
  <c r="Q187" i="6" s="1"/>
  <c r="R7" i="6"/>
  <c r="Q15" i="6"/>
  <c r="Q16" i="6" s="1"/>
  <c r="Q17" i="6" s="1"/>
  <c r="Q19" i="6" s="1"/>
  <c r="S216" i="6"/>
  <c r="S195" i="6"/>
  <c r="S237" i="6"/>
  <c r="R217" i="6"/>
  <c r="R225" i="6" s="1"/>
  <c r="Q226" i="6"/>
  <c r="Q227" i="6" s="1"/>
  <c r="Q229" i="6" s="1"/>
  <c r="R196" i="6"/>
  <c r="R204" i="6" s="1"/>
  <c r="Q205" i="6"/>
  <c r="Q206" i="6" s="1"/>
  <c r="Q208" i="6" s="1"/>
  <c r="R238" i="6"/>
  <c r="R246" i="6" s="1"/>
  <c r="Q247" i="6"/>
  <c r="Q248" i="6" s="1"/>
  <c r="Q250" i="6" s="1"/>
  <c r="R154" i="6"/>
  <c r="R162" i="6" s="1"/>
  <c r="Q163" i="6"/>
  <c r="Q164" i="6" s="1"/>
  <c r="Q166" i="6" s="1"/>
  <c r="R133" i="6"/>
  <c r="R141" i="6" s="1"/>
  <c r="Q142" i="6"/>
  <c r="Q143" i="6" s="1"/>
  <c r="Q145" i="6" s="1"/>
  <c r="R112" i="6"/>
  <c r="R120" i="6" s="1"/>
  <c r="Q121" i="6"/>
  <c r="Q122" i="6" s="1"/>
  <c r="Q124" i="6" s="1"/>
  <c r="R91" i="6"/>
  <c r="R99" i="6" s="1"/>
  <c r="Q100" i="6"/>
  <c r="Q101" i="6" s="1"/>
  <c r="Q103" i="6" s="1"/>
  <c r="R70" i="6"/>
  <c r="R78" i="6" s="1"/>
  <c r="Q79" i="6"/>
  <c r="Q80" i="6" s="1"/>
  <c r="Q82" i="6" s="1"/>
  <c r="R49" i="6"/>
  <c r="R57" i="6" s="1"/>
  <c r="Q58" i="6"/>
  <c r="Q59" i="6" s="1"/>
  <c r="Q61" i="6" s="1"/>
  <c r="S6" i="6"/>
  <c r="S14" i="6" s="1"/>
  <c r="R28" i="6"/>
  <c r="R36" i="6" s="1"/>
  <c r="Q37" i="6"/>
  <c r="Q38" i="6" s="1"/>
  <c r="Q40" i="6" s="1"/>
  <c r="S174" i="6"/>
  <c r="V376" i="5" l="1"/>
  <c r="W380" i="5"/>
  <c r="W371" i="5"/>
  <c r="V338" i="5"/>
  <c r="W333" i="5"/>
  <c r="W342" i="5"/>
  <c r="V257" i="5"/>
  <c r="W261" i="5"/>
  <c r="W252" i="5"/>
  <c r="V176" i="5"/>
  <c r="W171" i="5"/>
  <c r="W180" i="5"/>
  <c r="W93" i="5"/>
  <c r="W102" i="5"/>
  <c r="V98" i="5"/>
  <c r="S216" i="5"/>
  <c r="T219" i="5"/>
  <c r="T1" i="6"/>
  <c r="S177" i="6"/>
  <c r="S179" i="6" s="1"/>
  <c r="S180" i="6" s="1"/>
  <c r="S161" i="6"/>
  <c r="S219" i="6"/>
  <c r="S221" i="6" s="1"/>
  <c r="S222" i="6" s="1"/>
  <c r="S114" i="6"/>
  <c r="S116" i="6" s="1"/>
  <c r="S117" i="6" s="1"/>
  <c r="S30" i="6"/>
  <c r="S32" i="6" s="1"/>
  <c r="S33" i="6" s="1"/>
  <c r="S182" i="6"/>
  <c r="S51" i="6"/>
  <c r="S53" i="6" s="1"/>
  <c r="S54" i="6" s="1"/>
  <c r="S135" i="6"/>
  <c r="S137" i="6" s="1"/>
  <c r="S138" i="6" s="1"/>
  <c r="S93" i="6"/>
  <c r="S95" i="6" s="1"/>
  <c r="S96" i="6" s="1"/>
  <c r="S77" i="6"/>
  <c r="S72" i="6"/>
  <c r="S74" i="6" s="1"/>
  <c r="S75" i="6" s="1"/>
  <c r="S140" i="6"/>
  <c r="S224" i="6"/>
  <c r="S9" i="6"/>
  <c r="S11" i="6" s="1"/>
  <c r="S12" i="6" s="1"/>
  <c r="S56" i="6"/>
  <c r="S203" i="6"/>
  <c r="S119" i="6"/>
  <c r="S98" i="6"/>
  <c r="S156" i="6"/>
  <c r="S158" i="6" s="1"/>
  <c r="S159" i="6" s="1"/>
  <c r="S35" i="6"/>
  <c r="S245" i="6"/>
  <c r="S198" i="6"/>
  <c r="S200" i="6" s="1"/>
  <c r="S201" i="6" s="1"/>
  <c r="S240" i="6"/>
  <c r="S242" i="6" s="1"/>
  <c r="S243" i="6" s="1"/>
  <c r="S7" i="6"/>
  <c r="R15" i="6"/>
  <c r="R16" i="6" s="1"/>
  <c r="R17" i="6" s="1"/>
  <c r="R19" i="6" s="1"/>
  <c r="S175" i="6"/>
  <c r="R183" i="6"/>
  <c r="R184" i="6" s="1"/>
  <c r="R185" i="6" s="1"/>
  <c r="R187" i="6" s="1"/>
  <c r="T237" i="6"/>
  <c r="T195" i="6"/>
  <c r="T216" i="6"/>
  <c r="S238" i="6"/>
  <c r="S246" i="6" s="1"/>
  <c r="R247" i="6"/>
  <c r="R248" i="6" s="1"/>
  <c r="R250" i="6" s="1"/>
  <c r="S196" i="6"/>
  <c r="S204" i="6" s="1"/>
  <c r="R205" i="6"/>
  <c r="R206" i="6" s="1"/>
  <c r="R208" i="6" s="1"/>
  <c r="S217" i="6"/>
  <c r="S225" i="6" s="1"/>
  <c r="R226" i="6"/>
  <c r="R227" i="6" s="1"/>
  <c r="R229" i="6" s="1"/>
  <c r="S154" i="6"/>
  <c r="S162" i="6" s="1"/>
  <c r="R163" i="6"/>
  <c r="R164" i="6" s="1"/>
  <c r="R166" i="6" s="1"/>
  <c r="S133" i="6"/>
  <c r="S141" i="6" s="1"/>
  <c r="R142" i="6"/>
  <c r="R143" i="6" s="1"/>
  <c r="R145" i="6" s="1"/>
  <c r="S112" i="6"/>
  <c r="S120" i="6" s="1"/>
  <c r="R121" i="6"/>
  <c r="R122" i="6" s="1"/>
  <c r="R124" i="6" s="1"/>
  <c r="S91" i="6"/>
  <c r="S99" i="6" s="1"/>
  <c r="R100" i="6"/>
  <c r="R101" i="6" s="1"/>
  <c r="R103" i="6" s="1"/>
  <c r="S70" i="6"/>
  <c r="S78" i="6" s="1"/>
  <c r="R79" i="6"/>
  <c r="R80" i="6" s="1"/>
  <c r="R82" i="6" s="1"/>
  <c r="S49" i="6"/>
  <c r="S57" i="6" s="1"/>
  <c r="R58" i="6"/>
  <c r="R59" i="6" s="1"/>
  <c r="R61" i="6" s="1"/>
  <c r="T6" i="6"/>
  <c r="T14" i="6" s="1"/>
  <c r="S28" i="6"/>
  <c r="S36" i="6" s="1"/>
  <c r="R37" i="6"/>
  <c r="R38" i="6" s="1"/>
  <c r="R40" i="6" s="1"/>
  <c r="T174" i="6"/>
  <c r="W381" i="5" l="1"/>
  <c r="W373" i="5"/>
  <c r="W335" i="5"/>
  <c r="W343" i="5"/>
  <c r="W254" i="5"/>
  <c r="W262" i="5"/>
  <c r="W173" i="5"/>
  <c r="W181" i="5"/>
  <c r="W103" i="5"/>
  <c r="W95" i="5"/>
  <c r="T212" i="5"/>
  <c r="T222" i="5"/>
  <c r="S217" i="5"/>
  <c r="U1" i="6"/>
  <c r="T93" i="6"/>
  <c r="T95" i="6" s="1"/>
  <c r="T96" i="6" s="1"/>
  <c r="T51" i="6"/>
  <c r="T53" i="6" s="1"/>
  <c r="T54" i="6" s="1"/>
  <c r="T240" i="6"/>
  <c r="T242" i="6" s="1"/>
  <c r="T243" i="6" s="1"/>
  <c r="T219" i="6"/>
  <c r="T221" i="6" s="1"/>
  <c r="T222" i="6" s="1"/>
  <c r="T72" i="6"/>
  <c r="T74" i="6" s="1"/>
  <c r="T75" i="6" s="1"/>
  <c r="T9" i="6"/>
  <c r="T11" i="6" s="1"/>
  <c r="T12" i="6" s="1"/>
  <c r="T161" i="6"/>
  <c r="T156" i="6"/>
  <c r="T158" i="6" s="1"/>
  <c r="T159" i="6" s="1"/>
  <c r="T114" i="6"/>
  <c r="T116" i="6" s="1"/>
  <c r="T117" i="6" s="1"/>
  <c r="T203" i="6"/>
  <c r="T245" i="6"/>
  <c r="T119" i="6"/>
  <c r="T224" i="6"/>
  <c r="T77" i="6"/>
  <c r="T56" i="6"/>
  <c r="T35" i="6"/>
  <c r="T140" i="6"/>
  <c r="T98" i="6"/>
  <c r="T198" i="6"/>
  <c r="T200" i="6" s="1"/>
  <c r="T201" i="6" s="1"/>
  <c r="T135" i="6"/>
  <c r="T137" i="6" s="1"/>
  <c r="T138" i="6" s="1"/>
  <c r="T182" i="6"/>
  <c r="T177" i="6"/>
  <c r="T179" i="6" s="1"/>
  <c r="T180" i="6" s="1"/>
  <c r="T30" i="6"/>
  <c r="T32" i="6" s="1"/>
  <c r="T33" i="6" s="1"/>
  <c r="T175" i="6"/>
  <c r="S183" i="6"/>
  <c r="S184" i="6" s="1"/>
  <c r="S185" i="6" s="1"/>
  <c r="S187" i="6" s="1"/>
  <c r="T7" i="6"/>
  <c r="S15" i="6"/>
  <c r="S16" i="6" s="1"/>
  <c r="S17" i="6" s="1"/>
  <c r="S19" i="6" s="1"/>
  <c r="U216" i="6"/>
  <c r="U195" i="6"/>
  <c r="U237" i="6"/>
  <c r="T217" i="6"/>
  <c r="T225" i="6" s="1"/>
  <c r="S226" i="6"/>
  <c r="S227" i="6" s="1"/>
  <c r="S229" i="6" s="1"/>
  <c r="T196" i="6"/>
  <c r="T204" i="6" s="1"/>
  <c r="T238" i="6"/>
  <c r="T246" i="6" s="1"/>
  <c r="T154" i="6"/>
  <c r="T162" i="6" s="1"/>
  <c r="T133" i="6"/>
  <c r="T141" i="6" s="1"/>
  <c r="S142" i="6"/>
  <c r="S143" i="6" s="1"/>
  <c r="S145" i="6" s="1"/>
  <c r="T112" i="6"/>
  <c r="T120" i="6" s="1"/>
  <c r="S121" i="6"/>
  <c r="S122" i="6" s="1"/>
  <c r="S124" i="6" s="1"/>
  <c r="T91" i="6"/>
  <c r="T99" i="6" s="1"/>
  <c r="T70" i="6"/>
  <c r="T78" i="6" s="1"/>
  <c r="S79" i="6"/>
  <c r="S80" i="6" s="1"/>
  <c r="S82" i="6" s="1"/>
  <c r="T49" i="6"/>
  <c r="T57" i="6" s="1"/>
  <c r="S58" i="6"/>
  <c r="S59" i="6" s="1"/>
  <c r="S61" i="6" s="1"/>
  <c r="U6" i="6"/>
  <c r="T28" i="6"/>
  <c r="T36" i="6" s="1"/>
  <c r="S37" i="6"/>
  <c r="S38" i="6" s="1"/>
  <c r="S40" i="6" s="1"/>
  <c r="U174" i="6"/>
  <c r="U14" i="6" l="1"/>
  <c r="W375" i="5"/>
  <c r="X378" i="5"/>
  <c r="X340" i="5"/>
  <c r="W337" i="5"/>
  <c r="X259" i="5"/>
  <c r="W256" i="5"/>
  <c r="X178" i="5"/>
  <c r="W175" i="5"/>
  <c r="W97" i="5"/>
  <c r="X100" i="5"/>
  <c r="T214" i="5"/>
  <c r="T223" i="5"/>
  <c r="V1" i="6"/>
  <c r="U156" i="6"/>
  <c r="U158" i="6" s="1"/>
  <c r="U159" i="6" s="1"/>
  <c r="U119" i="6"/>
  <c r="U219" i="6"/>
  <c r="U221" i="6" s="1"/>
  <c r="U222" i="6" s="1"/>
  <c r="U135" i="6"/>
  <c r="U137" i="6" s="1"/>
  <c r="U138" i="6" s="1"/>
  <c r="U30" i="6"/>
  <c r="U32" i="6" s="1"/>
  <c r="U33" i="6" s="1"/>
  <c r="U203" i="6"/>
  <c r="U51" i="6"/>
  <c r="U53" i="6" s="1"/>
  <c r="U54" i="6" s="1"/>
  <c r="U245" i="6"/>
  <c r="U114" i="6"/>
  <c r="U116" i="6" s="1"/>
  <c r="U117" i="6" s="1"/>
  <c r="U224" i="6"/>
  <c r="U9" i="6"/>
  <c r="U11" i="6" s="1"/>
  <c r="U12" i="6" s="1"/>
  <c r="U198" i="6"/>
  <c r="U200" i="6" s="1"/>
  <c r="U201" i="6" s="1"/>
  <c r="U56" i="6"/>
  <c r="U35" i="6"/>
  <c r="U240" i="6"/>
  <c r="U242" i="6" s="1"/>
  <c r="U243" i="6" s="1"/>
  <c r="U161" i="6"/>
  <c r="U98" i="6"/>
  <c r="U140" i="6"/>
  <c r="U182" i="6"/>
  <c r="U72" i="6"/>
  <c r="U74" i="6" s="1"/>
  <c r="U75" i="6" s="1"/>
  <c r="U77" i="6"/>
  <c r="U177" i="6"/>
  <c r="U179" i="6" s="1"/>
  <c r="U180" i="6" s="1"/>
  <c r="U93" i="6"/>
  <c r="U95" i="6" s="1"/>
  <c r="U96" i="6" s="1"/>
  <c r="U7" i="6"/>
  <c r="T15" i="6"/>
  <c r="T16" i="6" s="1"/>
  <c r="T17" i="6" s="1"/>
  <c r="T19" i="6" s="1"/>
  <c r="U175" i="6"/>
  <c r="T183" i="6"/>
  <c r="T184" i="6" s="1"/>
  <c r="T185" i="6" s="1"/>
  <c r="T187" i="6" s="1"/>
  <c r="V195" i="6"/>
  <c r="V237" i="6"/>
  <c r="V216" i="6"/>
  <c r="S247" i="6"/>
  <c r="S248" i="6" s="1"/>
  <c r="S250" i="6" s="1"/>
  <c r="U238" i="6"/>
  <c r="U246" i="6" s="1"/>
  <c r="T247" i="6"/>
  <c r="T248" i="6" s="1"/>
  <c r="T250" i="6" s="1"/>
  <c r="S205" i="6"/>
  <c r="S206" i="6" s="1"/>
  <c r="S208" i="6" s="1"/>
  <c r="U196" i="6"/>
  <c r="U204" i="6" s="1"/>
  <c r="T205" i="6"/>
  <c r="T206" i="6" s="1"/>
  <c r="T208" i="6" s="1"/>
  <c r="U217" i="6"/>
  <c r="U225" i="6" s="1"/>
  <c r="T226" i="6"/>
  <c r="T227" i="6" s="1"/>
  <c r="T229" i="6" s="1"/>
  <c r="S163" i="6"/>
  <c r="S164" i="6" s="1"/>
  <c r="S166" i="6" s="1"/>
  <c r="U154" i="6"/>
  <c r="U162" i="6" s="1"/>
  <c r="T163" i="6"/>
  <c r="T164" i="6" s="1"/>
  <c r="T166" i="6" s="1"/>
  <c r="U133" i="6"/>
  <c r="U141" i="6" s="1"/>
  <c r="T142" i="6"/>
  <c r="T143" i="6" s="1"/>
  <c r="T145" i="6" s="1"/>
  <c r="U112" i="6"/>
  <c r="U120" i="6" s="1"/>
  <c r="T121" i="6"/>
  <c r="T122" i="6" s="1"/>
  <c r="T124" i="6" s="1"/>
  <c r="S100" i="6"/>
  <c r="S101" i="6" s="1"/>
  <c r="U91" i="6"/>
  <c r="U99" i="6" s="1"/>
  <c r="T100" i="6"/>
  <c r="T101" i="6" s="1"/>
  <c r="T103" i="6" s="1"/>
  <c r="U70" i="6"/>
  <c r="U78" i="6" s="1"/>
  <c r="T79" i="6"/>
  <c r="T80" i="6" s="1"/>
  <c r="T82" i="6" s="1"/>
  <c r="U49" i="6"/>
  <c r="U57" i="6" s="1"/>
  <c r="T58" i="6"/>
  <c r="T59" i="6" s="1"/>
  <c r="T61" i="6" s="1"/>
  <c r="V6" i="6"/>
  <c r="U28" i="6"/>
  <c r="U36" i="6" s="1"/>
  <c r="T37" i="6"/>
  <c r="T38" i="6" s="1"/>
  <c r="T40" i="6" s="1"/>
  <c r="V174" i="6"/>
  <c r="V14" i="6" l="1"/>
  <c r="X371" i="5"/>
  <c r="X380" i="5"/>
  <c r="W376" i="5"/>
  <c r="W338" i="5"/>
  <c r="X333" i="5"/>
  <c r="X342" i="5"/>
  <c r="W257" i="5"/>
  <c r="X252" i="5"/>
  <c r="X261" i="5"/>
  <c r="X171" i="5"/>
  <c r="X180" i="5"/>
  <c r="W176" i="5"/>
  <c r="X93" i="5"/>
  <c r="X102" i="5"/>
  <c r="W98" i="5"/>
  <c r="U219" i="5"/>
  <c r="T216" i="5"/>
  <c r="W1" i="6"/>
  <c r="V135" i="6"/>
  <c r="V137" i="6" s="1"/>
  <c r="V138" i="6" s="1"/>
  <c r="V119" i="6"/>
  <c r="V93" i="6"/>
  <c r="V95" i="6" s="1"/>
  <c r="V96" i="6" s="1"/>
  <c r="V9" i="6"/>
  <c r="V11" i="6" s="1"/>
  <c r="V12" i="6" s="1"/>
  <c r="V51" i="6"/>
  <c r="V53" i="6" s="1"/>
  <c r="V54" i="6" s="1"/>
  <c r="V198" i="6"/>
  <c r="V200" i="6" s="1"/>
  <c r="V201" i="6" s="1"/>
  <c r="V177" i="6"/>
  <c r="V179" i="6" s="1"/>
  <c r="V180" i="6" s="1"/>
  <c r="V98" i="6"/>
  <c r="V224" i="6"/>
  <c r="V72" i="6"/>
  <c r="V74" i="6" s="1"/>
  <c r="V75" i="6" s="1"/>
  <c r="V56" i="6"/>
  <c r="V161" i="6"/>
  <c r="V30" i="6"/>
  <c r="V32" i="6" s="1"/>
  <c r="V33" i="6" s="1"/>
  <c r="V219" i="6"/>
  <c r="V221" i="6" s="1"/>
  <c r="V222" i="6" s="1"/>
  <c r="V35" i="6"/>
  <c r="V77" i="6"/>
  <c r="V114" i="6"/>
  <c r="V116" i="6" s="1"/>
  <c r="V117" i="6" s="1"/>
  <c r="V182" i="6"/>
  <c r="V245" i="6"/>
  <c r="V140" i="6"/>
  <c r="V156" i="6"/>
  <c r="V158" i="6" s="1"/>
  <c r="V159" i="6" s="1"/>
  <c r="V240" i="6"/>
  <c r="V242" i="6" s="1"/>
  <c r="V243" i="6" s="1"/>
  <c r="V203" i="6"/>
  <c r="V175" i="6"/>
  <c r="U183" i="6"/>
  <c r="U184" i="6" s="1"/>
  <c r="U185" i="6" s="1"/>
  <c r="U187" i="6" s="1"/>
  <c r="V7" i="6"/>
  <c r="U15" i="6"/>
  <c r="U16" i="6" s="1"/>
  <c r="U17" i="6" s="1"/>
  <c r="U19" i="6" s="1"/>
  <c r="W216" i="6"/>
  <c r="W237" i="6"/>
  <c r="W195" i="6"/>
  <c r="V217" i="6"/>
  <c r="V225" i="6" s="1"/>
  <c r="U226" i="6"/>
  <c r="U227" i="6" s="1"/>
  <c r="U229" i="6" s="1"/>
  <c r="V196" i="6"/>
  <c r="V204" i="6" s="1"/>
  <c r="U205" i="6"/>
  <c r="U206" i="6" s="1"/>
  <c r="U208" i="6" s="1"/>
  <c r="V238" i="6"/>
  <c r="V246" i="6" s="1"/>
  <c r="U247" i="6"/>
  <c r="U248" i="6" s="1"/>
  <c r="U250" i="6" s="1"/>
  <c r="V154" i="6"/>
  <c r="V162" i="6" s="1"/>
  <c r="U163" i="6"/>
  <c r="U164" i="6" s="1"/>
  <c r="U166" i="6" s="1"/>
  <c r="V133" i="6"/>
  <c r="V141" i="6" s="1"/>
  <c r="U142" i="6"/>
  <c r="U143" i="6" s="1"/>
  <c r="U145" i="6" s="1"/>
  <c r="V112" i="6"/>
  <c r="V120" i="6" s="1"/>
  <c r="U121" i="6"/>
  <c r="U122" i="6" s="1"/>
  <c r="U124" i="6" s="1"/>
  <c r="S103" i="6"/>
  <c r="V91" i="6"/>
  <c r="V99" i="6" s="1"/>
  <c r="U100" i="6"/>
  <c r="U101" i="6" s="1"/>
  <c r="U103" i="6" s="1"/>
  <c r="V70" i="6"/>
  <c r="V78" i="6" s="1"/>
  <c r="U79" i="6"/>
  <c r="U80" i="6" s="1"/>
  <c r="U82" i="6" s="1"/>
  <c r="V49" i="6"/>
  <c r="V57" i="6" s="1"/>
  <c r="U58" i="6"/>
  <c r="U59" i="6" s="1"/>
  <c r="U61" i="6" s="1"/>
  <c r="W6" i="6"/>
  <c r="W14" i="6" s="1"/>
  <c r="V28" i="6"/>
  <c r="V36" i="6" s="1"/>
  <c r="U37" i="6"/>
  <c r="U38" i="6" s="1"/>
  <c r="U40" i="6" s="1"/>
  <c r="W174" i="6"/>
  <c r="X381" i="5" l="1"/>
  <c r="X373" i="5"/>
  <c r="X343" i="5"/>
  <c r="X335" i="5"/>
  <c r="X254" i="5"/>
  <c r="X262" i="5"/>
  <c r="X181" i="5"/>
  <c r="X173" i="5"/>
  <c r="X103" i="5"/>
  <c r="X95" i="5"/>
  <c r="T217" i="5"/>
  <c r="U212" i="5"/>
  <c r="U222" i="5"/>
  <c r="X1" i="6"/>
  <c r="W30" i="6"/>
  <c r="W32" i="6" s="1"/>
  <c r="W33" i="6" s="1"/>
  <c r="W72" i="6"/>
  <c r="W74" i="6" s="1"/>
  <c r="W75" i="6" s="1"/>
  <c r="W135" i="6"/>
  <c r="W137" i="6" s="1"/>
  <c r="W138" i="6" s="1"/>
  <c r="W198" i="6"/>
  <c r="W200" i="6" s="1"/>
  <c r="W201" i="6" s="1"/>
  <c r="W114" i="6"/>
  <c r="W116" i="6" s="1"/>
  <c r="W117" i="6" s="1"/>
  <c r="W51" i="6"/>
  <c r="W53" i="6" s="1"/>
  <c r="W54" i="6" s="1"/>
  <c r="W35" i="6"/>
  <c r="W119" i="6"/>
  <c r="W9" i="6"/>
  <c r="W11" i="6" s="1"/>
  <c r="W12" i="6" s="1"/>
  <c r="W245" i="6"/>
  <c r="W77" i="6"/>
  <c r="W156" i="6"/>
  <c r="W158" i="6" s="1"/>
  <c r="W159" i="6" s="1"/>
  <c r="W177" i="6"/>
  <c r="W179" i="6" s="1"/>
  <c r="W180" i="6" s="1"/>
  <c r="W98" i="6"/>
  <c r="W161" i="6"/>
  <c r="W56" i="6"/>
  <c r="W240" i="6"/>
  <c r="W242" i="6" s="1"/>
  <c r="W243" i="6" s="1"/>
  <c r="W219" i="6"/>
  <c r="W221" i="6" s="1"/>
  <c r="W222" i="6" s="1"/>
  <c r="W182" i="6"/>
  <c r="W224" i="6"/>
  <c r="W93" i="6"/>
  <c r="W95" i="6" s="1"/>
  <c r="W96" i="6" s="1"/>
  <c r="W140" i="6"/>
  <c r="W203" i="6"/>
  <c r="W7" i="6"/>
  <c r="V15" i="6"/>
  <c r="V16" i="6" s="1"/>
  <c r="V17" i="6" s="1"/>
  <c r="V19" i="6" s="1"/>
  <c r="W175" i="6"/>
  <c r="V183" i="6"/>
  <c r="V184" i="6" s="1"/>
  <c r="V185" i="6" s="1"/>
  <c r="V187" i="6" s="1"/>
  <c r="X195" i="6"/>
  <c r="X237" i="6"/>
  <c r="X216" i="6"/>
  <c r="B416" i="5"/>
  <c r="W238" i="6"/>
  <c r="W246" i="6" s="1"/>
  <c r="V247" i="6"/>
  <c r="V248" i="6" s="1"/>
  <c r="V250" i="6" s="1"/>
  <c r="W196" i="6"/>
  <c r="W204" i="6" s="1"/>
  <c r="V205" i="6"/>
  <c r="V206" i="6" s="1"/>
  <c r="V208" i="6" s="1"/>
  <c r="W217" i="6"/>
  <c r="W225" i="6" s="1"/>
  <c r="V226" i="6"/>
  <c r="V227" i="6" s="1"/>
  <c r="V229" i="6" s="1"/>
  <c r="W154" i="6"/>
  <c r="W162" i="6" s="1"/>
  <c r="V163" i="6"/>
  <c r="V164" i="6" s="1"/>
  <c r="V166" i="6" s="1"/>
  <c r="W133" i="6"/>
  <c r="W141" i="6" s="1"/>
  <c r="V142" i="6"/>
  <c r="V143" i="6" s="1"/>
  <c r="V145" i="6" s="1"/>
  <c r="W112" i="6"/>
  <c r="W120" i="6" s="1"/>
  <c r="V121" i="6"/>
  <c r="V122" i="6" s="1"/>
  <c r="V124" i="6" s="1"/>
  <c r="W91" i="6"/>
  <c r="W99" i="6" s="1"/>
  <c r="V100" i="6"/>
  <c r="V101" i="6" s="1"/>
  <c r="V103" i="6" s="1"/>
  <c r="W70" i="6"/>
  <c r="W78" i="6" s="1"/>
  <c r="V79" i="6"/>
  <c r="V80" i="6" s="1"/>
  <c r="V82" i="6" s="1"/>
  <c r="W49" i="6"/>
  <c r="W57" i="6" s="1"/>
  <c r="V58" i="6"/>
  <c r="V59" i="6" s="1"/>
  <c r="V61" i="6" s="1"/>
  <c r="X6" i="6"/>
  <c r="X14" i="6" s="1"/>
  <c r="W28" i="6"/>
  <c r="W36" i="6" s="1"/>
  <c r="V37" i="6"/>
  <c r="V38" i="6" s="1"/>
  <c r="V40" i="6" s="1"/>
  <c r="X174" i="6"/>
  <c r="X375" i="5" l="1"/>
  <c r="X337" i="5"/>
  <c r="X256" i="5"/>
  <c r="X175" i="5"/>
  <c r="X97" i="5"/>
  <c r="U223" i="5"/>
  <c r="U214" i="5"/>
  <c r="X240" i="6"/>
  <c r="X98" i="6"/>
  <c r="D98" i="6" s="1"/>
  <c r="X119" i="6"/>
  <c r="D119" i="6" s="1"/>
  <c r="X219" i="6"/>
  <c r="X245" i="6"/>
  <c r="D245" i="6" s="1"/>
  <c r="X30" i="6"/>
  <c r="D30" i="6" s="1"/>
  <c r="X198" i="6"/>
  <c r="X224" i="6"/>
  <c r="D224" i="6" s="1"/>
  <c r="X177" i="6"/>
  <c r="X72" i="6"/>
  <c r="X56" i="6"/>
  <c r="D56" i="6" s="1"/>
  <c r="X140" i="6"/>
  <c r="D140" i="6" s="1"/>
  <c r="X35" i="6"/>
  <c r="D35" i="6" s="1"/>
  <c r="X161" i="6"/>
  <c r="D161" i="6" s="1"/>
  <c r="X156" i="6"/>
  <c r="X77" i="6"/>
  <c r="D77" i="6" s="1"/>
  <c r="X182" i="6"/>
  <c r="D182" i="6" s="1"/>
  <c r="X135" i="6"/>
  <c r="X203" i="6"/>
  <c r="D203" i="6" s="1"/>
  <c r="X9" i="6"/>
  <c r="X93" i="6"/>
  <c r="X114" i="6"/>
  <c r="X51" i="6"/>
  <c r="X175" i="6"/>
  <c r="X183" i="6" s="1"/>
  <c r="W183" i="6"/>
  <c r="W184" i="6" s="1"/>
  <c r="W185" i="6" s="1"/>
  <c r="W187" i="6" s="1"/>
  <c r="X7" i="6"/>
  <c r="X15" i="6" s="1"/>
  <c r="W15" i="6"/>
  <c r="W16" i="6" s="1"/>
  <c r="W17" i="6" s="1"/>
  <c r="W19" i="6" s="1"/>
  <c r="X217" i="6"/>
  <c r="W226" i="6"/>
  <c r="W227" i="6" s="1"/>
  <c r="W229" i="6" s="1"/>
  <c r="X196" i="6"/>
  <c r="X204" i="6" s="1"/>
  <c r="W205" i="6"/>
  <c r="W206" i="6" s="1"/>
  <c r="W208" i="6" s="1"/>
  <c r="X238" i="6"/>
  <c r="W247" i="6"/>
  <c r="W248" i="6" s="1"/>
  <c r="W250" i="6" s="1"/>
  <c r="X154" i="6"/>
  <c r="X162" i="6" s="1"/>
  <c r="W163" i="6"/>
  <c r="W164" i="6" s="1"/>
  <c r="W166" i="6" s="1"/>
  <c r="X133" i="6"/>
  <c r="X141" i="6" s="1"/>
  <c r="W142" i="6"/>
  <c r="W143" i="6" s="1"/>
  <c r="W145" i="6" s="1"/>
  <c r="X112" i="6"/>
  <c r="X120" i="6" s="1"/>
  <c r="W121" i="6"/>
  <c r="W122" i="6" s="1"/>
  <c r="W124" i="6" s="1"/>
  <c r="X91" i="6"/>
  <c r="X99" i="6" s="1"/>
  <c r="W100" i="6"/>
  <c r="W101" i="6" s="1"/>
  <c r="X70" i="6"/>
  <c r="X78" i="6" s="1"/>
  <c r="W79" i="6"/>
  <c r="W80" i="6" s="1"/>
  <c r="W82" i="6" s="1"/>
  <c r="X49" i="6"/>
  <c r="X57" i="6" s="1"/>
  <c r="W58" i="6"/>
  <c r="W59" i="6" s="1"/>
  <c r="W61" i="6" s="1"/>
  <c r="X28" i="6"/>
  <c r="X36" i="6" s="1"/>
  <c r="W37" i="6"/>
  <c r="W38" i="6" s="1"/>
  <c r="W40" i="6" s="1"/>
  <c r="X376" i="5" l="1"/>
  <c r="B375" i="5"/>
  <c r="X338" i="5"/>
  <c r="B337" i="5"/>
  <c r="X257" i="5"/>
  <c r="B256" i="5"/>
  <c r="X176" i="5"/>
  <c r="B175" i="5"/>
  <c r="X98" i="5"/>
  <c r="B97" i="5"/>
  <c r="U216" i="5"/>
  <c r="V219" i="5"/>
  <c r="D183" i="6"/>
  <c r="X74" i="6"/>
  <c r="D72" i="6"/>
  <c r="X158" i="6"/>
  <c r="D156" i="6"/>
  <c r="X179" i="6"/>
  <c r="D177" i="6"/>
  <c r="X53" i="6"/>
  <c r="D51" i="6"/>
  <c r="X200" i="6"/>
  <c r="D198" i="6"/>
  <c r="X95" i="6"/>
  <c r="D93" i="6"/>
  <c r="X11" i="6"/>
  <c r="D9" i="6"/>
  <c r="X221" i="6"/>
  <c r="D219" i="6"/>
  <c r="X137" i="6"/>
  <c r="D135" i="6"/>
  <c r="D15" i="6"/>
  <c r="X242" i="6"/>
  <c r="D240" i="6"/>
  <c r="X116" i="6"/>
  <c r="D114" i="6"/>
  <c r="X32" i="6"/>
  <c r="X246" i="6"/>
  <c r="D246" i="6" s="1"/>
  <c r="X225" i="6"/>
  <c r="D225" i="6" s="1"/>
  <c r="D204" i="6"/>
  <c r="B417" i="5"/>
  <c r="X184" i="6"/>
  <c r="X185" i="6" s="1"/>
  <c r="X247" i="6"/>
  <c r="X205" i="6"/>
  <c r="X226" i="6"/>
  <c r="X163" i="6"/>
  <c r="D162" i="6"/>
  <c r="X142" i="6"/>
  <c r="D141" i="6"/>
  <c r="X121" i="6"/>
  <c r="D120" i="6"/>
  <c r="W103" i="6"/>
  <c r="X100" i="6"/>
  <c r="D99" i="6"/>
  <c r="X79" i="6"/>
  <c r="D78" i="6"/>
  <c r="X58" i="6"/>
  <c r="D57" i="6"/>
  <c r="X16" i="6"/>
  <c r="D14" i="6"/>
  <c r="X37" i="6"/>
  <c r="D36" i="6"/>
  <c r="B376" i="5" l="1"/>
  <c r="B338" i="5"/>
  <c r="B257" i="5"/>
  <c r="B176" i="5"/>
  <c r="B98" i="5"/>
  <c r="V212" i="5"/>
  <c r="V222" i="5"/>
  <c r="U217" i="5"/>
  <c r="X12" i="6"/>
  <c r="D12" i="6" s="1"/>
  <c r="D11" i="6"/>
  <c r="X96" i="6"/>
  <c r="D96" i="6" s="1"/>
  <c r="D95" i="6"/>
  <c r="X201" i="6"/>
  <c r="D201" i="6" s="1"/>
  <c r="D210" i="6" s="1"/>
  <c r="D200" i="6"/>
  <c r="X54" i="6"/>
  <c r="D54" i="6" s="1"/>
  <c r="D53" i="6"/>
  <c r="X222" i="6"/>
  <c r="D222" i="6" s="1"/>
  <c r="D221" i="6"/>
  <c r="X180" i="6"/>
  <c r="D180" i="6" s="1"/>
  <c r="D179" i="6"/>
  <c r="X243" i="6"/>
  <c r="D243" i="6" s="1"/>
  <c r="D242" i="6"/>
  <c r="X159" i="6"/>
  <c r="D159" i="6" s="1"/>
  <c r="D158" i="6"/>
  <c r="X33" i="6"/>
  <c r="D33" i="6" s="1"/>
  <c r="D32" i="6"/>
  <c r="X117" i="6"/>
  <c r="D117" i="6" s="1"/>
  <c r="D116" i="6"/>
  <c r="X138" i="6"/>
  <c r="D138" i="6" s="1"/>
  <c r="D137" i="6"/>
  <c r="X75" i="6"/>
  <c r="D75" i="6" s="1"/>
  <c r="D74" i="6"/>
  <c r="D184" i="6"/>
  <c r="X227" i="6"/>
  <c r="D226" i="6"/>
  <c r="X206" i="6"/>
  <c r="D205" i="6"/>
  <c r="X248" i="6"/>
  <c r="D247" i="6"/>
  <c r="X164" i="6"/>
  <c r="D163" i="6"/>
  <c r="X143" i="6"/>
  <c r="D142" i="6"/>
  <c r="X122" i="6"/>
  <c r="D121" i="6"/>
  <c r="X101" i="6"/>
  <c r="D100" i="6"/>
  <c r="X80" i="6"/>
  <c r="D79" i="6"/>
  <c r="X59" i="6"/>
  <c r="D58" i="6"/>
  <c r="X17" i="6"/>
  <c r="D16" i="6"/>
  <c r="X38" i="6"/>
  <c r="D37" i="6"/>
  <c r="D185" i="6"/>
  <c r="D190" i="6" s="1"/>
  <c r="X187" i="6" l="1"/>
  <c r="D187" i="6" s="1"/>
  <c r="D191" i="6" s="1"/>
  <c r="X3" i="17" s="1"/>
  <c r="V223" i="5"/>
  <c r="V214" i="5"/>
  <c r="D252" i="6"/>
  <c r="D251" i="6"/>
  <c r="N3" i="17" s="1"/>
  <c r="D188" i="6"/>
  <c r="K3" i="17" s="1"/>
  <c r="D189" i="6"/>
  <c r="D230" i="6"/>
  <c r="M3" i="17" s="1"/>
  <c r="D231" i="6"/>
  <c r="D84" i="6"/>
  <c r="D83" i="6"/>
  <c r="F3" i="17" s="1"/>
  <c r="D63" i="6"/>
  <c r="D62" i="6"/>
  <c r="E3" i="17" s="1"/>
  <c r="D146" i="6"/>
  <c r="I3" i="17" s="1"/>
  <c r="D147" i="6"/>
  <c r="D209" i="6"/>
  <c r="L3" i="17" s="1"/>
  <c r="D167" i="6"/>
  <c r="J3" i="17" s="1"/>
  <c r="D168" i="6"/>
  <c r="D125" i="6"/>
  <c r="H3" i="17" s="1"/>
  <c r="D126" i="6"/>
  <c r="D104" i="6"/>
  <c r="G3" i="17" s="1"/>
  <c r="D105" i="6"/>
  <c r="D42" i="6"/>
  <c r="D41" i="6"/>
  <c r="D3" i="17" s="1"/>
  <c r="D20" i="6"/>
  <c r="C3" i="17" s="1"/>
  <c r="D21" i="6"/>
  <c r="X250" i="6"/>
  <c r="D250" i="6" s="1"/>
  <c r="D254" i="6" s="1"/>
  <c r="AA3" i="17" s="1"/>
  <c r="D248" i="6"/>
  <c r="D253" i="6" s="1"/>
  <c r="X208" i="6"/>
  <c r="D208" i="6" s="1"/>
  <c r="D206" i="6"/>
  <c r="D211" i="6" s="1"/>
  <c r="X229" i="6"/>
  <c r="D229" i="6" s="1"/>
  <c r="D233" i="6" s="1"/>
  <c r="Z3" i="17" s="1"/>
  <c r="D227" i="6"/>
  <c r="D232" i="6" s="1"/>
  <c r="X166" i="6"/>
  <c r="D166" i="6" s="1"/>
  <c r="D170" i="6" s="1"/>
  <c r="W3" i="17" s="1"/>
  <c r="D164" i="6"/>
  <c r="D169" i="6" s="1"/>
  <c r="X145" i="6"/>
  <c r="D145" i="6" s="1"/>
  <c r="D149" i="6" s="1"/>
  <c r="V3" i="17" s="1"/>
  <c r="D143" i="6"/>
  <c r="D148" i="6" s="1"/>
  <c r="X124" i="6"/>
  <c r="D124" i="6" s="1"/>
  <c r="D122" i="6"/>
  <c r="D127" i="6" s="1"/>
  <c r="X103" i="6"/>
  <c r="D103" i="6" s="1"/>
  <c r="D107" i="6" s="1"/>
  <c r="T3" i="17" s="1"/>
  <c r="D101" i="6"/>
  <c r="D106" i="6" s="1"/>
  <c r="X82" i="6"/>
  <c r="D82" i="6" s="1"/>
  <c r="D86" i="6" s="1"/>
  <c r="S3" i="17" s="1"/>
  <c r="D80" i="6"/>
  <c r="D85" i="6" s="1"/>
  <c r="X61" i="6"/>
  <c r="D61" i="6" s="1"/>
  <c r="D65" i="6" s="1"/>
  <c r="R3" i="17" s="1"/>
  <c r="D59" i="6"/>
  <c r="D64" i="6" s="1"/>
  <c r="X19" i="6"/>
  <c r="D19" i="6" s="1"/>
  <c r="D23" i="6" s="1"/>
  <c r="P3" i="17" s="1"/>
  <c r="D17" i="6"/>
  <c r="D22" i="6" s="1"/>
  <c r="X40" i="6"/>
  <c r="D40" i="6" s="1"/>
  <c r="D44" i="6" s="1"/>
  <c r="Q3" i="17" s="1"/>
  <c r="D38" i="6"/>
  <c r="D43" i="6" s="1"/>
  <c r="V216" i="5" l="1"/>
  <c r="W219" i="5"/>
  <c r="D212" i="6"/>
  <c r="Y3" i="17" s="1"/>
  <c r="D128" i="6"/>
  <c r="U3" i="17" s="1"/>
  <c r="E75" i="2"/>
  <c r="E43" i="2"/>
  <c r="W222" i="5" l="1"/>
  <c r="W212" i="5"/>
  <c r="V217" i="5"/>
  <c r="E50" i="2"/>
  <c r="E82" i="2"/>
  <c r="W214" i="5" l="1"/>
  <c r="W223" i="5"/>
  <c r="B4" i="2"/>
  <c r="E11" i="2"/>
  <c r="F44" i="4"/>
  <c r="G44" i="4" s="1"/>
  <c r="H44" i="4" s="1"/>
  <c r="I44" i="4" s="1"/>
  <c r="J44" i="4" s="1"/>
  <c r="K44" i="4" s="1"/>
  <c r="L44" i="4" s="1"/>
  <c r="M44" i="4" s="1"/>
  <c r="N44" i="4" s="1"/>
  <c r="O44" i="4" s="1"/>
  <c r="P44" i="4" s="1"/>
  <c r="Q44" i="4" s="1"/>
  <c r="R44" i="4" s="1"/>
  <c r="S44" i="4" s="1"/>
  <c r="T44" i="4" s="1"/>
  <c r="U44" i="4" s="1"/>
  <c r="V44" i="4" s="1"/>
  <c r="W44" i="4" s="1"/>
  <c r="X44" i="4" s="1"/>
  <c r="F118" i="4"/>
  <c r="G118" i="4" s="1"/>
  <c r="H118" i="4" s="1"/>
  <c r="I118" i="4" s="1"/>
  <c r="J118" i="4" s="1"/>
  <c r="K118" i="4" s="1"/>
  <c r="L118" i="4" s="1"/>
  <c r="M118" i="4" s="1"/>
  <c r="N118" i="4" s="1"/>
  <c r="O118" i="4" s="1"/>
  <c r="P118" i="4" s="1"/>
  <c r="Q118" i="4" s="1"/>
  <c r="R118" i="4" s="1"/>
  <c r="S118" i="4" s="1"/>
  <c r="T118" i="4" s="1"/>
  <c r="U118" i="4" s="1"/>
  <c r="V118" i="4" s="1"/>
  <c r="W118" i="4" s="1"/>
  <c r="X118" i="4" s="1"/>
  <c r="K2" i="10"/>
  <c r="L2" i="10" s="1"/>
  <c r="M2" i="10" s="1"/>
  <c r="N2" i="10" s="1"/>
  <c r="O2" i="10" s="1"/>
  <c r="P2" i="10" s="1"/>
  <c r="Q2" i="10" s="1"/>
  <c r="R2" i="10" s="1"/>
  <c r="S2" i="10" s="1"/>
  <c r="T2" i="10" s="1"/>
  <c r="U2" i="10" s="1"/>
  <c r="V2" i="10" s="1"/>
  <c r="W2" i="10" s="1"/>
  <c r="X2" i="10" s="1"/>
  <c r="Y2" i="10" s="1"/>
  <c r="Z2" i="10" s="1"/>
  <c r="AA2" i="10" s="1"/>
  <c r="AB2" i="10" s="1"/>
  <c r="AC2" i="10" s="1"/>
  <c r="X219" i="5" l="1"/>
  <c r="W216" i="5"/>
  <c r="E144" i="2"/>
  <c r="F78" i="2"/>
  <c r="F79" i="2" s="1"/>
  <c r="F46" i="2"/>
  <c r="F47" i="2" s="1"/>
  <c r="F14" i="2"/>
  <c r="F15" i="2" s="1"/>
  <c r="E14" i="2"/>
  <c r="E18" i="2"/>
  <c r="E20" i="2" s="1"/>
  <c r="E150" i="2"/>
  <c r="E52" i="2"/>
  <c r="E145" i="2"/>
  <c r="E149" i="2" s="1"/>
  <c r="E46" i="2"/>
  <c r="E78" i="2"/>
  <c r="E111" i="2"/>
  <c r="E112" i="2" s="1"/>
  <c r="E116" i="2" s="1"/>
  <c r="E77" i="2"/>
  <c r="E45" i="2"/>
  <c r="F1" i="2"/>
  <c r="F81" i="4"/>
  <c r="G81" i="4" s="1"/>
  <c r="H81" i="4" s="1"/>
  <c r="I81" i="4" s="1"/>
  <c r="J81" i="4" s="1"/>
  <c r="K81" i="4" s="1"/>
  <c r="L81" i="4" s="1"/>
  <c r="M81" i="4" s="1"/>
  <c r="N81" i="4" s="1"/>
  <c r="O81" i="4" s="1"/>
  <c r="P81" i="4" s="1"/>
  <c r="Q81" i="4" s="1"/>
  <c r="R81" i="4" s="1"/>
  <c r="S81" i="4" s="1"/>
  <c r="T81" i="4" s="1"/>
  <c r="U81" i="4" s="1"/>
  <c r="V81" i="4" s="1"/>
  <c r="W81" i="4" s="1"/>
  <c r="X81" i="4" s="1"/>
  <c r="E1" i="4"/>
  <c r="E17" i="4" l="1"/>
  <c r="E11" i="4"/>
  <c r="W217" i="5"/>
  <c r="X212" i="5"/>
  <c r="X222" i="5"/>
  <c r="E10" i="4"/>
  <c r="E84" i="4"/>
  <c r="E47" i="4"/>
  <c r="E48" i="4"/>
  <c r="E121" i="4"/>
  <c r="E54" i="4"/>
  <c r="E91" i="4"/>
  <c r="E128" i="4"/>
  <c r="E85" i="4"/>
  <c r="E122" i="4"/>
  <c r="F102" i="2"/>
  <c r="F121" i="2" s="1"/>
  <c r="F70" i="2"/>
  <c r="F88" i="2" s="1"/>
  <c r="F38" i="2"/>
  <c r="F56" i="2" s="1"/>
  <c r="F6" i="2"/>
  <c r="F24" i="2" s="1"/>
  <c r="F135" i="2"/>
  <c r="F154" i="2" s="1"/>
  <c r="F115" i="2"/>
  <c r="F117" i="2" s="1"/>
  <c r="F148" i="2"/>
  <c r="F150" i="2" s="1"/>
  <c r="F50" i="2"/>
  <c r="F52" i="2" s="1"/>
  <c r="F82" i="2"/>
  <c r="F18" i="2"/>
  <c r="F20" i="2" s="1"/>
  <c r="E47" i="2"/>
  <c r="U51" i="2" s="1"/>
  <c r="E84" i="2"/>
  <c r="E117" i="2"/>
  <c r="E118" i="2" s="1"/>
  <c r="E79" i="2"/>
  <c r="F83" i="2" s="1"/>
  <c r="E15" i="2"/>
  <c r="S19" i="2" s="1"/>
  <c r="E103" i="2"/>
  <c r="E122" i="2" s="1"/>
  <c r="E71" i="2"/>
  <c r="E89" i="2" s="1"/>
  <c r="E39" i="2"/>
  <c r="E57" i="2" s="1"/>
  <c r="E7" i="2"/>
  <c r="T116" i="2"/>
  <c r="R116" i="2"/>
  <c r="Q116" i="2"/>
  <c r="L116" i="2"/>
  <c r="K116" i="2"/>
  <c r="P116" i="2"/>
  <c r="M116" i="2"/>
  <c r="O116" i="2"/>
  <c r="W116" i="2"/>
  <c r="G116" i="2"/>
  <c r="V116" i="2"/>
  <c r="F116" i="2"/>
  <c r="J116" i="2"/>
  <c r="N116" i="2"/>
  <c r="I116" i="2"/>
  <c r="X116" i="2"/>
  <c r="H116" i="2"/>
  <c r="U116" i="2"/>
  <c r="S116" i="2"/>
  <c r="V149" i="2"/>
  <c r="F149" i="2"/>
  <c r="P149" i="2"/>
  <c r="U149" i="2"/>
  <c r="O149" i="2"/>
  <c r="T149" i="2"/>
  <c r="J149" i="2"/>
  <c r="I149" i="2"/>
  <c r="X149" i="2"/>
  <c r="H149" i="2"/>
  <c r="G149" i="2"/>
  <c r="N149" i="2"/>
  <c r="S149" i="2"/>
  <c r="M149" i="2"/>
  <c r="R149" i="2"/>
  <c r="L149" i="2"/>
  <c r="Q149" i="2"/>
  <c r="K149" i="2"/>
  <c r="W149" i="2"/>
  <c r="G1" i="2"/>
  <c r="E82" i="4"/>
  <c r="F1" i="4"/>
  <c r="F10" i="4" s="1"/>
  <c r="X223" i="5" l="1"/>
  <c r="X214" i="5"/>
  <c r="F84" i="4"/>
  <c r="F47" i="4"/>
  <c r="F121" i="4"/>
  <c r="E25" i="2"/>
  <c r="E58" i="2"/>
  <c r="E59" i="2" s="1"/>
  <c r="E90" i="2"/>
  <c r="E91" i="2" s="1"/>
  <c r="G102" i="2"/>
  <c r="G121" i="2" s="1"/>
  <c r="G135" i="2"/>
  <c r="G154" i="2" s="1"/>
  <c r="G6" i="2"/>
  <c r="G24" i="2" s="1"/>
  <c r="G70" i="2"/>
  <c r="G88" i="2" s="1"/>
  <c r="G38" i="2"/>
  <c r="G56" i="2" s="1"/>
  <c r="G115" i="2"/>
  <c r="G117" i="2" s="1"/>
  <c r="G148" i="2"/>
  <c r="G150" i="2" s="1"/>
  <c r="G82" i="2"/>
  <c r="G84" i="2" s="1"/>
  <c r="G50" i="2"/>
  <c r="G52" i="2" s="1"/>
  <c r="G18" i="2"/>
  <c r="G20" i="2" s="1"/>
  <c r="E104" i="2"/>
  <c r="E124" i="2" s="1"/>
  <c r="F84" i="2"/>
  <c r="F85" i="2" s="1"/>
  <c r="F151" i="2"/>
  <c r="F118" i="2"/>
  <c r="F7" i="2"/>
  <c r="F25" i="2" s="1"/>
  <c r="F136" i="2"/>
  <c r="F155" i="2" s="1"/>
  <c r="F71" i="2"/>
  <c r="F89" i="2" s="1"/>
  <c r="F103" i="2"/>
  <c r="F122" i="2" s="1"/>
  <c r="F39" i="2"/>
  <c r="F57" i="2" s="1"/>
  <c r="E151" i="2"/>
  <c r="D149" i="2"/>
  <c r="D116" i="2"/>
  <c r="I83" i="2"/>
  <c r="J83" i="2"/>
  <c r="H83" i="2"/>
  <c r="W83" i="2"/>
  <c r="M83" i="2"/>
  <c r="O83" i="2"/>
  <c r="L83" i="2"/>
  <c r="P83" i="2"/>
  <c r="T83" i="2"/>
  <c r="E83" i="2"/>
  <c r="E85" i="2" s="1"/>
  <c r="U83" i="2"/>
  <c r="K83" i="2"/>
  <c r="X51" i="2"/>
  <c r="G83" i="2"/>
  <c r="V83" i="2"/>
  <c r="N83" i="2"/>
  <c r="W51" i="2"/>
  <c r="Q83" i="2"/>
  <c r="P51" i="2"/>
  <c r="R83" i="2"/>
  <c r="I51" i="2"/>
  <c r="S83" i="2"/>
  <c r="X83" i="2"/>
  <c r="K51" i="2"/>
  <c r="N51" i="2"/>
  <c r="R51" i="2"/>
  <c r="G51" i="2"/>
  <c r="S51" i="2"/>
  <c r="F51" i="2"/>
  <c r="F53" i="2" s="1"/>
  <c r="V51" i="2"/>
  <c r="J51" i="2"/>
  <c r="M51" i="2"/>
  <c r="H51" i="2"/>
  <c r="Q51" i="2"/>
  <c r="O51" i="2"/>
  <c r="T51" i="2"/>
  <c r="E51" i="2"/>
  <c r="L51" i="2"/>
  <c r="I19" i="2"/>
  <c r="K19" i="2"/>
  <c r="L19" i="2"/>
  <c r="J19" i="2"/>
  <c r="E19" i="2"/>
  <c r="F19" i="2"/>
  <c r="F21" i="2" s="1"/>
  <c r="G19" i="2"/>
  <c r="H19" i="2"/>
  <c r="N19" i="2"/>
  <c r="O19" i="2"/>
  <c r="T19" i="2"/>
  <c r="U19" i="2"/>
  <c r="R19" i="2"/>
  <c r="V19" i="2"/>
  <c r="Q19" i="2"/>
  <c r="W19" i="2"/>
  <c r="P19" i="2"/>
  <c r="X19" i="2"/>
  <c r="M19" i="2"/>
  <c r="H1" i="2"/>
  <c r="E119" i="4"/>
  <c r="F117" i="4"/>
  <c r="F80" i="4"/>
  <c r="Q106" i="4"/>
  <c r="Q107" i="4" s="1"/>
  <c r="P106" i="4"/>
  <c r="P107" i="4" s="1"/>
  <c r="O106" i="4"/>
  <c r="O107" i="4" s="1"/>
  <c r="N106" i="4"/>
  <c r="N107" i="4" s="1"/>
  <c r="M106" i="4"/>
  <c r="M107" i="4" s="1"/>
  <c r="L106" i="4"/>
  <c r="L107" i="4" s="1"/>
  <c r="K106" i="4"/>
  <c r="K107" i="4" s="1"/>
  <c r="J106" i="4"/>
  <c r="J107" i="4" s="1"/>
  <c r="I106" i="4"/>
  <c r="I107" i="4" s="1"/>
  <c r="X106" i="4"/>
  <c r="X107" i="4" s="1"/>
  <c r="H106" i="4"/>
  <c r="H107" i="4" s="1"/>
  <c r="F106" i="4"/>
  <c r="F107" i="4" s="1"/>
  <c r="E106" i="4"/>
  <c r="E107" i="4" s="1"/>
  <c r="W106" i="4"/>
  <c r="W107" i="4" s="1"/>
  <c r="G106" i="4"/>
  <c r="G107" i="4" s="1"/>
  <c r="V106" i="4"/>
  <c r="V107" i="4" s="1"/>
  <c r="U106" i="4"/>
  <c r="U107" i="4" s="1"/>
  <c r="T106" i="4"/>
  <c r="T107" i="4" s="1"/>
  <c r="S106" i="4"/>
  <c r="S107" i="4" s="1"/>
  <c r="R106" i="4"/>
  <c r="R107" i="4" s="1"/>
  <c r="Y94" i="4"/>
  <c r="E112" i="4"/>
  <c r="D105" i="4"/>
  <c r="E86" i="4" s="1"/>
  <c r="E87" i="4" s="1"/>
  <c r="E89" i="4" s="1"/>
  <c r="E103" i="4"/>
  <c r="E104" i="4" s="1"/>
  <c r="V144" i="4"/>
  <c r="H144" i="4"/>
  <c r="X144" i="4"/>
  <c r="I144" i="4"/>
  <c r="W144" i="4"/>
  <c r="D142" i="4"/>
  <c r="E123" i="4" s="1"/>
  <c r="E144" i="4"/>
  <c r="O144" i="4"/>
  <c r="U144" i="4"/>
  <c r="J144" i="4"/>
  <c r="F144" i="4"/>
  <c r="E149" i="4"/>
  <c r="P144" i="4"/>
  <c r="K144" i="4"/>
  <c r="R144" i="4"/>
  <c r="N144" i="4"/>
  <c r="T144" i="4"/>
  <c r="G144" i="4"/>
  <c r="L144" i="4"/>
  <c r="S144" i="4"/>
  <c r="Y131" i="4"/>
  <c r="M144" i="4"/>
  <c r="Q144" i="4"/>
  <c r="P32" i="4"/>
  <c r="P33" i="4" s="1"/>
  <c r="O32" i="4"/>
  <c r="O33" i="4" s="1"/>
  <c r="N32" i="4"/>
  <c r="N33" i="4" s="1"/>
  <c r="M32" i="4"/>
  <c r="M33" i="4" s="1"/>
  <c r="L32" i="4"/>
  <c r="L33" i="4" s="1"/>
  <c r="K32" i="4"/>
  <c r="K33" i="4" s="1"/>
  <c r="I32" i="4"/>
  <c r="I33" i="4" s="1"/>
  <c r="X32" i="4"/>
  <c r="X33" i="4" s="1"/>
  <c r="H32" i="4"/>
  <c r="H33" i="4" s="1"/>
  <c r="W32" i="4"/>
  <c r="W33" i="4" s="1"/>
  <c r="G32" i="4"/>
  <c r="G33" i="4" s="1"/>
  <c r="V32" i="4"/>
  <c r="V33" i="4" s="1"/>
  <c r="F32" i="4"/>
  <c r="F33" i="4" s="1"/>
  <c r="U32" i="4"/>
  <c r="U33" i="4" s="1"/>
  <c r="E32" i="4"/>
  <c r="E33" i="4" s="1"/>
  <c r="T32" i="4"/>
  <c r="T33" i="4" s="1"/>
  <c r="S32" i="4"/>
  <c r="S33" i="4" s="1"/>
  <c r="R32" i="4"/>
  <c r="R33" i="4" s="1"/>
  <c r="J32" i="4"/>
  <c r="J33" i="4" s="1"/>
  <c r="Q32" i="4"/>
  <c r="Q33" i="4" s="1"/>
  <c r="D31" i="4"/>
  <c r="Y20" i="4"/>
  <c r="E38" i="4"/>
  <c r="L69" i="4"/>
  <c r="L70" i="4" s="1"/>
  <c r="J69" i="4"/>
  <c r="J70" i="4" s="1"/>
  <c r="E75" i="4"/>
  <c r="M69" i="4"/>
  <c r="M70" i="4" s="1"/>
  <c r="P69" i="4"/>
  <c r="P70" i="4" s="1"/>
  <c r="K69" i="4"/>
  <c r="K70" i="4" s="1"/>
  <c r="N69" i="4"/>
  <c r="N70" i="4" s="1"/>
  <c r="O69" i="4"/>
  <c r="O70" i="4" s="1"/>
  <c r="T69" i="4"/>
  <c r="T70" i="4" s="1"/>
  <c r="R69" i="4"/>
  <c r="R70" i="4" s="1"/>
  <c r="I69" i="4"/>
  <c r="I70" i="4" s="1"/>
  <c r="E69" i="4"/>
  <c r="E70" i="4" s="1"/>
  <c r="S69" i="4"/>
  <c r="S70" i="4" s="1"/>
  <c r="X69" i="4"/>
  <c r="X70" i="4" s="1"/>
  <c r="Y57" i="4"/>
  <c r="V69" i="4"/>
  <c r="V70" i="4" s="1"/>
  <c r="D68" i="4"/>
  <c r="E49" i="4" s="1"/>
  <c r="Q69" i="4"/>
  <c r="Q70" i="4" s="1"/>
  <c r="U69" i="4"/>
  <c r="U70" i="4" s="1"/>
  <c r="H69" i="4"/>
  <c r="H70" i="4" s="1"/>
  <c r="W69" i="4"/>
  <c r="W70" i="4" s="1"/>
  <c r="F69" i="4"/>
  <c r="F70" i="4" s="1"/>
  <c r="G69" i="4"/>
  <c r="G70" i="4" s="1"/>
  <c r="E8" i="4"/>
  <c r="E45" i="4"/>
  <c r="F43" i="4"/>
  <c r="G1" i="4"/>
  <c r="E12" i="4" l="1"/>
  <c r="E13" i="4" s="1"/>
  <c r="E15" i="4" s="1"/>
  <c r="X216" i="5"/>
  <c r="G10" i="4"/>
  <c r="G47" i="4"/>
  <c r="G121" i="4"/>
  <c r="G84" i="4"/>
  <c r="E60" i="2"/>
  <c r="E61" i="2" s="1"/>
  <c r="F26" i="2"/>
  <c r="F27" i="2" s="1"/>
  <c r="E92" i="2"/>
  <c r="E93" i="2" s="1"/>
  <c r="F58" i="2"/>
  <c r="F90" i="2"/>
  <c r="F91" i="2" s="1"/>
  <c r="E26" i="2"/>
  <c r="H70" i="2"/>
  <c r="H88" i="2" s="1"/>
  <c r="H135" i="2"/>
  <c r="H154" i="2" s="1"/>
  <c r="H6" i="2"/>
  <c r="H24" i="2" s="1"/>
  <c r="H102" i="2"/>
  <c r="H121" i="2" s="1"/>
  <c r="H38" i="2"/>
  <c r="H56" i="2" s="1"/>
  <c r="H115" i="2"/>
  <c r="H117" i="2" s="1"/>
  <c r="H148" i="2"/>
  <c r="H150" i="2" s="1"/>
  <c r="H82" i="2"/>
  <c r="H84" i="2" s="1"/>
  <c r="H50" i="2"/>
  <c r="H18" i="2"/>
  <c r="H20" i="2" s="1"/>
  <c r="F85" i="4"/>
  <c r="F91" i="4"/>
  <c r="F122" i="4"/>
  <c r="F128" i="4"/>
  <c r="F17" i="4"/>
  <c r="F11" i="4"/>
  <c r="F54" i="4"/>
  <c r="F48" i="4"/>
  <c r="E125" i="2"/>
  <c r="E126" i="2" s="1"/>
  <c r="E128" i="2" s="1"/>
  <c r="F104" i="2"/>
  <c r="F124" i="2" s="1"/>
  <c r="G85" i="2"/>
  <c r="G7" i="2"/>
  <c r="G53" i="2"/>
  <c r="G151" i="2"/>
  <c r="G118" i="2"/>
  <c r="G136" i="2"/>
  <c r="G155" i="2" s="1"/>
  <c r="G39" i="2"/>
  <c r="G57" i="2" s="1"/>
  <c r="G71" i="2"/>
  <c r="G89" i="2" s="1"/>
  <c r="G103" i="2"/>
  <c r="G122" i="2" s="1"/>
  <c r="E156" i="2"/>
  <c r="F156" i="2"/>
  <c r="F157" i="2" s="1"/>
  <c r="F159" i="2" s="1"/>
  <c r="E21" i="2"/>
  <c r="D19" i="2"/>
  <c r="D51" i="2"/>
  <c r="E53" i="2"/>
  <c r="D83" i="2"/>
  <c r="I1" i="2"/>
  <c r="G21" i="2"/>
  <c r="F82" i="4"/>
  <c r="G80" i="4"/>
  <c r="E145" i="4"/>
  <c r="F145" i="4" s="1"/>
  <c r="E124" i="4"/>
  <c r="E126" i="4" s="1"/>
  <c r="E71" i="4"/>
  <c r="Y95" i="4"/>
  <c r="Y105" i="4"/>
  <c r="E105" i="4" s="1"/>
  <c r="F103" i="4"/>
  <c r="F104" i="4" s="1"/>
  <c r="E34" i="4"/>
  <c r="K140" i="4"/>
  <c r="K141" i="4" s="1"/>
  <c r="F140" i="4"/>
  <c r="F141" i="4" s="1"/>
  <c r="M140" i="4"/>
  <c r="M141" i="4" s="1"/>
  <c r="J140" i="4"/>
  <c r="J141" i="4" s="1"/>
  <c r="W140" i="4"/>
  <c r="W141" i="4" s="1"/>
  <c r="I140" i="4"/>
  <c r="I141" i="4" s="1"/>
  <c r="X140" i="4"/>
  <c r="X141" i="4" s="1"/>
  <c r="T140" i="4"/>
  <c r="T141" i="4" s="1"/>
  <c r="H140" i="4"/>
  <c r="H141" i="4" s="1"/>
  <c r="S140" i="4"/>
  <c r="S141" i="4" s="1"/>
  <c r="G140" i="4"/>
  <c r="G141" i="4" s="1"/>
  <c r="R140" i="4"/>
  <c r="R141" i="4" s="1"/>
  <c r="U140" i="4"/>
  <c r="U141" i="4" s="1"/>
  <c r="Q140" i="4"/>
  <c r="Q141" i="4" s="1"/>
  <c r="E140" i="4"/>
  <c r="E141" i="4" s="1"/>
  <c r="P140" i="4"/>
  <c r="P141" i="4" s="1"/>
  <c r="O140" i="4"/>
  <c r="O141" i="4" s="1"/>
  <c r="N140" i="4"/>
  <c r="N141" i="4" s="1"/>
  <c r="V140" i="4"/>
  <c r="V141" i="4" s="1"/>
  <c r="L140" i="4"/>
  <c r="L141" i="4" s="1"/>
  <c r="Y31" i="4"/>
  <c r="E31" i="4" s="1"/>
  <c r="Y21" i="4"/>
  <c r="F45" i="4"/>
  <c r="G43" i="4"/>
  <c r="G6" i="4"/>
  <c r="G17" i="4" s="1"/>
  <c r="Y142" i="4"/>
  <c r="E142" i="4" s="1"/>
  <c r="Y132" i="4"/>
  <c r="E50" i="4"/>
  <c r="E52" i="4" s="1"/>
  <c r="T66" i="4"/>
  <c r="T67" i="4" s="1"/>
  <c r="X66" i="4"/>
  <c r="X67" i="4" s="1"/>
  <c r="U66" i="4"/>
  <c r="U67" i="4" s="1"/>
  <c r="Q66" i="4"/>
  <c r="Q67" i="4" s="1"/>
  <c r="F66" i="4"/>
  <c r="F67" i="4" s="1"/>
  <c r="S66" i="4"/>
  <c r="S67" i="4" s="1"/>
  <c r="H66" i="4"/>
  <c r="H67" i="4" s="1"/>
  <c r="R66" i="4"/>
  <c r="R67" i="4" s="1"/>
  <c r="E66" i="4"/>
  <c r="E67" i="4" s="1"/>
  <c r="O66" i="4"/>
  <c r="O67" i="4" s="1"/>
  <c r="N66" i="4"/>
  <c r="N67" i="4" s="1"/>
  <c r="P66" i="4"/>
  <c r="P67" i="4" s="1"/>
  <c r="I66" i="4"/>
  <c r="I67" i="4" s="1"/>
  <c r="M66" i="4"/>
  <c r="M67" i="4" s="1"/>
  <c r="L66" i="4"/>
  <c r="L67" i="4" s="1"/>
  <c r="W66" i="4"/>
  <c r="W67" i="4" s="1"/>
  <c r="K66" i="4"/>
  <c r="K67" i="4" s="1"/>
  <c r="J66" i="4"/>
  <c r="J67" i="4" s="1"/>
  <c r="G66" i="4"/>
  <c r="G67" i="4" s="1"/>
  <c r="V66" i="4"/>
  <c r="V67" i="4" s="1"/>
  <c r="E108" i="4"/>
  <c r="F108" i="4" s="1"/>
  <c r="Q29" i="4"/>
  <c r="Q30" i="4" s="1"/>
  <c r="E29" i="4"/>
  <c r="E30" i="4" s="1"/>
  <c r="O29" i="4"/>
  <c r="O30" i="4" s="1"/>
  <c r="N29" i="4"/>
  <c r="N30" i="4" s="1"/>
  <c r="K29" i="4"/>
  <c r="K30" i="4" s="1"/>
  <c r="P29" i="4"/>
  <c r="P30" i="4" s="1"/>
  <c r="L29" i="4"/>
  <c r="L30" i="4" s="1"/>
  <c r="J29" i="4"/>
  <c r="J30" i="4" s="1"/>
  <c r="M29" i="4"/>
  <c r="M30" i="4" s="1"/>
  <c r="R29" i="4"/>
  <c r="R30" i="4" s="1"/>
  <c r="I29" i="4"/>
  <c r="I30" i="4" s="1"/>
  <c r="X29" i="4"/>
  <c r="X30" i="4" s="1"/>
  <c r="H29" i="4"/>
  <c r="H30" i="4" s="1"/>
  <c r="W29" i="4"/>
  <c r="W30" i="4" s="1"/>
  <c r="G29" i="4"/>
  <c r="G30" i="4" s="1"/>
  <c r="T29" i="4"/>
  <c r="T30" i="4" s="1"/>
  <c r="V29" i="4"/>
  <c r="V30" i="4" s="1"/>
  <c r="S29" i="4"/>
  <c r="S30" i="4" s="1"/>
  <c r="F29" i="4"/>
  <c r="F30" i="4" s="1"/>
  <c r="U29" i="4"/>
  <c r="U30" i="4" s="1"/>
  <c r="Y58" i="4"/>
  <c r="Y68" i="4"/>
  <c r="E68" i="4" s="1"/>
  <c r="F119" i="4"/>
  <c r="G117" i="4"/>
  <c r="H1" i="4"/>
  <c r="G103" i="4"/>
  <c r="G104" i="4" s="1"/>
  <c r="X217" i="5" l="1"/>
  <c r="B216" i="5"/>
  <c r="H84" i="4"/>
  <c r="H47" i="4"/>
  <c r="H121" i="4"/>
  <c r="H10" i="4"/>
  <c r="F28" i="2"/>
  <c r="F29" i="2" s="1"/>
  <c r="F31" i="2" s="1"/>
  <c r="E27" i="2"/>
  <c r="F92" i="2"/>
  <c r="F93" i="2" s="1"/>
  <c r="F95" i="2" s="1"/>
  <c r="F59" i="2"/>
  <c r="G58" i="2"/>
  <c r="G90" i="2"/>
  <c r="I135" i="2"/>
  <c r="I154" i="2" s="1"/>
  <c r="I70" i="2"/>
  <c r="I88" i="2" s="1"/>
  <c r="I102" i="2"/>
  <c r="I121" i="2" s="1"/>
  <c r="I6" i="2"/>
  <c r="I24" i="2" s="1"/>
  <c r="I38" i="2"/>
  <c r="I56" i="2" s="1"/>
  <c r="I148" i="2"/>
  <c r="I150" i="2" s="1"/>
  <c r="I115" i="2"/>
  <c r="I117" i="2" s="1"/>
  <c r="I82" i="2"/>
  <c r="I84" i="2" s="1"/>
  <c r="I50" i="2"/>
  <c r="I52" i="2" s="1"/>
  <c r="I18" i="2"/>
  <c r="I20" i="2" s="1"/>
  <c r="G91" i="4"/>
  <c r="G85" i="4"/>
  <c r="G128" i="4"/>
  <c r="G122" i="4"/>
  <c r="G54" i="4"/>
  <c r="G48" i="4"/>
  <c r="G11" i="4"/>
  <c r="G25" i="2"/>
  <c r="H52" i="2"/>
  <c r="H53" i="2" s="1"/>
  <c r="F125" i="2"/>
  <c r="F126" i="2" s="1"/>
  <c r="F128" i="2" s="1"/>
  <c r="G104" i="2"/>
  <c r="G124" i="2" s="1"/>
  <c r="H7" i="2"/>
  <c r="H136" i="2"/>
  <c r="H155" i="2" s="1"/>
  <c r="E157" i="2"/>
  <c r="H118" i="2"/>
  <c r="H39" i="2"/>
  <c r="H57" i="2" s="1"/>
  <c r="H71" i="2"/>
  <c r="H89" i="2" s="1"/>
  <c r="H103" i="2"/>
  <c r="H122" i="2" s="1"/>
  <c r="H85" i="2"/>
  <c r="E63" i="2"/>
  <c r="E95" i="2"/>
  <c r="J1" i="2"/>
  <c r="H80" i="4"/>
  <c r="G82" i="4"/>
  <c r="F31" i="4"/>
  <c r="F12" i="4"/>
  <c r="F13" i="4" s="1"/>
  <c r="F15" i="4" s="1"/>
  <c r="G119" i="4"/>
  <c r="H117" i="4"/>
  <c r="F34" i="4"/>
  <c r="F68" i="4"/>
  <c r="F49" i="4"/>
  <c r="F50" i="4" s="1"/>
  <c r="F52" i="4" s="1"/>
  <c r="F142" i="4"/>
  <c r="F123" i="4"/>
  <c r="F124" i="4" s="1"/>
  <c r="F126" i="4" s="1"/>
  <c r="G8" i="4"/>
  <c r="H6" i="4"/>
  <c r="F86" i="4"/>
  <c r="F87" i="4" s="1"/>
  <c r="F89" i="4" s="1"/>
  <c r="F105" i="4"/>
  <c r="H43" i="4"/>
  <c r="G45" i="4"/>
  <c r="F71" i="4"/>
  <c r="I1" i="4"/>
  <c r="H103" i="4"/>
  <c r="H104" i="4" s="1"/>
  <c r="B217" i="5" l="1"/>
  <c r="I84" i="4"/>
  <c r="I47" i="4"/>
  <c r="I121" i="4"/>
  <c r="I10" i="4"/>
  <c r="G91" i="2"/>
  <c r="G59" i="2"/>
  <c r="G60" i="2" s="1"/>
  <c r="H58" i="2"/>
  <c r="E28" i="2"/>
  <c r="E29" i="2" s="1"/>
  <c r="E31" i="2" s="1"/>
  <c r="G26" i="2"/>
  <c r="H90" i="2"/>
  <c r="F60" i="2"/>
  <c r="F61" i="2" s="1"/>
  <c r="F63" i="2" s="1"/>
  <c r="J6" i="2"/>
  <c r="J24" i="2" s="1"/>
  <c r="J70" i="2"/>
  <c r="J88" i="2" s="1"/>
  <c r="J38" i="2"/>
  <c r="J56" i="2" s="1"/>
  <c r="J102" i="2"/>
  <c r="J121" i="2" s="1"/>
  <c r="J135" i="2"/>
  <c r="J154" i="2" s="1"/>
  <c r="J115" i="2"/>
  <c r="J117" i="2" s="1"/>
  <c r="J148" i="2"/>
  <c r="J150" i="2" s="1"/>
  <c r="J82" i="2"/>
  <c r="J84" i="2" s="1"/>
  <c r="J50" i="2"/>
  <c r="J52" i="2" s="1"/>
  <c r="J18" i="2"/>
  <c r="J20" i="2" s="1"/>
  <c r="H85" i="4"/>
  <c r="H91" i="4"/>
  <c r="H11" i="4"/>
  <c r="H17" i="4"/>
  <c r="H48" i="4"/>
  <c r="H54" i="4"/>
  <c r="H128" i="4"/>
  <c r="H122" i="4"/>
  <c r="H25" i="2"/>
  <c r="H104" i="2"/>
  <c r="H124" i="2" s="1"/>
  <c r="H156" i="2"/>
  <c r="H157" i="2" s="1"/>
  <c r="H151" i="2"/>
  <c r="I53" i="2"/>
  <c r="I85" i="2"/>
  <c r="I118" i="2"/>
  <c r="I151" i="2"/>
  <c r="I103" i="2"/>
  <c r="I122" i="2" s="1"/>
  <c r="I7" i="2"/>
  <c r="I25" i="2" s="1"/>
  <c r="I39" i="2"/>
  <c r="I57" i="2" s="1"/>
  <c r="E159" i="2"/>
  <c r="I71" i="2"/>
  <c r="I89" i="2" s="1"/>
  <c r="G156" i="2"/>
  <c r="I136" i="2"/>
  <c r="I155" i="2" s="1"/>
  <c r="G125" i="2"/>
  <c r="G126" i="2" s="1"/>
  <c r="H21" i="2"/>
  <c r="I21" i="2"/>
  <c r="K1" i="2"/>
  <c r="H82" i="4"/>
  <c r="I80" i="4"/>
  <c r="G123" i="4"/>
  <c r="G124" i="4" s="1"/>
  <c r="G126" i="4" s="1"/>
  <c r="G142" i="4"/>
  <c r="G49" i="4"/>
  <c r="G50" i="4" s="1"/>
  <c r="G52" i="4" s="1"/>
  <c r="G68" i="4"/>
  <c r="H45" i="4"/>
  <c r="I43" i="4"/>
  <c r="I117" i="4"/>
  <c r="H119" i="4"/>
  <c r="G105" i="4"/>
  <c r="G86" i="4"/>
  <c r="G87" i="4" s="1"/>
  <c r="G89" i="4" s="1"/>
  <c r="I6" i="4"/>
  <c r="H8" i="4"/>
  <c r="G31" i="4"/>
  <c r="G12" i="4"/>
  <c r="G13" i="4" s="1"/>
  <c r="G15" i="4" s="1"/>
  <c r="J103" i="4"/>
  <c r="J104" i="4" s="1"/>
  <c r="I103" i="4"/>
  <c r="I104" i="4" s="1"/>
  <c r="J1" i="4"/>
  <c r="J121" i="4" l="1"/>
  <c r="J10" i="4"/>
  <c r="J84" i="4"/>
  <c r="J47" i="4"/>
  <c r="G27" i="2"/>
  <c r="H59" i="2"/>
  <c r="H26" i="2"/>
  <c r="I58" i="2"/>
  <c r="I90" i="2"/>
  <c r="H91" i="2"/>
  <c r="H92" i="2" s="1"/>
  <c r="I26" i="2"/>
  <c r="I27" i="2" s="1"/>
  <c r="G92" i="2"/>
  <c r="G93" i="2" s="1"/>
  <c r="G95" i="2" s="1"/>
  <c r="G61" i="2"/>
  <c r="G63" i="2" s="1"/>
  <c r="K135" i="2"/>
  <c r="K154" i="2" s="1"/>
  <c r="K6" i="2"/>
  <c r="K24" i="2" s="1"/>
  <c r="K70" i="2"/>
  <c r="K88" i="2" s="1"/>
  <c r="K38" i="2"/>
  <c r="K56" i="2" s="1"/>
  <c r="K102" i="2"/>
  <c r="K121" i="2" s="1"/>
  <c r="K115" i="2"/>
  <c r="K117" i="2" s="1"/>
  <c r="K148" i="2"/>
  <c r="K150" i="2" s="1"/>
  <c r="K82" i="2"/>
  <c r="K84" i="2" s="1"/>
  <c r="K50" i="2"/>
  <c r="K52" i="2" s="1"/>
  <c r="K18" i="2"/>
  <c r="K20" i="2" s="1"/>
  <c r="I54" i="4"/>
  <c r="I48" i="4"/>
  <c r="I128" i="4"/>
  <c r="I122" i="4"/>
  <c r="I85" i="4"/>
  <c r="I91" i="4"/>
  <c r="I11" i="4"/>
  <c r="I17" i="4"/>
  <c r="H125" i="2"/>
  <c r="H126" i="2" s="1"/>
  <c r="H128" i="2" s="1"/>
  <c r="I104" i="2"/>
  <c r="I124" i="2" s="1"/>
  <c r="G128" i="2"/>
  <c r="G157" i="2"/>
  <c r="J151" i="2"/>
  <c r="J136" i="2"/>
  <c r="J155" i="2" s="1"/>
  <c r="J39" i="2"/>
  <c r="J57" i="2" s="1"/>
  <c r="J71" i="2"/>
  <c r="J89" i="2" s="1"/>
  <c r="J103" i="2"/>
  <c r="J122" i="2" s="1"/>
  <c r="H159" i="2"/>
  <c r="J53" i="2"/>
  <c r="J118" i="2"/>
  <c r="J7" i="2"/>
  <c r="J25" i="2" s="1"/>
  <c r="J85" i="2"/>
  <c r="L1" i="2"/>
  <c r="J21" i="2"/>
  <c r="I82" i="4"/>
  <c r="J80" i="4"/>
  <c r="I119" i="4"/>
  <c r="J117" i="4"/>
  <c r="I45" i="4"/>
  <c r="J43" i="4"/>
  <c r="H31" i="4"/>
  <c r="H12" i="4"/>
  <c r="H13" i="4" s="1"/>
  <c r="H15" i="4" s="1"/>
  <c r="H68" i="4"/>
  <c r="H49" i="4"/>
  <c r="H50" i="4" s="1"/>
  <c r="H52" i="4" s="1"/>
  <c r="I8" i="4"/>
  <c r="J6" i="4"/>
  <c r="H142" i="4"/>
  <c r="H123" i="4"/>
  <c r="H124" i="4" s="1"/>
  <c r="H126" i="4" s="1"/>
  <c r="H86" i="4"/>
  <c r="H87" i="4" s="1"/>
  <c r="H89" i="4" s="1"/>
  <c r="H105" i="4"/>
  <c r="K1" i="4"/>
  <c r="K103" i="4"/>
  <c r="K104" i="4" s="1"/>
  <c r="K84" i="4" l="1"/>
  <c r="K121" i="4"/>
  <c r="K47" i="4"/>
  <c r="K10" i="4"/>
  <c r="H93" i="2"/>
  <c r="H95" i="2" s="1"/>
  <c r="I91" i="2"/>
  <c r="I59" i="2"/>
  <c r="I60" i="2" s="1"/>
  <c r="H27" i="2"/>
  <c r="J58" i="2"/>
  <c r="J59" i="2" s="1"/>
  <c r="G28" i="2"/>
  <c r="G29" i="2" s="1"/>
  <c r="G31" i="2" s="1"/>
  <c r="J90" i="2"/>
  <c r="I28" i="2"/>
  <c r="I29" i="2" s="1"/>
  <c r="I31" i="2" s="1"/>
  <c r="H60" i="2"/>
  <c r="H61" i="2" s="1"/>
  <c r="H63" i="2" s="1"/>
  <c r="J26" i="2"/>
  <c r="L6" i="2"/>
  <c r="L24" i="2" s="1"/>
  <c r="L135" i="2"/>
  <c r="L154" i="2" s="1"/>
  <c r="L102" i="2"/>
  <c r="L121" i="2" s="1"/>
  <c r="L70" i="2"/>
  <c r="L88" i="2" s="1"/>
  <c r="L38" i="2"/>
  <c r="L56" i="2" s="1"/>
  <c r="L115" i="2"/>
  <c r="L117" i="2" s="1"/>
  <c r="L148" i="2"/>
  <c r="L150" i="2" s="1"/>
  <c r="L50" i="2"/>
  <c r="L52" i="2" s="1"/>
  <c r="L82" i="2"/>
  <c r="L84" i="2" s="1"/>
  <c r="L18" i="2"/>
  <c r="L20" i="2" s="1"/>
  <c r="J11" i="4"/>
  <c r="J17" i="4"/>
  <c r="J128" i="4"/>
  <c r="J122" i="4"/>
  <c r="J91" i="4"/>
  <c r="J85" i="4"/>
  <c r="J48" i="4"/>
  <c r="J54" i="4"/>
  <c r="I125" i="2"/>
  <c r="I126" i="2" s="1"/>
  <c r="J104" i="2"/>
  <c r="J124" i="2" s="1"/>
  <c r="J156" i="2"/>
  <c r="J157" i="2" s="1"/>
  <c r="J159" i="2" s="1"/>
  <c r="K85" i="2"/>
  <c r="G159" i="2"/>
  <c r="K118" i="2"/>
  <c r="K151" i="2"/>
  <c r="K136" i="2"/>
  <c r="K155" i="2" s="1"/>
  <c r="I156" i="2"/>
  <c r="K39" i="2"/>
  <c r="K57" i="2" s="1"/>
  <c r="K71" i="2"/>
  <c r="K89" i="2" s="1"/>
  <c r="K7" i="2"/>
  <c r="K25" i="2" s="1"/>
  <c r="K103" i="2"/>
  <c r="K122" i="2" s="1"/>
  <c r="K53" i="2"/>
  <c r="K21" i="2"/>
  <c r="M1" i="2"/>
  <c r="J82" i="4"/>
  <c r="K80" i="4"/>
  <c r="I12" i="4"/>
  <c r="I13" i="4" s="1"/>
  <c r="I15" i="4" s="1"/>
  <c r="I31" i="4"/>
  <c r="K43" i="4"/>
  <c r="J45" i="4"/>
  <c r="I105" i="4"/>
  <c r="I86" i="4"/>
  <c r="I87" i="4" s="1"/>
  <c r="I89" i="4" s="1"/>
  <c r="I142" i="4"/>
  <c r="I123" i="4"/>
  <c r="I124" i="4" s="1"/>
  <c r="I126" i="4" s="1"/>
  <c r="K117" i="4"/>
  <c r="J119" i="4"/>
  <c r="I68" i="4"/>
  <c r="I49" i="4"/>
  <c r="I50" i="4" s="1"/>
  <c r="I52" i="4" s="1"/>
  <c r="J8" i="4"/>
  <c r="K6" i="4"/>
  <c r="L1" i="4"/>
  <c r="L121" i="4" l="1"/>
  <c r="L47" i="4"/>
  <c r="L84" i="4"/>
  <c r="L10" i="4"/>
  <c r="J60" i="2"/>
  <c r="J61" i="2" s="1"/>
  <c r="J63" i="2" s="1"/>
  <c r="K26" i="2"/>
  <c r="J27" i="2"/>
  <c r="H28" i="2"/>
  <c r="H29" i="2" s="1"/>
  <c r="H31" i="2" s="1"/>
  <c r="K90" i="2"/>
  <c r="K58" i="2"/>
  <c r="I61" i="2"/>
  <c r="I63" i="2" s="1"/>
  <c r="J91" i="2"/>
  <c r="J92" i="2" s="1"/>
  <c r="J93" i="2" s="1"/>
  <c r="I92" i="2"/>
  <c r="I93" i="2" s="1"/>
  <c r="I95" i="2" s="1"/>
  <c r="M70" i="2"/>
  <c r="M88" i="2" s="1"/>
  <c r="M135" i="2"/>
  <c r="M154" i="2" s="1"/>
  <c r="M6" i="2"/>
  <c r="M24" i="2" s="1"/>
  <c r="M38" i="2"/>
  <c r="M56" i="2" s="1"/>
  <c r="M102" i="2"/>
  <c r="M121" i="2" s="1"/>
  <c r="M148" i="2"/>
  <c r="M150" i="2" s="1"/>
  <c r="M115" i="2"/>
  <c r="M117" i="2" s="1"/>
  <c r="M50" i="2"/>
  <c r="M52" i="2" s="1"/>
  <c r="M82" i="2"/>
  <c r="M84" i="2" s="1"/>
  <c r="M18" i="2"/>
  <c r="M20" i="2" s="1"/>
  <c r="K91" i="4"/>
  <c r="K85" i="4"/>
  <c r="K128" i="4"/>
  <c r="K122" i="4"/>
  <c r="K11" i="4"/>
  <c r="K17" i="4"/>
  <c r="K48" i="4"/>
  <c r="K54" i="4"/>
  <c r="J125" i="2"/>
  <c r="J126" i="2" s="1"/>
  <c r="J128" i="2" s="1"/>
  <c r="K104" i="2"/>
  <c r="K124" i="2" s="1"/>
  <c r="L85" i="2"/>
  <c r="L53" i="2"/>
  <c r="L118" i="2"/>
  <c r="L151" i="2"/>
  <c r="L136" i="2"/>
  <c r="L155" i="2" s="1"/>
  <c r="L39" i="2"/>
  <c r="L57" i="2" s="1"/>
  <c r="L71" i="2"/>
  <c r="L89" i="2" s="1"/>
  <c r="L103" i="2"/>
  <c r="L122" i="2" s="1"/>
  <c r="I128" i="2"/>
  <c r="L7" i="2"/>
  <c r="K156" i="2"/>
  <c r="K157" i="2" s="1"/>
  <c r="K159" i="2" s="1"/>
  <c r="I157" i="2"/>
  <c r="N1" i="2"/>
  <c r="L21" i="2"/>
  <c r="K82" i="4"/>
  <c r="L80" i="4"/>
  <c r="K119" i="4"/>
  <c r="L117" i="4"/>
  <c r="J123" i="4"/>
  <c r="J124" i="4" s="1"/>
  <c r="J126" i="4" s="1"/>
  <c r="J142" i="4"/>
  <c r="K45" i="4"/>
  <c r="L43" i="4"/>
  <c r="J105" i="4"/>
  <c r="J86" i="4"/>
  <c r="J87" i="4" s="1"/>
  <c r="J89" i="4" s="1"/>
  <c r="J31" i="4"/>
  <c r="J12" i="4"/>
  <c r="J13" i="4" s="1"/>
  <c r="J15" i="4" s="1"/>
  <c r="L6" i="4"/>
  <c r="K8" i="4"/>
  <c r="J68" i="4"/>
  <c r="J49" i="4"/>
  <c r="J50" i="4" s="1"/>
  <c r="J52" i="4" s="1"/>
  <c r="M103" i="4"/>
  <c r="M104" i="4" s="1"/>
  <c r="M1" i="4"/>
  <c r="L103" i="4"/>
  <c r="L104" i="4" s="1"/>
  <c r="M47" i="4" l="1"/>
  <c r="M84" i="4"/>
  <c r="M10" i="4"/>
  <c r="M121" i="4"/>
  <c r="K59" i="2"/>
  <c r="K91" i="2"/>
  <c r="K27" i="2"/>
  <c r="J28" i="2"/>
  <c r="J29" i="2" s="1"/>
  <c r="J31" i="2" s="1"/>
  <c r="L90" i="2"/>
  <c r="L58" i="2"/>
  <c r="J95" i="2"/>
  <c r="N38" i="2"/>
  <c r="N56" i="2" s="1"/>
  <c r="N102" i="2"/>
  <c r="N121" i="2" s="1"/>
  <c r="N6" i="2"/>
  <c r="N24" i="2" s="1"/>
  <c r="N70" i="2"/>
  <c r="N88" i="2" s="1"/>
  <c r="N135" i="2"/>
  <c r="N154" i="2" s="1"/>
  <c r="N148" i="2"/>
  <c r="N150" i="2" s="1"/>
  <c r="N115" i="2"/>
  <c r="N117" i="2" s="1"/>
  <c r="N82" i="2"/>
  <c r="N84" i="2" s="1"/>
  <c r="N50" i="2"/>
  <c r="N52" i="2" s="1"/>
  <c r="N18" i="2"/>
  <c r="N20" i="2" s="1"/>
  <c r="L85" i="4"/>
  <c r="L91" i="4"/>
  <c r="L122" i="4"/>
  <c r="L128" i="4"/>
  <c r="L17" i="4"/>
  <c r="L11" i="4"/>
  <c r="L48" i="4"/>
  <c r="L54" i="4"/>
  <c r="L25" i="2"/>
  <c r="K125" i="2"/>
  <c r="K126" i="2" s="1"/>
  <c r="K128" i="2" s="1"/>
  <c r="L104" i="2"/>
  <c r="L124" i="2" s="1"/>
  <c r="L156" i="2"/>
  <c r="M39" i="2"/>
  <c r="M57" i="2" s="1"/>
  <c r="M103" i="2"/>
  <c r="M122" i="2" s="1"/>
  <c r="M7" i="2"/>
  <c r="M25" i="2" s="1"/>
  <c r="M71" i="2"/>
  <c r="M89" i="2" s="1"/>
  <c r="M85" i="2"/>
  <c r="M53" i="2"/>
  <c r="M151" i="2"/>
  <c r="I159" i="2"/>
  <c r="M118" i="2"/>
  <c r="M136" i="2"/>
  <c r="M155" i="2" s="1"/>
  <c r="M21" i="2"/>
  <c r="O1" i="2"/>
  <c r="L82" i="4"/>
  <c r="M80" i="4"/>
  <c r="K31" i="4"/>
  <c r="K12" i="4"/>
  <c r="K13" i="4" s="1"/>
  <c r="K15" i="4" s="1"/>
  <c r="K105" i="4"/>
  <c r="K86" i="4"/>
  <c r="K87" i="4" s="1"/>
  <c r="K89" i="4" s="1"/>
  <c r="M43" i="4"/>
  <c r="L45" i="4"/>
  <c r="K142" i="4"/>
  <c r="K123" i="4"/>
  <c r="K124" i="4" s="1"/>
  <c r="K126" i="4" s="1"/>
  <c r="K68" i="4"/>
  <c r="K49" i="4"/>
  <c r="K50" i="4" s="1"/>
  <c r="K52" i="4" s="1"/>
  <c r="L119" i="4"/>
  <c r="M117" i="4"/>
  <c r="L8" i="4"/>
  <c r="M6" i="4"/>
  <c r="M17" i="4" s="1"/>
  <c r="N1" i="4"/>
  <c r="N103" i="4"/>
  <c r="N104" i="4" s="1"/>
  <c r="N84" i="4" l="1"/>
  <c r="N121" i="4"/>
  <c r="N47" i="4"/>
  <c r="N10" i="4"/>
  <c r="L91" i="2"/>
  <c r="L92" i="2" s="1"/>
  <c r="L93" i="2" s="1"/>
  <c r="L95" i="2" s="1"/>
  <c r="K28" i="2"/>
  <c r="K29" i="2" s="1"/>
  <c r="K31" i="2" s="1"/>
  <c r="M90" i="2"/>
  <c r="M91" i="2" s="1"/>
  <c r="K92" i="2"/>
  <c r="K93" i="2" s="1"/>
  <c r="K95" i="2" s="1"/>
  <c r="L26" i="2"/>
  <c r="L27" i="2" s="1"/>
  <c r="M26" i="2"/>
  <c r="M27" i="2" s="1"/>
  <c r="L59" i="2"/>
  <c r="L60" i="2" s="1"/>
  <c r="L61" i="2" s="1"/>
  <c r="L63" i="2" s="1"/>
  <c r="K60" i="2"/>
  <c r="K61" i="2" s="1"/>
  <c r="K63" i="2" s="1"/>
  <c r="M58" i="2"/>
  <c r="M59" i="2" s="1"/>
  <c r="O102" i="2"/>
  <c r="O121" i="2" s="1"/>
  <c r="O70" i="2"/>
  <c r="O88" i="2" s="1"/>
  <c r="O135" i="2"/>
  <c r="O154" i="2" s="1"/>
  <c r="O6" i="2"/>
  <c r="O24" i="2" s="1"/>
  <c r="O38" i="2"/>
  <c r="O56" i="2" s="1"/>
  <c r="O115" i="2"/>
  <c r="O117" i="2" s="1"/>
  <c r="O148" i="2"/>
  <c r="O150" i="2" s="1"/>
  <c r="O82" i="2"/>
  <c r="O84" i="2" s="1"/>
  <c r="O50" i="2"/>
  <c r="O52" i="2" s="1"/>
  <c r="O18" i="2"/>
  <c r="O20" i="2" s="1"/>
  <c r="M48" i="4"/>
  <c r="M54" i="4"/>
  <c r="M11" i="4"/>
  <c r="M128" i="4"/>
  <c r="M122" i="4"/>
  <c r="M85" i="4"/>
  <c r="M91" i="4"/>
  <c r="L125" i="2"/>
  <c r="L126" i="2" s="1"/>
  <c r="L128" i="2" s="1"/>
  <c r="M104" i="2"/>
  <c r="M124" i="2" s="1"/>
  <c r="N7" i="2"/>
  <c r="N85" i="2"/>
  <c r="N118" i="2"/>
  <c r="N103" i="2"/>
  <c r="N122" i="2" s="1"/>
  <c r="N136" i="2"/>
  <c r="N155" i="2" s="1"/>
  <c r="N151" i="2"/>
  <c r="N53" i="2"/>
  <c r="M156" i="2"/>
  <c r="M157" i="2" s="1"/>
  <c r="M159" i="2" s="1"/>
  <c r="N39" i="2"/>
  <c r="N57" i="2" s="1"/>
  <c r="N71" i="2"/>
  <c r="N89" i="2" s="1"/>
  <c r="L157" i="2"/>
  <c r="P1" i="2"/>
  <c r="N21" i="2"/>
  <c r="N80" i="4"/>
  <c r="M82" i="4"/>
  <c r="L49" i="4"/>
  <c r="L50" i="4" s="1"/>
  <c r="L52" i="4" s="1"/>
  <c r="L68" i="4"/>
  <c r="L142" i="4"/>
  <c r="L123" i="4"/>
  <c r="L124" i="4" s="1"/>
  <c r="L126" i="4" s="1"/>
  <c r="N6" i="4"/>
  <c r="M8" i="4"/>
  <c r="N43" i="4"/>
  <c r="M45" i="4"/>
  <c r="L105" i="4"/>
  <c r="L86" i="4"/>
  <c r="L87" i="4" s="1"/>
  <c r="L89" i="4" s="1"/>
  <c r="N117" i="4"/>
  <c r="M119" i="4"/>
  <c r="L12" i="4"/>
  <c r="L13" i="4" s="1"/>
  <c r="L15" i="4" s="1"/>
  <c r="L31" i="4"/>
  <c r="O103" i="4"/>
  <c r="O104" i="4" s="1"/>
  <c r="O1" i="4"/>
  <c r="O47" i="4" l="1"/>
  <c r="O10" i="4"/>
  <c r="O84" i="4"/>
  <c r="O121" i="4"/>
  <c r="L28" i="2"/>
  <c r="L29" i="2" s="1"/>
  <c r="L31" i="2" s="1"/>
  <c r="M92" i="2"/>
  <c r="M93" i="2" s="1"/>
  <c r="M95" i="2" s="1"/>
  <c r="M60" i="2"/>
  <c r="M61" i="2" s="1"/>
  <c r="M63" i="2" s="1"/>
  <c r="N58" i="2"/>
  <c r="N59" i="2" s="1"/>
  <c r="N90" i="2"/>
  <c r="N91" i="2" s="1"/>
  <c r="M28" i="2"/>
  <c r="M29" i="2" s="1"/>
  <c r="M31" i="2" s="1"/>
  <c r="P6" i="2"/>
  <c r="P24" i="2" s="1"/>
  <c r="P102" i="2"/>
  <c r="P121" i="2" s="1"/>
  <c r="P38" i="2"/>
  <c r="P56" i="2" s="1"/>
  <c r="P135" i="2"/>
  <c r="P154" i="2" s="1"/>
  <c r="P70" i="2"/>
  <c r="P88" i="2" s="1"/>
  <c r="P115" i="2"/>
  <c r="P117" i="2" s="1"/>
  <c r="P148" i="2"/>
  <c r="P150" i="2" s="1"/>
  <c r="P82" i="2"/>
  <c r="P84" i="2" s="1"/>
  <c r="P50" i="2"/>
  <c r="P52" i="2" s="1"/>
  <c r="P18" i="2"/>
  <c r="P20" i="2" s="1"/>
  <c r="N91" i="4"/>
  <c r="N85" i="4"/>
  <c r="N128" i="4"/>
  <c r="N122" i="4"/>
  <c r="N54" i="4"/>
  <c r="N48" i="4"/>
  <c r="N11" i="4"/>
  <c r="N17" i="4"/>
  <c r="N25" i="2"/>
  <c r="M125" i="2"/>
  <c r="M126" i="2" s="1"/>
  <c r="M128" i="2" s="1"/>
  <c r="N104" i="2"/>
  <c r="N124" i="2" s="1"/>
  <c r="O7" i="2"/>
  <c r="O25" i="2" s="1"/>
  <c r="L159" i="2"/>
  <c r="N156" i="2"/>
  <c r="O53" i="2"/>
  <c r="O39" i="2"/>
  <c r="O57" i="2" s="1"/>
  <c r="O103" i="2"/>
  <c r="O122" i="2" s="1"/>
  <c r="O118" i="2"/>
  <c r="O136" i="2"/>
  <c r="O155" i="2" s="1"/>
  <c r="O71" i="2"/>
  <c r="O89" i="2" s="1"/>
  <c r="O151" i="2"/>
  <c r="O85" i="2"/>
  <c r="O21" i="2"/>
  <c r="Q1" i="2"/>
  <c r="N82" i="4"/>
  <c r="O80" i="4"/>
  <c r="O85" i="4" s="1"/>
  <c r="M86" i="4"/>
  <c r="M87" i="4" s="1"/>
  <c r="M89" i="4" s="1"/>
  <c r="M105" i="4"/>
  <c r="O43" i="4"/>
  <c r="O48" i="4" s="1"/>
  <c r="N45" i="4"/>
  <c r="N8" i="4"/>
  <c r="O6" i="4"/>
  <c r="O11" i="4" s="1"/>
  <c r="M12" i="4"/>
  <c r="M13" i="4" s="1"/>
  <c r="M15" i="4" s="1"/>
  <c r="M31" i="4"/>
  <c r="M142" i="4"/>
  <c r="M123" i="4"/>
  <c r="M124" i="4" s="1"/>
  <c r="M126" i="4" s="1"/>
  <c r="O117" i="4"/>
  <c r="O122" i="4" s="1"/>
  <c r="N119" i="4"/>
  <c r="M49" i="4"/>
  <c r="M50" i="4" s="1"/>
  <c r="M52" i="4" s="1"/>
  <c r="M68" i="4"/>
  <c r="P1" i="4"/>
  <c r="P103" i="4"/>
  <c r="P104" i="4" s="1"/>
  <c r="P84" i="4" l="1"/>
  <c r="P10" i="4"/>
  <c r="P121" i="4"/>
  <c r="P47" i="4"/>
  <c r="N60" i="2"/>
  <c r="N61" i="2" s="1"/>
  <c r="N63" i="2" s="1"/>
  <c r="N92" i="2"/>
  <c r="N93" i="2" s="1"/>
  <c r="N95" i="2" s="1"/>
  <c r="O58" i="2"/>
  <c r="O59" i="2" s="1"/>
  <c r="O26" i="2"/>
  <c r="O90" i="2"/>
  <c r="P7" i="2"/>
  <c r="P25" i="2" s="1"/>
  <c r="N26" i="2"/>
  <c r="N27" i="2" s="1"/>
  <c r="N28" i="2" s="1"/>
  <c r="N29" i="2" s="1"/>
  <c r="N31" i="2" s="1"/>
  <c r="Q135" i="2"/>
  <c r="Q154" i="2" s="1"/>
  <c r="Q38" i="2"/>
  <c r="Q56" i="2" s="1"/>
  <c r="Q6" i="2"/>
  <c r="Q24" i="2" s="1"/>
  <c r="Q102" i="2"/>
  <c r="Q121" i="2" s="1"/>
  <c r="Q70" i="2"/>
  <c r="Q88" i="2" s="1"/>
  <c r="Q148" i="2"/>
  <c r="Q150" i="2" s="1"/>
  <c r="Q115" i="2"/>
  <c r="Q117" i="2" s="1"/>
  <c r="Q82" i="2"/>
  <c r="Q84" i="2" s="1"/>
  <c r="Q50" i="2"/>
  <c r="Q52" i="2" s="1"/>
  <c r="Q18" i="2"/>
  <c r="Q20" i="2" s="1"/>
  <c r="N125" i="2"/>
  <c r="N126" i="2" s="1"/>
  <c r="N128" i="2" s="1"/>
  <c r="O104" i="2"/>
  <c r="O124" i="2" s="1"/>
  <c r="P151" i="2"/>
  <c r="P103" i="2"/>
  <c r="P122" i="2" s="1"/>
  <c r="O156" i="2"/>
  <c r="O157" i="2" s="1"/>
  <c r="O159" i="2" s="1"/>
  <c r="P53" i="2"/>
  <c r="P136" i="2"/>
  <c r="P155" i="2" s="1"/>
  <c r="P85" i="2"/>
  <c r="P118" i="2"/>
  <c r="P39" i="2"/>
  <c r="P57" i="2" s="1"/>
  <c r="N157" i="2"/>
  <c r="P71" i="2"/>
  <c r="P89" i="2" s="1"/>
  <c r="R1" i="2"/>
  <c r="P21" i="2"/>
  <c r="P80" i="4"/>
  <c r="P85" i="4" s="1"/>
  <c r="O82" i="4"/>
  <c r="N31" i="4"/>
  <c r="N12" i="4"/>
  <c r="N13" i="4" s="1"/>
  <c r="N15" i="4" s="1"/>
  <c r="P6" i="4"/>
  <c r="P11" i="4" s="1"/>
  <c r="O8" i="4"/>
  <c r="N142" i="4"/>
  <c r="N123" i="4"/>
  <c r="N124" i="4" s="1"/>
  <c r="N126" i="4" s="1"/>
  <c r="N68" i="4"/>
  <c r="N49" i="4"/>
  <c r="N50" i="4" s="1"/>
  <c r="N52" i="4" s="1"/>
  <c r="P43" i="4"/>
  <c r="P48" i="4" s="1"/>
  <c r="O45" i="4"/>
  <c r="P117" i="4"/>
  <c r="P122" i="4" s="1"/>
  <c r="O119" i="4"/>
  <c r="N105" i="4"/>
  <c r="N86" i="4"/>
  <c r="N87" i="4" s="1"/>
  <c r="N89" i="4" s="1"/>
  <c r="Q103" i="4"/>
  <c r="Q104" i="4" s="1"/>
  <c r="Q1" i="4"/>
  <c r="Q84" i="4" l="1"/>
  <c r="Q121" i="4"/>
  <c r="Q47" i="4"/>
  <c r="Q10" i="4"/>
  <c r="O60" i="2"/>
  <c r="O61" i="2" s="1"/>
  <c r="O63" i="2" s="1"/>
  <c r="P26" i="2"/>
  <c r="O91" i="2"/>
  <c r="O27" i="2"/>
  <c r="P90" i="2"/>
  <c r="P58" i="2"/>
  <c r="P59" i="2" s="1"/>
  <c r="R6" i="2"/>
  <c r="R24" i="2" s="1"/>
  <c r="R102" i="2"/>
  <c r="R121" i="2" s="1"/>
  <c r="R135" i="2"/>
  <c r="R154" i="2" s="1"/>
  <c r="R38" i="2"/>
  <c r="R56" i="2" s="1"/>
  <c r="R70" i="2"/>
  <c r="R88" i="2" s="1"/>
  <c r="R148" i="2"/>
  <c r="R150" i="2" s="1"/>
  <c r="R115" i="2"/>
  <c r="R117" i="2" s="1"/>
  <c r="R50" i="2"/>
  <c r="R52" i="2" s="1"/>
  <c r="R82" i="2"/>
  <c r="R84" i="2" s="1"/>
  <c r="R18" i="2"/>
  <c r="R20" i="2" s="1"/>
  <c r="O125" i="2"/>
  <c r="O126" i="2" s="1"/>
  <c r="O128" i="2" s="1"/>
  <c r="P104" i="2"/>
  <c r="P124" i="2" s="1"/>
  <c r="P156" i="2"/>
  <c r="P157" i="2" s="1"/>
  <c r="P159" i="2" s="1"/>
  <c r="Q7" i="2"/>
  <c r="Q25" i="2" s="1"/>
  <c r="Q118" i="2"/>
  <c r="Q151" i="2"/>
  <c r="Q136" i="2"/>
  <c r="Q155" i="2" s="1"/>
  <c r="Q39" i="2"/>
  <c r="Q57" i="2" s="1"/>
  <c r="Q53" i="2"/>
  <c r="Q85" i="2"/>
  <c r="Q103" i="2"/>
  <c r="Q122" i="2" s="1"/>
  <c r="N159" i="2"/>
  <c r="Q71" i="2"/>
  <c r="Q89" i="2" s="1"/>
  <c r="P82" i="4"/>
  <c r="Q21" i="2"/>
  <c r="S1" i="2"/>
  <c r="Q80" i="4"/>
  <c r="Q85" i="4" s="1"/>
  <c r="P45" i="4"/>
  <c r="Q43" i="4"/>
  <c r="Q48" i="4" s="1"/>
  <c r="O49" i="4"/>
  <c r="O50" i="4" s="1"/>
  <c r="O52" i="4" s="1"/>
  <c r="O68" i="4"/>
  <c r="O105" i="4"/>
  <c r="O86" i="4"/>
  <c r="O87" i="4" s="1"/>
  <c r="O89" i="4" s="1"/>
  <c r="P8" i="4"/>
  <c r="Q6" i="4"/>
  <c r="Q11" i="4" s="1"/>
  <c r="O142" i="4"/>
  <c r="O123" i="4"/>
  <c r="O124" i="4" s="1"/>
  <c r="O126" i="4" s="1"/>
  <c r="P119" i="4"/>
  <c r="Q117" i="4"/>
  <c r="Q122" i="4" s="1"/>
  <c r="O12" i="4"/>
  <c r="O13" i="4" s="1"/>
  <c r="O15" i="4" s="1"/>
  <c r="O31" i="4"/>
  <c r="R103" i="4"/>
  <c r="R104" i="4" s="1"/>
  <c r="R1" i="4"/>
  <c r="R84" i="4" l="1"/>
  <c r="R10" i="4"/>
  <c r="R121" i="4"/>
  <c r="R47" i="4"/>
  <c r="P60" i="2"/>
  <c r="P61" i="2" s="1"/>
  <c r="P63" i="2" s="1"/>
  <c r="P91" i="2"/>
  <c r="O28" i="2"/>
  <c r="O29" i="2" s="1"/>
  <c r="O31" i="2" s="1"/>
  <c r="P27" i="2"/>
  <c r="P28" i="2" s="1"/>
  <c r="O92" i="2"/>
  <c r="O93" i="2" s="1"/>
  <c r="O95" i="2" s="1"/>
  <c r="Q26" i="2"/>
  <c r="Q27" i="2" s="1"/>
  <c r="Q90" i="2"/>
  <c r="Q91" i="2" s="1"/>
  <c r="Q58" i="2"/>
  <c r="S102" i="2"/>
  <c r="S121" i="2" s="1"/>
  <c r="S6" i="2"/>
  <c r="S24" i="2" s="1"/>
  <c r="S38" i="2"/>
  <c r="S56" i="2" s="1"/>
  <c r="S70" i="2"/>
  <c r="S88" i="2" s="1"/>
  <c r="S135" i="2"/>
  <c r="S154" i="2" s="1"/>
  <c r="S115" i="2"/>
  <c r="S117" i="2" s="1"/>
  <c r="S148" i="2"/>
  <c r="S150" i="2" s="1"/>
  <c r="S82" i="2"/>
  <c r="S84" i="2" s="1"/>
  <c r="S50" i="2"/>
  <c r="S52" i="2" s="1"/>
  <c r="S18" i="2"/>
  <c r="S20" i="2" s="1"/>
  <c r="P125" i="2"/>
  <c r="P126" i="2" s="1"/>
  <c r="P128" i="2" s="1"/>
  <c r="Q104" i="2"/>
  <c r="Q124" i="2" s="1"/>
  <c r="Q156" i="2"/>
  <c r="Q157" i="2" s="1"/>
  <c r="Q159" i="2" s="1"/>
  <c r="R118" i="2"/>
  <c r="R71" i="2"/>
  <c r="R89" i="2" s="1"/>
  <c r="R103" i="2"/>
  <c r="R122" i="2" s="1"/>
  <c r="R136" i="2"/>
  <c r="R155" i="2" s="1"/>
  <c r="R53" i="2"/>
  <c r="R7" i="2"/>
  <c r="R25" i="2" s="1"/>
  <c r="R39" i="2"/>
  <c r="R57" i="2" s="1"/>
  <c r="R85" i="2"/>
  <c r="R151" i="2"/>
  <c r="T1" i="2"/>
  <c r="R21" i="2"/>
  <c r="Q82" i="4"/>
  <c r="R80" i="4"/>
  <c r="R85" i="4" s="1"/>
  <c r="P105" i="4"/>
  <c r="P86" i="4"/>
  <c r="P87" i="4" s="1"/>
  <c r="P89" i="4" s="1"/>
  <c r="P49" i="4"/>
  <c r="P50" i="4" s="1"/>
  <c r="P52" i="4" s="1"/>
  <c r="P68" i="4"/>
  <c r="P123" i="4"/>
  <c r="P124" i="4" s="1"/>
  <c r="P126" i="4" s="1"/>
  <c r="P142" i="4"/>
  <c r="R6" i="4"/>
  <c r="R11" i="4" s="1"/>
  <c r="Q8" i="4"/>
  <c r="P31" i="4"/>
  <c r="P12" i="4"/>
  <c r="P13" i="4" s="1"/>
  <c r="P15" i="4" s="1"/>
  <c r="R117" i="4"/>
  <c r="R122" i="4" s="1"/>
  <c r="Q119" i="4"/>
  <c r="Q45" i="4"/>
  <c r="R43" i="4"/>
  <c r="R48" i="4" s="1"/>
  <c r="S1" i="4"/>
  <c r="S103" i="4"/>
  <c r="S104" i="4" s="1"/>
  <c r="S84" i="4" l="1"/>
  <c r="S10" i="4"/>
  <c r="S47" i="4"/>
  <c r="S121" i="4"/>
  <c r="R26" i="2"/>
  <c r="Q59" i="2"/>
  <c r="Q60" i="2" s="1"/>
  <c r="Q92" i="2"/>
  <c r="Q93" i="2" s="1"/>
  <c r="Q95" i="2" s="1"/>
  <c r="P92" i="2"/>
  <c r="P93" i="2" s="1"/>
  <c r="P95" i="2" s="1"/>
  <c r="R58" i="2"/>
  <c r="R59" i="2" s="1"/>
  <c r="R90" i="2"/>
  <c r="R91" i="2" s="1"/>
  <c r="Q28" i="2"/>
  <c r="Q29" i="2" s="1"/>
  <c r="Q31" i="2" s="1"/>
  <c r="P29" i="2"/>
  <c r="P31" i="2" s="1"/>
  <c r="T135" i="2"/>
  <c r="T154" i="2" s="1"/>
  <c r="T6" i="2"/>
  <c r="T24" i="2" s="1"/>
  <c r="T70" i="2"/>
  <c r="T88" i="2" s="1"/>
  <c r="T38" i="2"/>
  <c r="T56" i="2" s="1"/>
  <c r="T102" i="2"/>
  <c r="T121" i="2" s="1"/>
  <c r="T148" i="2"/>
  <c r="T150" i="2" s="1"/>
  <c r="T115" i="2"/>
  <c r="T117" i="2" s="1"/>
  <c r="T50" i="2"/>
  <c r="T52" i="2" s="1"/>
  <c r="T82" i="2"/>
  <c r="T84" i="2" s="1"/>
  <c r="T18" i="2"/>
  <c r="T20" i="2" s="1"/>
  <c r="Q125" i="2"/>
  <c r="Q126" i="2" s="1"/>
  <c r="Q128" i="2" s="1"/>
  <c r="R104" i="2"/>
  <c r="R124" i="2" s="1"/>
  <c r="S151" i="2"/>
  <c r="S118" i="2"/>
  <c r="R156" i="2"/>
  <c r="R157" i="2" s="1"/>
  <c r="R159" i="2" s="1"/>
  <c r="S85" i="2"/>
  <c r="S103" i="2"/>
  <c r="S122" i="2" s="1"/>
  <c r="S53" i="2"/>
  <c r="S136" i="2"/>
  <c r="S155" i="2" s="1"/>
  <c r="S71" i="2"/>
  <c r="S89" i="2" s="1"/>
  <c r="S7" i="2"/>
  <c r="S25" i="2" s="1"/>
  <c r="S39" i="2"/>
  <c r="S57" i="2" s="1"/>
  <c r="S21" i="2"/>
  <c r="U1" i="2"/>
  <c r="R82" i="4"/>
  <c r="S80" i="4"/>
  <c r="S85" i="4" s="1"/>
  <c r="S117" i="4"/>
  <c r="S122" i="4" s="1"/>
  <c r="R119" i="4"/>
  <c r="Q31" i="4"/>
  <c r="Q12" i="4"/>
  <c r="Q13" i="4" s="1"/>
  <c r="Q15" i="4" s="1"/>
  <c r="R8" i="4"/>
  <c r="S6" i="4"/>
  <c r="S11" i="4" s="1"/>
  <c r="S43" i="4"/>
  <c r="S48" i="4" s="1"/>
  <c r="R45" i="4"/>
  <c r="Q123" i="4"/>
  <c r="Q124" i="4" s="1"/>
  <c r="Q126" i="4" s="1"/>
  <c r="Q142" i="4"/>
  <c r="Q68" i="4"/>
  <c r="Q49" i="4"/>
  <c r="Q50" i="4" s="1"/>
  <c r="Q52" i="4" s="1"/>
  <c r="Q86" i="4"/>
  <c r="Q87" i="4" s="1"/>
  <c r="Q89" i="4" s="1"/>
  <c r="Q105" i="4"/>
  <c r="T103" i="4"/>
  <c r="T104" i="4" s="1"/>
  <c r="T1" i="4"/>
  <c r="T47" i="4" l="1"/>
  <c r="T10" i="4"/>
  <c r="T121" i="4"/>
  <c r="T84" i="4"/>
  <c r="R92" i="2"/>
  <c r="R93" i="2" s="1"/>
  <c r="R95" i="2" s="1"/>
  <c r="Q61" i="2"/>
  <c r="Q63" i="2" s="1"/>
  <c r="S26" i="2"/>
  <c r="S27" i="2" s="1"/>
  <c r="S58" i="2"/>
  <c r="S59" i="2" s="1"/>
  <c r="S60" i="2" s="1"/>
  <c r="R27" i="2"/>
  <c r="S90" i="2"/>
  <c r="S91" i="2" s="1"/>
  <c r="R60" i="2"/>
  <c r="R61" i="2" s="1"/>
  <c r="R63" i="2" s="1"/>
  <c r="U38" i="2"/>
  <c r="U56" i="2" s="1"/>
  <c r="U135" i="2"/>
  <c r="U154" i="2" s="1"/>
  <c r="U6" i="2"/>
  <c r="U24" i="2" s="1"/>
  <c r="U70" i="2"/>
  <c r="U88" i="2" s="1"/>
  <c r="U102" i="2"/>
  <c r="U121" i="2" s="1"/>
  <c r="U115" i="2"/>
  <c r="U117" i="2" s="1"/>
  <c r="U148" i="2"/>
  <c r="U150" i="2" s="1"/>
  <c r="U82" i="2"/>
  <c r="U84" i="2" s="1"/>
  <c r="U50" i="2"/>
  <c r="U52" i="2" s="1"/>
  <c r="U18" i="2"/>
  <c r="U20" i="2" s="1"/>
  <c r="R125" i="2"/>
  <c r="R126" i="2" s="1"/>
  <c r="R128" i="2" s="1"/>
  <c r="S104" i="2"/>
  <c r="S124" i="2" s="1"/>
  <c r="T85" i="2"/>
  <c r="T53" i="2"/>
  <c r="T151" i="2"/>
  <c r="T118" i="2"/>
  <c r="T39" i="2"/>
  <c r="T57" i="2" s="1"/>
  <c r="S156" i="2"/>
  <c r="S157" i="2" s="1"/>
  <c r="S159" i="2" s="1"/>
  <c r="T71" i="2"/>
  <c r="T89" i="2" s="1"/>
  <c r="T103" i="2"/>
  <c r="T122" i="2" s="1"/>
  <c r="T136" i="2"/>
  <c r="T155" i="2" s="1"/>
  <c r="T7" i="2"/>
  <c r="T80" i="4"/>
  <c r="S82" i="4"/>
  <c r="V1" i="2"/>
  <c r="T21" i="2"/>
  <c r="S45" i="4"/>
  <c r="T43" i="4"/>
  <c r="T48" i="4" s="1"/>
  <c r="S8" i="4"/>
  <c r="T6" i="4"/>
  <c r="T11" i="4" s="1"/>
  <c r="R105" i="4"/>
  <c r="R86" i="4"/>
  <c r="R87" i="4" s="1"/>
  <c r="R89" i="4" s="1"/>
  <c r="R31" i="4"/>
  <c r="R12" i="4"/>
  <c r="R13" i="4" s="1"/>
  <c r="R15" i="4" s="1"/>
  <c r="R68" i="4"/>
  <c r="R49" i="4"/>
  <c r="R50" i="4" s="1"/>
  <c r="R52" i="4" s="1"/>
  <c r="R142" i="4"/>
  <c r="R123" i="4"/>
  <c r="R124" i="4" s="1"/>
  <c r="R126" i="4" s="1"/>
  <c r="T117" i="4"/>
  <c r="T122" i="4" s="1"/>
  <c r="S119" i="4"/>
  <c r="U1" i="4"/>
  <c r="U103" i="4"/>
  <c r="U104" i="4" s="1"/>
  <c r="U84" i="4" l="1"/>
  <c r="U121" i="4"/>
  <c r="U47" i="4"/>
  <c r="U10" i="4"/>
  <c r="S92" i="2"/>
  <c r="S93" i="2" s="1"/>
  <c r="S95" i="2" s="1"/>
  <c r="S28" i="2"/>
  <c r="S29" i="2" s="1"/>
  <c r="S31" i="2" s="1"/>
  <c r="T90" i="2"/>
  <c r="T58" i="2"/>
  <c r="T59" i="2" s="1"/>
  <c r="R28" i="2"/>
  <c r="R29" i="2" s="1"/>
  <c r="R31" i="2" s="1"/>
  <c r="V70" i="2"/>
  <c r="V88" i="2" s="1"/>
  <c r="V102" i="2"/>
  <c r="V121" i="2" s="1"/>
  <c r="V6" i="2"/>
  <c r="V24" i="2" s="1"/>
  <c r="V135" i="2"/>
  <c r="V154" i="2" s="1"/>
  <c r="V38" i="2"/>
  <c r="V56" i="2" s="1"/>
  <c r="V148" i="2"/>
  <c r="V150" i="2" s="1"/>
  <c r="V115" i="2"/>
  <c r="V117" i="2" s="1"/>
  <c r="V82" i="2"/>
  <c r="V84" i="2" s="1"/>
  <c r="V50" i="2"/>
  <c r="V52" i="2" s="1"/>
  <c r="V18" i="2"/>
  <c r="V20" i="2" s="1"/>
  <c r="U80" i="4"/>
  <c r="U85" i="4" s="1"/>
  <c r="T85" i="4"/>
  <c r="T25" i="2"/>
  <c r="S125" i="2"/>
  <c r="S126" i="2" s="1"/>
  <c r="S128" i="2" s="1"/>
  <c r="T104" i="2"/>
  <c r="T124" i="2" s="1"/>
  <c r="T156" i="2"/>
  <c r="T157" i="2" s="1"/>
  <c r="T159" i="2" s="1"/>
  <c r="U85" i="2"/>
  <c r="U53" i="2"/>
  <c r="U103" i="2"/>
  <c r="U122" i="2" s="1"/>
  <c r="U136" i="2"/>
  <c r="U155" i="2" s="1"/>
  <c r="U39" i="2"/>
  <c r="U57" i="2" s="1"/>
  <c r="U151" i="2"/>
  <c r="U7" i="2"/>
  <c r="U25" i="2" s="1"/>
  <c r="U71" i="2"/>
  <c r="U89" i="2" s="1"/>
  <c r="U118" i="2"/>
  <c r="S61" i="2"/>
  <c r="S63" i="2" s="1"/>
  <c r="T82" i="4"/>
  <c r="U21" i="2"/>
  <c r="W1" i="2"/>
  <c r="S68" i="4"/>
  <c r="S49" i="4"/>
  <c r="S50" i="4" s="1"/>
  <c r="S52" i="4" s="1"/>
  <c r="S31" i="4"/>
  <c r="S12" i="4"/>
  <c r="S13" i="4" s="1"/>
  <c r="S15" i="4" s="1"/>
  <c r="S105" i="4"/>
  <c r="S86" i="4"/>
  <c r="S87" i="4" s="1"/>
  <c r="S89" i="4" s="1"/>
  <c r="T8" i="4"/>
  <c r="U6" i="4"/>
  <c r="U11" i="4" s="1"/>
  <c r="T119" i="4"/>
  <c r="U117" i="4"/>
  <c r="U122" i="4" s="1"/>
  <c r="T45" i="4"/>
  <c r="U43" i="4"/>
  <c r="U48" i="4" s="1"/>
  <c r="S123" i="4"/>
  <c r="S124" i="4" s="1"/>
  <c r="S126" i="4" s="1"/>
  <c r="S142" i="4"/>
  <c r="V103" i="4"/>
  <c r="V104" i="4" s="1"/>
  <c r="V1" i="4"/>
  <c r="U82" i="4" l="1"/>
  <c r="V121" i="4"/>
  <c r="V10" i="4"/>
  <c r="V84" i="4"/>
  <c r="V47" i="4"/>
  <c r="V80" i="4"/>
  <c r="V85" i="4" s="1"/>
  <c r="T60" i="2"/>
  <c r="T61" i="2" s="1"/>
  <c r="T63" i="2" s="1"/>
  <c r="T91" i="2"/>
  <c r="U26" i="2"/>
  <c r="T26" i="2"/>
  <c r="T27" i="2" s="1"/>
  <c r="U58" i="2"/>
  <c r="U90" i="2"/>
  <c r="W70" i="2"/>
  <c r="W88" i="2" s="1"/>
  <c r="W135" i="2"/>
  <c r="W154" i="2" s="1"/>
  <c r="W102" i="2"/>
  <c r="W121" i="2" s="1"/>
  <c r="W38" i="2"/>
  <c r="W56" i="2" s="1"/>
  <c r="W6" i="2"/>
  <c r="W24" i="2" s="1"/>
  <c r="W148" i="2"/>
  <c r="W150" i="2" s="1"/>
  <c r="W115" i="2"/>
  <c r="W117" i="2" s="1"/>
  <c r="W50" i="2"/>
  <c r="W52" i="2" s="1"/>
  <c r="W82" i="2"/>
  <c r="W84" i="2" s="1"/>
  <c r="W18" i="2"/>
  <c r="W20" i="2" s="1"/>
  <c r="T125" i="2"/>
  <c r="T126" i="2" s="1"/>
  <c r="T128" i="2" s="1"/>
  <c r="U104" i="2"/>
  <c r="U124" i="2" s="1"/>
  <c r="U156" i="2"/>
  <c r="U157" i="2" s="1"/>
  <c r="U159" i="2" s="1"/>
  <c r="V118" i="2"/>
  <c r="V85" i="2"/>
  <c r="V136" i="2"/>
  <c r="V155" i="2" s="1"/>
  <c r="V151" i="2"/>
  <c r="V103" i="2"/>
  <c r="V122" i="2" s="1"/>
  <c r="V53" i="2"/>
  <c r="V71" i="2"/>
  <c r="V89" i="2" s="1"/>
  <c r="V39" i="2"/>
  <c r="V57" i="2" s="1"/>
  <c r="V7" i="2"/>
  <c r="V25" i="2" s="1"/>
  <c r="X1" i="2"/>
  <c r="V21" i="2"/>
  <c r="U8" i="4"/>
  <c r="V6" i="4"/>
  <c r="V11" i="4" s="1"/>
  <c r="T86" i="4"/>
  <c r="T87" i="4" s="1"/>
  <c r="T89" i="4" s="1"/>
  <c r="T105" i="4"/>
  <c r="T142" i="4"/>
  <c r="T123" i="4"/>
  <c r="T124" i="4" s="1"/>
  <c r="T126" i="4" s="1"/>
  <c r="T31" i="4"/>
  <c r="T12" i="4"/>
  <c r="T13" i="4" s="1"/>
  <c r="T15" i="4" s="1"/>
  <c r="U45" i="4"/>
  <c r="V43" i="4"/>
  <c r="V48" i="4" s="1"/>
  <c r="T68" i="4"/>
  <c r="T49" i="4"/>
  <c r="T50" i="4" s="1"/>
  <c r="T52" i="4" s="1"/>
  <c r="V117" i="4"/>
  <c r="V122" i="4" s="1"/>
  <c r="U119" i="4"/>
  <c r="W1" i="4"/>
  <c r="W103" i="4"/>
  <c r="W104" i="4" s="1"/>
  <c r="V82" i="4" l="1"/>
  <c r="W80" i="4"/>
  <c r="W85" i="4" s="1"/>
  <c r="W47" i="4"/>
  <c r="W121" i="4"/>
  <c r="W84" i="4"/>
  <c r="W10" i="4"/>
  <c r="U59" i="2"/>
  <c r="U60" i="2" s="1"/>
  <c r="U61" i="2" s="1"/>
  <c r="U63" i="2" s="1"/>
  <c r="T28" i="2"/>
  <c r="T29" i="2" s="1"/>
  <c r="T31" i="2" s="1"/>
  <c r="U27" i="2"/>
  <c r="U91" i="2"/>
  <c r="U92" i="2" s="1"/>
  <c r="V26" i="2"/>
  <c r="T92" i="2"/>
  <c r="T93" i="2" s="1"/>
  <c r="T95" i="2" s="1"/>
  <c r="V90" i="2"/>
  <c r="V91" i="2" s="1"/>
  <c r="V92" i="2" s="1"/>
  <c r="V58" i="2"/>
  <c r="X70" i="2"/>
  <c r="X88" i="2" s="1"/>
  <c r="X6" i="2"/>
  <c r="X24" i="2" s="1"/>
  <c r="D24" i="2" s="1"/>
  <c r="X102" i="2"/>
  <c r="X121" i="2" s="1"/>
  <c r="X38" i="2"/>
  <c r="X56" i="2" s="1"/>
  <c r="X135" i="2"/>
  <c r="X154" i="2" s="1"/>
  <c r="X148" i="2"/>
  <c r="X150" i="2" s="1"/>
  <c r="X115" i="2"/>
  <c r="X117" i="2" s="1"/>
  <c r="X50" i="2"/>
  <c r="X52" i="2" s="1"/>
  <c r="X82" i="2"/>
  <c r="X84" i="2" s="1"/>
  <c r="X18" i="2"/>
  <c r="X20" i="2" s="1"/>
  <c r="U125" i="2"/>
  <c r="U126" i="2" s="1"/>
  <c r="U128" i="2" s="1"/>
  <c r="V104" i="2"/>
  <c r="V124" i="2" s="1"/>
  <c r="V156" i="2"/>
  <c r="V157" i="2" s="1"/>
  <c r="V159" i="2" s="1"/>
  <c r="W85" i="2"/>
  <c r="W136" i="2"/>
  <c r="W155" i="2" s="1"/>
  <c r="W151" i="2"/>
  <c r="W7" i="2"/>
  <c r="W25" i="2" s="1"/>
  <c r="W71" i="2"/>
  <c r="W89" i="2" s="1"/>
  <c r="W53" i="2"/>
  <c r="W103" i="2"/>
  <c r="W122" i="2" s="1"/>
  <c r="W39" i="2"/>
  <c r="W57" i="2" s="1"/>
  <c r="W118" i="2"/>
  <c r="W21" i="2"/>
  <c r="Y1" i="2"/>
  <c r="U31" i="4"/>
  <c r="U12" i="4"/>
  <c r="U13" i="4" s="1"/>
  <c r="U15" i="4" s="1"/>
  <c r="U123" i="4"/>
  <c r="U124" i="4" s="1"/>
  <c r="U126" i="4" s="1"/>
  <c r="U142" i="4"/>
  <c r="U105" i="4"/>
  <c r="U86" i="4"/>
  <c r="U87" i="4" s="1"/>
  <c r="U89" i="4" s="1"/>
  <c r="V8" i="4"/>
  <c r="W6" i="4"/>
  <c r="W11" i="4" s="1"/>
  <c r="V119" i="4"/>
  <c r="W117" i="4"/>
  <c r="W122" i="4" s="1"/>
  <c r="U68" i="4"/>
  <c r="U49" i="4"/>
  <c r="U50" i="4" s="1"/>
  <c r="U52" i="4" s="1"/>
  <c r="V45" i="4"/>
  <c r="W43" i="4"/>
  <c r="W48" i="4" s="1"/>
  <c r="X103" i="4"/>
  <c r="X104" i="4" s="1"/>
  <c r="X1" i="4"/>
  <c r="X80" i="4"/>
  <c r="W82" i="4"/>
  <c r="X85" i="4" l="1"/>
  <c r="X84" i="4"/>
  <c r="X47" i="4"/>
  <c r="X10" i="4"/>
  <c r="X121" i="4"/>
  <c r="V93" i="2"/>
  <c r="V95" i="2" s="1"/>
  <c r="W58" i="2"/>
  <c r="V27" i="2"/>
  <c r="V28" i="2" s="1"/>
  <c r="V29" i="2" s="1"/>
  <c r="V31" i="2" s="1"/>
  <c r="W90" i="2"/>
  <c r="V59" i="2"/>
  <c r="U93" i="2"/>
  <c r="U95" i="2" s="1"/>
  <c r="U28" i="2"/>
  <c r="U29" i="2" s="1"/>
  <c r="U31" i="2" s="1"/>
  <c r="W26" i="2"/>
  <c r="D18" i="2"/>
  <c r="V125" i="2"/>
  <c r="V126" i="2" s="1"/>
  <c r="V128" i="2" s="1"/>
  <c r="W104" i="2"/>
  <c r="W124" i="2" s="1"/>
  <c r="W156" i="2"/>
  <c r="W157" i="2" s="1"/>
  <c r="W159" i="2" s="1"/>
  <c r="X85" i="2"/>
  <c r="D82" i="2"/>
  <c r="D56" i="2"/>
  <c r="X39" i="2"/>
  <c r="X57" i="2" s="1"/>
  <c r="X53" i="2"/>
  <c r="D50" i="2"/>
  <c r="D121" i="2"/>
  <c r="X103" i="2"/>
  <c r="X122" i="2" s="1"/>
  <c r="D117" i="2"/>
  <c r="D115" i="2"/>
  <c r="X7" i="2"/>
  <c r="D154" i="2"/>
  <c r="X136" i="2"/>
  <c r="X155" i="2" s="1"/>
  <c r="D150" i="2"/>
  <c r="D148" i="2"/>
  <c r="D88" i="2"/>
  <c r="X71" i="2"/>
  <c r="X89" i="2" s="1"/>
  <c r="E111" i="4"/>
  <c r="D20" i="2"/>
  <c r="X117" i="4"/>
  <c r="X122" i="4" s="1"/>
  <c r="W119" i="4"/>
  <c r="W8" i="4"/>
  <c r="X6" i="4"/>
  <c r="X11" i="4" s="1"/>
  <c r="W45" i="4"/>
  <c r="X43" i="4"/>
  <c r="X48" i="4" s="1"/>
  <c r="V86" i="4"/>
  <c r="V87" i="4" s="1"/>
  <c r="V89" i="4" s="1"/>
  <c r="V105" i="4"/>
  <c r="V142" i="4"/>
  <c r="V123" i="4"/>
  <c r="V124" i="4" s="1"/>
  <c r="V126" i="4" s="1"/>
  <c r="V68" i="4"/>
  <c r="V49" i="4"/>
  <c r="V50" i="4" s="1"/>
  <c r="V52" i="4" s="1"/>
  <c r="V31" i="4"/>
  <c r="V12" i="4"/>
  <c r="V13" i="4" s="1"/>
  <c r="V15" i="4" s="1"/>
  <c r="Y1" i="4"/>
  <c r="X82" i="4"/>
  <c r="W91" i="2" l="1"/>
  <c r="X90" i="2"/>
  <c r="D90" i="2" s="1"/>
  <c r="W59" i="2"/>
  <c r="W27" i="2"/>
  <c r="V60" i="2"/>
  <c r="V61" i="2" s="1"/>
  <c r="V63" i="2" s="1"/>
  <c r="X58" i="2"/>
  <c r="X25" i="2"/>
  <c r="W125" i="2"/>
  <c r="W126" i="2" s="1"/>
  <c r="W128" i="2" s="1"/>
  <c r="X104" i="2"/>
  <c r="X124" i="2" s="1"/>
  <c r="D52" i="2"/>
  <c r="D84" i="2"/>
  <c r="X151" i="2"/>
  <c r="D151" i="2" s="1"/>
  <c r="D161" i="2" s="1"/>
  <c r="A16" i="22" s="1"/>
  <c r="X118" i="2"/>
  <c r="D122" i="2"/>
  <c r="D155" i="2"/>
  <c r="D89" i="2"/>
  <c r="D57" i="2"/>
  <c r="E146" i="4"/>
  <c r="E73" i="4"/>
  <c r="D53" i="2"/>
  <c r="D65" i="2" s="1"/>
  <c r="A7" i="22" s="1"/>
  <c r="D85" i="2"/>
  <c r="D97" i="2" s="1"/>
  <c r="A10" i="22" s="1"/>
  <c r="X21" i="2"/>
  <c r="D21" i="2" s="1"/>
  <c r="D33" i="2" s="1"/>
  <c r="A4" i="22" s="1"/>
  <c r="E110" i="4"/>
  <c r="F109" i="4"/>
  <c r="W105" i="4"/>
  <c r="W86" i="4"/>
  <c r="W87" i="4" s="1"/>
  <c r="W89" i="4" s="1"/>
  <c r="X45" i="4"/>
  <c r="X8" i="4"/>
  <c r="W31" i="4"/>
  <c r="W12" i="4"/>
  <c r="W13" i="4" s="1"/>
  <c r="W15" i="4" s="1"/>
  <c r="W68" i="4"/>
  <c r="W49" i="4"/>
  <c r="W50" i="4" s="1"/>
  <c r="W52" i="4" s="1"/>
  <c r="X119" i="4"/>
  <c r="W142" i="4"/>
  <c r="W123" i="4"/>
  <c r="W124" i="4" s="1"/>
  <c r="W126" i="4" s="1"/>
  <c r="D95" i="4"/>
  <c r="F111" i="4"/>
  <c r="T98" i="4" l="1"/>
  <c r="S98" i="4"/>
  <c r="R98" i="4"/>
  <c r="Q98" i="4"/>
  <c r="P98" i="4"/>
  <c r="O98" i="4"/>
  <c r="N98" i="4"/>
  <c r="M98" i="4"/>
  <c r="E98" i="4"/>
  <c r="L98" i="4"/>
  <c r="K98" i="4"/>
  <c r="J98" i="4"/>
  <c r="I98" i="4"/>
  <c r="U98" i="4"/>
  <c r="X98" i="4"/>
  <c r="H98" i="4"/>
  <c r="W98" i="4"/>
  <c r="G98" i="4"/>
  <c r="V98" i="4"/>
  <c r="F98" i="4"/>
  <c r="D63" i="4"/>
  <c r="X61" i="4"/>
  <c r="H61" i="4"/>
  <c r="W61" i="4"/>
  <c r="G61" i="4"/>
  <c r="V61" i="4"/>
  <c r="F61" i="4"/>
  <c r="U61" i="4"/>
  <c r="E61" i="4"/>
  <c r="T61" i="4"/>
  <c r="I61" i="4"/>
  <c r="S61" i="4"/>
  <c r="R61" i="4"/>
  <c r="Q61" i="4"/>
  <c r="P61" i="4"/>
  <c r="O61" i="4"/>
  <c r="N61" i="4"/>
  <c r="M61" i="4"/>
  <c r="L61" i="4"/>
  <c r="K61" i="4"/>
  <c r="J61" i="4"/>
  <c r="X91" i="2"/>
  <c r="X26" i="2"/>
  <c r="D26" i="2" s="1"/>
  <c r="W60" i="2"/>
  <c r="W61" i="2" s="1"/>
  <c r="W63" i="2" s="1"/>
  <c r="D58" i="2"/>
  <c r="W28" i="2"/>
  <c r="W29" i="2" s="1"/>
  <c r="W31" i="2" s="1"/>
  <c r="X59" i="2"/>
  <c r="D59" i="2" s="1"/>
  <c r="W92" i="2"/>
  <c r="W93" i="2" s="1"/>
  <c r="W95" i="2" s="1"/>
  <c r="D25" i="2"/>
  <c r="X156" i="2"/>
  <c r="X125" i="2"/>
  <c r="D124" i="2"/>
  <c r="D118" i="2"/>
  <c r="D130" i="2" s="1"/>
  <c r="A13" i="22" s="1"/>
  <c r="E113" i="4"/>
  <c r="F110" i="4"/>
  <c r="D100" i="4"/>
  <c r="E97" i="4" s="1"/>
  <c r="E90" i="4" s="1"/>
  <c r="E92" i="4" s="1"/>
  <c r="E94" i="4" s="1"/>
  <c r="X31" i="4"/>
  <c r="X12" i="4"/>
  <c r="X13" i="4" s="1"/>
  <c r="X15" i="4" s="1"/>
  <c r="F35" i="4"/>
  <c r="E36" i="4"/>
  <c r="E37" i="4"/>
  <c r="X142" i="4"/>
  <c r="X123" i="4"/>
  <c r="X124" i="4" s="1"/>
  <c r="X126" i="4" s="1"/>
  <c r="F146" i="4"/>
  <c r="E148" i="4"/>
  <c r="E147" i="4"/>
  <c r="F72" i="4"/>
  <c r="E74" i="4"/>
  <c r="X68" i="4"/>
  <c r="X49" i="4"/>
  <c r="X50" i="4" s="1"/>
  <c r="X52" i="4" s="1"/>
  <c r="X105" i="4"/>
  <c r="X86" i="4"/>
  <c r="X87" i="4" s="1"/>
  <c r="X89" i="4" s="1"/>
  <c r="P135" i="4" l="1"/>
  <c r="O135" i="4"/>
  <c r="N135" i="4"/>
  <c r="M135" i="4"/>
  <c r="L135" i="4"/>
  <c r="K135" i="4"/>
  <c r="J135" i="4"/>
  <c r="Q135" i="4"/>
  <c r="I135" i="4"/>
  <c r="X135" i="4"/>
  <c r="H135" i="4"/>
  <c r="W135" i="4"/>
  <c r="G135" i="4"/>
  <c r="V135" i="4"/>
  <c r="F135" i="4"/>
  <c r="U135" i="4"/>
  <c r="E135" i="4"/>
  <c r="T135" i="4"/>
  <c r="S135" i="4"/>
  <c r="R135" i="4"/>
  <c r="X24" i="4"/>
  <c r="H24" i="4"/>
  <c r="W24" i="4"/>
  <c r="G24" i="4"/>
  <c r="V24" i="4"/>
  <c r="F24" i="4"/>
  <c r="U24" i="4"/>
  <c r="E24" i="4"/>
  <c r="T24" i="4"/>
  <c r="S24" i="4"/>
  <c r="Q24" i="4"/>
  <c r="R24" i="4"/>
  <c r="P24" i="4"/>
  <c r="O24" i="4"/>
  <c r="N24" i="4"/>
  <c r="J24" i="4"/>
  <c r="I24" i="4"/>
  <c r="M24" i="4"/>
  <c r="L24" i="4"/>
  <c r="K24" i="4"/>
  <c r="D91" i="2"/>
  <c r="X92" i="2"/>
  <c r="X93" i="2" s="1"/>
  <c r="X27" i="2"/>
  <c r="D27" i="2" s="1"/>
  <c r="X60" i="2"/>
  <c r="D60" i="2" s="1"/>
  <c r="X126" i="2"/>
  <c r="D125" i="2"/>
  <c r="X157" i="2"/>
  <c r="D156" i="2"/>
  <c r="E99" i="4"/>
  <c r="E100" i="4" s="1"/>
  <c r="F97" i="4" s="1"/>
  <c r="F90" i="4" s="1"/>
  <c r="F92" i="4" s="1"/>
  <c r="F94" i="4" s="1"/>
  <c r="E76" i="4"/>
  <c r="E39" i="4"/>
  <c r="F73" i="4"/>
  <c r="E60" i="4"/>
  <c r="E53" i="4" s="1"/>
  <c r="E55" i="4" s="1"/>
  <c r="E57" i="4" s="1"/>
  <c r="E150" i="4"/>
  <c r="F147" i="4"/>
  <c r="D137" i="4"/>
  <c r="E134" i="4" s="1"/>
  <c r="E127" i="4" s="1"/>
  <c r="E129" i="4" s="1"/>
  <c r="E131" i="4" s="1"/>
  <c r="F148" i="4"/>
  <c r="D132" i="4"/>
  <c r="D21" i="4"/>
  <c r="F37" i="4"/>
  <c r="F36" i="4"/>
  <c r="D26" i="4"/>
  <c r="F74" i="4"/>
  <c r="D58" i="4"/>
  <c r="D92" i="2" l="1"/>
  <c r="X95" i="2"/>
  <c r="D93" i="2"/>
  <c r="D98" i="2" s="1"/>
  <c r="A11" i="22" s="1"/>
  <c r="X61" i="2"/>
  <c r="X63" i="2" s="1"/>
  <c r="D63" i="2" s="1"/>
  <c r="D64" i="2" s="1"/>
  <c r="A6" i="22" s="1"/>
  <c r="X28" i="2"/>
  <c r="D61" i="2"/>
  <c r="D66" i="2" s="1"/>
  <c r="A8" i="22" s="1"/>
  <c r="E95" i="4"/>
  <c r="D157" i="2"/>
  <c r="D162" i="2" s="1"/>
  <c r="X159" i="2"/>
  <c r="D159" i="2" s="1"/>
  <c r="D160" i="2" s="1"/>
  <c r="A15" i="22" s="1"/>
  <c r="D126" i="2"/>
  <c r="D131" i="2" s="1"/>
  <c r="A14" i="22" s="1"/>
  <c r="X128" i="2"/>
  <c r="D128" i="2" s="1"/>
  <c r="D129" i="2" s="1"/>
  <c r="A12" i="22" s="1"/>
  <c r="E23" i="4"/>
  <c r="E25" i="4" s="1"/>
  <c r="E26" i="4" s="1"/>
  <c r="F23" i="4" s="1"/>
  <c r="F16" i="4" s="1"/>
  <c r="F18" i="4" s="1"/>
  <c r="F20" i="4" s="1"/>
  <c r="D95" i="2"/>
  <c r="D96" i="2" s="1"/>
  <c r="A9" i="22" s="1"/>
  <c r="F99" i="4"/>
  <c r="F100" i="4" s="1"/>
  <c r="G97" i="4" s="1"/>
  <c r="G99" i="4" s="1"/>
  <c r="G100" i="4" s="1"/>
  <c r="H97" i="4" s="1"/>
  <c r="E62" i="4"/>
  <c r="E136" i="4"/>
  <c r="E137" i="4" s="1"/>
  <c r="F134" i="4" s="1"/>
  <c r="F127" i="4" s="1"/>
  <c r="F129" i="4" s="1"/>
  <c r="F131" i="4" s="1"/>
  <c r="A17" i="22" l="1"/>
  <c r="D28" i="2"/>
  <c r="X29" i="2"/>
  <c r="E63" i="4"/>
  <c r="F60" i="4" s="1"/>
  <c r="E16" i="4"/>
  <c r="E18" i="4" s="1"/>
  <c r="E20" i="4" s="1"/>
  <c r="E21" i="4" s="1"/>
  <c r="E132" i="4"/>
  <c r="F95" i="4"/>
  <c r="G90" i="4"/>
  <c r="G92" i="4" s="1"/>
  <c r="G94" i="4" s="1"/>
  <c r="G95" i="4" s="1"/>
  <c r="E58" i="4"/>
  <c r="F25" i="4"/>
  <c r="F26" i="4" s="1"/>
  <c r="G23" i="4" s="1"/>
  <c r="G16" i="4" s="1"/>
  <c r="G18" i="4" s="1"/>
  <c r="G20" i="4" s="1"/>
  <c r="F136" i="4"/>
  <c r="F137" i="4" s="1"/>
  <c r="G134" i="4" s="1"/>
  <c r="G127" i="4" s="1"/>
  <c r="G129" i="4" s="1"/>
  <c r="G131" i="4" s="1"/>
  <c r="H99" i="4"/>
  <c r="H100" i="4" s="1"/>
  <c r="I97" i="4" s="1"/>
  <c r="H90" i="4"/>
  <c r="H92" i="4" s="1"/>
  <c r="H94" i="4" s="1"/>
  <c r="D29" i="2" l="1"/>
  <c r="D34" i="2" s="1"/>
  <c r="A5" i="22" s="1"/>
  <c r="X31" i="2"/>
  <c r="D31" i="2" s="1"/>
  <c r="D32" i="2" s="1"/>
  <c r="A3" i="22" s="1"/>
  <c r="F53" i="4"/>
  <c r="F55" i="4" s="1"/>
  <c r="F57" i="4" s="1"/>
  <c r="F62" i="4"/>
  <c r="F63" i="4" s="1"/>
  <c r="G60" i="4" s="1"/>
  <c r="G136" i="4"/>
  <c r="G137" i="4" s="1"/>
  <c r="H134" i="4" s="1"/>
  <c r="H127" i="4" s="1"/>
  <c r="H129" i="4" s="1"/>
  <c r="H131" i="4" s="1"/>
  <c r="F132" i="4"/>
  <c r="F21" i="4"/>
  <c r="H95" i="4"/>
  <c r="G25" i="4"/>
  <c r="G26" i="4" s="1"/>
  <c r="H23" i="4" s="1"/>
  <c r="H25" i="4" s="1"/>
  <c r="H26" i="4" s="1"/>
  <c r="I23" i="4" s="1"/>
  <c r="I90" i="4"/>
  <c r="I92" i="4" s="1"/>
  <c r="I94" i="4" s="1"/>
  <c r="I99" i="4"/>
  <c r="I100" i="4" s="1"/>
  <c r="J97" i="4" s="1"/>
  <c r="F58" i="4" l="1"/>
  <c r="G21" i="4"/>
  <c r="H136" i="4"/>
  <c r="H137" i="4" s="1"/>
  <c r="I134" i="4" s="1"/>
  <c r="I127" i="4" s="1"/>
  <c r="I129" i="4" s="1"/>
  <c r="I131" i="4" s="1"/>
  <c r="G132" i="4"/>
  <c r="H16" i="4"/>
  <c r="H18" i="4" s="1"/>
  <c r="H20" i="4" s="1"/>
  <c r="H21" i="4" s="1"/>
  <c r="G53" i="4"/>
  <c r="G55" i="4" s="1"/>
  <c r="G57" i="4" s="1"/>
  <c r="G62" i="4"/>
  <c r="G63" i="4" s="1"/>
  <c r="H60" i="4" s="1"/>
  <c r="I16" i="4"/>
  <c r="I18" i="4" s="1"/>
  <c r="I20" i="4" s="1"/>
  <c r="I25" i="4"/>
  <c r="I26" i="4" s="1"/>
  <c r="J23" i="4" s="1"/>
  <c r="I95" i="4"/>
  <c r="J90" i="4"/>
  <c r="J92" i="4" s="1"/>
  <c r="J94" i="4" s="1"/>
  <c r="J99" i="4"/>
  <c r="J100" i="4" s="1"/>
  <c r="K97" i="4" s="1"/>
  <c r="H132" i="4" l="1"/>
  <c r="I136" i="4"/>
  <c r="I137" i="4" s="1"/>
  <c r="J134" i="4" s="1"/>
  <c r="J136" i="4" s="1"/>
  <c r="J137" i="4" s="1"/>
  <c r="K134" i="4" s="1"/>
  <c r="I21" i="4"/>
  <c r="G58" i="4"/>
  <c r="H53" i="4"/>
  <c r="H55" i="4" s="1"/>
  <c r="H57" i="4" s="1"/>
  <c r="H62" i="4"/>
  <c r="H63" i="4" s="1"/>
  <c r="I60" i="4" s="1"/>
  <c r="J16" i="4"/>
  <c r="J18" i="4" s="1"/>
  <c r="J20" i="4" s="1"/>
  <c r="J25" i="4"/>
  <c r="J26" i="4" s="1"/>
  <c r="K23" i="4" s="1"/>
  <c r="J95" i="4"/>
  <c r="K90" i="4"/>
  <c r="K92" i="4" s="1"/>
  <c r="K94" i="4" s="1"/>
  <c r="K99" i="4"/>
  <c r="K100" i="4" s="1"/>
  <c r="L97" i="4" s="1"/>
  <c r="J127" i="4" l="1"/>
  <c r="J129" i="4" s="1"/>
  <c r="J131" i="4" s="1"/>
  <c r="J132" i="4" s="1"/>
  <c r="I132" i="4"/>
  <c r="H58" i="4"/>
  <c r="I53" i="4"/>
  <c r="I55" i="4" s="1"/>
  <c r="I57" i="4" s="1"/>
  <c r="I62" i="4"/>
  <c r="I63" i="4" s="1"/>
  <c r="J60" i="4" s="1"/>
  <c r="J21" i="4"/>
  <c r="K16" i="4"/>
  <c r="K18" i="4" s="1"/>
  <c r="K20" i="4" s="1"/>
  <c r="K25" i="4"/>
  <c r="K26" i="4" s="1"/>
  <c r="L23" i="4" s="1"/>
  <c r="K127" i="4"/>
  <c r="K129" i="4" s="1"/>
  <c r="K131" i="4" s="1"/>
  <c r="K136" i="4"/>
  <c r="K137" i="4" s="1"/>
  <c r="L134" i="4" s="1"/>
  <c r="K95" i="4"/>
  <c r="L90" i="4"/>
  <c r="L92" i="4" s="1"/>
  <c r="L94" i="4" s="1"/>
  <c r="L99" i="4"/>
  <c r="L100" i="4" s="1"/>
  <c r="M97" i="4" s="1"/>
  <c r="K132" i="4" l="1"/>
  <c r="K21" i="4"/>
  <c r="I58" i="4"/>
  <c r="J62" i="4"/>
  <c r="J63" i="4" s="1"/>
  <c r="K60" i="4" s="1"/>
  <c r="J53" i="4"/>
  <c r="J55" i="4" s="1"/>
  <c r="J57" i="4" s="1"/>
  <c r="J58" i="4" s="1"/>
  <c r="L16" i="4"/>
  <c r="L18" i="4" s="1"/>
  <c r="L20" i="4" s="1"/>
  <c r="L25" i="4"/>
  <c r="L26" i="4" s="1"/>
  <c r="M23" i="4" s="1"/>
  <c r="L127" i="4"/>
  <c r="L129" i="4" s="1"/>
  <c r="L131" i="4" s="1"/>
  <c r="L136" i="4"/>
  <c r="L137" i="4" s="1"/>
  <c r="M134" i="4" s="1"/>
  <c r="M90" i="4"/>
  <c r="M92" i="4" s="1"/>
  <c r="M94" i="4" s="1"/>
  <c r="M99" i="4"/>
  <c r="M100" i="4" s="1"/>
  <c r="N97" i="4" s="1"/>
  <c r="L95" i="4"/>
  <c r="L132" i="4" l="1"/>
  <c r="K62" i="4"/>
  <c r="K63" i="4" s="1"/>
  <c r="L60" i="4" s="1"/>
  <c r="K53" i="4"/>
  <c r="K55" i="4" s="1"/>
  <c r="K57" i="4" s="1"/>
  <c r="L21" i="4"/>
  <c r="M16" i="4"/>
  <c r="M18" i="4" s="1"/>
  <c r="M20" i="4" s="1"/>
  <c r="M25" i="4"/>
  <c r="M26" i="4" s="1"/>
  <c r="N23" i="4" s="1"/>
  <c r="M127" i="4"/>
  <c r="M129" i="4" s="1"/>
  <c r="M131" i="4" s="1"/>
  <c r="M136" i="4"/>
  <c r="M137" i="4" s="1"/>
  <c r="N134" i="4" s="1"/>
  <c r="M95" i="4"/>
  <c r="N90" i="4"/>
  <c r="N92" i="4" s="1"/>
  <c r="N94" i="4" s="1"/>
  <c r="N99" i="4"/>
  <c r="N100" i="4" s="1"/>
  <c r="O97" i="4" s="1"/>
  <c r="M132" i="4" l="1"/>
  <c r="K58" i="4"/>
  <c r="M21" i="4"/>
  <c r="L53" i="4"/>
  <c r="L55" i="4" s="1"/>
  <c r="L57" i="4" s="1"/>
  <c r="L62" i="4"/>
  <c r="L63" i="4" s="1"/>
  <c r="M60" i="4" s="1"/>
  <c r="N16" i="4"/>
  <c r="N18" i="4" s="1"/>
  <c r="N20" i="4" s="1"/>
  <c r="N25" i="4"/>
  <c r="N26" i="4" s="1"/>
  <c r="O23" i="4" s="1"/>
  <c r="N127" i="4"/>
  <c r="N129" i="4" s="1"/>
  <c r="N131" i="4" s="1"/>
  <c r="N136" i="4"/>
  <c r="N137" i="4" s="1"/>
  <c r="O134" i="4" s="1"/>
  <c r="O90" i="4"/>
  <c r="O92" i="4" s="1"/>
  <c r="O94" i="4" s="1"/>
  <c r="O99" i="4"/>
  <c r="O100" i="4" s="1"/>
  <c r="P97" i="4" s="1"/>
  <c r="N95" i="4"/>
  <c r="N21" i="4" l="1"/>
  <c r="N132" i="4"/>
  <c r="L58" i="4"/>
  <c r="M62" i="4"/>
  <c r="M63" i="4" s="1"/>
  <c r="N60" i="4" s="1"/>
  <c r="M53" i="4"/>
  <c r="M55" i="4" s="1"/>
  <c r="M57" i="4" s="1"/>
  <c r="M58" i="4" s="1"/>
  <c r="O16" i="4"/>
  <c r="O18" i="4" s="1"/>
  <c r="O20" i="4" s="1"/>
  <c r="O25" i="4"/>
  <c r="O26" i="4" s="1"/>
  <c r="P23" i="4" s="1"/>
  <c r="O127" i="4"/>
  <c r="O129" i="4" s="1"/>
  <c r="O131" i="4" s="1"/>
  <c r="O136" i="4"/>
  <c r="O137" i="4" s="1"/>
  <c r="P134" i="4" s="1"/>
  <c r="O95" i="4"/>
  <c r="P90" i="4"/>
  <c r="P92" i="4" s="1"/>
  <c r="P94" i="4" s="1"/>
  <c r="P99" i="4"/>
  <c r="P100" i="4" s="1"/>
  <c r="Q97" i="4" s="1"/>
  <c r="O132" i="4" l="1"/>
  <c r="O21" i="4"/>
  <c r="N53" i="4"/>
  <c r="N55" i="4" s="1"/>
  <c r="N57" i="4" s="1"/>
  <c r="N62" i="4"/>
  <c r="N63" i="4" s="1"/>
  <c r="O60" i="4" s="1"/>
  <c r="P16" i="4"/>
  <c r="P18" i="4" s="1"/>
  <c r="P20" i="4" s="1"/>
  <c r="P25" i="4"/>
  <c r="P26" i="4" s="1"/>
  <c r="Q23" i="4" s="1"/>
  <c r="P127" i="4"/>
  <c r="P129" i="4" s="1"/>
  <c r="P131" i="4" s="1"/>
  <c r="P136" i="4"/>
  <c r="P137" i="4" s="1"/>
  <c r="Q134" i="4" s="1"/>
  <c r="P95" i="4"/>
  <c r="Q90" i="4"/>
  <c r="Q92" i="4" s="1"/>
  <c r="Q94" i="4" s="1"/>
  <c r="Q99" i="4"/>
  <c r="Q100" i="4" s="1"/>
  <c r="R97" i="4" s="1"/>
  <c r="N58" i="4" l="1"/>
  <c r="P132" i="4"/>
  <c r="P21" i="4"/>
  <c r="O62" i="4"/>
  <c r="O63" i="4" s="1"/>
  <c r="P60" i="4" s="1"/>
  <c r="O53" i="4"/>
  <c r="O55" i="4" s="1"/>
  <c r="O57" i="4" s="1"/>
  <c r="Q16" i="4"/>
  <c r="Q18" i="4" s="1"/>
  <c r="Q20" i="4" s="1"/>
  <c r="Q25" i="4"/>
  <c r="Q26" i="4" s="1"/>
  <c r="R23" i="4" s="1"/>
  <c r="Q127" i="4"/>
  <c r="Q129" i="4" s="1"/>
  <c r="Q131" i="4" s="1"/>
  <c r="Q136" i="4"/>
  <c r="Q137" i="4" s="1"/>
  <c r="R134" i="4" s="1"/>
  <c r="Q95" i="4"/>
  <c r="R90" i="4"/>
  <c r="R92" i="4" s="1"/>
  <c r="R94" i="4" s="1"/>
  <c r="R99" i="4"/>
  <c r="R100" i="4" s="1"/>
  <c r="S97" i="4" s="1"/>
  <c r="O58" i="4" l="1"/>
  <c r="Q132" i="4"/>
  <c r="Q21" i="4"/>
  <c r="P62" i="4"/>
  <c r="P63" i="4" s="1"/>
  <c r="Q60" i="4" s="1"/>
  <c r="P53" i="4"/>
  <c r="P55" i="4" s="1"/>
  <c r="P57" i="4" s="1"/>
  <c r="P58" i="4" s="1"/>
  <c r="R16" i="4"/>
  <c r="R18" i="4" s="1"/>
  <c r="R20" i="4" s="1"/>
  <c r="R25" i="4"/>
  <c r="R26" i="4" s="1"/>
  <c r="S23" i="4" s="1"/>
  <c r="R127" i="4"/>
  <c r="R129" i="4" s="1"/>
  <c r="R131" i="4" s="1"/>
  <c r="R136" i="4"/>
  <c r="R137" i="4" s="1"/>
  <c r="S134" i="4" s="1"/>
  <c r="S90" i="4"/>
  <c r="S92" i="4" s="1"/>
  <c r="S94" i="4" s="1"/>
  <c r="S99" i="4"/>
  <c r="S100" i="4" s="1"/>
  <c r="T97" i="4" s="1"/>
  <c r="R95" i="4"/>
  <c r="R132" i="4" l="1"/>
  <c r="R21" i="4"/>
  <c r="Q53" i="4"/>
  <c r="Q55" i="4" s="1"/>
  <c r="Q57" i="4" s="1"/>
  <c r="Q62" i="4"/>
  <c r="Q63" i="4" s="1"/>
  <c r="R60" i="4" s="1"/>
  <c r="S16" i="4"/>
  <c r="S18" i="4" s="1"/>
  <c r="S20" i="4" s="1"/>
  <c r="S25" i="4"/>
  <c r="S26" i="4" s="1"/>
  <c r="T23" i="4" s="1"/>
  <c r="S127" i="4"/>
  <c r="S129" i="4" s="1"/>
  <c r="S131" i="4" s="1"/>
  <c r="S136" i="4"/>
  <c r="S137" i="4" s="1"/>
  <c r="T134" i="4" s="1"/>
  <c r="S95" i="4"/>
  <c r="T90" i="4"/>
  <c r="T92" i="4" s="1"/>
  <c r="T94" i="4" s="1"/>
  <c r="T99" i="4"/>
  <c r="T100" i="4" s="1"/>
  <c r="U97" i="4" s="1"/>
  <c r="S132" i="4" l="1"/>
  <c r="Q58" i="4"/>
  <c r="R53" i="4"/>
  <c r="R55" i="4" s="1"/>
  <c r="R57" i="4" s="1"/>
  <c r="R62" i="4"/>
  <c r="R63" i="4" s="1"/>
  <c r="S60" i="4" s="1"/>
  <c r="S21" i="4"/>
  <c r="T16" i="4"/>
  <c r="T18" i="4" s="1"/>
  <c r="T20" i="4" s="1"/>
  <c r="T25" i="4"/>
  <c r="T26" i="4" s="1"/>
  <c r="U23" i="4" s="1"/>
  <c r="T127" i="4"/>
  <c r="T129" i="4" s="1"/>
  <c r="T131" i="4" s="1"/>
  <c r="T136" i="4"/>
  <c r="T137" i="4" s="1"/>
  <c r="U134" i="4" s="1"/>
  <c r="T95" i="4"/>
  <c r="U90" i="4"/>
  <c r="U92" i="4" s="1"/>
  <c r="U94" i="4" s="1"/>
  <c r="U99" i="4"/>
  <c r="U100" i="4" s="1"/>
  <c r="V97" i="4" s="1"/>
  <c r="T132" i="4" l="1"/>
  <c r="U95" i="4"/>
  <c r="T21" i="4"/>
  <c r="R58" i="4"/>
  <c r="S62" i="4"/>
  <c r="S63" i="4" s="1"/>
  <c r="T60" i="4" s="1"/>
  <c r="S53" i="4"/>
  <c r="S55" i="4" s="1"/>
  <c r="S57" i="4" s="1"/>
  <c r="S58" i="4" s="1"/>
  <c r="U16" i="4"/>
  <c r="U18" i="4" s="1"/>
  <c r="U20" i="4" s="1"/>
  <c r="U25" i="4"/>
  <c r="U26" i="4" s="1"/>
  <c r="V23" i="4" s="1"/>
  <c r="U127" i="4"/>
  <c r="U129" i="4" s="1"/>
  <c r="U131" i="4" s="1"/>
  <c r="U136" i="4"/>
  <c r="U137" i="4" s="1"/>
  <c r="V134" i="4" s="1"/>
  <c r="V90" i="4"/>
  <c r="V92" i="4" s="1"/>
  <c r="V94" i="4" s="1"/>
  <c r="V99" i="4"/>
  <c r="V100" i="4" s="1"/>
  <c r="W97" i="4" s="1"/>
  <c r="U132" i="4" l="1"/>
  <c r="U21" i="4"/>
  <c r="V95" i="4"/>
  <c r="T62" i="4"/>
  <c r="T63" i="4" s="1"/>
  <c r="U60" i="4" s="1"/>
  <c r="T53" i="4"/>
  <c r="T55" i="4" s="1"/>
  <c r="T57" i="4" s="1"/>
  <c r="T58" i="4" s="1"/>
  <c r="V16" i="4"/>
  <c r="V18" i="4" s="1"/>
  <c r="V20" i="4" s="1"/>
  <c r="V25" i="4"/>
  <c r="V26" i="4" s="1"/>
  <c r="W23" i="4" s="1"/>
  <c r="V127" i="4"/>
  <c r="V129" i="4" s="1"/>
  <c r="V131" i="4" s="1"/>
  <c r="V136" i="4"/>
  <c r="V137" i="4" s="1"/>
  <c r="W134" i="4" s="1"/>
  <c r="W90" i="4"/>
  <c r="W92" i="4" s="1"/>
  <c r="W94" i="4" s="1"/>
  <c r="W99" i="4"/>
  <c r="W100" i="4" s="1"/>
  <c r="X97" i="4" s="1"/>
  <c r="V132" i="4" l="1"/>
  <c r="W95" i="4"/>
  <c r="V21" i="4"/>
  <c r="U62" i="4"/>
  <c r="U63" i="4" s="1"/>
  <c r="V60" i="4" s="1"/>
  <c r="U53" i="4"/>
  <c r="U55" i="4" s="1"/>
  <c r="U57" i="4" s="1"/>
  <c r="U58" i="4" s="1"/>
  <c r="W16" i="4"/>
  <c r="W18" i="4" s="1"/>
  <c r="W20" i="4" s="1"/>
  <c r="W25" i="4"/>
  <c r="W26" i="4" s="1"/>
  <c r="X23" i="4" s="1"/>
  <c r="W127" i="4"/>
  <c r="W129" i="4" s="1"/>
  <c r="W131" i="4" s="1"/>
  <c r="W136" i="4"/>
  <c r="W137" i="4" s="1"/>
  <c r="X134" i="4" s="1"/>
  <c r="X90" i="4"/>
  <c r="X92" i="4" s="1"/>
  <c r="X94" i="4" s="1"/>
  <c r="B94" i="4" s="1"/>
  <c r="X99" i="4"/>
  <c r="X100" i="4" s="1"/>
  <c r="W132" i="4" l="1"/>
  <c r="X95" i="4"/>
  <c r="B95" i="4" s="1"/>
  <c r="W21" i="4"/>
  <c r="V62" i="4"/>
  <c r="V63" i="4" s="1"/>
  <c r="W60" i="4" s="1"/>
  <c r="V53" i="4"/>
  <c r="V55" i="4" s="1"/>
  <c r="V57" i="4" s="1"/>
  <c r="V58" i="4" s="1"/>
  <c r="X16" i="4"/>
  <c r="X18" i="4" s="1"/>
  <c r="X20" i="4" s="1"/>
  <c r="B20" i="4" s="1"/>
  <c r="X25" i="4"/>
  <c r="X26" i="4" s="1"/>
  <c r="X127" i="4"/>
  <c r="X129" i="4" s="1"/>
  <c r="X131" i="4" s="1"/>
  <c r="X136" i="4"/>
  <c r="X137" i="4" s="1"/>
  <c r="X132" i="4" l="1"/>
  <c r="B132" i="4" s="1"/>
  <c r="B131" i="4"/>
  <c r="W53" i="4"/>
  <c r="W55" i="4" s="1"/>
  <c r="W57" i="4" s="1"/>
  <c r="W62" i="4"/>
  <c r="W63" i="4" s="1"/>
  <c r="X60" i="4" s="1"/>
  <c r="X21" i="4"/>
  <c r="B21" i="4" s="1"/>
  <c r="W58" i="4" l="1"/>
  <c r="X62" i="4"/>
  <c r="X63" i="4" s="1"/>
  <c r="X53" i="4"/>
  <c r="X55" i="4" s="1"/>
  <c r="X57" i="4" s="1"/>
  <c r="B57" i="4" s="1"/>
  <c r="X58" i="4" l="1"/>
  <c r="B58" i="4" s="1"/>
  <c r="F192" i="13"/>
  <c r="F188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Brutocao, Michael</author>
  </authors>
  <commentList>
    <comment ref="D38" authorId="0" shapeId="0" xr:uid="{7EFC749D-6B2B-45B5-976A-8F487AA1C334}">
      <text>
        <r>
          <rPr>
            <b/>
            <sz val="9"/>
            <color indexed="81"/>
            <rFont val="Tahoma"/>
            <family val="2"/>
          </rPr>
          <t>Brutocao, Michael:</t>
        </r>
        <r>
          <rPr>
            <sz val="9"/>
            <color indexed="81"/>
            <rFont val="Tahoma"/>
            <family val="2"/>
          </rPr>
          <t xml:space="preserve">
Does not include capital financing factors. Proxy for such costs are applied through AFUDC calculations.</t>
        </r>
      </text>
    </comment>
    <comment ref="C46" authorId="0" shapeId="0" xr:uid="{1D3B1085-0381-4CC6-B25A-40DC043FE329}">
      <text>
        <r>
          <rPr>
            <b/>
            <sz val="9"/>
            <color indexed="81"/>
            <rFont val="Tahoma"/>
            <family val="2"/>
          </rPr>
          <t>Brutocao, Michael:</t>
        </r>
        <r>
          <rPr>
            <sz val="9"/>
            <color indexed="81"/>
            <rFont val="Tahoma"/>
            <family val="2"/>
          </rPr>
          <t xml:space="preserve">
+$500/kW for inflation and new tech risk
https://www.utilitydive.com/news/form-energys-20kwh-100-hour-iron-air-battery-could-be-a-substantial-br/603877/#:~:text=Somerville%2c%20Massachusetts-based%20startup%20Form%20Energy%20on%20Thursday%20announced%2crevert%20back%20to%20iron%20when%20oxygen%20is%20removed</t>
        </r>
      </text>
    </comment>
    <comment ref="C75" authorId="0" shapeId="0" xr:uid="{7E296AE6-DF9F-4399-8190-4E6ADB0ADE7D}">
      <text>
        <r>
          <rPr>
            <b/>
            <sz val="9"/>
            <color indexed="81"/>
            <rFont val="Tahoma"/>
            <family val="2"/>
          </rPr>
          <t>Brutocao, Michael:</t>
        </r>
        <r>
          <rPr>
            <sz val="9"/>
            <color indexed="81"/>
            <rFont val="Tahoma"/>
            <family val="2"/>
          </rPr>
          <t xml:space="preserve">
Additional $150 included for interconnection costs</t>
        </r>
      </text>
    </comment>
    <comment ref="A76" authorId="0" shapeId="0" xr:uid="{486FF35C-5D47-49B1-B4EE-120F9D29B265}">
      <text>
        <r>
          <rPr>
            <b/>
            <sz val="9"/>
            <color indexed="81"/>
            <rFont val="Tahoma"/>
            <family val="2"/>
          </rPr>
          <t>$150 adder</t>
        </r>
      </text>
    </comment>
    <comment ref="C76" authorId="0" shapeId="0" xr:uid="{4FBD7479-E46E-49C8-B8E2-1964E15E6451}">
      <text>
        <r>
          <rPr>
            <b/>
            <sz val="9"/>
            <color indexed="81"/>
            <rFont val="Tahoma"/>
            <family val="2"/>
          </rPr>
          <t>Brutocao, Michael:</t>
        </r>
        <r>
          <rPr>
            <sz val="9"/>
            <color indexed="81"/>
            <rFont val="Tahoma"/>
            <family val="2"/>
          </rPr>
          <t xml:space="preserve">
Additional $150 included for interconnection costs</t>
        </r>
      </text>
    </comment>
    <comment ref="A77" authorId="0" shapeId="0" xr:uid="{A5FC7322-BA46-4C9F-A4CD-B06DC223911B}">
      <text>
        <r>
          <rPr>
            <b/>
            <sz val="9"/>
            <color indexed="81"/>
            <rFont val="Tahoma"/>
            <family val="2"/>
          </rPr>
          <t>Sum of two costs:
Overnight Capital Cost + Offshore Spur Line Costs</t>
        </r>
      </text>
    </comment>
    <comment ref="A181" authorId="0" shapeId="0" xr:uid="{79617E4E-DC36-442F-8951-835A8711F965}">
      <text>
        <r>
          <rPr>
            <b/>
            <sz val="9"/>
            <color indexed="81"/>
            <rFont val="Tahoma"/>
            <family val="2"/>
          </rPr>
          <t>Previous data was wrong
(double inflated)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Brutocao, Michael</author>
  </authors>
  <commentList>
    <comment ref="C50" authorId="0" shapeId="0" xr:uid="{20DB5FB7-80C2-4DA9-92DD-3E7305881C18}">
      <text>
        <r>
          <rPr>
            <sz val="9"/>
            <color indexed="81"/>
            <rFont val="Tahoma"/>
            <family val="2"/>
          </rPr>
          <t>+$500/kW for inflation and new tech risk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Gall, James</author>
    <author>Brutocao, Michael</author>
  </authors>
  <commentList>
    <comment ref="B3" authorId="0" shapeId="0" xr:uid="{380DB0A5-FBB7-4657-AEEE-3D33D9F792E1}">
      <text>
        <r>
          <rPr>
            <sz val="9"/>
            <color indexed="81"/>
            <rFont val="Tahoma"/>
            <family val="2"/>
          </rPr>
          <t xml:space="preserve">Misc Fees represent revenue adjustments for utility expenses including, include state revenue tax, commission fees, and uncollectible
</t>
        </r>
      </text>
    </comment>
    <comment ref="T12" authorId="1" shapeId="0" xr:uid="{196236AB-AA61-45AF-B2E2-0F218F83B9DF}">
      <text>
        <r>
          <rPr>
            <sz val="9"/>
            <color indexed="81"/>
            <rFont val="Tahoma"/>
            <family val="2"/>
          </rPr>
          <t>Storage Reinvestment</t>
        </r>
      </text>
    </comment>
    <comment ref="T14" authorId="1" shapeId="0" xr:uid="{B37DD92B-86D3-4EC9-B4F9-C3B1E8ED82B5}">
      <text>
        <r>
          <rPr>
            <sz val="9"/>
            <color indexed="81"/>
            <rFont val="Tahoma"/>
            <family val="2"/>
          </rPr>
          <t>Storage Reinvestment</t>
        </r>
      </text>
    </comment>
    <comment ref="T16" authorId="1" shapeId="0" xr:uid="{8B84A04E-EA7C-416F-AEFD-ECC4E8F3290C}">
      <text>
        <r>
          <rPr>
            <sz val="9"/>
            <color indexed="81"/>
            <rFont val="Tahoma"/>
            <family val="2"/>
          </rPr>
          <t>Storage Reinvestment</t>
        </r>
      </text>
    </comment>
    <comment ref="T18" authorId="1" shapeId="0" xr:uid="{1BEC9970-4BCA-443A-B910-8BFA2593CD8D}">
      <text>
        <r>
          <rPr>
            <sz val="9"/>
            <color indexed="81"/>
            <rFont val="Tahoma"/>
            <family val="2"/>
          </rPr>
          <t>Storage Reinvestment</t>
        </r>
      </text>
    </comment>
    <comment ref="T21" authorId="1" shapeId="0" xr:uid="{8FE281BA-F9E8-49DE-A027-D8F2C872ED61}">
      <text>
        <r>
          <rPr>
            <sz val="9"/>
            <color indexed="81"/>
            <rFont val="Tahoma"/>
            <family val="2"/>
          </rPr>
          <t>Storage Reinvestment</t>
        </r>
      </text>
    </comment>
    <comment ref="T22" authorId="1" shapeId="0" xr:uid="{1178FD04-1F67-4D34-8B49-2C4C5E16793B}">
      <text>
        <r>
          <rPr>
            <sz val="9"/>
            <color indexed="81"/>
            <rFont val="Tahoma"/>
            <family val="2"/>
          </rPr>
          <t>Storage Reinvestment</t>
        </r>
      </text>
    </comment>
    <comment ref="T23" authorId="1" shapeId="0" xr:uid="{26B1BDFC-1710-40A0-B8F8-540FD7FB8580}">
      <text>
        <r>
          <rPr>
            <sz val="9"/>
            <color indexed="81"/>
            <rFont val="Tahoma"/>
            <family val="2"/>
          </rPr>
          <t>Storage Reinvestment</t>
        </r>
      </text>
    </comment>
  </commentList>
</comments>
</file>

<file path=xl/sharedStrings.xml><?xml version="1.0" encoding="utf-8"?>
<sst xmlns="http://schemas.openxmlformats.org/spreadsheetml/2006/main" count="3598" uniqueCount="443">
  <si>
    <t>7F.04 CT Frame Greenfield</t>
  </si>
  <si>
    <t>Reciprocating Engine (ICE) Machine</t>
  </si>
  <si>
    <t>NG CCCT (1x1 w/DF)</t>
  </si>
  <si>
    <t>Small Modular Reactor (share)</t>
  </si>
  <si>
    <t>NW Wind On System (Share)</t>
  </si>
  <si>
    <t>NW Wind Off System</t>
  </si>
  <si>
    <t>Wind Montana</t>
  </si>
  <si>
    <t>Off Shore Wind (Share)</t>
  </si>
  <si>
    <t>Solar Photovoltaic Fixed Array (5 MW AC)</t>
  </si>
  <si>
    <t>Solar Photovoltaic Fixed Array (5 MW AC) + Storage</t>
  </si>
  <si>
    <t>Southern NW Solar Photovoltaic w/ Single Axis Tracking (100 MW AC)</t>
  </si>
  <si>
    <t>Distribution Scale 4hr Lithium-Ion</t>
  </si>
  <si>
    <t>Distribution Scale 8hr Lithium-Ion</t>
  </si>
  <si>
    <t>4hr Lithium-Ion</t>
  </si>
  <si>
    <t>8hr Lithium-Ion</t>
  </si>
  <si>
    <t>16hr Lithium-Ion</t>
  </si>
  <si>
    <t>4 hr Vanadium Flow Battery</t>
  </si>
  <si>
    <t>4 hr Zinc Bromide Flow Battery</t>
  </si>
  <si>
    <t>100hr Iron Oxide</t>
  </si>
  <si>
    <t>Geothermal (Off System)</t>
  </si>
  <si>
    <t xml:space="preserve">Hydrogen Fuel Cell with 40 hrs Storage </t>
  </si>
  <si>
    <t>7F.04 CT Frame Greenfield + amonia + storage</t>
  </si>
  <si>
    <t>Liquid Air</t>
  </si>
  <si>
    <t>Pumped Hydro (8.5 hr/ 400 MW share)</t>
  </si>
  <si>
    <t>Pumped Hydro (16 hr/ 100 MW)</t>
  </si>
  <si>
    <t>Pumped Hyrdo (24 hr/ 100 MW)</t>
  </si>
  <si>
    <t>Wood Biomass</t>
  </si>
  <si>
    <t>Rathdrum CT 2055 Uprates two unit operation</t>
  </si>
  <si>
    <t>Rathdrum CT: Inlet Evaporation 2 unit operation</t>
  </si>
  <si>
    <t>Long Description</t>
  </si>
  <si>
    <t>Tab</t>
  </si>
  <si>
    <t>Fuel Gen</t>
  </si>
  <si>
    <t>Solar PPA</t>
  </si>
  <si>
    <t>Ownership Storage</t>
  </si>
  <si>
    <t>Other PPA</t>
  </si>
  <si>
    <t>Upgrades</t>
  </si>
  <si>
    <t>Wind PPA</t>
  </si>
  <si>
    <t>Resource</t>
  </si>
  <si>
    <t>Net Capacity Factor (%)</t>
  </si>
  <si>
    <t>CAPEX ($/kW)</t>
  </si>
  <si>
    <t>Variable Operation and Maintenance Expenses ($/MWh)</t>
  </si>
  <si>
    <t>Fixed Operation and Maintenance Expenses ($/kW-yr)</t>
  </si>
  <si>
    <t>Round-Trip Efficiency</t>
  </si>
  <si>
    <t>Heat Rate  (MMBtu/MWh)</t>
  </si>
  <si>
    <t>MWh</t>
  </si>
  <si>
    <t>PPA Rate ($/MWh)</t>
  </si>
  <si>
    <t>Revenue</t>
  </si>
  <si>
    <t>Fixed O&amp;M</t>
  </si>
  <si>
    <t>Variable O&amp;M</t>
  </si>
  <si>
    <t>Property Tax</t>
  </si>
  <si>
    <t>Total Operating Costs</t>
  </si>
  <si>
    <t>EBITDA</t>
  </si>
  <si>
    <t>Before Tax Earnings</t>
  </si>
  <si>
    <t>PTC</t>
  </si>
  <si>
    <t>Federal Tax</t>
  </si>
  <si>
    <t>Free Cash Flow</t>
  </si>
  <si>
    <t>ROE</t>
  </si>
  <si>
    <t>Interest</t>
  </si>
  <si>
    <t>Mortgage Payment</t>
  </si>
  <si>
    <t>Sinking Fund</t>
  </si>
  <si>
    <t>Mortgage Balance</t>
  </si>
  <si>
    <t>Book Depr</t>
  </si>
  <si>
    <t>Accum Depreciation</t>
  </si>
  <si>
    <t>End Year Book Value</t>
  </si>
  <si>
    <t>Prop. Tax Value</t>
  </si>
  <si>
    <t>Tax Dep</t>
  </si>
  <si>
    <t>After Tax Dep. Value</t>
  </si>
  <si>
    <t>Dep. Tax Equity</t>
  </si>
  <si>
    <t>Debt</t>
  </si>
  <si>
    <t>Equity</t>
  </si>
  <si>
    <t>Total</t>
  </si>
  <si>
    <t>Check</t>
  </si>
  <si>
    <t>Start Year:</t>
  </si>
  <si>
    <t>Plant Size (MW) (59F)</t>
  </si>
  <si>
    <t>Avista Discount Rate</t>
  </si>
  <si>
    <t>Misc Fees</t>
  </si>
  <si>
    <t>Fed Tax Rate</t>
  </si>
  <si>
    <t>Debt Rate</t>
  </si>
  <si>
    <t>Tax Equity Return</t>
  </si>
  <si>
    <t>PTC Tax Equity</t>
  </si>
  <si>
    <t>PTC Schedule</t>
  </si>
  <si>
    <t>AFUDC</t>
  </si>
  <si>
    <t>Fuel (Dth)</t>
  </si>
  <si>
    <t>GHG Metric Tons</t>
  </si>
  <si>
    <t>Storage Losses</t>
  </si>
  <si>
    <t>Gen</t>
  </si>
  <si>
    <t>Heat Rate</t>
  </si>
  <si>
    <t>Capacity</t>
  </si>
  <si>
    <t>Capital Cost</t>
  </si>
  <si>
    <t>Sales tax</t>
  </si>
  <si>
    <t>Total Capital</t>
  </si>
  <si>
    <t>Fixed Costs</t>
  </si>
  <si>
    <t>Capital Recovery &amp; Taxes</t>
  </si>
  <si>
    <t>Misc Charges</t>
  </si>
  <si>
    <t>Total Fixed Cost</t>
  </si>
  <si>
    <t>Variable Costs</t>
  </si>
  <si>
    <t>Fuel Cost</t>
  </si>
  <si>
    <t>Variable Charge</t>
  </si>
  <si>
    <t>Variable Fuel Transport</t>
  </si>
  <si>
    <t>Total Variable Cost</t>
  </si>
  <si>
    <t>Total Cost</t>
  </si>
  <si>
    <t>$/MWh</t>
  </si>
  <si>
    <t>Fixed Cost $/kW-yr</t>
  </si>
  <si>
    <t>Variable Cost $/MWh</t>
  </si>
  <si>
    <t>State Sales Tax Rate</t>
  </si>
  <si>
    <t>Washington Sales Tax Rate:</t>
  </si>
  <si>
    <t>Idaho Sales Tax Rate:</t>
  </si>
  <si>
    <t>Fuel Costs ($/MMBtu) - Malin</t>
  </si>
  <si>
    <t>Fuel Costs (%) Variable Charge</t>
  </si>
  <si>
    <t>Capital Recovery &amp; Taxes Rates</t>
  </si>
  <si>
    <t>Forced Outage (%)</t>
  </si>
  <si>
    <t>Capacity Payment ($/kW-month)</t>
  </si>
  <si>
    <t>Fuel Charge</t>
  </si>
  <si>
    <t>Initial Mortgage Payment</t>
  </si>
  <si>
    <t>Depr</t>
  </si>
  <si>
    <t>Storage Losses (MWh)</t>
  </si>
  <si>
    <t>Variable Cost</t>
  </si>
  <si>
    <t>Energy Purchase</t>
  </si>
  <si>
    <t>Fixed $/kW</t>
  </si>
  <si>
    <t>Fixed $/kWh</t>
  </si>
  <si>
    <t>Variable $/MWh</t>
  </si>
  <si>
    <t>All per $/MWh</t>
  </si>
  <si>
    <t>Storage (MWh)</t>
  </si>
  <si>
    <t>Mid-Columbia (off-peak)</t>
  </si>
  <si>
    <t>Fuel Reduction on remaining plant (mmbtu)</t>
  </si>
  <si>
    <t>Fuel Savings on remaining plant</t>
  </si>
  <si>
    <t>Fuel Costs ($/MMBtu) - Incremental Hog Fuel</t>
  </si>
  <si>
    <t>B&amp;O Tax</t>
  </si>
  <si>
    <t>ITC</t>
  </si>
  <si>
    <t>ITC Tax Equity</t>
  </si>
  <si>
    <t>New Residential Solar</t>
  </si>
  <si>
    <t>Existing Residential Solar</t>
  </si>
  <si>
    <t>Existing Residential Solar + Storage</t>
  </si>
  <si>
    <t>Commercial Solar</t>
  </si>
  <si>
    <t>Commercial Solar + Storage</t>
  </si>
  <si>
    <t>100 MW/400 MWh Lithium-ion w/Solar</t>
  </si>
  <si>
    <t>100 MW/200 MWh Lithium-ion w/Solar</t>
  </si>
  <si>
    <t>50 MW/200 MWh Lithium-ion w/Solar</t>
  </si>
  <si>
    <t>Solar Photovoltaic w/Single Axis Tracking (100 MW AC)</t>
  </si>
  <si>
    <t>New Residential Solar + Storage</t>
  </si>
  <si>
    <t>ITC Schedule</t>
  </si>
  <si>
    <t>B&amp;O Tax Rate</t>
  </si>
  <si>
    <t>Tax Depreciation Schedules - MACRES</t>
  </si>
  <si>
    <t>Tax Dep Rate</t>
  </si>
  <si>
    <t>Targeted Free Cash Flow</t>
  </si>
  <si>
    <t>Solver</t>
  </si>
  <si>
    <t>Result</t>
  </si>
  <si>
    <t>Target</t>
  </si>
  <si>
    <t>NREL Land-Based Wind - Class 8</t>
  </si>
  <si>
    <t>NREL Land-Based Wind - Class 3</t>
  </si>
  <si>
    <t>Data Point</t>
  </si>
  <si>
    <t>NREL Nuclear - Small Modular Reactor</t>
  </si>
  <si>
    <t>Cash Flow Allocation</t>
  </si>
  <si>
    <t>Capitalized Interest (AFUDC) ($/kW)</t>
  </si>
  <si>
    <t>NREL Utility-Scale Battery Storage - 4Hr</t>
  </si>
  <si>
    <t>NREL Utility-Scale Battery Storage - 8Hr</t>
  </si>
  <si>
    <t>NREL Utility-Scale Battery Storage - 16Hr</t>
  </si>
  <si>
    <t>2021 IRP</t>
  </si>
  <si>
    <t>Solar Fixed O&amp;M</t>
  </si>
  <si>
    <t>Storage Fixed O&amp;M</t>
  </si>
  <si>
    <t>Solar Variable O&amp;M</t>
  </si>
  <si>
    <t>Storage Refresh Mortgage Payment</t>
  </si>
  <si>
    <t>Solar Depr</t>
  </si>
  <si>
    <t>Storage Depr</t>
  </si>
  <si>
    <t>100 MW/400 MWh Lithium-ion w/Solar (Solar Only)</t>
  </si>
  <si>
    <t>100 MW/400 MWh Lithium-ion w/Solar (Battery Only)</t>
  </si>
  <si>
    <t>100 MW/200 MWh Lithium-ion w/Solar (Battery Only)</t>
  </si>
  <si>
    <t>50 MW/200 MWh Lithium-ion w/Solar (Battery Only)</t>
  </si>
  <si>
    <t>100 MW/200 MWh Lithium-ion w/Solar (Solar Only)</t>
  </si>
  <si>
    <t>50 MW/200 MWh Lithium-ion w/Solar (Solar Only)</t>
  </si>
  <si>
    <t>Solar Photovoltaic Fixed Array (5 MW AC) + Storage (Battery Only)</t>
  </si>
  <si>
    <t>Solar Photovoltaic Fixed Array (5 MW AC) + Storage (Solar Only)</t>
  </si>
  <si>
    <t>New Residential Solar + Storage (Solar Only)</t>
  </si>
  <si>
    <t>Existing Residential Solar + Storage (Solar Only)</t>
  </si>
  <si>
    <t>Commercial Solar + Storage (Solar Only)</t>
  </si>
  <si>
    <t>New Residential Solar + Storage (Battery Only)</t>
  </si>
  <si>
    <t>Existing Residential Solar + Storage (Battery Only)</t>
  </si>
  <si>
    <t>Commercial Solar + Storage (Battery Only)</t>
  </si>
  <si>
    <t>AFUDC (Storage)</t>
  </si>
  <si>
    <t xml:space="preserve">     Storage Reinvestment</t>
  </si>
  <si>
    <t>Natural Gas Price Forecast</t>
  </si>
  <si>
    <t>Levelized Fixed Cost $/kW</t>
  </si>
  <si>
    <t>Levelized Fixed Cost $/kW-month</t>
  </si>
  <si>
    <t>Levelized Fixed Cost $/kWh</t>
  </si>
  <si>
    <t>$/MWh (include losses)</t>
  </si>
  <si>
    <t>Solver Result:</t>
  </si>
  <si>
    <t>NREL Utility-Scale Battery Storage - 2Hr</t>
  </si>
  <si>
    <t>NREL Utility PV - Class 4</t>
  </si>
  <si>
    <t>NREL Utility PV - Class 5</t>
  </si>
  <si>
    <t>NREL Commercial PV - Class 8</t>
  </si>
  <si>
    <t>NREL Residential PV - Class 8</t>
  </si>
  <si>
    <t>NREL Residential Battery Storage - 5 kW - 12.5 kWh</t>
  </si>
  <si>
    <t>NREL Commercial Battery Storage 4Hr</t>
  </si>
  <si>
    <t>NREL Wind Speed Class 12</t>
  </si>
  <si>
    <t>NREL Pumped Storage Hydropower - National Class 10</t>
  </si>
  <si>
    <t>NREL Pumped Storage Hydropower - National Class 7</t>
  </si>
  <si>
    <t>NREL Pumped Storage Hydropower - National Class 5</t>
  </si>
  <si>
    <t>NREL Geothermal - Hydro / Flash</t>
  </si>
  <si>
    <t>Fuel Costs ($/MMBtu) - Amonia</t>
  </si>
  <si>
    <t>James and Tom</t>
  </si>
  <si>
    <t>Storage Losses (MMBtu)</t>
  </si>
  <si>
    <t>Capacity Payment $/kW-mn</t>
  </si>
  <si>
    <t>Green = Wood</t>
  </si>
  <si>
    <t>Red = Natural Gas</t>
  </si>
  <si>
    <t>Type</t>
  </si>
  <si>
    <t>Size</t>
  </si>
  <si>
    <t>PPA Price/ Implied Energy Payment $/MWh</t>
  </si>
  <si>
    <t>PPA Price/ Implied Capacity Payment $/kW-Yr</t>
  </si>
  <si>
    <t>State</t>
  </si>
  <si>
    <t>Washington</t>
  </si>
  <si>
    <t>Idaho</t>
  </si>
  <si>
    <t>7F.04 CT Frame Greenfield (Washington)</t>
  </si>
  <si>
    <t>Reciprocating Engine (ICE) Machine (Washington)</t>
  </si>
  <si>
    <t>NG CCCT (1x1 w/DF) (Washington)</t>
  </si>
  <si>
    <t>Hydrogen Fuel Cell with 40 hrs Storage (Washington)</t>
  </si>
  <si>
    <t>7F.04 CT Frame Greenfield + amonia + storage (Washington)</t>
  </si>
  <si>
    <t>7F.04 CT Frame Greenfield (Idaho)</t>
  </si>
  <si>
    <t>Reciprocating Engine (ICE) Machine (Idaho)</t>
  </si>
  <si>
    <t>NG CCCT (1x1 w/DF) (Idaho)</t>
  </si>
  <si>
    <t>Hydrogen Fuel Cell with 40 hrs Storage (Idaho)</t>
  </si>
  <si>
    <t>7F.04 CT Frame Greenfield + amonia + storage (Idaho)</t>
  </si>
  <si>
    <t>Fuel Costs ($/MMBtu) - Uranium</t>
  </si>
  <si>
    <t>Fuel Costs ($/MMBtu) - Renewable Hydrogen</t>
  </si>
  <si>
    <t>Hydrogen-Ammonia Pricing workbook</t>
  </si>
  <si>
    <t>Energy Purchases</t>
  </si>
  <si>
    <t>CPI:</t>
  </si>
  <si>
    <t>CPI Factor:</t>
  </si>
  <si>
    <t>PPI:</t>
  </si>
  <si>
    <t>PPI Factor:</t>
  </si>
  <si>
    <t>Adjustment</t>
  </si>
  <si>
    <t>CPI Inflator</t>
  </si>
  <si>
    <t>Internal</t>
  </si>
  <si>
    <t>Internal/NREL Residential PV - Class 8</t>
  </si>
  <si>
    <t>Internal/NREL Commercial PV - Class 8</t>
  </si>
  <si>
    <t>Internal/NREL Utility PV - Class 4</t>
  </si>
  <si>
    <t>Internal/NREL Land-Based Wind - Class 8</t>
  </si>
  <si>
    <t>NREL Utility-Scale Battery Storage - 4Hr/LAZARD’S LEVELIZED COST O F STORAGE ANALYSIS—VERSION 7 . 0</t>
  </si>
  <si>
    <t>NREL Utility-Scale Battery Storage - 8Hr/LAZARD’S LEVELIZED COST O F STORAGE ANALYSIS—VERSION 7 . 0</t>
  </si>
  <si>
    <t>Form Energy</t>
  </si>
  <si>
    <t>NREL Utility PV - Class 4/LAZARD’S LEVELIZED COST OF ENERGY ANALYSIS—VERSION 15.0</t>
  </si>
  <si>
    <t>NREL Land-Based Wind - Class 8/Off System Adjustment</t>
  </si>
  <si>
    <t>Inflation Reduction Act</t>
  </si>
  <si>
    <t>Natural Gas Use Tax (Washington):</t>
  </si>
  <si>
    <t>2.5% Annual Inflation</t>
  </si>
  <si>
    <t>NREL Land-Based Wind - Class 3/Off System Adjustment</t>
  </si>
  <si>
    <t>PTC Value ($/MWh)</t>
  </si>
  <si>
    <t>Annual Avg "Real" Cost Improvement</t>
  </si>
  <si>
    <t>Source</t>
  </si>
  <si>
    <t>Base Year USD</t>
  </si>
  <si>
    <t>ITC/PTC Schedules</t>
  </si>
  <si>
    <t>Fuel Costs</t>
  </si>
  <si>
    <t>Calculate results for resources from tabs:</t>
  </si>
  <si>
    <t>Date of most recent run:</t>
  </si>
  <si>
    <t>Run time (seconds):</t>
  </si>
  <si>
    <t>Mid-Columbia (off-peak) $/MWh</t>
  </si>
  <si>
    <t>Macro status:</t>
  </si>
  <si>
    <t>RUN COMPLETE</t>
  </si>
  <si>
    <t>CPI Inflator (after 2045)</t>
  </si>
  <si>
    <t>7F.04 CT Frame Greenfield + ammonia + storage</t>
  </si>
  <si>
    <t>Internal/NREL Utility PV - Class 3</t>
  </si>
  <si>
    <t>Item</t>
  </si>
  <si>
    <t>Market</t>
  </si>
  <si>
    <t>Short Term Market Purchases</t>
  </si>
  <si>
    <t>Short Term Market Sales</t>
  </si>
  <si>
    <t>Natural Gas</t>
  </si>
  <si>
    <t>Nuclear</t>
  </si>
  <si>
    <t>Small Modular Reactor</t>
  </si>
  <si>
    <t>Wind</t>
  </si>
  <si>
    <t>NW Wind On System</t>
  </si>
  <si>
    <t>Off Shore Wind (share)</t>
  </si>
  <si>
    <t>Solar</t>
  </si>
  <si>
    <t>Storage</t>
  </si>
  <si>
    <t>New Residential Storage</t>
  </si>
  <si>
    <t>Existing Residential Storage</t>
  </si>
  <si>
    <t>Commercial Storage</t>
  </si>
  <si>
    <t>5MW/20MWh Lith-Ion Storage</t>
  </si>
  <si>
    <t>Solar Photovoltaic w/Single Axis Tracking (50 MW AC)</t>
  </si>
  <si>
    <t>Southern NW Solar Photovoltaic w/ Single Axies Tracking (100 MW AC)</t>
  </si>
  <si>
    <t>100 MW/400 MWh Lithium-ion with solar</t>
  </si>
  <si>
    <t>100 MW/200 MWh Lithium-ion with solar</t>
  </si>
  <si>
    <t>50 MW/200 MWh Lithium-ion with solar</t>
  </si>
  <si>
    <t>Geothermal</t>
  </si>
  <si>
    <t>Hydrogen</t>
  </si>
  <si>
    <t>Ammonia</t>
  </si>
  <si>
    <t>Pumped Hydro (24 hr/ 100 MW)</t>
  </si>
  <si>
    <t>Biomass</t>
  </si>
  <si>
    <t>Palouse Repower</t>
  </si>
  <si>
    <t>Rattlesnake Repower</t>
  </si>
  <si>
    <t>Lind Repower</t>
  </si>
  <si>
    <t>Rathdrum</t>
  </si>
  <si>
    <t>20-year depreciation life</t>
  </si>
  <si>
    <t>19-year depreciation life</t>
  </si>
  <si>
    <t>18-year depreciation life</t>
  </si>
  <si>
    <t>17-year depreciation life</t>
  </si>
  <si>
    <t>16-year depreciation life</t>
  </si>
  <si>
    <t>15-year depreciation life</t>
  </si>
  <si>
    <t>14-year depreciation life</t>
  </si>
  <si>
    <t>13-year depreciation life</t>
  </si>
  <si>
    <t>12-year depreciation life</t>
  </si>
  <si>
    <t>11-year depreciation life</t>
  </si>
  <si>
    <t>10-year depreciation life</t>
  </si>
  <si>
    <t>Build Year</t>
  </si>
  <si>
    <t>CAPEX ($/kW) + AFUDC</t>
  </si>
  <si>
    <t>Capital Costs + AFUDC</t>
  </si>
  <si>
    <t>Year</t>
  </si>
  <si>
    <t>Utility Scale Solar</t>
  </si>
  <si>
    <t>NW Wind</t>
  </si>
  <si>
    <t>Montana Wind</t>
  </si>
  <si>
    <t>Off-Shore Wind</t>
  </si>
  <si>
    <t>Table 6.3</t>
  </si>
  <si>
    <t>Table 6.4</t>
  </si>
  <si>
    <t>Table 6.5</t>
  </si>
  <si>
    <t>8.5 hours</t>
  </si>
  <si>
    <t>16 hours</t>
  </si>
  <si>
    <t>24 hours</t>
  </si>
  <si>
    <t>Table 6.7</t>
  </si>
  <si>
    <t>Forecasted Solar &amp; Wind Capital Cost ($/kW)</t>
  </si>
  <si>
    <t>Forecasted Solar &amp; Wind O&amp;M ($/kW-yr)</t>
  </si>
  <si>
    <t>Levelized Solar &amp; Wind Prices ($/MWh)</t>
  </si>
  <si>
    <t>Pumped Hydro Options Cost ($/kW-month)</t>
  </si>
  <si>
    <t xml:space="preserve">Utility Scale 4 hour </t>
  </si>
  <si>
    <t>Utility Scale 8 hour</t>
  </si>
  <si>
    <t>Utility Scale 16 hour</t>
  </si>
  <si>
    <t>Table 6.8</t>
  </si>
  <si>
    <t>Lithium-ion Levelized Cost ($/kW-month)</t>
  </si>
  <si>
    <t>Vanadium</t>
  </si>
  <si>
    <t>Zinc Bromide</t>
  </si>
  <si>
    <t>Table 6.9</t>
  </si>
  <si>
    <t>Flow Battery Levelized Cost ($/kW-Month)</t>
  </si>
  <si>
    <t>100 MW/</t>
  </si>
  <si>
    <t>400 MWh</t>
  </si>
  <si>
    <t>200 MWh</t>
  </si>
  <si>
    <t>50 MW/</t>
  </si>
  <si>
    <t>Table 6.6</t>
  </si>
  <si>
    <t>Fuel Cell</t>
  </si>
  <si>
    <t xml:space="preserve"> (40-hour Storage) Washington</t>
  </si>
  <si>
    <t>table 6.10</t>
  </si>
  <si>
    <t>Hydrogen Fuel Cell Levelized Cost ($/MWh)</t>
  </si>
  <si>
    <t>REFERENCE CODE</t>
  </si>
  <si>
    <t>NREL - CPV8 (CF)</t>
  </si>
  <si>
    <t>NREL - UPV4 (CF)</t>
  </si>
  <si>
    <t>NREL - UPV3 (CF)</t>
  </si>
  <si>
    <t>NREL - RPV8 (CF)</t>
  </si>
  <si>
    <t>NREL - UPV4 (CAPEX)</t>
  </si>
  <si>
    <t>NREL - UPV5 (CAPEX)</t>
  </si>
  <si>
    <t>NREL - NWOS (CF)</t>
  </si>
  <si>
    <t>NREL - OSW12 (CF)</t>
  </si>
  <si>
    <t>NREL - NWOS8 (CAPEX)</t>
  </si>
  <si>
    <t>NREL - WM3 (CAPEX)</t>
  </si>
  <si>
    <t>NREL - OSW12 (CAPEX)</t>
  </si>
  <si>
    <t>NREL - NWOS8 (VOM)</t>
  </si>
  <si>
    <t>NREL - WM3 (VOM)</t>
  </si>
  <si>
    <t>NREL - OSW12 (VOM)</t>
  </si>
  <si>
    <t>NREL - NWOS8 (FOM)</t>
  </si>
  <si>
    <t>NREL - WM3 (FOM)</t>
  </si>
  <si>
    <t>NREL - OSW12 (FOM)</t>
  </si>
  <si>
    <t>NREL - UPV5 (CF)</t>
  </si>
  <si>
    <t>NREL - RPV8 (FOM)</t>
  </si>
  <si>
    <t>NREL - CPV8 (FOM)</t>
  </si>
  <si>
    <t>NREL - UPV4 (FOM)</t>
  </si>
  <si>
    <t>NREL - UPV5 (FOM)</t>
  </si>
  <si>
    <t>NREL - CB4 (FOM)</t>
  </si>
  <si>
    <t>NREL - NUC (CF)</t>
  </si>
  <si>
    <t>NREL - GEO (CF)</t>
  </si>
  <si>
    <t>NREL - NUC (HR)</t>
  </si>
  <si>
    <t>NREL - NUC (CAPEX)</t>
  </si>
  <si>
    <t>NREL - GEO (CAPEX)</t>
  </si>
  <si>
    <t>NREL - NUC (VOM)</t>
  </si>
  <si>
    <t>NREL - GEO (VOM)</t>
  </si>
  <si>
    <t>NREL - NUC (FUEL)</t>
  </si>
  <si>
    <t>NREL - NUC (FOM)</t>
  </si>
  <si>
    <t>NREL - GEO (FOM)</t>
  </si>
  <si>
    <t>NREL - USB4 (CAPEX)</t>
  </si>
  <si>
    <t>NREL - USB8 (CAPEX)</t>
  </si>
  <si>
    <t>NREL - USB16 (CAPEX)</t>
  </si>
  <si>
    <t>NREL - USB4 (VOM)</t>
  </si>
  <si>
    <t>NREL - USB8 (VOM)</t>
  </si>
  <si>
    <t>NREL - USB16 (VOM)</t>
  </si>
  <si>
    <t>NREL - USB4 (FOM)</t>
  </si>
  <si>
    <t>NREL - USB8 (FOM)</t>
  </si>
  <si>
    <t>NREL - USB16 (FOM)</t>
  </si>
  <si>
    <t>NREL - PSHP10 (CAPEX)</t>
  </si>
  <si>
    <t>NREL - PSHP7 (CAPEX)</t>
  </si>
  <si>
    <t>NREL - PSHP5 (CAPEX)</t>
  </si>
  <si>
    <t>NREL - PSHP10 (VOM)</t>
  </si>
  <si>
    <t>NREL - PSHP7 (VOM)</t>
  </si>
  <si>
    <t>NREL - PSHP5 (VOM)</t>
  </si>
  <si>
    <t>NREL - PSHP10 (FOM)</t>
  </si>
  <si>
    <t>NREL - PSHP7 (FOM)</t>
  </si>
  <si>
    <t>NREL - PSHP5 (FOM)</t>
  </si>
  <si>
    <t>NREL - USB2 (CAPEX)</t>
  </si>
  <si>
    <t>NREL - USB2 (VOM)</t>
  </si>
  <si>
    <t>NREL - USB2 (FOM)</t>
  </si>
  <si>
    <t>NREL - RB5 (FOM)</t>
  </si>
  <si>
    <t>Solar PPA (PTC)</t>
  </si>
  <si>
    <t>New Residential Solar (PTC)</t>
  </si>
  <si>
    <t>New Residential Solar + Storage (PTC)</t>
  </si>
  <si>
    <t>Existing Residential Solar (PTC)</t>
  </si>
  <si>
    <t>Existing Residential Solar + Storage (PTC)</t>
  </si>
  <si>
    <t>Commercial Solar (PTC)</t>
  </si>
  <si>
    <t>Commercial Solar + Storage (PTC)</t>
  </si>
  <si>
    <t>Solar Photovoltaic Fixed Array (5 MW AC) (PTC)</t>
  </si>
  <si>
    <t>Solar Photovoltaic Fixed Array (5 MW AC) + Storage (PTC)</t>
  </si>
  <si>
    <t>Solar Photovoltaic w/Single Axis Tracking (100 MW AC) (PTC)</t>
  </si>
  <si>
    <t>Southern NW Solar Photovoltaic w/ Single Axis Tracking (100 MW AC) (PTC)</t>
  </si>
  <si>
    <t>100 MW/400 MWh Lithium-ion w/Solar (PTC)</t>
  </si>
  <si>
    <t>100 MW/200 MWh Lithium-ion w/Solar (PTC)</t>
  </si>
  <si>
    <t>50 MW/200 MWh Lithium-ion w/Solar (PTC)</t>
  </si>
  <si>
    <t xml:space="preserve"> (PTC)</t>
  </si>
  <si>
    <t>NREL Utility-Scale Battery Storage - 4Hr/Internal</t>
  </si>
  <si>
    <t>NREL Utility PV - Class 4/Internal</t>
  </si>
  <si>
    <t>NREL Utility PV - Class 5/Off System Adjustment/Internal</t>
  </si>
  <si>
    <t>NREL Utility-Scale Battery Storage - 2Hr/Internal</t>
  </si>
  <si>
    <t>Table 5.6: DER Generation &amp; Storage Options Size and Cost</t>
  </si>
  <si>
    <t>Project Name</t>
  </si>
  <si>
    <t>Increment Size (kW)</t>
  </si>
  <si>
    <t xml:space="preserve"> 2024$ /MWh</t>
  </si>
  <si>
    <t>2035$ /MWh</t>
  </si>
  <si>
    <t>2024$ / kW-Month</t>
  </si>
  <si>
    <t>2035$ / kW-month</t>
  </si>
  <si>
    <t>Existing res. building solar</t>
  </si>
  <si>
    <t>6 (17 sites)</t>
  </si>
  <si>
    <t xml:space="preserve"> -</t>
  </si>
  <si>
    <t xml:space="preserve">Existing res. building solar with storage </t>
  </si>
  <si>
    <t>New res. building solar</t>
  </si>
  <si>
    <t xml:space="preserve">New res. building solar with storage </t>
  </si>
  <si>
    <t>Com. building solar</t>
  </si>
  <si>
    <t>Com. building solar with storage</t>
  </si>
  <si>
    <t>Utility owned solar array</t>
  </si>
  <si>
    <t>Utility owned solar array with storage</t>
  </si>
  <si>
    <t>Stand-alone energy storage (4hr)</t>
  </si>
  <si>
    <t xml:space="preserve">- </t>
  </si>
  <si>
    <t>Stand-alone energy storage (8hr)</t>
  </si>
  <si>
    <t>-</t>
  </si>
  <si>
    <t>Low-income Community Solar Program</t>
  </si>
  <si>
    <t xml:space="preserve"> n/a </t>
  </si>
  <si>
    <t>??</t>
  </si>
  <si>
    <t>Hydrogen Fuel Cell</t>
  </si>
  <si>
    <t>Ammonia Turbine</t>
  </si>
  <si>
    <t>Fixed Cost ($/kW-month)</t>
  </si>
  <si>
    <t>Fuel &amp; Variable Cost ($/MWh)</t>
  </si>
  <si>
    <t>Table 6.10: Hydrogen Based Resource Options Cost (WASHINGTON)</t>
  </si>
  <si>
    <t>Table 6.10: Hydrogen Based Resource Options Cost (IDAHO)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</si>
</sst>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0.000%"/>
    <numFmt numFmtId="168" formatCode="_(* #,##0.000_);_(* \(#,##0.000\);_(* &quot;-&quot;??_);_(@_)"/>
    <numFmt numFmtId="169" formatCode="#,##0.000"/>
    <numFmt numFmtId="170" formatCode="#,##0.0000"/>
    <numFmt numFmtId="171" formatCode="#,##0.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ourier"/>
      <family val="3"/>
    </font>
    <font>
      <sz val="9"/>
      <color indexed="81"/>
      <name val="Tahoma"/>
      <family val="2"/>
    </font>
    <font>
      <b/>
      <sz val="10"/>
      <name val="Arial"/>
      <family val="2"/>
    </font>
    <font>
      <i/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sz val="8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name val="Geneva"/>
    </font>
    <font>
      <u/>
      <sz val="10"/>
      <color theme="10"/>
      <name val="Arial"/>
      <family val="2"/>
    </font>
    <font>
      <b/>
      <i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B050"/>
      <name val="Arial"/>
      <family val="2"/>
    </font>
    <font>
      <sz val="11"/>
      <color theme="2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i/>
      <sz val="11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b/>
      <sz val="10.5"/>
      <color rgb="FFFFFFFF"/>
      <name val="Arial"/>
      <family val="2"/>
    </font>
    <font>
      <sz val="10.5"/>
      <color rgb="FF000000"/>
      <name val="Arial"/>
      <family val="2"/>
    </font>
    <font>
      <sz val="10.5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4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6BE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2" fillId="0" borderId="0"/>
    <xf numFmtId="0" fontId="13" fillId="11" borderId="0" applyNumberFormat="0" applyBorder="0" applyAlignment="0" applyProtection="0"/>
    <xf numFmtId="43" fontId="2" fillId="0" borderId="0" applyFont="0" applyFill="0" applyBorder="0" applyAlignment="0" applyProtection="0"/>
    <xf numFmtId="0" fontId="14" fillId="10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>
      <protection locked="0"/>
    </xf>
    <xf numFmtId="0" fontId="2" fillId="12" borderId="0" applyNumberFormat="0" applyBorder="0" applyAlignment="0">
      <protection locked="0"/>
    </xf>
    <xf numFmtId="0" fontId="1" fillId="0" borderId="0"/>
    <xf numFmtId="9" fontId="7" fillId="0" borderId="0" applyFont="0" applyFill="0" applyBorder="0" applyAlignment="0" applyProtection="0"/>
    <xf numFmtId="8" fontId="1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29">
    <xf numFmtId="0" fontId="0" fillId="0" borderId="0" xfId="0"/>
    <xf numFmtId="0" fontId="2" fillId="0" borderId="0" xfId="0" applyFont="1"/>
    <xf numFmtId="3" fontId="0" fillId="0" borderId="7" xfId="0" applyNumberFormat="1" applyBorder="1"/>
    <xf numFmtId="3" fontId="0" fillId="0" borderId="0" xfId="0" applyNumberFormat="1"/>
    <xf numFmtId="3" fontId="0" fillId="0" borderId="0" xfId="1" applyNumberFormat="1" applyFont="1" applyFill="1" applyBorder="1"/>
    <xf numFmtId="3" fontId="0" fillId="0" borderId="9" xfId="0" applyNumberFormat="1" applyBorder="1"/>
    <xf numFmtId="3" fontId="0" fillId="0" borderId="0" xfId="1" applyNumberFormat="1" applyFont="1" applyBorder="1"/>
    <xf numFmtId="3" fontId="0" fillId="0" borderId="10" xfId="0" applyNumberFormat="1" applyBorder="1"/>
    <xf numFmtId="164" fontId="0" fillId="0" borderId="7" xfId="1" applyNumberFormat="1" applyFont="1" applyBorder="1"/>
    <xf numFmtId="165" fontId="0" fillId="0" borderId="8" xfId="2" applyNumberFormat="1" applyFont="1" applyBorder="1" applyAlignment="1">
      <alignment horizontal="center"/>
    </xf>
    <xf numFmtId="164" fontId="0" fillId="0" borderId="0" xfId="1" applyNumberFormat="1" applyFont="1" applyBorder="1"/>
    <xf numFmtId="165" fontId="0" fillId="0" borderId="9" xfId="2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164" fontId="0" fillId="0" borderId="10" xfId="0" applyNumberFormat="1" applyBorder="1"/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3" fontId="0" fillId="0" borderId="8" xfId="0" applyNumberFormat="1" applyBorder="1"/>
    <xf numFmtId="4" fontId="0" fillId="0" borderId="0" xfId="0" applyNumberFormat="1" applyBorder="1"/>
    <xf numFmtId="4" fontId="0" fillId="0" borderId="9" xfId="0" applyNumberFormat="1" applyBorder="1"/>
    <xf numFmtId="3" fontId="0" fillId="0" borderId="0" xfId="0" applyNumberFormat="1" applyBorder="1"/>
    <xf numFmtId="3" fontId="0" fillId="0" borderId="11" xfId="0" applyNumberFormat="1" applyBorder="1"/>
    <xf numFmtId="10" fontId="0" fillId="0" borderId="0" xfId="0" applyNumberFormat="1" applyAlignment="1">
      <alignment horizontal="center"/>
    </xf>
    <xf numFmtId="9" fontId="0" fillId="2" borderId="0" xfId="0" applyNumberFormat="1" applyFill="1" applyAlignment="1">
      <alignment horizontal="center"/>
    </xf>
    <xf numFmtId="0" fontId="3" fillId="0" borderId="0" xfId="0" applyFont="1" applyAlignment="1">
      <alignment horizontal="center"/>
    </xf>
    <xf numFmtId="164" fontId="0" fillId="0" borderId="0" xfId="1" applyNumberFormat="1" applyFont="1"/>
    <xf numFmtId="4" fontId="0" fillId="0" borderId="0" xfId="0" applyNumberFormat="1" applyFill="1" applyBorder="1"/>
    <xf numFmtId="0" fontId="0" fillId="0" borderId="7" xfId="0" applyFill="1" applyBorder="1"/>
    <xf numFmtId="0" fontId="2" fillId="0" borderId="0" xfId="0" applyFont="1" applyFill="1" applyBorder="1"/>
    <xf numFmtId="0" fontId="0" fillId="0" borderId="0" xfId="0" applyFill="1" applyBorder="1"/>
    <xf numFmtId="0" fontId="2" fillId="0" borderId="10" xfId="0" applyFont="1" applyFill="1" applyBorder="1"/>
    <xf numFmtId="0" fontId="2" fillId="0" borderId="7" xfId="0" applyFont="1" applyFill="1" applyBorder="1"/>
    <xf numFmtId="0" fontId="0" fillId="0" borderId="1" xfId="0" applyFill="1" applyBorder="1"/>
    <xf numFmtId="0" fontId="2" fillId="0" borderId="2" xfId="0" applyFont="1" applyFill="1" applyBorder="1"/>
    <xf numFmtId="0" fontId="0" fillId="0" borderId="2" xfId="0" applyFill="1" applyBorder="1"/>
    <xf numFmtId="0" fontId="2" fillId="0" borderId="3" xfId="0" applyFont="1" applyFill="1" applyBorder="1"/>
    <xf numFmtId="0" fontId="2" fillId="0" borderId="1" xfId="0" applyFont="1" applyFill="1" applyBorder="1"/>
    <xf numFmtId="3" fontId="0" fillId="0" borderId="0" xfId="0" applyNumberFormat="1" applyAlignment="1">
      <alignment horizontal="center"/>
    </xf>
    <xf numFmtId="10" fontId="0" fillId="2" borderId="0" xfId="0" applyNumberFormat="1" applyFill="1" applyAlignment="1">
      <alignment horizontal="center"/>
    </xf>
    <xf numFmtId="0" fontId="0" fillId="0" borderId="0" xfId="0" applyFont="1"/>
    <xf numFmtId="0" fontId="0" fillId="0" borderId="2" xfId="0" applyBorder="1"/>
    <xf numFmtId="3" fontId="2" fillId="0" borderId="0" xfId="0" applyNumberFormat="1" applyFont="1" applyAlignment="1">
      <alignment horizontal="right"/>
    </xf>
    <xf numFmtId="166" fontId="0" fillId="0" borderId="0" xfId="1" applyNumberFormat="1" applyFont="1" applyFill="1" applyBorder="1"/>
    <xf numFmtId="0" fontId="0" fillId="0" borderId="9" xfId="0" applyBorder="1"/>
    <xf numFmtId="3" fontId="0" fillId="0" borderId="9" xfId="1" applyNumberFormat="1" applyFont="1" applyFill="1" applyBorder="1"/>
    <xf numFmtId="3" fontId="0" fillId="0" borderId="9" xfId="1" applyNumberFormat="1" applyFont="1" applyBorder="1"/>
    <xf numFmtId="0" fontId="0" fillId="0" borderId="3" xfId="0" applyBorder="1"/>
    <xf numFmtId="3" fontId="0" fillId="0" borderId="10" xfId="1" applyNumberFormat="1" applyFont="1" applyFill="1" applyBorder="1"/>
    <xf numFmtId="3" fontId="0" fillId="0" borderId="11" xfId="1" applyNumberFormat="1" applyFont="1" applyFill="1" applyBorder="1"/>
    <xf numFmtId="164" fontId="0" fillId="0" borderId="0" xfId="1" applyNumberFormat="1" applyFont="1" applyFill="1"/>
    <xf numFmtId="43" fontId="0" fillId="0" borderId="9" xfId="1" applyFont="1" applyFill="1" applyBorder="1"/>
    <xf numFmtId="43" fontId="0" fillId="0" borderId="9" xfId="1" applyFont="1" applyBorder="1"/>
    <xf numFmtId="43" fontId="0" fillId="0" borderId="11" xfId="1" applyFont="1" applyBorder="1"/>
    <xf numFmtId="0" fontId="0" fillId="0" borderId="0" xfId="0" applyAlignment="1">
      <alignment horizontal="center"/>
    </xf>
    <xf numFmtId="165" fontId="0" fillId="0" borderId="0" xfId="2" applyNumberFormat="1" applyFont="1" applyFill="1" applyAlignment="1">
      <alignment horizontal="center"/>
    </xf>
    <xf numFmtId="0" fontId="3" fillId="5" borderId="0" xfId="0" applyFont="1" applyFill="1"/>
    <xf numFmtId="164" fontId="0" fillId="0" borderId="7" xfId="1" applyNumberFormat="1" applyFont="1" applyFill="1" applyBorder="1"/>
    <xf numFmtId="3" fontId="0" fillId="0" borderId="7" xfId="0" applyNumberFormat="1" applyFill="1" applyBorder="1"/>
    <xf numFmtId="164" fontId="0" fillId="0" borderId="0" xfId="1" applyNumberFormat="1" applyFont="1" applyFill="1" applyBorder="1"/>
    <xf numFmtId="3" fontId="0" fillId="0" borderId="0" xfId="0" applyNumberFormat="1" applyFill="1"/>
    <xf numFmtId="3" fontId="2" fillId="0" borderId="0" xfId="0" applyNumberFormat="1" applyFont="1" applyFill="1" applyAlignment="1">
      <alignment horizontal="right"/>
    </xf>
    <xf numFmtId="0" fontId="0" fillId="0" borderId="0" xfId="0" applyFill="1"/>
    <xf numFmtId="0" fontId="0" fillId="0" borderId="3" xfId="0" applyFill="1" applyBorder="1"/>
    <xf numFmtId="0" fontId="0" fillId="0" borderId="7" xfId="0" applyBorder="1"/>
    <xf numFmtId="0" fontId="0" fillId="0" borderId="8" xfId="0" applyBorder="1"/>
    <xf numFmtId="0" fontId="0" fillId="0" borderId="11" xfId="0" applyBorder="1"/>
    <xf numFmtId="165" fontId="0" fillId="0" borderId="8" xfId="2" applyNumberFormat="1" applyFont="1" applyBorder="1"/>
    <xf numFmtId="165" fontId="0" fillId="0" borderId="9" xfId="2" applyNumberFormat="1" applyFont="1" applyBorder="1"/>
    <xf numFmtId="3" fontId="2" fillId="0" borderId="7" xfId="0" applyNumberFormat="1" applyFont="1" applyBorder="1"/>
    <xf numFmtId="3" fontId="2" fillId="0" borderId="8" xfId="0" applyNumberFormat="1" applyFont="1" applyBorder="1"/>
    <xf numFmtId="3" fontId="2" fillId="0" borderId="0" xfId="0" applyNumberFormat="1" applyFont="1"/>
    <xf numFmtId="3" fontId="2" fillId="0" borderId="9" xfId="0" applyNumberFormat="1" applyFont="1" applyBorder="1"/>
    <xf numFmtId="3" fontId="2" fillId="0" borderId="0" xfId="1" applyNumberFormat="1" applyFont="1" applyBorder="1"/>
    <xf numFmtId="3" fontId="2" fillId="0" borderId="9" xfId="1" applyNumberFormat="1" applyFont="1" applyBorder="1"/>
    <xf numFmtId="3" fontId="2" fillId="0" borderId="0" xfId="1" applyNumberFormat="1" applyFont="1" applyFill="1" applyBorder="1"/>
    <xf numFmtId="3" fontId="2" fillId="0" borderId="9" xfId="1" applyNumberFormat="1" applyFont="1" applyFill="1" applyBorder="1"/>
    <xf numFmtId="3" fontId="2" fillId="0" borderId="10" xfId="1" applyNumberFormat="1" applyFont="1" applyBorder="1"/>
    <xf numFmtId="3" fontId="2" fillId="0" borderId="11" xfId="1" applyNumberFormat="1" applyFont="1" applyBorder="1"/>
    <xf numFmtId="3" fontId="0" fillId="0" borderId="8" xfId="1" applyNumberFormat="1" applyFont="1" applyBorder="1"/>
    <xf numFmtId="3" fontId="2" fillId="0" borderId="1" xfId="0" applyNumberFormat="1" applyFont="1" applyFill="1" applyBorder="1"/>
    <xf numFmtId="3" fontId="2" fillId="0" borderId="2" xfId="0" applyNumberFormat="1" applyFont="1" applyFill="1" applyBorder="1"/>
    <xf numFmtId="3" fontId="2" fillId="0" borderId="2" xfId="0" applyNumberFormat="1" applyFont="1" applyFill="1" applyBorder="1" applyAlignment="1">
      <alignment horizontal="left"/>
    </xf>
    <xf numFmtId="3" fontId="2" fillId="0" borderId="3" xfId="0" applyNumberFormat="1" applyFont="1" applyFill="1" applyBorder="1"/>
    <xf numFmtId="0" fontId="9" fillId="0" borderId="0" xfId="0" applyFont="1"/>
    <xf numFmtId="166" fontId="0" fillId="0" borderId="0" xfId="1" applyNumberFormat="1" applyFont="1" applyBorder="1"/>
    <xf numFmtId="3" fontId="0" fillId="0" borderId="10" xfId="1" applyNumberFormat="1" applyFont="1" applyBorder="1"/>
    <xf numFmtId="3" fontId="0" fillId="0" borderId="11" xfId="1" applyNumberFormat="1" applyFont="1" applyBorder="1"/>
    <xf numFmtId="0" fontId="0" fillId="0" borderId="0" xfId="0" quotePrefix="1"/>
    <xf numFmtId="0" fontId="2" fillId="0" borderId="2" xfId="0" applyFont="1" applyFill="1" applyBorder="1" applyAlignment="1">
      <alignment horizontal="left" indent="1"/>
    </xf>
    <xf numFmtId="0" fontId="10" fillId="0" borderId="2" xfId="0" applyFont="1" applyFill="1" applyBorder="1"/>
    <xf numFmtId="0" fontId="2" fillId="0" borderId="2" xfId="0" applyFont="1" applyFill="1" applyBorder="1" applyAlignment="1">
      <alignment horizontal="left" indent="2"/>
    </xf>
    <xf numFmtId="0" fontId="10" fillId="0" borderId="2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 indent="1"/>
    </xf>
    <xf numFmtId="8" fontId="0" fillId="0" borderId="0" xfId="0" applyNumberFormat="1"/>
    <xf numFmtId="3" fontId="0" fillId="0" borderId="0" xfId="0" applyNumberFormat="1" applyFill="1" applyBorder="1"/>
    <xf numFmtId="0" fontId="11" fillId="0" borderId="0" xfId="0" applyFont="1"/>
    <xf numFmtId="0" fontId="0" fillId="0" borderId="0" xfId="0"/>
    <xf numFmtId="0" fontId="0" fillId="6" borderId="0" xfId="0" applyFill="1"/>
    <xf numFmtId="0" fontId="0" fillId="7" borderId="0" xfId="0" applyFill="1"/>
    <xf numFmtId="3" fontId="0" fillId="0" borderId="7" xfId="0" applyNumberFormat="1" applyBorder="1"/>
    <xf numFmtId="3" fontId="0" fillId="0" borderId="0" xfId="0" applyNumberFormat="1"/>
    <xf numFmtId="3" fontId="0" fillId="0" borderId="0" xfId="1" applyNumberFormat="1" applyFont="1" applyFill="1" applyBorder="1"/>
    <xf numFmtId="3" fontId="0" fillId="0" borderId="9" xfId="0" applyNumberFormat="1" applyBorder="1"/>
    <xf numFmtId="3" fontId="0" fillId="0" borderId="0" xfId="1" applyNumberFormat="1" applyFont="1" applyBorder="1"/>
    <xf numFmtId="3" fontId="0" fillId="0" borderId="10" xfId="0" applyNumberFormat="1" applyBorder="1"/>
    <xf numFmtId="164" fontId="0" fillId="0" borderId="7" xfId="1" applyNumberFormat="1" applyFont="1" applyBorder="1"/>
    <xf numFmtId="165" fontId="0" fillId="0" borderId="8" xfId="2" applyNumberFormat="1" applyFont="1" applyBorder="1" applyAlignment="1">
      <alignment horizontal="center"/>
    </xf>
    <xf numFmtId="164" fontId="0" fillId="0" borderId="0" xfId="1" applyNumberFormat="1" applyFont="1" applyBorder="1"/>
    <xf numFmtId="165" fontId="0" fillId="0" borderId="9" xfId="2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164" fontId="0" fillId="0" borderId="10" xfId="0" applyNumberFormat="1" applyBorder="1"/>
    <xf numFmtId="0" fontId="0" fillId="0" borderId="11" xfId="0" applyBorder="1" applyAlignment="1">
      <alignment horizontal="center"/>
    </xf>
    <xf numFmtId="3" fontId="0" fillId="0" borderId="8" xfId="0" applyNumberFormat="1" applyBorder="1"/>
    <xf numFmtId="4" fontId="0" fillId="0" borderId="0" xfId="0" applyNumberFormat="1" applyBorder="1"/>
    <xf numFmtId="4" fontId="0" fillId="0" borderId="9" xfId="0" applyNumberFormat="1" applyBorder="1"/>
    <xf numFmtId="3" fontId="0" fillId="0" borderId="0" xfId="0" applyNumberFormat="1" applyBorder="1"/>
    <xf numFmtId="3" fontId="0" fillId="0" borderId="11" xfId="0" applyNumberFormat="1" applyBorder="1"/>
    <xf numFmtId="164" fontId="0" fillId="0" borderId="0" xfId="1" applyNumberFormat="1" applyFont="1"/>
    <xf numFmtId="4" fontId="0" fillId="0" borderId="0" xfId="0" applyNumberFormat="1" applyFill="1" applyBorder="1"/>
    <xf numFmtId="9" fontId="0" fillId="0" borderId="0" xfId="2" applyFont="1"/>
    <xf numFmtId="0" fontId="0" fillId="0" borderId="7" xfId="0" applyFill="1" applyBorder="1"/>
    <xf numFmtId="0" fontId="2" fillId="0" borderId="0" xfId="0" applyFont="1" applyFill="1" applyBorder="1"/>
    <xf numFmtId="0" fontId="0" fillId="0" borderId="0" xfId="0" applyFill="1" applyBorder="1"/>
    <xf numFmtId="0" fontId="2" fillId="0" borderId="10" xfId="0" applyFont="1" applyFill="1" applyBorder="1"/>
    <xf numFmtId="0" fontId="2" fillId="0" borderId="7" xfId="0" applyFont="1" applyFill="1" applyBorder="1"/>
    <xf numFmtId="0" fontId="0" fillId="0" borderId="1" xfId="0" applyFill="1" applyBorder="1"/>
    <xf numFmtId="0" fontId="2" fillId="0" borderId="2" xfId="0" applyFont="1" applyFill="1" applyBorder="1"/>
    <xf numFmtId="0" fontId="0" fillId="0" borderId="2" xfId="0" applyFill="1" applyBorder="1"/>
    <xf numFmtId="0" fontId="2" fillId="0" borderId="3" xfId="0" applyFont="1" applyFill="1" applyBorder="1"/>
    <xf numFmtId="0" fontId="2" fillId="0" borderId="1" xfId="0" applyFont="1" applyFill="1" applyBorder="1"/>
    <xf numFmtId="0" fontId="0" fillId="0" borderId="2" xfId="0" applyBorder="1"/>
    <xf numFmtId="166" fontId="0" fillId="0" borderId="0" xfId="1" applyNumberFormat="1" applyFont="1" applyFill="1" applyBorder="1"/>
    <xf numFmtId="0" fontId="0" fillId="0" borderId="9" xfId="0" applyBorder="1"/>
    <xf numFmtId="3" fontId="0" fillId="0" borderId="9" xfId="1" applyNumberFormat="1" applyFont="1" applyFill="1" applyBorder="1"/>
    <xf numFmtId="3" fontId="0" fillId="0" borderId="9" xfId="1" applyNumberFormat="1" applyFont="1" applyBorder="1"/>
    <xf numFmtId="0" fontId="0" fillId="0" borderId="3" xfId="0" applyBorder="1"/>
    <xf numFmtId="3" fontId="0" fillId="0" borderId="10" xfId="1" applyNumberFormat="1" applyFont="1" applyFill="1" applyBorder="1"/>
    <xf numFmtId="3" fontId="0" fillId="0" borderId="11" xfId="1" applyNumberFormat="1" applyFont="1" applyFill="1" applyBorder="1"/>
    <xf numFmtId="164" fontId="0" fillId="0" borderId="0" xfId="1" applyNumberFormat="1" applyFont="1" applyFill="1"/>
    <xf numFmtId="43" fontId="0" fillId="0" borderId="9" xfId="1" applyFont="1" applyFill="1" applyBorder="1"/>
    <xf numFmtId="43" fontId="0" fillId="0" borderId="9" xfId="1" applyFont="1" applyBorder="1"/>
    <xf numFmtId="43" fontId="0" fillId="0" borderId="11" xfId="1" applyFont="1" applyBorder="1"/>
    <xf numFmtId="164" fontId="0" fillId="0" borderId="7" xfId="1" applyNumberFormat="1" applyFont="1" applyFill="1" applyBorder="1"/>
    <xf numFmtId="3" fontId="0" fillId="0" borderId="7" xfId="0" applyNumberFormat="1" applyFill="1" applyBorder="1"/>
    <xf numFmtId="164" fontId="0" fillId="0" borderId="0" xfId="1" applyNumberFormat="1" applyFont="1" applyFill="1" applyBorder="1"/>
    <xf numFmtId="3" fontId="0" fillId="0" borderId="0" xfId="0" applyNumberFormat="1" applyFill="1"/>
    <xf numFmtId="3" fontId="2" fillId="0" borderId="0" xfId="0" applyNumberFormat="1" applyFont="1" applyFill="1" applyAlignment="1">
      <alignment horizontal="right"/>
    </xf>
    <xf numFmtId="0" fontId="0" fillId="0" borderId="0" xfId="0" applyFill="1"/>
    <xf numFmtId="0" fontId="0" fillId="0" borderId="3" xfId="0" applyFill="1" applyBorder="1"/>
    <xf numFmtId="43" fontId="11" fillId="0" borderId="0" xfId="1" applyFont="1"/>
    <xf numFmtId="10" fontId="11" fillId="0" borderId="0" xfId="2" applyNumberFormat="1" applyFont="1"/>
    <xf numFmtId="0" fontId="11" fillId="0" borderId="0" xfId="0" applyFont="1" applyAlignment="1">
      <alignment horizontal="center"/>
    </xf>
    <xf numFmtId="3" fontId="0" fillId="0" borderId="0" xfId="0" applyNumberFormat="1" applyFont="1" applyFill="1" applyBorder="1"/>
    <xf numFmtId="3" fontId="0" fillId="0" borderId="9" xfId="0" applyNumberFormat="1" applyFont="1" applyFill="1" applyBorder="1"/>
    <xf numFmtId="3" fontId="0" fillId="0" borderId="7" xfId="0" applyNumberFormat="1" applyFont="1" applyFill="1" applyBorder="1"/>
    <xf numFmtId="4" fontId="0" fillId="0" borderId="0" xfId="0" applyNumberFormat="1" applyFont="1" applyFill="1" applyBorder="1"/>
    <xf numFmtId="3" fontId="1" fillId="0" borderId="0" xfId="1" applyNumberFormat="1" applyFont="1" applyFill="1" applyBorder="1"/>
    <xf numFmtId="3" fontId="0" fillId="0" borderId="0" xfId="0" applyNumberFormat="1" applyFont="1" applyFill="1"/>
    <xf numFmtId="3" fontId="0" fillId="0" borderId="10" xfId="0" applyNumberFormat="1" applyFont="1" applyFill="1" applyBorder="1"/>
    <xf numFmtId="0" fontId="0" fillId="0" borderId="11" xfId="0" applyFont="1" applyFill="1" applyBorder="1"/>
    <xf numFmtId="3" fontId="0" fillId="0" borderId="8" xfId="0" applyNumberFormat="1" applyFont="1" applyFill="1" applyBorder="1"/>
    <xf numFmtId="0" fontId="0" fillId="0" borderId="9" xfId="0" applyFont="1" applyFill="1" applyBorder="1"/>
    <xf numFmtId="3" fontId="0" fillId="0" borderId="9" xfId="0" applyNumberFormat="1" applyFill="1" applyBorder="1"/>
    <xf numFmtId="0" fontId="0" fillId="0" borderId="0" xfId="0" applyAlignment="1">
      <alignment horizontal="right" wrapText="1"/>
    </xf>
    <xf numFmtId="164" fontId="0" fillId="0" borderId="0" xfId="0" applyNumberFormat="1"/>
    <xf numFmtId="0" fontId="0" fillId="0" borderId="0" xfId="0" applyAlignment="1">
      <alignment wrapText="1"/>
    </xf>
    <xf numFmtId="164" fontId="11" fillId="0" borderId="0" xfId="1" applyNumberFormat="1" applyFont="1" applyAlignment="1">
      <alignment horizontal="center"/>
    </xf>
    <xf numFmtId="0" fontId="11" fillId="0" borderId="0" xfId="0" applyFont="1" applyAlignment="1">
      <alignment horizontal="right"/>
    </xf>
    <xf numFmtId="9" fontId="0" fillId="0" borderId="0" xfId="2" applyFont="1" applyBorder="1"/>
    <xf numFmtId="9" fontId="0" fillId="0" borderId="12" xfId="2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5" borderId="2" xfId="0" applyFill="1" applyBorder="1"/>
    <xf numFmtId="9" fontId="0" fillId="0" borderId="9" xfId="2" applyFont="1" applyBorder="1"/>
    <xf numFmtId="9" fontId="0" fillId="0" borderId="9" xfId="0" applyNumberFormat="1" applyBorder="1"/>
    <xf numFmtId="0" fontId="0" fillId="7" borderId="2" xfId="0" applyFill="1" applyBorder="1"/>
    <xf numFmtId="0" fontId="0" fillId="8" borderId="2" xfId="0" applyFill="1" applyBorder="1"/>
    <xf numFmtId="0" fontId="0" fillId="4" borderId="2" xfId="0" applyFill="1" applyBorder="1"/>
    <xf numFmtId="0" fontId="0" fillId="3" borderId="2" xfId="0" applyFill="1" applyBorder="1"/>
    <xf numFmtId="0" fontId="0" fillId="3" borderId="3" xfId="0" applyFill="1" applyBorder="1"/>
    <xf numFmtId="9" fontId="0" fillId="0" borderId="10" xfId="2" applyFont="1" applyBorder="1"/>
    <xf numFmtId="9" fontId="0" fillId="0" borderId="11" xfId="2" applyFont="1" applyBorder="1"/>
    <xf numFmtId="165" fontId="0" fillId="0" borderId="0" xfId="2" applyNumberFormat="1" applyFont="1" applyBorder="1"/>
    <xf numFmtId="0" fontId="0" fillId="0" borderId="0" xfId="0" applyBorder="1"/>
    <xf numFmtId="165" fontId="0" fillId="0" borderId="10" xfId="2" applyNumberFormat="1" applyFont="1" applyBorder="1"/>
    <xf numFmtId="0" fontId="0" fillId="0" borderId="10" xfId="0" applyBorder="1"/>
    <xf numFmtId="0" fontId="0" fillId="0" borderId="17" xfId="0" applyBorder="1"/>
    <xf numFmtId="0" fontId="0" fillId="5" borderId="18" xfId="0" applyFill="1" applyBorder="1"/>
    <xf numFmtId="0" fontId="0" fillId="7" borderId="18" xfId="0" applyFill="1" applyBorder="1"/>
    <xf numFmtId="0" fontId="0" fillId="8" borderId="18" xfId="0" applyFill="1" applyBorder="1"/>
    <xf numFmtId="0" fontId="0" fillId="4" borderId="18" xfId="0" applyFill="1" applyBorder="1"/>
    <xf numFmtId="0" fontId="0" fillId="3" borderId="18" xfId="0" applyFill="1" applyBorder="1"/>
    <xf numFmtId="0" fontId="0" fillId="3" borderId="19" xfId="0" applyFill="1" applyBorder="1"/>
    <xf numFmtId="0" fontId="0" fillId="5" borderId="20" xfId="0" applyFill="1" applyBorder="1"/>
    <xf numFmtId="165" fontId="0" fillId="0" borderId="12" xfId="2" applyNumberFormat="1" applyFont="1" applyBorder="1"/>
    <xf numFmtId="0" fontId="0" fillId="0" borderId="12" xfId="0" applyBorder="1"/>
    <xf numFmtId="0" fontId="0" fillId="0" borderId="21" xfId="0" applyBorder="1"/>
    <xf numFmtId="0" fontId="0" fillId="6" borderId="22" xfId="0" applyFill="1" applyBorder="1"/>
    <xf numFmtId="0" fontId="0" fillId="0" borderId="23" xfId="0" applyBorder="1"/>
    <xf numFmtId="0" fontId="0" fillId="7" borderId="20" xfId="0" applyFill="1" applyBorder="1"/>
    <xf numFmtId="0" fontId="0" fillId="8" borderId="20" xfId="0" applyFill="1" applyBorder="1"/>
    <xf numFmtId="0" fontId="0" fillId="4" borderId="20" xfId="0" applyFill="1" applyBorder="1"/>
    <xf numFmtId="9" fontId="0" fillId="0" borderId="21" xfId="2" applyFont="1" applyBorder="1"/>
    <xf numFmtId="0" fontId="0" fillId="6" borderId="20" xfId="0" applyFill="1" applyBorder="1"/>
    <xf numFmtId="165" fontId="0" fillId="0" borderId="21" xfId="2" applyNumberFormat="1" applyFont="1" applyBorder="1"/>
    <xf numFmtId="9" fontId="0" fillId="0" borderId="21" xfId="0" applyNumberFormat="1" applyBorder="1"/>
    <xf numFmtId="9" fontId="0" fillId="0" borderId="0" xfId="2" applyFont="1" applyFill="1" applyBorder="1"/>
    <xf numFmtId="9" fontId="0" fillId="0" borderId="12" xfId="2" applyFont="1" applyFill="1" applyBorder="1"/>
    <xf numFmtId="0" fontId="0" fillId="5" borderId="24" xfId="0" applyFill="1" applyBorder="1"/>
    <xf numFmtId="0" fontId="0" fillId="6" borderId="24" xfId="0" applyFill="1" applyBorder="1"/>
    <xf numFmtId="0" fontId="0" fillId="7" borderId="24" xfId="0" applyFill="1" applyBorder="1"/>
    <xf numFmtId="0" fontId="0" fillId="8" borderId="24" xfId="0" applyFill="1" applyBorder="1"/>
    <xf numFmtId="0" fontId="0" fillId="4" borderId="24" xfId="0" applyFill="1" applyBorder="1"/>
    <xf numFmtId="9" fontId="0" fillId="0" borderId="2" xfId="2" applyFont="1" applyBorder="1"/>
    <xf numFmtId="9" fontId="0" fillId="0" borderId="2" xfId="2" applyFont="1" applyFill="1" applyBorder="1"/>
    <xf numFmtId="9" fontId="0" fillId="0" borderId="3" xfId="2" applyFont="1" applyBorder="1"/>
    <xf numFmtId="9" fontId="0" fillId="0" borderId="10" xfId="2" applyFont="1" applyFill="1" applyBorder="1"/>
    <xf numFmtId="10" fontId="0" fillId="0" borderId="9" xfId="2" applyNumberFormat="1" applyFont="1" applyBorder="1"/>
    <xf numFmtId="10" fontId="0" fillId="0" borderId="11" xfId="2" applyNumberFormat="1" applyFont="1" applyBorder="1"/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5" xfId="0" applyBorder="1" applyAlignment="1">
      <alignment horizontal="center"/>
    </xf>
    <xf numFmtId="9" fontId="0" fillId="0" borderId="26" xfId="2" applyFont="1" applyBorder="1"/>
    <xf numFmtId="9" fontId="0" fillId="0" borderId="27" xfId="2" applyFont="1" applyBorder="1"/>
    <xf numFmtId="10" fontId="0" fillId="0" borderId="21" xfId="2" applyNumberFormat="1" applyFont="1" applyBorder="1"/>
    <xf numFmtId="9" fontId="0" fillId="0" borderId="24" xfId="2" applyFont="1" applyBorder="1"/>
    <xf numFmtId="9" fontId="0" fillId="0" borderId="28" xfId="2" applyFont="1" applyBorder="1"/>
    <xf numFmtId="9" fontId="0" fillId="0" borderId="24" xfId="2" applyFont="1" applyFill="1" applyBorder="1"/>
    <xf numFmtId="0" fontId="0" fillId="0" borderId="0" xfId="0" applyAlignment="1">
      <alignment horizontal="center"/>
    </xf>
    <xf numFmtId="43" fontId="0" fillId="0" borderId="0" xfId="1" applyFont="1" applyBorder="1"/>
    <xf numFmtId="0" fontId="0" fillId="6" borderId="3" xfId="0" applyFill="1" applyBorder="1"/>
    <xf numFmtId="43" fontId="0" fillId="0" borderId="10" xfId="1" applyFont="1" applyBorder="1"/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10" fontId="0" fillId="0" borderId="0" xfId="2" applyNumberFormat="1" applyFont="1" applyBorder="1"/>
    <xf numFmtId="10" fontId="0" fillId="0" borderId="10" xfId="2" applyNumberFormat="1" applyFont="1" applyBorder="1"/>
    <xf numFmtId="0" fontId="0" fillId="6" borderId="29" xfId="0" applyFill="1" applyBorder="1"/>
    <xf numFmtId="43" fontId="0" fillId="0" borderId="13" xfId="1" applyFont="1" applyBorder="1"/>
    <xf numFmtId="43" fontId="0" fillId="0" borderId="23" xfId="1" applyFont="1" applyBorder="1"/>
    <xf numFmtId="43" fontId="0" fillId="0" borderId="12" xfId="1" applyFont="1" applyBorder="1"/>
    <xf numFmtId="43" fontId="0" fillId="0" borderId="21" xfId="1" applyFont="1" applyBorder="1"/>
    <xf numFmtId="10" fontId="0" fillId="0" borderId="13" xfId="2" applyNumberFormat="1" applyFont="1" applyBorder="1"/>
    <xf numFmtId="10" fontId="0" fillId="0" borderId="23" xfId="2" applyNumberFormat="1" applyFont="1" applyBorder="1"/>
    <xf numFmtId="10" fontId="0" fillId="0" borderId="12" xfId="2" applyNumberFormat="1" applyFont="1" applyBorder="1"/>
    <xf numFmtId="43" fontId="0" fillId="0" borderId="0" xfId="1" applyFont="1" applyBorder="1"/>
    <xf numFmtId="43" fontId="0" fillId="0" borderId="10" xfId="1" applyFont="1" applyBorder="1"/>
    <xf numFmtId="43" fontId="0" fillId="0" borderId="13" xfId="1" applyFont="1" applyBorder="1"/>
    <xf numFmtId="43" fontId="0" fillId="0" borderId="12" xfId="1" applyFont="1" applyBorder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8" borderId="0" xfId="0" applyFill="1"/>
    <xf numFmtId="3" fontId="0" fillId="0" borderId="0" xfId="0" applyNumberFormat="1"/>
    <xf numFmtId="3" fontId="0" fillId="0" borderId="0" xfId="1" applyNumberFormat="1" applyFont="1" applyFill="1" applyBorder="1"/>
    <xf numFmtId="3" fontId="0" fillId="0" borderId="9" xfId="0" applyNumberFormat="1" applyBorder="1"/>
    <xf numFmtId="0" fontId="3" fillId="0" borderId="0" xfId="0" applyFont="1" applyAlignment="1">
      <alignment horizontal="center"/>
    </xf>
    <xf numFmtId="0" fontId="0" fillId="0" borderId="2" xfId="0" applyFill="1" applyBorder="1"/>
    <xf numFmtId="0" fontId="3" fillId="0" borderId="0" xfId="0" applyFont="1"/>
    <xf numFmtId="164" fontId="0" fillId="0" borderId="0" xfId="1" applyNumberFormat="1" applyFont="1" applyFill="1" applyBorder="1"/>
    <xf numFmtId="3" fontId="0" fillId="0" borderId="0" xfId="0" applyNumberFormat="1" applyFill="1"/>
    <xf numFmtId="0" fontId="0" fillId="0" borderId="0" xfId="0" applyBorder="1"/>
    <xf numFmtId="0" fontId="0" fillId="0" borderId="0" xfId="0"/>
    <xf numFmtId="43" fontId="0" fillId="0" borderId="0" xfId="1" applyFont="1"/>
    <xf numFmtId="20" fontId="0" fillId="0" borderId="0" xfId="0" applyNumberFormat="1"/>
    <xf numFmtId="0" fontId="3" fillId="0" borderId="15" xfId="0" applyFont="1" applyBorder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0" fontId="3" fillId="0" borderId="14" xfId="0" applyFont="1" applyBorder="1" applyAlignment="1">
      <alignment horizontal="center" wrapText="1"/>
    </xf>
    <xf numFmtId="0" fontId="2" fillId="0" borderId="32" xfId="0" applyFont="1" applyBorder="1"/>
    <xf numFmtId="0" fontId="2" fillId="0" borderId="34" xfId="0" applyFont="1" applyBorder="1"/>
    <xf numFmtId="0" fontId="2" fillId="0" borderId="36" xfId="0" applyFont="1" applyBorder="1"/>
    <xf numFmtId="0" fontId="2" fillId="0" borderId="37" xfId="0" applyFont="1" applyBorder="1"/>
    <xf numFmtId="0" fontId="2" fillId="0" borderId="40" xfId="0" applyFont="1" applyBorder="1"/>
    <xf numFmtId="0" fontId="9" fillId="0" borderId="14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43" fontId="20" fillId="0" borderId="0" xfId="0" applyNumberFormat="1" applyFont="1"/>
    <xf numFmtId="166" fontId="2" fillId="0" borderId="0" xfId="1" applyNumberFormat="1" applyFont="1" applyBorder="1"/>
    <xf numFmtId="166" fontId="0" fillId="0" borderId="9" xfId="1" applyNumberFormat="1" applyFont="1" applyBorder="1"/>
    <xf numFmtId="166" fontId="2" fillId="0" borderId="30" xfId="1" applyNumberFormat="1" applyFont="1" applyBorder="1"/>
    <xf numFmtId="166" fontId="0" fillId="0" borderId="30" xfId="1" applyNumberFormat="1" applyFont="1" applyBorder="1"/>
    <xf numFmtId="166" fontId="0" fillId="0" borderId="39" xfId="1" applyNumberFormat="1" applyFont="1" applyBorder="1"/>
    <xf numFmtId="166" fontId="2" fillId="0" borderId="12" xfId="1" applyNumberFormat="1" applyFont="1" applyBorder="1"/>
    <xf numFmtId="166" fontId="0" fillId="0" borderId="12" xfId="1" applyNumberFormat="1" applyFont="1" applyBorder="1"/>
    <xf numFmtId="166" fontId="0" fillId="0" borderId="21" xfId="1" applyNumberFormat="1" applyFont="1" applyBorder="1"/>
    <xf numFmtId="166" fontId="2" fillId="0" borderId="10" xfId="1" applyNumberFormat="1" applyFont="1" applyBorder="1"/>
    <xf numFmtId="166" fontId="0" fillId="0" borderId="10" xfId="1" applyNumberFormat="1" applyFont="1" applyBorder="1"/>
    <xf numFmtId="166" fontId="0" fillId="0" borderId="11" xfId="1" applyNumberFormat="1" applyFont="1" applyBorder="1"/>
    <xf numFmtId="166" fontId="0" fillId="0" borderId="2" xfId="1" applyNumberFormat="1" applyFont="1" applyBorder="1"/>
    <xf numFmtId="166" fontId="0" fillId="0" borderId="24" xfId="1" applyNumberFormat="1" applyFont="1" applyBorder="1"/>
    <xf numFmtId="166" fontId="0" fillId="0" borderId="3" xfId="1" applyNumberFormat="1" applyFont="1" applyBorder="1"/>
    <xf numFmtId="43" fontId="0" fillId="0" borderId="0" xfId="1" applyFont="1" applyFill="1" applyBorder="1"/>
    <xf numFmtId="0" fontId="0" fillId="0" borderId="42" xfId="0" applyBorder="1" applyAlignment="1">
      <alignment horizontal="center"/>
    </xf>
    <xf numFmtId="9" fontId="0" fillId="0" borderId="2" xfId="2" applyNumberFormat="1" applyFont="1" applyBorder="1"/>
    <xf numFmtId="9" fontId="0" fillId="0" borderId="0" xfId="2" applyNumberFormat="1" applyFont="1" applyBorder="1"/>
    <xf numFmtId="9" fontId="0" fillId="0" borderId="26" xfId="2" applyNumberFormat="1" applyFont="1" applyBorder="1"/>
    <xf numFmtId="9" fontId="0" fillId="0" borderId="24" xfId="2" applyNumberFormat="1" applyFont="1" applyBorder="1"/>
    <xf numFmtId="9" fontId="0" fillId="0" borderId="12" xfId="2" applyNumberFormat="1" applyFont="1" applyBorder="1"/>
    <xf numFmtId="9" fontId="0" fillId="0" borderId="28" xfId="2" applyNumberFormat="1" applyFont="1" applyBorder="1"/>
    <xf numFmtId="9" fontId="0" fillId="0" borderId="3" xfId="2" applyNumberFormat="1" applyFont="1" applyBorder="1"/>
    <xf numFmtId="9" fontId="0" fillId="0" borderId="10" xfId="2" applyNumberFormat="1" applyFont="1" applyBorder="1"/>
    <xf numFmtId="9" fontId="0" fillId="0" borderId="27" xfId="2" applyNumberFormat="1" applyFont="1" applyBorder="1"/>
    <xf numFmtId="10" fontId="0" fillId="0" borderId="33" xfId="2" applyNumberFormat="1" applyFont="1" applyBorder="1"/>
    <xf numFmtId="10" fontId="0" fillId="0" borderId="35" xfId="2" applyNumberFormat="1" applyFont="1" applyBorder="1"/>
    <xf numFmtId="10" fontId="0" fillId="0" borderId="33" xfId="2" applyNumberFormat="1" applyFont="1" applyFill="1" applyBorder="1"/>
    <xf numFmtId="10" fontId="0" fillId="0" borderId="9" xfId="2" applyNumberFormat="1" applyFont="1" applyFill="1" applyBorder="1"/>
    <xf numFmtId="10" fontId="0" fillId="0" borderId="35" xfId="2" applyNumberFormat="1" applyFont="1" applyFill="1" applyBorder="1"/>
    <xf numFmtId="10" fontId="0" fillId="0" borderId="21" xfId="2" applyNumberFormat="1" applyFont="1" applyFill="1" applyBorder="1"/>
    <xf numFmtId="10" fontId="0" fillId="0" borderId="43" xfId="2" applyNumberFormat="1" applyFont="1" applyBorder="1"/>
    <xf numFmtId="10" fontId="0" fillId="9" borderId="33" xfId="2" applyNumberFormat="1" applyFont="1" applyFill="1" applyBorder="1"/>
    <xf numFmtId="10" fontId="0" fillId="9" borderId="35" xfId="2" applyNumberFormat="1" applyFont="1" applyFill="1" applyBorder="1"/>
    <xf numFmtId="168" fontId="21" fillId="0" borderId="0" xfId="1" applyNumberFormat="1" applyFont="1" applyFill="1"/>
    <xf numFmtId="164" fontId="21" fillId="0" borderId="0" xfId="1" applyNumberFormat="1" applyFont="1" applyFill="1"/>
    <xf numFmtId="43" fontId="21" fillId="0" borderId="0" xfId="1" applyFont="1" applyFill="1"/>
    <xf numFmtId="167" fontId="21" fillId="0" borderId="0" xfId="2" applyNumberFormat="1" applyFont="1" applyFill="1"/>
    <xf numFmtId="9" fontId="21" fillId="0" borderId="0" xfId="2" applyFont="1" applyFill="1"/>
    <xf numFmtId="0" fontId="21" fillId="0" borderId="0" xfId="0" applyFont="1" applyFill="1"/>
    <xf numFmtId="0" fontId="22" fillId="0" borderId="0" xfId="0" applyFont="1" applyFill="1"/>
    <xf numFmtId="43" fontId="21" fillId="0" borderId="0" xfId="0" applyNumberFormat="1" applyFont="1" applyFill="1"/>
    <xf numFmtId="0" fontId="22" fillId="0" borderId="0" xfId="0" applyFont="1" applyFill="1" applyAlignment="1">
      <alignment horizontal="center"/>
    </xf>
    <xf numFmtId="10" fontId="21" fillId="0" borderId="0" xfId="0" applyNumberFormat="1" applyFont="1" applyFill="1"/>
    <xf numFmtId="10" fontId="21" fillId="0" borderId="0" xfId="2" applyNumberFormat="1" applyFont="1" applyFill="1"/>
    <xf numFmtId="164" fontId="21" fillId="15" borderId="0" xfId="1" applyNumberFormat="1" applyFont="1" applyFill="1"/>
    <xf numFmtId="43" fontId="21" fillId="15" borderId="0" xfId="1" applyFont="1" applyFill="1"/>
    <xf numFmtId="9" fontId="21" fillId="0" borderId="0" xfId="2" applyFont="1" applyBorder="1"/>
    <xf numFmtId="9" fontId="21" fillId="15" borderId="0" xfId="2" applyFont="1" applyFill="1" applyBorder="1"/>
    <xf numFmtId="0" fontId="22" fillId="0" borderId="0" xfId="0" applyFont="1" applyBorder="1" applyAlignment="1">
      <alignment horizontal="center"/>
    </xf>
    <xf numFmtId="10" fontId="21" fillId="0" borderId="0" xfId="0" applyNumberFormat="1" applyFont="1" applyBorder="1"/>
    <xf numFmtId="0" fontId="21" fillId="0" borderId="0" xfId="0" applyFont="1" applyBorder="1"/>
    <xf numFmtId="0" fontId="21" fillId="0" borderId="0" xfId="0" applyFont="1" applyFill="1" applyBorder="1"/>
    <xf numFmtId="0" fontId="22" fillId="0" borderId="0" xfId="0" applyFont="1" applyFill="1" applyBorder="1"/>
    <xf numFmtId="168" fontId="21" fillId="0" borderId="0" xfId="1" applyNumberFormat="1" applyFont="1" applyFill="1" applyBorder="1"/>
    <xf numFmtId="164" fontId="21" fillId="0" borderId="0" xfId="1" applyNumberFormat="1" applyFont="1" applyFill="1" applyBorder="1"/>
    <xf numFmtId="9" fontId="21" fillId="0" borderId="0" xfId="2" applyNumberFormat="1" applyFont="1" applyBorder="1"/>
    <xf numFmtId="43" fontId="21" fillId="0" borderId="0" xfId="1" applyFont="1" applyFill="1" applyBorder="1"/>
    <xf numFmtId="167" fontId="21" fillId="0" borderId="0" xfId="2" applyNumberFormat="1" applyFont="1" applyFill="1" applyBorder="1"/>
    <xf numFmtId="43" fontId="21" fillId="0" borderId="0" xfId="0" applyNumberFormat="1" applyFont="1" applyFill="1" applyBorder="1"/>
    <xf numFmtId="43" fontId="21" fillId="0" borderId="0" xfId="0" applyNumberFormat="1" applyFont="1" applyBorder="1"/>
    <xf numFmtId="9" fontId="21" fillId="0" borderId="0" xfId="2" applyFont="1" applyFill="1" applyBorder="1"/>
    <xf numFmtId="43" fontId="21" fillId="0" borderId="0" xfId="1" applyFont="1" applyBorder="1"/>
    <xf numFmtId="43" fontId="21" fillId="15" borderId="0" xfId="1" applyFont="1" applyFill="1" applyBorder="1"/>
    <xf numFmtId="168" fontId="21" fillId="0" borderId="0" xfId="1" applyNumberFormat="1" applyFont="1" applyBorder="1"/>
    <xf numFmtId="168" fontId="21" fillId="15" borderId="0" xfId="1" applyNumberFormat="1" applyFont="1" applyFill="1" applyBorder="1"/>
    <xf numFmtId="164" fontId="21" fillId="15" borderId="0" xfId="1" applyNumberFormat="1" applyFont="1" applyFill="1" applyBorder="1"/>
    <xf numFmtId="43" fontId="21" fillId="16" borderId="0" xfId="1" applyFont="1" applyFill="1"/>
    <xf numFmtId="0" fontId="0" fillId="0" borderId="0" xfId="0" applyAlignment="1">
      <alignment horizontal="center"/>
    </xf>
    <xf numFmtId="9" fontId="21" fillId="15" borderId="0" xfId="2" applyFont="1" applyFill="1"/>
    <xf numFmtId="0" fontId="0" fillId="4" borderId="0" xfId="0" applyFont="1" applyFill="1"/>
    <xf numFmtId="0" fontId="0" fillId="3" borderId="0" xfId="0" applyFont="1" applyFill="1"/>
    <xf numFmtId="0" fontId="0" fillId="7" borderId="0" xfId="0" applyFont="1" applyFill="1"/>
    <xf numFmtId="0" fontId="0" fillId="6" borderId="0" xfId="0" applyFont="1" applyFill="1"/>
    <xf numFmtId="0" fontId="0" fillId="8" borderId="0" xfId="0" applyFont="1" applyFill="1"/>
    <xf numFmtId="0" fontId="0" fillId="5" borderId="0" xfId="0" applyFont="1" applyFill="1"/>
    <xf numFmtId="165" fontId="0" fillId="0" borderId="0" xfId="2" applyNumberFormat="1" applyFont="1"/>
    <xf numFmtId="0" fontId="0" fillId="0" borderId="0" xfId="0" applyFont="1" applyFill="1"/>
    <xf numFmtId="0" fontId="17" fillId="0" borderId="0" xfId="0" applyFont="1" applyBorder="1" applyAlignment="1"/>
    <xf numFmtId="43" fontId="24" fillId="0" borderId="0" xfId="1" applyFont="1"/>
    <xf numFmtId="0" fontId="25" fillId="8" borderId="2" xfId="0" applyFont="1" applyFill="1" applyBorder="1"/>
    <xf numFmtId="0" fontId="25" fillId="0" borderId="0" xfId="0" applyFont="1" applyBorder="1"/>
    <xf numFmtId="43" fontId="25" fillId="0" borderId="0" xfId="1" applyFont="1" applyBorder="1"/>
    <xf numFmtId="43" fontId="25" fillId="0" borderId="9" xfId="1" applyFont="1" applyBorder="1"/>
    <xf numFmtId="0" fontId="25" fillId="0" borderId="0" xfId="0" applyFont="1"/>
    <xf numFmtId="0" fontId="25" fillId="8" borderId="24" xfId="0" applyFont="1" applyFill="1" applyBorder="1"/>
    <xf numFmtId="0" fontId="25" fillId="0" borderId="12" xfId="0" applyFont="1" applyBorder="1"/>
    <xf numFmtId="43" fontId="25" fillId="0" borderId="12" xfId="1" applyFont="1" applyBorder="1"/>
    <xf numFmtId="43" fontId="25" fillId="0" borderId="21" xfId="1" applyFont="1" applyBorder="1"/>
    <xf numFmtId="22" fontId="0" fillId="0" borderId="0" xfId="0" applyNumberFormat="1"/>
    <xf numFmtId="0" fontId="0" fillId="0" borderId="0" xfId="0" applyAlignment="1">
      <alignment horizontal="right"/>
    </xf>
    <xf numFmtId="3" fontId="0" fillId="0" borderId="0" xfId="1" applyNumberFormat="1" applyFont="1" applyFill="1" applyBorder="1" applyAlignment="1">
      <alignment horizontal="center"/>
    </xf>
    <xf numFmtId="169" fontId="1" fillId="0" borderId="0" xfId="1" applyNumberFormat="1" applyFont="1" applyFill="1" applyBorder="1" applyAlignment="1">
      <alignment horizontal="center"/>
    </xf>
    <xf numFmtId="3" fontId="0" fillId="0" borderId="10" xfId="1" applyNumberFormat="1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3" fontId="0" fillId="0" borderId="11" xfId="1" applyNumberFormat="1" applyFont="1" applyFill="1" applyBorder="1" applyAlignment="1">
      <alignment horizontal="center"/>
    </xf>
    <xf numFmtId="0" fontId="0" fillId="0" borderId="18" xfId="0" applyBorder="1"/>
    <xf numFmtId="0" fontId="0" fillId="0" borderId="19" xfId="0" applyBorder="1"/>
    <xf numFmtId="0" fontId="0" fillId="0" borderId="17" xfId="0" applyFont="1" applyBorder="1" applyAlignment="1">
      <alignment horizontal="center"/>
    </xf>
    <xf numFmtId="0" fontId="0" fillId="4" borderId="0" xfId="0" quotePrefix="1" applyFont="1" applyFill="1"/>
    <xf numFmtId="9" fontId="0" fillId="13" borderId="0" xfId="2" applyFont="1" applyFill="1" applyBorder="1"/>
    <xf numFmtId="168" fontId="0" fillId="13" borderId="0" xfId="1" applyNumberFormat="1" applyFont="1" applyFill="1" applyBorder="1"/>
    <xf numFmtId="164" fontId="0" fillId="14" borderId="0" xfId="1" applyNumberFormat="1" applyFont="1" applyFill="1" applyBorder="1"/>
    <xf numFmtId="164" fontId="0" fillId="13" borderId="0" xfId="1" applyNumberFormat="1" applyFont="1" applyFill="1" applyBorder="1"/>
    <xf numFmtId="43" fontId="0" fillId="13" borderId="0" xfId="1" applyFont="1" applyFill="1" applyBorder="1"/>
    <xf numFmtId="43" fontId="0" fillId="14" borderId="0" xfId="1" applyFont="1" applyFill="1" applyBorder="1"/>
    <xf numFmtId="9" fontId="0" fillId="0" borderId="0" xfId="2" applyFont="1" applyFill="1"/>
    <xf numFmtId="9" fontId="0" fillId="15" borderId="0" xfId="2" applyFont="1" applyFill="1"/>
    <xf numFmtId="0" fontId="0" fillId="0" borderId="0" xfId="0" applyFont="1" applyAlignment="1">
      <alignment horizontal="right"/>
    </xf>
    <xf numFmtId="10" fontId="0" fillId="0" borderId="0" xfId="0" applyNumberFormat="1" applyFont="1" applyAlignment="1">
      <alignment horizontal="right"/>
    </xf>
    <xf numFmtId="3" fontId="0" fillId="0" borderId="9" xfId="1" applyNumberFormat="1" applyFont="1" applyFill="1" applyBorder="1" applyAlignment="1">
      <alignment horizontal="center"/>
    </xf>
    <xf numFmtId="169" fontId="1" fillId="0" borderId="9" xfId="1" applyNumberFormat="1" applyFont="1" applyFill="1" applyBorder="1" applyAlignment="1">
      <alignment horizontal="center"/>
    </xf>
    <xf numFmtId="169" fontId="1" fillId="7" borderId="9" xfId="1" applyNumberFormat="1" applyFont="1" applyFill="1" applyBorder="1" applyAlignment="1">
      <alignment horizontal="center"/>
    </xf>
    <xf numFmtId="3" fontId="0" fillId="7" borderId="9" xfId="1" applyNumberFormat="1" applyFont="1" applyFill="1" applyBorder="1" applyAlignment="1">
      <alignment horizontal="center"/>
    </xf>
    <xf numFmtId="0" fontId="0" fillId="0" borderId="44" xfId="0" applyFont="1" applyBorder="1" applyAlignment="1">
      <alignment horizontal="center"/>
    </xf>
    <xf numFmtId="0" fontId="0" fillId="5" borderId="45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7" borderId="45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4" borderId="45" xfId="0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0" fillId="3" borderId="46" xfId="0" applyFill="1" applyBorder="1" applyAlignment="1">
      <alignment horizontal="center"/>
    </xf>
    <xf numFmtId="9" fontId="21" fillId="0" borderId="0" xfId="2" applyNumberFormat="1" applyFont="1" applyFill="1"/>
    <xf numFmtId="170" fontId="0" fillId="0" borderId="0" xfId="0" applyNumberFormat="1"/>
    <xf numFmtId="0" fontId="0" fillId="17" borderId="0" xfId="0" applyFill="1"/>
    <xf numFmtId="0" fontId="27" fillId="0" borderId="0" xfId="0" applyFont="1"/>
    <xf numFmtId="0" fontId="9" fillId="12" borderId="0" xfId="0" applyFont="1" applyFill="1" applyAlignment="1">
      <alignment horizontal="right" wrapText="1"/>
    </xf>
    <xf numFmtId="0" fontId="9" fillId="17" borderId="0" xfId="0" applyFont="1" applyFill="1" applyAlignment="1">
      <alignment horizontal="right" wrapText="1"/>
    </xf>
    <xf numFmtId="9" fontId="0" fillId="17" borderId="0" xfId="14" applyFont="1" applyFill="1"/>
    <xf numFmtId="4" fontId="0" fillId="18" borderId="0" xfId="14" applyNumberFormat="1" applyFont="1" applyFill="1"/>
    <xf numFmtId="4" fontId="0" fillId="0" borderId="0" xfId="14" applyNumberFormat="1" applyFont="1"/>
    <xf numFmtId="165" fontId="0" fillId="17" borderId="0" xfId="14" applyNumberFormat="1" applyFont="1" applyFill="1"/>
    <xf numFmtId="165" fontId="0" fillId="17" borderId="0" xfId="0" applyNumberFormat="1" applyFill="1"/>
    <xf numFmtId="0" fontId="9" fillId="12" borderId="0" xfId="0" applyFont="1" applyFill="1" applyAlignment="1">
      <alignment horizontal="left"/>
    </xf>
    <xf numFmtId="0" fontId="26" fillId="19" borderId="0" xfId="0" applyFont="1" applyFill="1"/>
    <xf numFmtId="0" fontId="0" fillId="9" borderId="0" xfId="0" applyFont="1" applyFill="1"/>
    <xf numFmtId="0" fontId="0" fillId="18" borderId="4" xfId="0" applyFont="1" applyFill="1" applyBorder="1"/>
    <xf numFmtId="0" fontId="0" fillId="18" borderId="5" xfId="0" applyFont="1" applyFill="1" applyBorder="1"/>
    <xf numFmtId="9" fontId="0" fillId="17" borderId="5" xfId="14" applyFont="1" applyFill="1" applyBorder="1"/>
    <xf numFmtId="4" fontId="0" fillId="18" borderId="5" xfId="14" applyNumberFormat="1" applyFont="1" applyFill="1" applyBorder="1"/>
    <xf numFmtId="4" fontId="0" fillId="0" borderId="5" xfId="14" applyNumberFormat="1" applyFont="1" applyBorder="1"/>
    <xf numFmtId="4" fontId="0" fillId="0" borderId="6" xfId="14" applyNumberFormat="1" applyFont="1" applyBorder="1"/>
    <xf numFmtId="0" fontId="0" fillId="18" borderId="1" xfId="0" applyFont="1" applyFill="1" applyBorder="1"/>
    <xf numFmtId="0" fontId="0" fillId="18" borderId="7" xfId="0" applyFont="1" applyFill="1" applyBorder="1"/>
    <xf numFmtId="9" fontId="0" fillId="17" borderId="7" xfId="14" applyFont="1" applyFill="1" applyBorder="1"/>
    <xf numFmtId="4" fontId="0" fillId="18" borderId="7" xfId="14" applyNumberFormat="1" applyFont="1" applyFill="1" applyBorder="1"/>
    <xf numFmtId="4" fontId="0" fillId="0" borderId="7" xfId="14" applyNumberFormat="1" applyFont="1" applyBorder="1"/>
    <xf numFmtId="4" fontId="0" fillId="0" borderId="8" xfId="14" applyNumberFormat="1" applyFont="1" applyBorder="1"/>
    <xf numFmtId="0" fontId="0" fillId="18" borderId="3" xfId="0" applyFont="1" applyFill="1" applyBorder="1"/>
    <xf numFmtId="0" fontId="0" fillId="18" borderId="10" xfId="0" applyFont="1" applyFill="1" applyBorder="1"/>
    <xf numFmtId="9" fontId="0" fillId="17" borderId="10" xfId="14" applyFont="1" applyFill="1" applyBorder="1"/>
    <xf numFmtId="4" fontId="0" fillId="18" borderId="10" xfId="14" applyNumberFormat="1" applyFont="1" applyFill="1" applyBorder="1"/>
    <xf numFmtId="4" fontId="0" fillId="0" borderId="10" xfId="14" applyNumberFormat="1" applyFont="1" applyBorder="1"/>
    <xf numFmtId="4" fontId="0" fillId="0" borderId="11" xfId="14" applyNumberFormat="1" applyFont="1" applyBorder="1"/>
    <xf numFmtId="0" fontId="0" fillId="0" borderId="0" xfId="0" applyAlignment="1">
      <alignment horizontal="center"/>
    </xf>
    <xf numFmtId="10" fontId="0" fillId="0" borderId="0" xfId="2" applyNumberFormat="1" applyFont="1"/>
    <xf numFmtId="0" fontId="28" fillId="0" borderId="0" xfId="0" applyFont="1" applyAlignment="1">
      <alignment horizontal="right" vertical="center"/>
    </xf>
    <xf numFmtId="168" fontId="22" fillId="0" borderId="0" xfId="1" applyNumberFormat="1" applyFont="1" applyFill="1"/>
    <xf numFmtId="43" fontId="22" fillId="15" borderId="0" xfId="1" applyFont="1" applyFill="1"/>
    <xf numFmtId="171" fontId="0" fillId="0" borderId="0" xfId="0" applyNumberFormat="1"/>
    <xf numFmtId="4" fontId="0" fillId="0" borderId="0" xfId="0" applyNumberFormat="1"/>
    <xf numFmtId="43" fontId="17" fillId="0" borderId="0" xfId="1" applyFont="1" applyBorder="1"/>
    <xf numFmtId="43" fontId="17" fillId="0" borderId="12" xfId="1" applyFont="1" applyBorder="1"/>
    <xf numFmtId="0" fontId="17" fillId="0" borderId="0" xfId="0" applyFont="1" applyBorder="1"/>
    <xf numFmtId="0" fontId="26" fillId="0" borderId="0" xfId="0" applyFont="1" applyAlignment="1">
      <alignment horizontal="justify" vertical="center"/>
    </xf>
    <xf numFmtId="43" fontId="0" fillId="0" borderId="2" xfId="1" applyNumberFormat="1" applyFont="1" applyBorder="1"/>
    <xf numFmtId="43" fontId="0" fillId="0" borderId="0" xfId="0" applyNumberFormat="1"/>
    <xf numFmtId="0" fontId="0" fillId="2" borderId="0" xfId="0" applyFont="1" applyFill="1"/>
    <xf numFmtId="0" fontId="0" fillId="18" borderId="0" xfId="0" applyFont="1" applyFill="1"/>
    <xf numFmtId="10" fontId="2" fillId="0" borderId="0" xfId="2" applyNumberFormat="1" applyFont="1" applyAlignment="1">
      <alignment horizontal="right"/>
    </xf>
    <xf numFmtId="10" fontId="2" fillId="0" borderId="0" xfId="3" applyNumberFormat="1" applyFont="1" applyAlignment="1">
      <alignment horizontal="right"/>
    </xf>
    <xf numFmtId="10" fontId="0" fillId="0" borderId="0" xfId="0" applyNumberFormat="1" applyAlignment="1">
      <alignment horizontal="right"/>
    </xf>
    <xf numFmtId="10" fontId="0" fillId="0" borderId="0" xfId="2" applyNumberFormat="1" applyFont="1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/>
    </xf>
    <xf numFmtId="3" fontId="0" fillId="0" borderId="8" xfId="0" applyNumberFormat="1" applyFill="1" applyBorder="1"/>
    <xf numFmtId="0" fontId="0" fillId="0" borderId="9" xfId="0" applyFill="1" applyBorder="1"/>
    <xf numFmtId="3" fontId="0" fillId="0" borderId="10" xfId="0" applyNumberFormat="1" applyFill="1" applyBorder="1"/>
    <xf numFmtId="0" fontId="0" fillId="0" borderId="11" xfId="0" applyFill="1" applyBorder="1"/>
    <xf numFmtId="0" fontId="0" fillId="0" borderId="0" xfId="0" applyFill="1" applyAlignment="1">
      <alignment horizontal="center"/>
    </xf>
    <xf numFmtId="0" fontId="29" fillId="20" borderId="47" xfId="0" applyFont="1" applyFill="1" applyBorder="1" applyAlignment="1">
      <alignment horizontal="center" vertical="center" wrapText="1"/>
    </xf>
    <xf numFmtId="0" fontId="30" fillId="0" borderId="47" xfId="0" applyFont="1" applyBorder="1" applyAlignment="1">
      <alignment horizontal="center" vertical="center" wrapText="1"/>
    </xf>
    <xf numFmtId="164" fontId="0" fillId="0" borderId="47" xfId="1" applyNumberFormat="1" applyFont="1" applyBorder="1"/>
    <xf numFmtId="43" fontId="0" fillId="0" borderId="47" xfId="1" applyFont="1" applyBorder="1"/>
    <xf numFmtId="43" fontId="26" fillId="0" borderId="47" xfId="1" applyFont="1" applyBorder="1" applyAlignment="1">
      <alignment horizontal="justify" vertical="center"/>
    </xf>
    <xf numFmtId="0" fontId="29" fillId="20" borderId="47" xfId="0" applyFont="1" applyFill="1" applyBorder="1" applyAlignment="1">
      <alignment horizontal="right" vertical="center" wrapText="1"/>
    </xf>
    <xf numFmtId="4" fontId="1" fillId="0" borderId="0" xfId="14" applyNumberFormat="1" applyFont="1"/>
    <xf numFmtId="166" fontId="0" fillId="0" borderId="47" xfId="1" applyNumberFormat="1" applyFont="1" applyBorder="1"/>
    <xf numFmtId="0" fontId="29" fillId="20" borderId="47" xfId="0" applyFont="1" applyFill="1" applyBorder="1" applyAlignment="1">
      <alignment horizontal="center" vertical="center" wrapText="1"/>
    </xf>
    <xf numFmtId="0" fontId="0" fillId="0" borderId="0" xfId="0" applyAlignment="1"/>
    <xf numFmtId="0" fontId="29" fillId="20" borderId="47" xfId="0" applyFont="1" applyFill="1" applyBorder="1" applyAlignment="1">
      <alignment horizontal="left" vertical="center"/>
    </xf>
    <xf numFmtId="0" fontId="31" fillId="0" borderId="47" xfId="0" applyFont="1" applyBorder="1" applyAlignment="1">
      <alignment horizontal="left" vertical="center"/>
    </xf>
    <xf numFmtId="0" fontId="30" fillId="0" borderId="47" xfId="0" applyFont="1" applyBorder="1" applyAlignment="1">
      <alignment horizontal="right" vertical="center" wrapText="1"/>
    </xf>
    <xf numFmtId="0" fontId="30" fillId="0" borderId="47" xfId="0" applyFont="1" applyBorder="1" applyAlignment="1">
      <alignment horizontal="left" vertical="center"/>
    </xf>
    <xf numFmtId="3" fontId="30" fillId="0" borderId="47" xfId="0" applyNumberFormat="1" applyFont="1" applyBorder="1" applyAlignment="1">
      <alignment horizontal="right" vertical="center" wrapText="1"/>
    </xf>
    <xf numFmtId="43" fontId="30" fillId="0" borderId="47" xfId="1" applyFont="1" applyBorder="1" applyAlignment="1">
      <alignment horizontal="right" vertical="center" wrapText="1"/>
    </xf>
    <xf numFmtId="43" fontId="31" fillId="0" borderId="47" xfId="1" applyFont="1" applyBorder="1" applyAlignment="1">
      <alignment horizontal="right" vertical="center"/>
    </xf>
    <xf numFmtId="43" fontId="31" fillId="0" borderId="47" xfId="1" applyFont="1" applyBorder="1" applyAlignment="1">
      <alignment horizontal="right" vertical="center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5" fillId="0" borderId="0" xfId="0" applyFont="1" applyAlignment="1">
      <alignment horizontal="right" vertical="center"/>
    </xf>
    <xf numFmtId="0" fontId="6" fillId="8" borderId="0" xfId="0" applyFont="1" applyFill="1" applyAlignment="1">
      <alignment horizontal="center" vertical="center"/>
    </xf>
    <xf numFmtId="0" fontId="4" fillId="8" borderId="4" xfId="0" applyFont="1" applyFill="1" applyBorder="1" applyAlignment="1">
      <alignment horizontal="left"/>
    </xf>
    <xf numFmtId="0" fontId="4" fillId="8" borderId="5" xfId="0" applyFont="1" applyFill="1" applyBorder="1" applyAlignment="1">
      <alignment horizontal="left"/>
    </xf>
    <xf numFmtId="0" fontId="4" fillId="8" borderId="6" xfId="0" applyFont="1" applyFill="1" applyBorder="1" applyAlignment="1">
      <alignment horizontal="left"/>
    </xf>
    <xf numFmtId="0" fontId="4" fillId="7" borderId="4" xfId="0" applyFont="1" applyFill="1" applyBorder="1" applyAlignment="1">
      <alignment horizontal="left"/>
    </xf>
    <xf numFmtId="0" fontId="4" fillId="7" borderId="5" xfId="0" applyFont="1" applyFill="1" applyBorder="1" applyAlignment="1">
      <alignment horizontal="left"/>
    </xf>
    <xf numFmtId="0" fontId="4" fillId="7" borderId="6" xfId="0" applyFont="1" applyFill="1" applyBorder="1" applyAlignment="1">
      <alignment horizontal="left"/>
    </xf>
    <xf numFmtId="0" fontId="6" fillId="7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4" fillId="6" borderId="4" xfId="0" applyFont="1" applyFill="1" applyBorder="1" applyAlignment="1">
      <alignment horizontal="left"/>
    </xf>
    <xf numFmtId="0" fontId="4" fillId="6" borderId="5" xfId="0" applyFont="1" applyFill="1" applyBorder="1" applyAlignment="1">
      <alignment horizontal="left"/>
    </xf>
    <xf numFmtId="0" fontId="4" fillId="6" borderId="6" xfId="0" applyFont="1" applyFill="1" applyBorder="1" applyAlignment="1">
      <alignment horizontal="left"/>
    </xf>
    <xf numFmtId="0" fontId="6" fillId="3" borderId="0" xfId="0" applyFont="1" applyFill="1" applyAlignment="1">
      <alignment horizontal="center" vertical="center"/>
    </xf>
    <xf numFmtId="0" fontId="4" fillId="3" borderId="4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left"/>
    </xf>
    <xf numFmtId="0" fontId="4" fillId="3" borderId="6" xfId="0" applyFont="1" applyFill="1" applyBorder="1" applyAlignment="1">
      <alignment horizontal="left"/>
    </xf>
    <xf numFmtId="0" fontId="4" fillId="4" borderId="4" xfId="0" applyFont="1" applyFill="1" applyBorder="1" applyAlignment="1">
      <alignment horizontal="left"/>
    </xf>
    <xf numFmtId="0" fontId="4" fillId="4" borderId="5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left"/>
    </xf>
    <xf numFmtId="0" fontId="6" fillId="4" borderId="0" xfId="0" applyFont="1" applyFill="1" applyAlignment="1">
      <alignment horizontal="center" vertical="center"/>
    </xf>
    <xf numFmtId="0" fontId="4" fillId="5" borderId="4" xfId="0" applyFont="1" applyFill="1" applyBorder="1" applyAlignment="1">
      <alignment horizontal="left"/>
    </xf>
    <xf numFmtId="0" fontId="4" fillId="5" borderId="5" xfId="0" applyFont="1" applyFill="1" applyBorder="1" applyAlignment="1">
      <alignment horizontal="left"/>
    </xf>
    <xf numFmtId="0" fontId="4" fillId="5" borderId="6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29" fillId="20" borderId="47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18" fillId="0" borderId="38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</cellXfs>
  <cellStyles count="19">
    <cellStyle name="Adjustable" xfId="11" xr:uid="{B92D4E1F-A23C-444A-BD7D-78163EF33581}"/>
    <cellStyle name="Bad 2" xfId="5" xr:uid="{4522200A-0F2F-442D-B740-BD4AF57D8951}"/>
    <cellStyle name="Best" xfId="12" xr:uid="{43433961-CC7A-432A-8E89-C7343C932D60}"/>
    <cellStyle name="Comma" xfId="1" builtinId="3"/>
    <cellStyle name="Comma 2" xfId="6" xr:uid="{F142834B-0677-4258-B65E-41C5A8D24EAF}"/>
    <cellStyle name="Comma 3" xfId="18" xr:uid="{BE553EFC-E4CD-441C-AC20-4C07E55BBEB6}"/>
    <cellStyle name="Currency 2" xfId="15" xr:uid="{0599A58C-FD4F-4D1A-847D-D746B7C060B8}"/>
    <cellStyle name="Currency 3" xfId="17" xr:uid="{347DB473-5764-40ED-A927-EC23B890C611}"/>
    <cellStyle name="Good 2" xfId="7" xr:uid="{AC73AED3-103F-4300-B14C-DA75FF26C268}"/>
    <cellStyle name="Hyperlink 2" xfId="16" xr:uid="{DE0DEA71-2827-4860-8DC1-4A556D3A578B}"/>
    <cellStyle name="Normal" xfId="0" builtinId="0"/>
    <cellStyle name="Normal 2" xfId="9" xr:uid="{5340483C-476C-4176-B6E6-CC45F7F5FBC9}"/>
    <cellStyle name="Normal 3" xfId="3" xr:uid="{FFC8F1EB-EB87-44DA-B770-A754C6D8521A}"/>
    <cellStyle name="Normal 3 2" xfId="13" xr:uid="{ED2C8C97-B7B3-43EB-8AE6-614D49E82B8F}"/>
    <cellStyle name="Normal 4" xfId="4" xr:uid="{3E5E770B-B2CF-44A9-9382-11A45044C994}"/>
    <cellStyle name="Normal 9" xfId="10" xr:uid="{19A26E17-9CA1-4031-AC2D-6993B747F7D6}"/>
    <cellStyle name="Percent" xfId="2" builtinId="5"/>
    <cellStyle name="Percent 2" xfId="14" xr:uid="{48D670D7-04E9-4E6A-8F27-616FCF63D657}"/>
    <cellStyle name="Percent 3" xfId="8" xr:uid="{503A672D-B36E-4944-9373-389925125B36}"/>
  </cellStyles>
  <dxfs count="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1" defaultTableStyle="TableStyleMedium2" defaultPivotStyle="PivotStyleLight16">
    <tableStyle name="Invisible" pivot="0" table="0" count="0" xr9:uid="{A8BAE05B-E72F-43AA-AE97-F1FF14A50B6C}"/>
  </tableStyles>
  <colors>
    <mruColors>
      <color rgb="FFB9F8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6</xdr:col>
      <xdr:colOff>600075</xdr:colOff>
      <xdr:row>5</xdr:row>
      <xdr:rowOff>0</xdr:rowOff>
    </xdr:to>
    <xdr:sp macro="[0]!PPA_Rates_And_Capacity_Payments" textlink="">
      <xdr:nvSpPr>
        <xdr:cNvPr id="4" name="Rectangle 3">
          <a:extLst>
            <a:ext uri="{FF2B5EF4-FFF2-40B4-BE49-F238E27FC236}">
              <a16:creationId xmlns:a16="http://schemas.microsoft.com/office/drawing/2014/main" id="{30D3FD8C-7391-4589-94F7-9C1CAC42CB1C}"/>
            </a:ext>
          </a:extLst>
        </xdr:cNvPr>
        <xdr:cNvSpPr/>
      </xdr:nvSpPr>
      <xdr:spPr>
        <a:xfrm>
          <a:off x="3609975" y="381000"/>
          <a:ext cx="2428875" cy="571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/>
            <a:t>Click to update Solar, Wind, Ownership Storage and Other resource results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7</xdr:col>
      <xdr:colOff>0</xdr:colOff>
      <xdr:row>10</xdr:row>
      <xdr:rowOff>0</xdr:rowOff>
    </xdr:to>
    <xdr:sp macro="[0]!Upgrade_And_Fuel_Gen_Summary" textlink="">
      <xdr:nvSpPr>
        <xdr:cNvPr id="5" name="Rectangle 4">
          <a:extLst>
            <a:ext uri="{FF2B5EF4-FFF2-40B4-BE49-F238E27FC236}">
              <a16:creationId xmlns:a16="http://schemas.microsoft.com/office/drawing/2014/main" id="{60DA1667-D294-4FC0-999A-2B912CC2DFAC}"/>
            </a:ext>
          </a:extLst>
        </xdr:cNvPr>
        <xdr:cNvSpPr/>
      </xdr:nvSpPr>
      <xdr:spPr>
        <a:xfrm>
          <a:off x="3609975" y="1333500"/>
          <a:ext cx="2438400" cy="571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Click</a:t>
          </a:r>
          <a:r>
            <a:rPr lang="en-US" sz="1100" baseline="0"/>
            <a:t> to u</a:t>
          </a:r>
          <a:r>
            <a:rPr lang="en-US" sz="1100"/>
            <a:t>pdate Upgrades</a:t>
          </a:r>
          <a:r>
            <a:rPr lang="en-US" sz="1100" baseline="0"/>
            <a:t> </a:t>
          </a:r>
          <a:r>
            <a:rPr lang="en-US" sz="1100"/>
            <a:t>and Fuel Gen resource results</a:t>
          </a:r>
          <a:endParaRPr lang="en-US" sz="110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FDDF-0E9A-42F4-8473-0BF7DFF7F583}">
  <sheetPr codeName="Sheet2"/>
  <dimension ref="A1:E41"/>
  <sheetViews>
    <sheetView zoomScale="85" zoomScaleNormal="85" workbookViewId="0"/>
  </sheetViews>
  <sheetFormatPr defaultRowHeight="15"/>
  <cols>
    <col min="1" max="1" width="9.140625" style="263"/>
    <col min="2" max="2" width="65.140625" bestFit="1" customWidth="1"/>
    <col min="3" max="3" width="18.85546875" bestFit="1" customWidth="1"/>
    <col min="4" max="4" width="14.7109375" bestFit="1" customWidth="1"/>
    <col min="5" max="5" width="20.7109375" bestFit="1" customWidth="1"/>
  </cols>
  <sheetData>
    <row r="1" spans="2:5" ht="15.75" thickBot="1"/>
    <row r="2" spans="2:5">
      <c r="B2" s="377" t="s">
        <v>29</v>
      </c>
      <c r="C2" s="393" t="s">
        <v>30</v>
      </c>
      <c r="D2" s="372" t="s">
        <v>122</v>
      </c>
      <c r="E2" s="373" t="s">
        <v>73</v>
      </c>
    </row>
    <row r="3" spans="2:5">
      <c r="B3" s="375" t="s">
        <v>0</v>
      </c>
      <c r="C3" s="394" t="s">
        <v>31</v>
      </c>
      <c r="D3" s="369"/>
      <c r="E3" s="389">
        <v>180.495</v>
      </c>
    </row>
    <row r="4" spans="2:5">
      <c r="B4" s="375" t="s">
        <v>1</v>
      </c>
      <c r="C4" s="394" t="s">
        <v>31</v>
      </c>
      <c r="D4" s="369"/>
      <c r="E4" s="389">
        <v>185.43799999999999</v>
      </c>
    </row>
    <row r="5" spans="2:5">
      <c r="B5" s="375" t="s">
        <v>2</v>
      </c>
      <c r="C5" s="394" t="s">
        <v>31</v>
      </c>
      <c r="D5" s="369"/>
      <c r="E5" s="389">
        <v>311.536</v>
      </c>
    </row>
    <row r="6" spans="2:5">
      <c r="B6" s="375" t="s">
        <v>3</v>
      </c>
      <c r="C6" s="395" t="s">
        <v>34</v>
      </c>
      <c r="D6" s="369"/>
      <c r="E6" s="389">
        <v>100</v>
      </c>
    </row>
    <row r="7" spans="2:5">
      <c r="B7" s="375" t="s">
        <v>4</v>
      </c>
      <c r="C7" s="396" t="s">
        <v>36</v>
      </c>
      <c r="D7" s="369"/>
      <c r="E7" s="389">
        <v>100</v>
      </c>
    </row>
    <row r="8" spans="2:5">
      <c r="B8" s="375" t="s">
        <v>5</v>
      </c>
      <c r="C8" s="396" t="s">
        <v>36</v>
      </c>
      <c r="D8" s="369"/>
      <c r="E8" s="389">
        <v>100</v>
      </c>
    </row>
    <row r="9" spans="2:5">
      <c r="B9" s="375" t="s">
        <v>6</v>
      </c>
      <c r="C9" s="396" t="s">
        <v>36</v>
      </c>
      <c r="D9" s="369"/>
      <c r="E9" s="389">
        <v>100</v>
      </c>
    </row>
    <row r="10" spans="2:5">
      <c r="B10" s="375" t="s">
        <v>7</v>
      </c>
      <c r="C10" s="396" t="s">
        <v>36</v>
      </c>
      <c r="D10" s="369"/>
      <c r="E10" s="389">
        <v>100</v>
      </c>
    </row>
    <row r="11" spans="2:5">
      <c r="B11" s="375" t="s">
        <v>130</v>
      </c>
      <c r="C11" s="397" t="s">
        <v>32</v>
      </c>
      <c r="D11" s="369"/>
      <c r="E11" s="390">
        <f>7/1.15/1000</f>
        <v>6.0869565217391312E-3</v>
      </c>
    </row>
    <row r="12" spans="2:5">
      <c r="B12" s="375" t="s">
        <v>139</v>
      </c>
      <c r="C12" s="397" t="s">
        <v>32</v>
      </c>
      <c r="D12" s="370">
        <v>5.0000000000000001E-3</v>
      </c>
      <c r="E12" s="391">
        <f>E11</f>
        <v>6.0869565217391312E-3</v>
      </c>
    </row>
    <row r="13" spans="2:5">
      <c r="B13" s="375" t="s">
        <v>131</v>
      </c>
      <c r="C13" s="397" t="s">
        <v>32</v>
      </c>
      <c r="D13" s="369"/>
      <c r="E13" s="390">
        <f>7/1.15/1000</f>
        <v>6.0869565217391312E-3</v>
      </c>
    </row>
    <row r="14" spans="2:5">
      <c r="B14" s="375" t="s">
        <v>132</v>
      </c>
      <c r="C14" s="397" t="s">
        <v>32</v>
      </c>
      <c r="D14" s="370">
        <v>5.0000000000000001E-3</v>
      </c>
      <c r="E14" s="391">
        <f>E13</f>
        <v>6.0869565217391312E-3</v>
      </c>
    </row>
    <row r="15" spans="2:5">
      <c r="B15" s="375" t="s">
        <v>133</v>
      </c>
      <c r="C15" s="397" t="s">
        <v>32</v>
      </c>
      <c r="D15" s="369"/>
      <c r="E15" s="389">
        <v>1</v>
      </c>
    </row>
    <row r="16" spans="2:5">
      <c r="B16" s="375" t="s">
        <v>134</v>
      </c>
      <c r="C16" s="397" t="s">
        <v>32</v>
      </c>
      <c r="D16" s="369">
        <v>1</v>
      </c>
      <c r="E16" s="392">
        <f>E15</f>
        <v>1</v>
      </c>
    </row>
    <row r="17" spans="2:5">
      <c r="B17" s="375" t="s">
        <v>8</v>
      </c>
      <c r="C17" s="397" t="s">
        <v>32</v>
      </c>
      <c r="D17" s="369"/>
      <c r="E17" s="389">
        <v>5</v>
      </c>
    </row>
    <row r="18" spans="2:5">
      <c r="B18" s="375" t="s">
        <v>9</v>
      </c>
      <c r="C18" s="397" t="s">
        <v>32</v>
      </c>
      <c r="D18" s="369">
        <v>5</v>
      </c>
      <c r="E18" s="389">
        <f>E17</f>
        <v>5</v>
      </c>
    </row>
    <row r="19" spans="2:5">
      <c r="B19" s="375" t="s">
        <v>138</v>
      </c>
      <c r="C19" s="397" t="s">
        <v>32</v>
      </c>
      <c r="D19" s="369"/>
      <c r="E19" s="389">
        <v>100</v>
      </c>
    </row>
    <row r="20" spans="2:5">
      <c r="B20" s="375" t="s">
        <v>10</v>
      </c>
      <c r="C20" s="397" t="s">
        <v>32</v>
      </c>
      <c r="D20" s="369"/>
      <c r="E20" s="389">
        <v>100</v>
      </c>
    </row>
    <row r="21" spans="2:5">
      <c r="B21" s="375" t="s">
        <v>135</v>
      </c>
      <c r="C21" s="397" t="s">
        <v>32</v>
      </c>
      <c r="D21" s="369">
        <v>100</v>
      </c>
      <c r="E21" s="392">
        <f>E19</f>
        <v>100</v>
      </c>
    </row>
    <row r="22" spans="2:5">
      <c r="B22" s="375" t="s">
        <v>136</v>
      </c>
      <c r="C22" s="397" t="s">
        <v>32</v>
      </c>
      <c r="D22" s="369">
        <v>100</v>
      </c>
      <c r="E22" s="389">
        <f>E19</f>
        <v>100</v>
      </c>
    </row>
    <row r="23" spans="2:5">
      <c r="B23" s="375" t="s">
        <v>137</v>
      </c>
      <c r="C23" s="397" t="s">
        <v>32</v>
      </c>
      <c r="D23" s="369">
        <v>50</v>
      </c>
      <c r="E23" s="389">
        <f>E19</f>
        <v>100</v>
      </c>
    </row>
    <row r="24" spans="2:5">
      <c r="B24" s="375" t="s">
        <v>11</v>
      </c>
      <c r="C24" s="398" t="s">
        <v>33</v>
      </c>
      <c r="D24" s="369">
        <f>E24*4</f>
        <v>20</v>
      </c>
      <c r="E24" s="389">
        <v>5</v>
      </c>
    </row>
    <row r="25" spans="2:5">
      <c r="B25" s="375" t="s">
        <v>12</v>
      </c>
      <c r="C25" s="398" t="s">
        <v>33</v>
      </c>
      <c r="D25" s="369">
        <f>E25*8</f>
        <v>40</v>
      </c>
      <c r="E25" s="389">
        <v>5</v>
      </c>
    </row>
    <row r="26" spans="2:5">
      <c r="B26" s="375" t="s">
        <v>13</v>
      </c>
      <c r="C26" s="398" t="s">
        <v>33</v>
      </c>
      <c r="D26" s="369">
        <f>E26*4</f>
        <v>100</v>
      </c>
      <c r="E26" s="389">
        <v>25</v>
      </c>
    </row>
    <row r="27" spans="2:5">
      <c r="B27" s="375" t="s">
        <v>14</v>
      </c>
      <c r="C27" s="398" t="s">
        <v>33</v>
      </c>
      <c r="D27" s="369">
        <f>E27*8</f>
        <v>200</v>
      </c>
      <c r="E27" s="389">
        <v>25</v>
      </c>
    </row>
    <row r="28" spans="2:5">
      <c r="B28" s="375" t="s">
        <v>15</v>
      </c>
      <c r="C28" s="398" t="s">
        <v>33</v>
      </c>
      <c r="D28" s="369">
        <f>E28*16</f>
        <v>400</v>
      </c>
      <c r="E28" s="389">
        <v>25</v>
      </c>
    </row>
    <row r="29" spans="2:5">
      <c r="B29" s="375" t="s">
        <v>16</v>
      </c>
      <c r="C29" s="398" t="s">
        <v>33</v>
      </c>
      <c r="D29" s="369">
        <f>E29*4</f>
        <v>100</v>
      </c>
      <c r="E29" s="389">
        <v>25</v>
      </c>
    </row>
    <row r="30" spans="2:5">
      <c r="B30" s="375" t="s">
        <v>17</v>
      </c>
      <c r="C30" s="398" t="s">
        <v>33</v>
      </c>
      <c r="D30" s="369">
        <f>E30*4</f>
        <v>100</v>
      </c>
      <c r="E30" s="389">
        <v>25</v>
      </c>
    </row>
    <row r="31" spans="2:5">
      <c r="B31" s="375" t="s">
        <v>18</v>
      </c>
      <c r="C31" s="398" t="s">
        <v>33</v>
      </c>
      <c r="D31" s="369">
        <f>E31*100</f>
        <v>10000</v>
      </c>
      <c r="E31" s="389">
        <v>100</v>
      </c>
    </row>
    <row r="32" spans="2:5">
      <c r="B32" s="375" t="s">
        <v>19</v>
      </c>
      <c r="C32" s="395" t="s">
        <v>34</v>
      </c>
      <c r="D32" s="369"/>
      <c r="E32" s="389">
        <v>20</v>
      </c>
    </row>
    <row r="33" spans="2:5">
      <c r="B33" s="375" t="s">
        <v>20</v>
      </c>
      <c r="C33" s="394" t="s">
        <v>31</v>
      </c>
      <c r="D33" s="369"/>
      <c r="E33" s="389">
        <v>25</v>
      </c>
    </row>
    <row r="34" spans="2:5">
      <c r="B34" s="375" t="s">
        <v>258</v>
      </c>
      <c r="C34" s="394" t="s">
        <v>31</v>
      </c>
      <c r="D34" s="369"/>
      <c r="E34" s="389">
        <v>74</v>
      </c>
    </row>
    <row r="35" spans="2:5">
      <c r="B35" s="375" t="s">
        <v>22</v>
      </c>
      <c r="C35" s="398" t="s">
        <v>33</v>
      </c>
      <c r="D35" s="369">
        <v>400</v>
      </c>
      <c r="E35" s="389">
        <v>25</v>
      </c>
    </row>
    <row r="36" spans="2:5">
      <c r="B36" s="375" t="s">
        <v>23</v>
      </c>
      <c r="C36" s="398" t="s">
        <v>33</v>
      </c>
      <c r="D36" s="369">
        <f>E36*8.5</f>
        <v>3400</v>
      </c>
      <c r="E36" s="389">
        <v>400</v>
      </c>
    </row>
    <row r="37" spans="2:5">
      <c r="B37" s="375" t="s">
        <v>24</v>
      </c>
      <c r="C37" s="398" t="s">
        <v>33</v>
      </c>
      <c r="D37" s="369">
        <f>E37*16</f>
        <v>1600</v>
      </c>
      <c r="E37" s="389">
        <v>100</v>
      </c>
    </row>
    <row r="38" spans="2:5">
      <c r="B38" s="375" t="s">
        <v>25</v>
      </c>
      <c r="C38" s="398" t="s">
        <v>33</v>
      </c>
      <c r="D38" s="369">
        <f>E38*24</f>
        <v>2400</v>
      </c>
      <c r="E38" s="389">
        <v>100</v>
      </c>
    </row>
    <row r="39" spans="2:5">
      <c r="B39" s="375" t="s">
        <v>26</v>
      </c>
      <c r="C39" s="399" t="s">
        <v>35</v>
      </c>
      <c r="D39" s="369"/>
      <c r="E39" s="389">
        <v>57.6</v>
      </c>
    </row>
    <row r="40" spans="2:5">
      <c r="B40" s="375" t="s">
        <v>27</v>
      </c>
      <c r="C40" s="399" t="s">
        <v>35</v>
      </c>
      <c r="D40" s="369"/>
      <c r="E40" s="389">
        <v>5</v>
      </c>
    </row>
    <row r="41" spans="2:5" ht="15.75" thickBot="1">
      <c r="B41" s="376" t="s">
        <v>28</v>
      </c>
      <c r="C41" s="400" t="s">
        <v>35</v>
      </c>
      <c r="D41" s="371"/>
      <c r="E41" s="374">
        <v>10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B1103-F423-4E6B-B4AD-A0D91D64492B}">
  <sheetPr codeName="Sheet11">
    <tabColor theme="9" tint="0.39997558519241921"/>
  </sheetPr>
  <dimension ref="A1:Y152"/>
  <sheetViews>
    <sheetView zoomScaleNormal="100" workbookViewId="0">
      <pane ySplit="2" topLeftCell="A3" activePane="bottomLeft" state="frozen"/>
      <selection activeCell="A2" sqref="A2"/>
      <selection pane="bottomLeft" activeCell="N91" sqref="N91"/>
    </sheetView>
  </sheetViews>
  <sheetFormatPr defaultRowHeight="15" outlineLevelRow="1"/>
  <cols>
    <col min="1" max="1" width="12.7109375" bestFit="1" customWidth="1"/>
    <col min="2" max="2" width="7.7109375" style="15" bestFit="1" customWidth="1"/>
    <col min="3" max="3" width="22.42578125" bestFit="1" customWidth="1"/>
    <col min="4" max="4" width="12.7109375" bestFit="1" customWidth="1"/>
    <col min="5" max="5" width="13.42578125" bestFit="1" customWidth="1"/>
    <col min="6" max="6" width="12.7109375" bestFit="1" customWidth="1"/>
    <col min="7" max="24" width="12" bestFit="1" customWidth="1"/>
    <col min="25" max="25" width="13.42578125" bestFit="1" customWidth="1"/>
  </cols>
  <sheetData>
    <row r="1" spans="1:25">
      <c r="A1" s="482" t="s">
        <v>72</v>
      </c>
      <c r="B1" s="490">
        <v>2025</v>
      </c>
      <c r="E1" s="23">
        <f>B1</f>
        <v>2025</v>
      </c>
      <c r="F1" s="23">
        <f>E1+1</f>
        <v>2026</v>
      </c>
      <c r="G1" s="23">
        <f t="shared" ref="G1:X1" si="0">F1+1</f>
        <v>2027</v>
      </c>
      <c r="H1" s="23">
        <f t="shared" si="0"/>
        <v>2028</v>
      </c>
      <c r="I1" s="23">
        <f t="shared" si="0"/>
        <v>2029</v>
      </c>
      <c r="J1" s="23">
        <f t="shared" si="0"/>
        <v>2030</v>
      </c>
      <c r="K1" s="23">
        <f t="shared" si="0"/>
        <v>2031</v>
      </c>
      <c r="L1" s="23">
        <f t="shared" si="0"/>
        <v>2032</v>
      </c>
      <c r="M1" s="23">
        <f t="shared" si="0"/>
        <v>2033</v>
      </c>
      <c r="N1" s="23">
        <f t="shared" si="0"/>
        <v>2034</v>
      </c>
      <c r="O1" s="23">
        <f t="shared" si="0"/>
        <v>2035</v>
      </c>
      <c r="P1" s="23">
        <f t="shared" si="0"/>
        <v>2036</v>
      </c>
      <c r="Q1" s="23">
        <f t="shared" si="0"/>
        <v>2037</v>
      </c>
      <c r="R1" s="23">
        <f t="shared" si="0"/>
        <v>2038</v>
      </c>
      <c r="S1" s="23">
        <f t="shared" si="0"/>
        <v>2039</v>
      </c>
      <c r="T1" s="23">
        <f t="shared" si="0"/>
        <v>2040</v>
      </c>
      <c r="U1" s="23">
        <f t="shared" si="0"/>
        <v>2041</v>
      </c>
      <c r="V1" s="23">
        <f t="shared" si="0"/>
        <v>2042</v>
      </c>
      <c r="W1" s="23">
        <f t="shared" si="0"/>
        <v>2043</v>
      </c>
      <c r="X1" s="23">
        <f t="shared" si="0"/>
        <v>2044</v>
      </c>
      <c r="Y1" s="23">
        <f t="shared" ref="Y1" si="1">X1+1</f>
        <v>2045</v>
      </c>
    </row>
    <row r="2" spans="1:25">
      <c r="A2" s="482"/>
      <c r="B2" s="490"/>
      <c r="D2" s="23">
        <v>0</v>
      </c>
      <c r="E2" s="23">
        <v>1</v>
      </c>
      <c r="F2" s="23">
        <v>2</v>
      </c>
      <c r="G2" s="23">
        <v>3</v>
      </c>
      <c r="H2" s="23">
        <v>4</v>
      </c>
      <c r="I2" s="23">
        <v>5</v>
      </c>
      <c r="J2" s="23">
        <v>6</v>
      </c>
      <c r="K2" s="23">
        <v>7</v>
      </c>
      <c r="L2" s="23">
        <v>8</v>
      </c>
      <c r="M2" s="23">
        <v>9</v>
      </c>
      <c r="N2" s="23">
        <v>10</v>
      </c>
      <c r="O2" s="23">
        <v>11</v>
      </c>
      <c r="P2" s="23">
        <v>12</v>
      </c>
      <c r="Q2" s="23">
        <v>13</v>
      </c>
      <c r="R2" s="23">
        <v>14</v>
      </c>
      <c r="S2" s="23">
        <v>15</v>
      </c>
      <c r="T2" s="23">
        <v>16</v>
      </c>
      <c r="U2" s="23">
        <v>17</v>
      </c>
      <c r="V2" s="23">
        <v>18</v>
      </c>
      <c r="W2" s="23">
        <v>19</v>
      </c>
      <c r="X2" s="23">
        <v>20</v>
      </c>
      <c r="Y2" s="23">
        <v>21</v>
      </c>
    </row>
    <row r="4" spans="1:25" ht="15.75" thickBot="1"/>
    <row r="5" spans="1:25" ht="18.75" thickBot="1">
      <c r="A5" s="265"/>
      <c r="C5" s="487" t="s">
        <v>4</v>
      </c>
      <c r="D5" s="488"/>
      <c r="E5" s="488"/>
      <c r="F5" s="488"/>
      <c r="G5" s="489"/>
    </row>
    <row r="6" spans="1:25" hidden="1" outlineLevel="1">
      <c r="A6" s="95"/>
      <c r="C6" s="31" t="s">
        <v>44</v>
      </c>
      <c r="D6" s="26"/>
      <c r="E6" s="2">
        <f>INDEX('DATA (Nominal)'!$B$24:$BX$24,1,MATCH($B$1,'DATA (Nominal)'!$B$1:$BX$1,0))*'Resource Options'!$E$7*8760</f>
        <v>282072</v>
      </c>
      <c r="F6" s="2">
        <f>E6</f>
        <v>282072</v>
      </c>
      <c r="G6" s="2">
        <f t="shared" ref="G6:X7" si="2">F6</f>
        <v>282072</v>
      </c>
      <c r="H6" s="2">
        <f t="shared" si="2"/>
        <v>282072</v>
      </c>
      <c r="I6" s="2">
        <f t="shared" si="2"/>
        <v>282072</v>
      </c>
      <c r="J6" s="2">
        <f t="shared" si="2"/>
        <v>282072</v>
      </c>
      <c r="K6" s="2">
        <f t="shared" si="2"/>
        <v>282072</v>
      </c>
      <c r="L6" s="2">
        <f t="shared" si="2"/>
        <v>282072</v>
      </c>
      <c r="M6" s="2">
        <f t="shared" si="2"/>
        <v>282072</v>
      </c>
      <c r="N6" s="2">
        <f t="shared" si="2"/>
        <v>282072</v>
      </c>
      <c r="O6" s="2">
        <f t="shared" si="2"/>
        <v>282072</v>
      </c>
      <c r="P6" s="2">
        <f t="shared" si="2"/>
        <v>282072</v>
      </c>
      <c r="Q6" s="2">
        <f t="shared" si="2"/>
        <v>282072</v>
      </c>
      <c r="R6" s="2">
        <f t="shared" si="2"/>
        <v>282072</v>
      </c>
      <c r="S6" s="2">
        <f t="shared" si="2"/>
        <v>282072</v>
      </c>
      <c r="T6" s="2">
        <f t="shared" si="2"/>
        <v>282072</v>
      </c>
      <c r="U6" s="2">
        <f t="shared" si="2"/>
        <v>282072</v>
      </c>
      <c r="V6" s="2">
        <f t="shared" si="2"/>
        <v>282072</v>
      </c>
      <c r="W6" s="2">
        <f t="shared" si="2"/>
        <v>282072</v>
      </c>
      <c r="X6" s="16">
        <f t="shared" si="2"/>
        <v>282072</v>
      </c>
    </row>
    <row r="7" spans="1:25" hidden="1" outlineLevel="1">
      <c r="A7" s="95"/>
      <c r="B7" s="36"/>
      <c r="C7" s="32" t="s">
        <v>45</v>
      </c>
      <c r="D7" s="27"/>
      <c r="E7" s="117">
        <f>INDEX('PPA Summary'!$3:$34,MATCH($C5,'PPA Summary'!$D$3:$D$34,0),MATCH(B$1,'PPA Summary'!$2:$2,0))</f>
        <v>42.351248474471163</v>
      </c>
      <c r="F7" s="25">
        <f>E7</f>
        <v>42.351248474471163</v>
      </c>
      <c r="G7" s="17">
        <f t="shared" si="2"/>
        <v>42.351248474471163</v>
      </c>
      <c r="H7" s="17">
        <f t="shared" si="2"/>
        <v>42.351248474471163</v>
      </c>
      <c r="I7" s="17">
        <f t="shared" si="2"/>
        <v>42.351248474471163</v>
      </c>
      <c r="J7" s="17">
        <f t="shared" si="2"/>
        <v>42.351248474471163</v>
      </c>
      <c r="K7" s="17">
        <f t="shared" si="2"/>
        <v>42.351248474471163</v>
      </c>
      <c r="L7" s="17">
        <f t="shared" si="2"/>
        <v>42.351248474471163</v>
      </c>
      <c r="M7" s="17">
        <f t="shared" si="2"/>
        <v>42.351248474471163</v>
      </c>
      <c r="N7" s="17">
        <f t="shared" si="2"/>
        <v>42.351248474471163</v>
      </c>
      <c r="O7" s="17">
        <f t="shared" si="2"/>
        <v>42.351248474471163</v>
      </c>
      <c r="P7" s="17">
        <f t="shared" si="2"/>
        <v>42.351248474471163</v>
      </c>
      <c r="Q7" s="17">
        <f t="shared" si="2"/>
        <v>42.351248474471163</v>
      </c>
      <c r="R7" s="17">
        <f t="shared" si="2"/>
        <v>42.351248474471163</v>
      </c>
      <c r="S7" s="17">
        <f t="shared" si="2"/>
        <v>42.351248474471163</v>
      </c>
      <c r="T7" s="17">
        <f t="shared" si="2"/>
        <v>42.351248474471163</v>
      </c>
      <c r="U7" s="17">
        <f t="shared" si="2"/>
        <v>42.351248474471163</v>
      </c>
      <c r="V7" s="17">
        <f t="shared" si="2"/>
        <v>42.351248474471163</v>
      </c>
      <c r="W7" s="17">
        <f t="shared" si="2"/>
        <v>42.351248474471163</v>
      </c>
      <c r="X7" s="18">
        <f t="shared" si="2"/>
        <v>42.351248474471163</v>
      </c>
    </row>
    <row r="8" spans="1:25" hidden="1" outlineLevel="1">
      <c r="A8" s="95"/>
      <c r="B8" s="36"/>
      <c r="C8" s="33" t="s">
        <v>46</v>
      </c>
      <c r="D8" s="28"/>
      <c r="E8" s="19">
        <f>E6*E7</f>
        <v>11946101.359691029</v>
      </c>
      <c r="F8" s="19">
        <f>F6*F7</f>
        <v>11946101.359691029</v>
      </c>
      <c r="G8" s="19">
        <f t="shared" ref="G8" si="3">G6*G7</f>
        <v>11946101.359691029</v>
      </c>
      <c r="H8" s="19">
        <f t="shared" ref="H8" si="4">H6*H7</f>
        <v>11946101.359691029</v>
      </c>
      <c r="I8" s="19">
        <f t="shared" ref="I8" si="5">I6*I7</f>
        <v>11946101.359691029</v>
      </c>
      <c r="J8" s="19">
        <f t="shared" ref="J8" si="6">J6*J7</f>
        <v>11946101.359691029</v>
      </c>
      <c r="K8" s="19">
        <f t="shared" ref="K8" si="7">K6*K7</f>
        <v>11946101.359691029</v>
      </c>
      <c r="L8" s="19">
        <f t="shared" ref="L8" si="8">L6*L7</f>
        <v>11946101.359691029</v>
      </c>
      <c r="M8" s="19">
        <f t="shared" ref="M8" si="9">M6*M7</f>
        <v>11946101.359691029</v>
      </c>
      <c r="N8" s="19">
        <f t="shared" ref="N8" si="10">N6*N7</f>
        <v>11946101.359691029</v>
      </c>
      <c r="O8" s="19">
        <f t="shared" ref="O8" si="11">O6*O7</f>
        <v>11946101.359691029</v>
      </c>
      <c r="P8" s="19">
        <f t="shared" ref="P8" si="12">P6*P7</f>
        <v>11946101.359691029</v>
      </c>
      <c r="Q8" s="19">
        <f t="shared" ref="Q8" si="13">Q6*Q7</f>
        <v>11946101.359691029</v>
      </c>
      <c r="R8" s="19">
        <f t="shared" ref="R8" si="14">R6*R7</f>
        <v>11946101.359691029</v>
      </c>
      <c r="S8" s="19">
        <f t="shared" ref="S8" si="15">S6*S7</f>
        <v>11946101.359691029</v>
      </c>
      <c r="T8" s="19">
        <f t="shared" ref="T8" si="16">T6*T7</f>
        <v>11946101.359691029</v>
      </c>
      <c r="U8" s="19">
        <f t="shared" ref="U8" si="17">U6*U7</f>
        <v>11946101.359691029</v>
      </c>
      <c r="V8" s="19">
        <f t="shared" ref="V8" si="18">V6*V7</f>
        <v>11946101.359691029</v>
      </c>
      <c r="W8" s="19">
        <f t="shared" ref="W8" si="19">W6*W7</f>
        <v>11946101.359691029</v>
      </c>
      <c r="X8" s="5">
        <f t="shared" ref="X8" si="20">X6*X7</f>
        <v>11946101.359691029</v>
      </c>
    </row>
    <row r="9" spans="1:25" hidden="1" outlineLevel="1">
      <c r="A9" s="95"/>
      <c r="B9" s="36"/>
      <c r="C9" s="33"/>
      <c r="D9" s="28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5"/>
    </row>
    <row r="10" spans="1:25" hidden="1" outlineLevel="1">
      <c r="A10" s="95"/>
      <c r="B10" s="36"/>
      <c r="C10" s="32" t="s">
        <v>47</v>
      </c>
      <c r="D10" s="27"/>
      <c r="E10" s="19">
        <f>INDEX('DATA (Nominal)'!$B$197:$BX$197,1,MATCH(E$1,'DATA (Nominal)'!$B$1:$BX$1,0))*'Resource Options'!$E$7*1000</f>
        <v>4860193.7088262504</v>
      </c>
      <c r="F10" s="19">
        <f>INDEX('DATA (Nominal)'!$B$197:$BX$197,1,MATCH(F$1,'DATA (Nominal)'!$B$1:$BX$1,0))*'Resource Options'!$E$7*1000</f>
        <v>4919626.6523379087</v>
      </c>
      <c r="G10" s="19">
        <f>INDEX('DATA (Nominal)'!$B$197:$BX$197,1,MATCH(G$1,'DATA (Nominal)'!$B$1:$BX$1,0))*'Resource Options'!$E$7*1000</f>
        <v>4979290.1107087629</v>
      </c>
      <c r="H10" s="19">
        <f>INDEX('DATA (Nominal)'!$B$197:$BX$197,1,MATCH(H$1,'DATA (Nominal)'!$B$1:$BX$1,0))*'Resource Options'!$E$7*1000</f>
        <v>5037521.7091353061</v>
      </c>
      <c r="I10" s="19">
        <f>INDEX('DATA (Nominal)'!$B$197:$BX$197,1,MATCH(I$1,'DATA (Nominal)'!$B$1:$BX$1,0))*'Resource Options'!$E$7*1000</f>
        <v>5095905.5214790348</v>
      </c>
      <c r="J10" s="19">
        <f>INDEX('DATA (Nominal)'!$B$197:$BX$197,1,MATCH(J$1,'DATA (Nominal)'!$B$1:$BX$1,0))*'Resource Options'!$E$7*1000</f>
        <v>5154420.0610586656</v>
      </c>
      <c r="K10" s="19">
        <f>INDEX('DATA (Nominal)'!$B$197:$BX$197,1,MATCH(K$1,'DATA (Nominal)'!$B$1:$BX$1,0))*'Resource Options'!$E$7*1000</f>
        <v>5228308.6726339413</v>
      </c>
      <c r="L10" s="19">
        <f>INDEX('DATA (Nominal)'!$B$197:$BX$197,1,MATCH(L$1,'DATA (Nominal)'!$B$1:$BX$1,0))*'Resource Options'!$E$7*1000</f>
        <v>5302953.6438089777</v>
      </c>
      <c r="M10" s="19">
        <f>INDEX('DATA (Nominal)'!$B$197:$BX$197,1,MATCH(M$1,'DATA (Nominal)'!$B$1:$BX$1,0))*'Resource Options'!$E$7*1000</f>
        <v>5378352.4923181599</v>
      </c>
      <c r="N10" s="19">
        <f>INDEX('DATA (Nominal)'!$B$197:$BX$197,1,MATCH(N$1,'DATA (Nominal)'!$B$1:$BX$1,0))*'Resource Options'!$E$7*1000</f>
        <v>5454502.2605981436</v>
      </c>
      <c r="O10" s="19">
        <f>INDEX('DATA (Nominal)'!$B$197:$BX$197,1,MATCH(O$1,'DATA (Nominal)'!$B$1:$BX$1,0))*'Resource Options'!$E$7*1000</f>
        <v>5531399.4960761629</v>
      </c>
      <c r="P10" s="19">
        <f>INDEX('DATA (Nominal)'!$B$197:$BX$197,1,MATCH(P$1,'DATA (Nominal)'!$B$1:$BX$1,0))*'Resource Options'!$E$7*1000</f>
        <v>5609040.230821087</v>
      </c>
      <c r="Q10" s="19">
        <f>INDEX('DATA (Nominal)'!$B$197:$BX$197,1,MATCH(Q$1,'DATA (Nominal)'!$B$1:$BX$1,0))*'Resource Options'!$E$7*1000</f>
        <v>5687419.9605386844</v>
      </c>
      <c r="R10" s="19">
        <f>INDEX('DATA (Nominal)'!$B$197:$BX$197,1,MATCH(R$1,'DATA (Nominal)'!$B$1:$BX$1,0))*'Resource Options'!$E$7*1000</f>
        <v>5766533.6228921413</v>
      </c>
      <c r="S10" s="19">
        <f>INDEX('DATA (Nominal)'!$B$197:$BX$197,1,MATCH(S$1,'DATA (Nominal)'!$B$1:$BX$1,0))*'Resource Options'!$E$7*1000</f>
        <v>5846375.5751282498</v>
      </c>
      <c r="T10" s="19">
        <f>INDEX('DATA (Nominal)'!$B$197:$BX$197,1,MATCH(T$1,'DATA (Nominal)'!$B$1:$BX$1,0))*'Resource Options'!$E$7*1000</f>
        <v>5926939.570989267</v>
      </c>
      <c r="U10" s="19">
        <f>INDEX('DATA (Nominal)'!$B$197:$BX$197,1,MATCH(U$1,'DATA (Nominal)'!$B$1:$BX$1,0))*'Resource Options'!$E$7*1000</f>
        <v>6008218.7368898056</v>
      </c>
      <c r="V10" s="19">
        <f>INDEX('DATA (Nominal)'!$B$197:$BX$197,1,MATCH(V$1,'DATA (Nominal)'!$B$1:$BX$1,0))*'Resource Options'!$E$7*1000</f>
        <v>6090205.5473376103</v>
      </c>
      <c r="W10" s="19">
        <f>INDEX('DATA (Nominal)'!$B$197:$BX$197,1,MATCH(W$1,'DATA (Nominal)'!$B$1:$BX$1,0))*'Resource Options'!$E$7*1000</f>
        <v>6172891.7995764641</v>
      </c>
      <c r="X10" s="5">
        <f>INDEX('DATA (Nominal)'!$B$197:$BX$197,1,MATCH(X$1,'DATA (Nominal)'!$B$1:$BX$1,0))*'Resource Options'!$E$7*1000</f>
        <v>6256268.5874289135</v>
      </c>
    </row>
    <row r="11" spans="1:25" hidden="1" outlineLevel="1">
      <c r="A11" s="95"/>
      <c r="B11" s="36"/>
      <c r="C11" s="32" t="s">
        <v>48</v>
      </c>
      <c r="D11" s="27"/>
      <c r="E11" s="19">
        <f>INDEX('DATA (Nominal)'!$B$119:$BX$119,1,MATCH(E$1,'DATA (Nominal)'!$B$1:$BX$1,0))*E6</f>
        <v>0</v>
      </c>
      <c r="F11" s="19">
        <f>INDEX('DATA (Nominal)'!$B$119:$BX$119,1,MATCH(F$1,'DATA (Nominal)'!$B$1:$BX$1,0))*F6</f>
        <v>0</v>
      </c>
      <c r="G11" s="19">
        <f>INDEX('DATA (Nominal)'!$B$119:$BX$119,1,MATCH(G$1,'DATA (Nominal)'!$B$1:$BX$1,0))*G6</f>
        <v>0</v>
      </c>
      <c r="H11" s="19">
        <f>INDEX('DATA (Nominal)'!$B$119:$BX$119,1,MATCH(H$1,'DATA (Nominal)'!$B$1:$BX$1,0))*H6</f>
        <v>0</v>
      </c>
      <c r="I11" s="19">
        <f>INDEX('DATA (Nominal)'!$B$119:$BX$119,1,MATCH(I$1,'DATA (Nominal)'!$B$1:$BX$1,0))*I6</f>
        <v>0</v>
      </c>
      <c r="J11" s="19">
        <f>INDEX('DATA (Nominal)'!$B$119:$BX$119,1,MATCH(J$1,'DATA (Nominal)'!$B$1:$BX$1,0))*J6</f>
        <v>0</v>
      </c>
      <c r="K11" s="19">
        <f>INDEX('DATA (Nominal)'!$B$119:$BX$119,1,MATCH(K$1,'DATA (Nominal)'!$B$1:$BX$1,0))*K6</f>
        <v>0</v>
      </c>
      <c r="L11" s="19">
        <f>INDEX('DATA (Nominal)'!$B$119:$BX$119,1,MATCH(L$1,'DATA (Nominal)'!$B$1:$BX$1,0))*L6</f>
        <v>0</v>
      </c>
      <c r="M11" s="19">
        <f>INDEX('DATA (Nominal)'!$B$119:$BX$119,1,MATCH(M$1,'DATA (Nominal)'!$B$1:$BX$1,0))*M6</f>
        <v>0</v>
      </c>
      <c r="N11" s="19">
        <f>INDEX('DATA (Nominal)'!$B$119:$BX$119,1,MATCH(N$1,'DATA (Nominal)'!$B$1:$BX$1,0))*N6</f>
        <v>0</v>
      </c>
      <c r="O11" s="19">
        <f>INDEX('DATA (Nominal)'!$B$119:$BX$119,1,MATCH(O$1,'DATA (Nominal)'!$B$1:$BX$1,0))*O6</f>
        <v>0</v>
      </c>
      <c r="P11" s="19">
        <f>INDEX('DATA (Nominal)'!$B$119:$BX$119,1,MATCH(P$1,'DATA (Nominal)'!$B$1:$BX$1,0))*P6</f>
        <v>0</v>
      </c>
      <c r="Q11" s="19">
        <f>INDEX('DATA (Nominal)'!$B$119:$BX$119,1,MATCH(Q$1,'DATA (Nominal)'!$B$1:$BX$1,0))*Q6</f>
        <v>0</v>
      </c>
      <c r="R11" s="19">
        <f>INDEX('DATA (Nominal)'!$B$119:$BX$119,1,MATCH(R$1,'DATA (Nominal)'!$B$1:$BX$1,0))*R6</f>
        <v>0</v>
      </c>
      <c r="S11" s="19">
        <f>INDEX('DATA (Nominal)'!$B$119:$BX$119,1,MATCH(S$1,'DATA (Nominal)'!$B$1:$BX$1,0))*S6</f>
        <v>0</v>
      </c>
      <c r="T11" s="19">
        <f>INDEX('DATA (Nominal)'!$B$119:$BX$119,1,MATCH(T$1,'DATA (Nominal)'!$B$1:$BX$1,0))*T6</f>
        <v>0</v>
      </c>
      <c r="U11" s="19">
        <f>INDEX('DATA (Nominal)'!$B$119:$BX$119,1,MATCH(U$1,'DATA (Nominal)'!$B$1:$BX$1,0))*U6</f>
        <v>0</v>
      </c>
      <c r="V11" s="19">
        <f>INDEX('DATA (Nominal)'!$B$119:$BX$119,1,MATCH(V$1,'DATA (Nominal)'!$B$1:$BX$1,0))*V6</f>
        <v>0</v>
      </c>
      <c r="W11" s="19">
        <f>INDEX('DATA (Nominal)'!$B$119:$BX$119,1,MATCH(W$1,'DATA (Nominal)'!$B$1:$BX$1,0))*W6</f>
        <v>0</v>
      </c>
      <c r="X11" s="5">
        <f>INDEX('DATA (Nominal)'!$B$119:$BX$119,1,MATCH(X$1,'DATA (Nominal)'!$B$1:$BX$1,0))*X6</f>
        <v>0</v>
      </c>
    </row>
    <row r="12" spans="1:25" hidden="1" outlineLevel="1">
      <c r="A12" s="95"/>
      <c r="B12" s="36"/>
      <c r="C12" s="33" t="s">
        <v>49</v>
      </c>
      <c r="D12" s="28"/>
      <c r="E12" s="19">
        <f>D31*Property_Tax_Rate</f>
        <v>1459900.4893520151</v>
      </c>
      <c r="F12" s="19">
        <f t="shared" ref="F12:X12" si="21">E31*Property_Tax_Rate</f>
        <v>1378555.5348683477</v>
      </c>
      <c r="G12" s="19">
        <f t="shared" si="21"/>
        <v>1301743.0822012166</v>
      </c>
      <c r="H12" s="19">
        <f t="shared" si="21"/>
        <v>1229210.5825251006</v>
      </c>
      <c r="I12" s="19">
        <f t="shared" si="21"/>
        <v>1160719.5589138081</v>
      </c>
      <c r="J12" s="19">
        <f t="shared" si="21"/>
        <v>1096044.8222610008</v>
      </c>
      <c r="K12" s="19">
        <f t="shared" si="21"/>
        <v>1034973.7308892502</v>
      </c>
      <c r="L12" s="19">
        <f t="shared" si="21"/>
        <v>977305.4914133217</v>
      </c>
      <c r="M12" s="19">
        <f t="shared" si="21"/>
        <v>922850.49855902058</v>
      </c>
      <c r="N12" s="19">
        <f t="shared" si="21"/>
        <v>871429.7117670161</v>
      </c>
      <c r="O12" s="19">
        <f t="shared" si="21"/>
        <v>822874.06653199974</v>
      </c>
      <c r="P12" s="19">
        <f t="shared" si="21"/>
        <v>777023.9185417447</v>
      </c>
      <c r="Q12" s="19">
        <f t="shared" si="21"/>
        <v>733728.51878846856</v>
      </c>
      <c r="R12" s="19">
        <f t="shared" si="21"/>
        <v>692845.51792673988</v>
      </c>
      <c r="S12" s="19">
        <f t="shared" si="21"/>
        <v>654240.49824832403</v>
      </c>
      <c r="T12" s="19">
        <f t="shared" si="21"/>
        <v>617786.53173516586</v>
      </c>
      <c r="U12" s="19">
        <f t="shared" si="21"/>
        <v>583363.76273744798</v>
      </c>
      <c r="V12" s="19">
        <f t="shared" si="21"/>
        <v>550859.01390462776</v>
      </c>
      <c r="W12" s="19">
        <f t="shared" si="21"/>
        <v>520165.41407380725</v>
      </c>
      <c r="X12" s="5">
        <f t="shared" si="21"/>
        <v>491182.04689198482</v>
      </c>
    </row>
    <row r="13" spans="1:25" hidden="1" outlineLevel="1">
      <c r="A13" s="95"/>
      <c r="B13" s="36"/>
      <c r="C13" s="33" t="s">
        <v>50</v>
      </c>
      <c r="D13" s="28"/>
      <c r="E13" s="19">
        <f>SUM(E10:E12)</f>
        <v>6320094.1981782652</v>
      </c>
      <c r="F13" s="19">
        <f t="shared" ref="F13" si="22">SUM(F10:F12)</f>
        <v>6298182.1872062562</v>
      </c>
      <c r="G13" s="19">
        <f t="shared" ref="G13" si="23">SUM(G10:G12)</f>
        <v>6281033.1929099793</v>
      </c>
      <c r="H13" s="19">
        <f t="shared" ref="H13" si="24">SUM(H10:H12)</f>
        <v>6266732.2916604066</v>
      </c>
      <c r="I13" s="19">
        <f t="shared" ref="I13" si="25">SUM(I10:I12)</f>
        <v>6256625.0803928431</v>
      </c>
      <c r="J13" s="19">
        <f t="shared" ref="J13" si="26">SUM(J10:J12)</f>
        <v>6250464.8833196666</v>
      </c>
      <c r="K13" s="19">
        <f t="shared" ref="K13" si="27">SUM(K10:K12)</f>
        <v>6263282.4035231918</v>
      </c>
      <c r="L13" s="19">
        <f t="shared" ref="L13" si="28">SUM(L10:L12)</f>
        <v>6280259.135222299</v>
      </c>
      <c r="M13" s="19">
        <f t="shared" ref="M13" si="29">SUM(M10:M12)</f>
        <v>6301202.9908771804</v>
      </c>
      <c r="N13" s="19">
        <f t="shared" ref="N13" si="30">SUM(N10:N12)</f>
        <v>6325931.9723651595</v>
      </c>
      <c r="O13" s="19">
        <f t="shared" ref="O13" si="31">SUM(O10:O12)</f>
        <v>6354273.5626081629</v>
      </c>
      <c r="P13" s="19">
        <f t="shared" ref="P13" si="32">SUM(P10:P12)</f>
        <v>6386064.1493628314</v>
      </c>
      <c r="Q13" s="19">
        <f t="shared" ref="Q13" si="33">SUM(Q10:Q12)</f>
        <v>6421148.4793271534</v>
      </c>
      <c r="R13" s="19">
        <f t="shared" ref="R13" si="34">SUM(R10:R12)</f>
        <v>6459379.1408188809</v>
      </c>
      <c r="S13" s="19">
        <f t="shared" ref="S13" si="35">SUM(S10:S12)</f>
        <v>6500616.0733765736</v>
      </c>
      <c r="T13" s="19">
        <f t="shared" ref="T13" si="36">SUM(T10:T12)</f>
        <v>6544726.1027244329</v>
      </c>
      <c r="U13" s="19">
        <f t="shared" ref="U13" si="37">SUM(U10:U12)</f>
        <v>6591582.499627254</v>
      </c>
      <c r="V13" s="19">
        <f t="shared" ref="V13" si="38">SUM(V10:V12)</f>
        <v>6641064.5612422377</v>
      </c>
      <c r="W13" s="19">
        <f t="shared" ref="W13" si="39">SUM(W10:W12)</f>
        <v>6693057.2136502713</v>
      </c>
      <c r="X13" s="5">
        <f t="shared" ref="X13" si="40">SUM(X10:X12)</f>
        <v>6747450.634320898</v>
      </c>
    </row>
    <row r="14" spans="1:25" hidden="1" outlineLevel="1">
      <c r="A14" s="95"/>
      <c r="B14" s="36"/>
      <c r="C14" s="33"/>
      <c r="D14" s="28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5"/>
    </row>
    <row r="15" spans="1:25" hidden="1" outlineLevel="1">
      <c r="A15" s="95"/>
      <c r="B15" s="36"/>
      <c r="C15" s="32" t="s">
        <v>51</v>
      </c>
      <c r="D15" s="27"/>
      <c r="E15" s="19">
        <f>E8-E13</f>
        <v>5626007.1615127642</v>
      </c>
      <c r="F15" s="19">
        <f>F8-F13</f>
        <v>5647919.1724847732</v>
      </c>
      <c r="G15" s="19">
        <f t="shared" ref="G15:X15" si="41">G8-G13</f>
        <v>5665068.1667810502</v>
      </c>
      <c r="H15" s="19">
        <f t="shared" si="41"/>
        <v>5679369.0680306228</v>
      </c>
      <c r="I15" s="19">
        <f t="shared" si="41"/>
        <v>5689476.2792981863</v>
      </c>
      <c r="J15" s="19">
        <f t="shared" si="41"/>
        <v>5695636.4763713628</v>
      </c>
      <c r="K15" s="19">
        <f t="shared" si="41"/>
        <v>5682818.9561678376</v>
      </c>
      <c r="L15" s="19">
        <f t="shared" si="41"/>
        <v>5665842.2244687304</v>
      </c>
      <c r="M15" s="19">
        <f t="shared" si="41"/>
        <v>5644898.3688138491</v>
      </c>
      <c r="N15" s="19">
        <f t="shared" si="41"/>
        <v>5620169.3873258699</v>
      </c>
      <c r="O15" s="19">
        <f t="shared" si="41"/>
        <v>5591827.7970828665</v>
      </c>
      <c r="P15" s="19">
        <f t="shared" si="41"/>
        <v>5560037.210328198</v>
      </c>
      <c r="Q15" s="19">
        <f t="shared" si="41"/>
        <v>5524952.880363876</v>
      </c>
      <c r="R15" s="19">
        <f t="shared" si="41"/>
        <v>5486722.2188721485</v>
      </c>
      <c r="S15" s="19">
        <f t="shared" si="41"/>
        <v>5445485.2863144558</v>
      </c>
      <c r="T15" s="19">
        <f t="shared" si="41"/>
        <v>5401375.2569665965</v>
      </c>
      <c r="U15" s="19">
        <f t="shared" si="41"/>
        <v>5354518.8600637754</v>
      </c>
      <c r="V15" s="19">
        <f t="shared" si="41"/>
        <v>5305036.7984487917</v>
      </c>
      <c r="W15" s="19">
        <f t="shared" si="41"/>
        <v>5253044.1460407581</v>
      </c>
      <c r="X15" s="5">
        <f t="shared" si="41"/>
        <v>5198650.7253701314</v>
      </c>
    </row>
    <row r="16" spans="1:25" hidden="1" outlineLevel="1">
      <c r="A16" s="95"/>
      <c r="B16" s="36"/>
      <c r="C16" s="32" t="s">
        <v>52</v>
      </c>
      <c r="D16" s="27"/>
      <c r="E16" s="19">
        <f>E15-E32-E23</f>
        <v>-28041806.895832788</v>
      </c>
      <c r="F16" s="19">
        <f t="shared" ref="F16" si="42">F15-F32-F23</f>
        <v>-45410509.765225321</v>
      </c>
      <c r="G16" s="19">
        <f t="shared" ref="G16" si="43">G15-G32-G23</f>
        <v>-26571393.010811333</v>
      </c>
      <c r="H16" s="19">
        <f t="shared" ref="H16" si="44">H15-H32-H23</f>
        <v>-15202376.572623707</v>
      </c>
      <c r="I16" s="19">
        <f t="shared" ref="I16" si="45">I15-I32-I23</f>
        <v>-15041742.194812268</v>
      </c>
      <c r="J16" s="19">
        <f t="shared" ref="J16" si="46">J15-J32-J23</f>
        <v>-6467749.0183676984</v>
      </c>
      <c r="K16" s="19">
        <f t="shared" ref="K16" si="47">K15-K32-K23</f>
        <v>2096000.7796388785</v>
      </c>
      <c r="L16" s="19">
        <f t="shared" ref="L16" si="48">L15-L32-L23</f>
        <v>2255779.2749571055</v>
      </c>
      <c r="M16" s="19">
        <f t="shared" ref="M16" si="49">M15-M32-M23</f>
        <v>2421312.1838055113</v>
      </c>
      <c r="N16" s="19">
        <f t="shared" ref="N16" si="50">N15-N32-N23</f>
        <v>2593316.1888685003</v>
      </c>
      <c r="O16" s="19">
        <f t="shared" ref="O16" si="51">O15-O32-O23</f>
        <v>2772527.8994367686</v>
      </c>
      <c r="P16" s="19">
        <f t="shared" ref="P16" si="52">P15-P32-P23</f>
        <v>2959706.0450379914</v>
      </c>
      <c r="Q16" s="19">
        <f t="shared" ref="Q16" si="53">Q15-Q32-Q23</f>
        <v>3155633.7277091346</v>
      </c>
      <c r="R16" s="19">
        <f t="shared" ref="R16" si="54">R15-R32-R23</f>
        <v>3361120.7395478231</v>
      </c>
      <c r="S16" s="19">
        <f t="shared" ref="S16" si="55">S15-S32-S23</f>
        <v>3577005.9523537192</v>
      </c>
      <c r="T16" s="19">
        <f t="shared" ref="T16" si="56">T15-T32-T23</f>
        <v>3804159.7863644464</v>
      </c>
      <c r="U16" s="19">
        <f t="shared" ref="U16" si="57">U15-U32-U23</f>
        <v>4043486.7653049333</v>
      </c>
      <c r="V16" s="19">
        <f t="shared" ref="V16" si="58">V15-V32-V23</f>
        <v>4295928.1652046405</v>
      </c>
      <c r="W16" s="19">
        <f t="shared" ref="W16" si="59">W15-W32-W23</f>
        <v>4562464.764694605</v>
      </c>
      <c r="X16" s="5">
        <f t="shared" ref="X16" si="60">X15-X32-X23</f>
        <v>4844119.7047763662</v>
      </c>
    </row>
    <row r="17" spans="1:25" hidden="1" outlineLevel="1">
      <c r="A17" s="95"/>
      <c r="B17" s="36"/>
      <c r="C17" s="32" t="s">
        <v>53</v>
      </c>
      <c r="D17" s="27"/>
      <c r="E17" s="19">
        <f>INDEX('DATA (Nominal)'!$B$265:$BX$265,1,MATCH($B$1,'DATA (Nominal)'!$B$1:$BX$1,0))*INDEX('DATA (Nominal)'!$B$293:$BX$293,1,MATCH(E$1,'DATA (Nominal)'!$B$1:$BX$1,0))*E6</f>
        <v>7917448.87169444</v>
      </c>
      <c r="F17" s="19">
        <f>INDEX('DATA (Nominal)'!$B$265:$BX$265,1,MATCH($B$1,'DATA (Nominal)'!$B$1:$BX$1,0))*INDEX('DATA (Nominal)'!$B$293:$BX$293,1,MATCH(F$1,'DATA (Nominal)'!$B$1:$BX$1,0))*F6</f>
        <v>8094271.896495617</v>
      </c>
      <c r="G17" s="19">
        <f>INDEX('DATA (Nominal)'!$B$265:$BX$265,1,MATCH($B$1,'DATA (Nominal)'!$B$1:$BX$1,0))*INDEX('DATA (Nominal)'!$B$293:$BX$293,1,MATCH(G$1,'DATA (Nominal)'!$B$1:$BX$1,0))*G6</f>
        <v>8275043.9688506853</v>
      </c>
      <c r="H17" s="19">
        <f>INDEX('DATA (Nominal)'!$B$265:$BX$265,1,MATCH($B$1,'DATA (Nominal)'!$B$1:$BX$1,0))*INDEX('DATA (Nominal)'!$B$293:$BX$293,1,MATCH(H$1,'DATA (Nominal)'!$B$1:$BX$1,0))*H6</f>
        <v>8457094.9361654017</v>
      </c>
      <c r="I17" s="19">
        <f>INDEX('DATA (Nominal)'!$B$265:$BX$265,1,MATCH($B$1,'DATA (Nominal)'!$B$1:$BX$1,0))*INDEX('DATA (Nominal)'!$B$293:$BX$293,1,MATCH(I$1,'DATA (Nominal)'!$B$1:$BX$1,0))*I6</f>
        <v>8643151.0247610398</v>
      </c>
      <c r="J17" s="19">
        <f>INDEX('DATA (Nominal)'!$B$265:$BX$265,1,MATCH($B$1,'DATA (Nominal)'!$B$1:$BX$1,0))*INDEX('DATA (Nominal)'!$B$293:$BX$293,1,MATCH(J$1,'DATA (Nominal)'!$B$1:$BX$1,0))*J6</f>
        <v>8833300.347305784</v>
      </c>
      <c r="K17" s="19">
        <f>INDEX('DATA (Nominal)'!$B$265:$BX$265,1,MATCH($B$1,'DATA (Nominal)'!$B$1:$BX$1,0))*INDEX('DATA (Nominal)'!$B$293:$BX$293,1,MATCH(K$1,'DATA (Nominal)'!$B$1:$BX$1,0))*K6</f>
        <v>9027632.9549465086</v>
      </c>
      <c r="L17" s="19">
        <f>INDEX('DATA (Nominal)'!$B$265:$BX$265,1,MATCH($B$1,'DATA (Nominal)'!$B$1:$BX$1,0))*INDEX('DATA (Nominal)'!$B$293:$BX$293,1,MATCH(L$1,'DATA (Nominal)'!$B$1:$BX$1,0))*L6</f>
        <v>9226240.8799553327</v>
      </c>
      <c r="M17" s="19">
        <f>INDEX('DATA (Nominal)'!$B$265:$BX$265,1,MATCH($B$1,'DATA (Nominal)'!$B$1:$BX$1,0))*INDEX('DATA (Nominal)'!$B$293:$BX$293,1,MATCH(M$1,'DATA (Nominal)'!$B$1:$BX$1,0))*M6</f>
        <v>9429218.1793143507</v>
      </c>
      <c r="N17" s="19">
        <f>INDEX('DATA (Nominal)'!$B$265:$BX$265,1,MATCH($B$1,'DATA (Nominal)'!$B$1:$BX$1,0))*INDEX('DATA (Nominal)'!$B$293:$BX$293,1,MATCH(N$1,'DATA (Nominal)'!$B$1:$BX$1,0))*N6</f>
        <v>9636660.9792592674</v>
      </c>
      <c r="O17" s="19"/>
      <c r="P17" s="19"/>
      <c r="Q17" s="19"/>
      <c r="R17" s="19"/>
      <c r="S17" s="19"/>
      <c r="T17" s="19"/>
      <c r="U17" s="19"/>
      <c r="V17" s="19"/>
      <c r="W17" s="19"/>
      <c r="X17" s="5"/>
    </row>
    <row r="18" spans="1:25" hidden="1" outlineLevel="1">
      <c r="A18" s="95"/>
      <c r="B18" s="36"/>
      <c r="C18" s="33" t="s">
        <v>54</v>
      </c>
      <c r="D18" s="28"/>
      <c r="E18" s="19">
        <f t="shared" ref="E18:X18" si="61">E16*Federal_Tax_Rate-E17</f>
        <v>-13806228.319819326</v>
      </c>
      <c r="F18" s="19">
        <f t="shared" si="61"/>
        <v>-17630478.947192933</v>
      </c>
      <c r="G18" s="19">
        <f t="shared" si="61"/>
        <v>-13855036.501121065</v>
      </c>
      <c r="H18" s="19">
        <f t="shared" si="61"/>
        <v>-11649594.01641638</v>
      </c>
      <c r="I18" s="19">
        <f t="shared" si="61"/>
        <v>-11801916.885671616</v>
      </c>
      <c r="J18" s="19">
        <f t="shared" si="61"/>
        <v>-10191527.641163001</v>
      </c>
      <c r="K18" s="19">
        <f t="shared" si="61"/>
        <v>-8587472.7912223451</v>
      </c>
      <c r="L18" s="19">
        <f t="shared" si="61"/>
        <v>-8752527.2322143409</v>
      </c>
      <c r="M18" s="19">
        <f t="shared" si="61"/>
        <v>-8920742.6207151935</v>
      </c>
      <c r="N18" s="19">
        <f t="shared" si="61"/>
        <v>-9092064.5795968827</v>
      </c>
      <c r="O18" s="19">
        <f t="shared" si="61"/>
        <v>582230.85888172139</v>
      </c>
      <c r="P18" s="19">
        <f t="shared" si="61"/>
        <v>621538.2694579782</v>
      </c>
      <c r="Q18" s="19">
        <f t="shared" si="61"/>
        <v>662683.08281891828</v>
      </c>
      <c r="R18" s="19">
        <f t="shared" si="61"/>
        <v>705835.35530504282</v>
      </c>
      <c r="S18" s="19">
        <f t="shared" si="61"/>
        <v>751171.24999428098</v>
      </c>
      <c r="T18" s="19">
        <f t="shared" si="61"/>
        <v>798873.55513653369</v>
      </c>
      <c r="U18" s="19">
        <f t="shared" si="61"/>
        <v>849132.22071403591</v>
      </c>
      <c r="V18" s="19">
        <f t="shared" si="61"/>
        <v>902144.91469297442</v>
      </c>
      <c r="W18" s="19">
        <f t="shared" si="61"/>
        <v>958117.60058586707</v>
      </c>
      <c r="X18" s="5">
        <f t="shared" si="61"/>
        <v>1017265.1380030368</v>
      </c>
    </row>
    <row r="19" spans="1:25" hidden="1" outlineLevel="1">
      <c r="A19" s="95"/>
      <c r="B19" s="36"/>
      <c r="C19" s="33"/>
      <c r="D19" s="2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5"/>
    </row>
    <row r="20" spans="1:25" hidden="1" outlineLevel="1">
      <c r="A20" s="95"/>
      <c r="B20" s="37">
        <f>IRR(D20:Y20,0.1)</f>
        <v>7.5000001806750705E-2</v>
      </c>
      <c r="C20" s="32" t="s">
        <v>55</v>
      </c>
      <c r="D20" s="4">
        <f>-INDEX('DATA (Nominal)'!$B$78:$BX$78,1,MATCH($B$1,'DATA (Nominal)'!$B$1:$BX$1,0))*'Resource Options'!$E$7/1000*1000000*(1+AFUDC!$C$7)</f>
        <v>-145990048.9352015</v>
      </c>
      <c r="E20" s="19">
        <f>E15-E18</f>
        <v>19432235.48133209</v>
      </c>
      <c r="F20" s="19">
        <f t="shared" ref="F20:X20" si="62">F15-F18</f>
        <v>23278398.119677708</v>
      </c>
      <c r="G20" s="19">
        <f t="shared" si="62"/>
        <v>19520104.667902116</v>
      </c>
      <c r="H20" s="19">
        <f t="shared" si="62"/>
        <v>17328963.084447004</v>
      </c>
      <c r="I20" s="19">
        <f t="shared" si="62"/>
        <v>17491393.164969802</v>
      </c>
      <c r="J20" s="19">
        <f t="shared" si="62"/>
        <v>15887164.117534364</v>
      </c>
      <c r="K20" s="19">
        <f t="shared" si="62"/>
        <v>14270291.747390183</v>
      </c>
      <c r="L20" s="19">
        <f t="shared" si="62"/>
        <v>14418369.456683071</v>
      </c>
      <c r="M20" s="19">
        <f t="shared" si="62"/>
        <v>14565640.989529043</v>
      </c>
      <c r="N20" s="19">
        <f>N15-N18</f>
        <v>14712233.966922753</v>
      </c>
      <c r="O20" s="19">
        <f t="shared" si="62"/>
        <v>5009596.9382011453</v>
      </c>
      <c r="P20" s="19">
        <f t="shared" si="62"/>
        <v>4938498.9408702198</v>
      </c>
      <c r="Q20" s="19">
        <f t="shared" si="62"/>
        <v>4862269.7975449581</v>
      </c>
      <c r="R20" s="19">
        <f t="shared" si="62"/>
        <v>4780886.8635671055</v>
      </c>
      <c r="S20" s="19">
        <f t="shared" si="62"/>
        <v>4694314.036320175</v>
      </c>
      <c r="T20" s="19">
        <f t="shared" si="62"/>
        <v>4602501.701830063</v>
      </c>
      <c r="U20" s="19">
        <f t="shared" si="62"/>
        <v>4505386.63934974</v>
      </c>
      <c r="V20" s="19">
        <f t="shared" si="62"/>
        <v>4402891.8837558171</v>
      </c>
      <c r="W20" s="19">
        <f t="shared" si="62"/>
        <v>4294926.5454548914</v>
      </c>
      <c r="X20" s="5">
        <f t="shared" si="62"/>
        <v>4181385.5873670946</v>
      </c>
      <c r="Y20" s="24">
        <f>D20*-0.3</f>
        <v>43797014.680560447</v>
      </c>
    </row>
    <row r="21" spans="1:25" hidden="1" outlineLevel="1">
      <c r="A21" s="95"/>
      <c r="B21" s="37">
        <f>IRR(D21:Y21,0.1)</f>
        <v>-3.8464257653583855E-2</v>
      </c>
      <c r="C21" s="32" t="s">
        <v>56</v>
      </c>
      <c r="D21" s="6">
        <f>-E37</f>
        <v>-39847327.054069281</v>
      </c>
      <c r="E21" s="19">
        <f>E20-E17-E23-E25-E33</f>
        <v>-1417345.0224849349</v>
      </c>
      <c r="F21" s="19">
        <f t="shared" ref="F21" si="63">F20-F17-F23-F25-F33</f>
        <v>-1426954.6421075733</v>
      </c>
      <c r="G21" s="19">
        <f t="shared" ref="G21" si="64">G20-G17-G23-G25-G33</f>
        <v>-1441807.6508600153</v>
      </c>
      <c r="H21" s="19">
        <f t="shared" ref="H21" si="65">H20-H17-H23-H25-H33</f>
        <v>-1460472.6924029132</v>
      </c>
      <c r="I21" s="19">
        <f t="shared" ref="I21" si="66">I20-I17-I23-I25-I33</f>
        <v>-1484098.7004757533</v>
      </c>
      <c r="J21" s="19">
        <f t="shared" ref="J21" si="67">J20-J17-J23-J25-J33</f>
        <v>-1512581.4385357387</v>
      </c>
      <c r="K21" s="19">
        <f t="shared" ref="K21" si="68">K20-K17-K23-K25-K33</f>
        <v>-1557890.7844004473</v>
      </c>
      <c r="L21" s="19">
        <f t="shared" ref="L21" si="69">L20-L17-L23-L25-L33</f>
        <v>-1608421.0001163827</v>
      </c>
      <c r="M21" s="19">
        <f t="shared" ref="M21" si="70">M20-M17-M23-M25-M33</f>
        <v>-1664126.7666294286</v>
      </c>
      <c r="N21" s="19">
        <f t="shared" ref="N21" si="71">N20-N17-N23-N25-N33</f>
        <v>-1724976.5891806362</v>
      </c>
      <c r="O21" s="19">
        <f t="shared" ref="O21" si="72">O20-O17-O23-O25-O33</f>
        <v>-1790952.6386429761</v>
      </c>
      <c r="P21" s="19">
        <f t="shared" ref="P21" si="73">P20-P17-P23-P25-P33</f>
        <v>-1862050.6359739015</v>
      </c>
      <c r="Q21" s="19">
        <f t="shared" ref="Q21" si="74">Q20-Q17-Q23-Q25-Q33</f>
        <v>-1938279.7792991628</v>
      </c>
      <c r="R21" s="19">
        <f t="shared" ref="R21" si="75">R20-R17-R23-R25-R33</f>
        <v>-2019662.7132770163</v>
      </c>
      <c r="S21" s="19">
        <f t="shared" ref="S21" si="76">S20-S17-S23-S25-S33</f>
        <v>-2106235.5405239458</v>
      </c>
      <c r="T21" s="19">
        <f t="shared" ref="T21" si="77">T20-T17-T23-T25-T33</f>
        <v>-2198047.8750140583</v>
      </c>
      <c r="U21" s="19">
        <f t="shared" ref="U21" si="78">U20-U17-U23-U25-U33</f>
        <v>-2295162.9374943813</v>
      </c>
      <c r="V21" s="19">
        <f t="shared" ref="V21" si="79">V20-V17-V23-V25-V33</f>
        <v>-2397657.6930883047</v>
      </c>
      <c r="W21" s="19">
        <f t="shared" ref="W21" si="80">W20-W17-W23-W25-W33</f>
        <v>-2505623.0313892299</v>
      </c>
      <c r="X21" s="5">
        <f t="shared" ref="X21" si="81">X20-X17-X23-X25-X33</f>
        <v>-2619163.9894770267</v>
      </c>
      <c r="Y21" s="24">
        <f>Y20</f>
        <v>43797014.680560447</v>
      </c>
    </row>
    <row r="22" spans="1:25" hidden="1" outlineLevel="1">
      <c r="B22" s="21"/>
      <c r="C22" s="32"/>
      <c r="D22" s="6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5"/>
    </row>
    <row r="23" spans="1:25" hidden="1" outlineLevel="1">
      <c r="C23" s="33" t="s">
        <v>57</v>
      </c>
      <c r="D23" s="3"/>
      <c r="E23" s="19">
        <f t="shared" ref="E23:X23" si="82">D26*Debt_Rate</f>
        <v>4469804.2703052489</v>
      </c>
      <c r="F23" s="19">
        <f t="shared" si="82"/>
        <v>4341613.2784456108</v>
      </c>
      <c r="G23" s="19">
        <f t="shared" si="82"/>
        <v>4206371.782033693</v>
      </c>
      <c r="H23" s="19">
        <f t="shared" si="82"/>
        <v>4063692.0033191191</v>
      </c>
      <c r="I23" s="19">
        <f t="shared" si="82"/>
        <v>3913164.8367752442</v>
      </c>
      <c r="J23" s="19">
        <f t="shared" si="82"/>
        <v>3754358.6760714557</v>
      </c>
      <c r="K23" s="19">
        <f t="shared" si="82"/>
        <v>3586818.1765289591</v>
      </c>
      <c r="L23" s="19">
        <f t="shared" si="82"/>
        <v>3410062.9495116249</v>
      </c>
      <c r="M23" s="19">
        <f t="shared" si="82"/>
        <v>3223586.1850083377</v>
      </c>
      <c r="N23" s="19">
        <f t="shared" si="82"/>
        <v>3026853.1984573696</v>
      </c>
      <c r="O23" s="19">
        <f t="shared" si="82"/>
        <v>2819299.8976460979</v>
      </c>
      <c r="P23" s="19">
        <f t="shared" si="82"/>
        <v>2600331.1652902067</v>
      </c>
      <c r="Q23" s="19">
        <f t="shared" si="82"/>
        <v>2369319.1526547414</v>
      </c>
      <c r="R23" s="19">
        <f t="shared" si="82"/>
        <v>2125601.4793243255</v>
      </c>
      <c r="S23" s="19">
        <f t="shared" si="82"/>
        <v>1868479.3339607366</v>
      </c>
      <c r="T23" s="19">
        <f t="shared" si="82"/>
        <v>1597215.4706021503</v>
      </c>
      <c r="U23" s="19">
        <f t="shared" si="82"/>
        <v>1311032.0947588419</v>
      </c>
      <c r="V23" s="19">
        <f t="shared" si="82"/>
        <v>1009108.6332441516</v>
      </c>
      <c r="W23" s="19">
        <f t="shared" si="82"/>
        <v>690579.38134615333</v>
      </c>
      <c r="X23" s="5">
        <f t="shared" si="82"/>
        <v>354531.02059376502</v>
      </c>
    </row>
    <row r="24" spans="1:25" hidden="1" outlineLevel="1">
      <c r="C24" s="33" t="s">
        <v>58</v>
      </c>
      <c r="D24" s="3"/>
      <c r="E24" s="19">
        <f t="shared" ref="E24:X24" si="83">-PMT(Debt_Rate,20,$E36)</f>
        <v>6800549.5768441213</v>
      </c>
      <c r="F24" s="19">
        <f t="shared" si="83"/>
        <v>6800549.5768441213</v>
      </c>
      <c r="G24" s="19">
        <f t="shared" si="83"/>
        <v>6800549.5768441213</v>
      </c>
      <c r="H24" s="19">
        <f t="shared" si="83"/>
        <v>6800549.5768441213</v>
      </c>
      <c r="I24" s="19">
        <f t="shared" si="83"/>
        <v>6800549.5768441213</v>
      </c>
      <c r="J24" s="19">
        <f t="shared" si="83"/>
        <v>6800549.5768441213</v>
      </c>
      <c r="K24" s="19">
        <f t="shared" si="83"/>
        <v>6800549.5768441213</v>
      </c>
      <c r="L24" s="19">
        <f t="shared" si="83"/>
        <v>6800549.5768441213</v>
      </c>
      <c r="M24" s="19">
        <f t="shared" si="83"/>
        <v>6800549.5768441213</v>
      </c>
      <c r="N24" s="19">
        <f t="shared" si="83"/>
        <v>6800549.5768441213</v>
      </c>
      <c r="O24" s="19">
        <f t="shared" si="83"/>
        <v>6800549.5768441213</v>
      </c>
      <c r="P24" s="19">
        <f t="shared" si="83"/>
        <v>6800549.5768441213</v>
      </c>
      <c r="Q24" s="19">
        <f t="shared" si="83"/>
        <v>6800549.5768441213</v>
      </c>
      <c r="R24" s="19">
        <f t="shared" si="83"/>
        <v>6800549.5768441213</v>
      </c>
      <c r="S24" s="19">
        <f t="shared" si="83"/>
        <v>6800549.5768441213</v>
      </c>
      <c r="T24" s="19">
        <f t="shared" si="83"/>
        <v>6800549.5768441213</v>
      </c>
      <c r="U24" s="19">
        <f t="shared" si="83"/>
        <v>6800549.5768441213</v>
      </c>
      <c r="V24" s="19">
        <f t="shared" si="83"/>
        <v>6800549.5768441213</v>
      </c>
      <c r="W24" s="19">
        <f t="shared" si="83"/>
        <v>6800549.5768441213</v>
      </c>
      <c r="X24" s="5">
        <f t="shared" si="83"/>
        <v>6800549.5768441213</v>
      </c>
    </row>
    <row r="25" spans="1:25" hidden="1" outlineLevel="1">
      <c r="C25" s="33" t="s">
        <v>59</v>
      </c>
      <c r="D25" s="3"/>
      <c r="E25" s="19">
        <f>E24-E23</f>
        <v>2330745.3065388724</v>
      </c>
      <c r="F25" s="19">
        <f>F24-F23</f>
        <v>2458936.2983985106</v>
      </c>
      <c r="G25" s="19">
        <f t="shared" ref="G25" si="84">G24-G23</f>
        <v>2594177.7948104283</v>
      </c>
      <c r="H25" s="19">
        <f t="shared" ref="H25" si="85">H24-H23</f>
        <v>2736857.5735250022</v>
      </c>
      <c r="I25" s="19">
        <f t="shared" ref="I25" si="86">I24-I23</f>
        <v>2887384.7400688771</v>
      </c>
      <c r="J25" s="19">
        <f t="shared" ref="J25" si="87">J24-J23</f>
        <v>3046190.9007726656</v>
      </c>
      <c r="K25" s="19">
        <f t="shared" ref="K25" si="88">K24-K23</f>
        <v>3213731.4003151623</v>
      </c>
      <c r="L25" s="19">
        <f t="shared" ref="L25" si="89">L24-L23</f>
        <v>3390486.6273324965</v>
      </c>
      <c r="M25" s="19">
        <f t="shared" ref="M25" si="90">M24-M23</f>
        <v>3576963.3918357836</v>
      </c>
      <c r="N25" s="19">
        <f t="shared" ref="N25" si="91">N24-N23</f>
        <v>3773696.3783867517</v>
      </c>
      <c r="O25" s="19">
        <f t="shared" ref="O25" si="92">O24-O23</f>
        <v>3981249.6791980234</v>
      </c>
      <c r="P25" s="19">
        <f t="shared" ref="P25" si="93">P24-P23</f>
        <v>4200218.4115539147</v>
      </c>
      <c r="Q25" s="19">
        <f t="shared" ref="Q25" si="94">Q24-Q23</f>
        <v>4431230.4241893794</v>
      </c>
      <c r="R25" s="19">
        <f t="shared" ref="R25" si="95">R24-R23</f>
        <v>4674948.0975197963</v>
      </c>
      <c r="S25" s="19">
        <f t="shared" ref="S25" si="96">S24-S23</f>
        <v>4932070.2428833842</v>
      </c>
      <c r="T25" s="19">
        <f t="shared" ref="T25" si="97">T24-T23</f>
        <v>5203334.1062419713</v>
      </c>
      <c r="U25" s="19">
        <f t="shared" ref="U25" si="98">U24-U23</f>
        <v>5489517.4820852792</v>
      </c>
      <c r="V25" s="19">
        <f t="shared" ref="V25" si="99">V24-V23</f>
        <v>5791440.9435999701</v>
      </c>
      <c r="W25" s="19">
        <f t="shared" ref="W25" si="100">W24-W23</f>
        <v>6109970.1954979682</v>
      </c>
      <c r="X25" s="5">
        <f t="shared" ref="X25" si="101">X24-X23</f>
        <v>6446018.5562503561</v>
      </c>
    </row>
    <row r="26" spans="1:25" hidden="1" outlineLevel="1">
      <c r="C26" s="33" t="s">
        <v>60</v>
      </c>
      <c r="D26" s="3">
        <f>E36</f>
        <v>81269168.551004529</v>
      </c>
      <c r="E26" s="19">
        <f>D26-E25</f>
        <v>78938423.244465649</v>
      </c>
      <c r="F26" s="19">
        <f>E26-F25</f>
        <v>76479486.94606714</v>
      </c>
      <c r="G26" s="19">
        <f t="shared" ref="G26" si="102">F26-G25</f>
        <v>73885309.15125671</v>
      </c>
      <c r="H26" s="19">
        <f t="shared" ref="H26" si="103">G26-H25</f>
        <v>71148451.577731714</v>
      </c>
      <c r="I26" s="19">
        <f t="shared" ref="I26" si="104">H26-I25</f>
        <v>68261066.837662831</v>
      </c>
      <c r="J26" s="19">
        <f t="shared" ref="J26" si="105">I26-J25</f>
        <v>65214875.936890163</v>
      </c>
      <c r="K26" s="19">
        <f t="shared" ref="K26" si="106">J26-K25</f>
        <v>62001144.536574997</v>
      </c>
      <c r="L26" s="19">
        <f t="shared" ref="L26" si="107">K26-L25</f>
        <v>58610657.909242503</v>
      </c>
      <c r="M26" s="19">
        <f t="shared" ref="M26" si="108">L26-M25</f>
        <v>55033694.517406717</v>
      </c>
      <c r="N26" s="19">
        <f t="shared" ref="N26" si="109">M26-N25</f>
        <v>51259998.139019966</v>
      </c>
      <c r="O26" s="19">
        <f t="shared" ref="O26" si="110">N26-O25</f>
        <v>47278748.459821939</v>
      </c>
      <c r="P26" s="19">
        <f t="shared" ref="P26" si="111">O26-P25</f>
        <v>43078530.048268028</v>
      </c>
      <c r="Q26" s="19">
        <f t="shared" ref="Q26" si="112">P26-Q25</f>
        <v>38647299.624078646</v>
      </c>
      <c r="R26" s="19">
        <f t="shared" ref="R26" si="113">Q26-R25</f>
        <v>33972351.526558846</v>
      </c>
      <c r="S26" s="19">
        <f t="shared" ref="S26" si="114">R26-S25</f>
        <v>29040281.283675462</v>
      </c>
      <c r="T26" s="19">
        <f t="shared" ref="T26" si="115">S26-T25</f>
        <v>23836947.177433491</v>
      </c>
      <c r="U26" s="19">
        <f t="shared" ref="U26" si="116">T26-U25</f>
        <v>18347429.695348211</v>
      </c>
      <c r="V26" s="19">
        <f t="shared" ref="V26" si="117">U26-V25</f>
        <v>12555988.751748241</v>
      </c>
      <c r="W26" s="19">
        <f t="shared" ref="W26" si="118">V26-W25</f>
        <v>6446018.5562502733</v>
      </c>
      <c r="X26" s="5">
        <f t="shared" ref="X26" si="119">W26-X25</f>
        <v>-8.2887709140777588E-8</v>
      </c>
    </row>
    <row r="27" spans="1:25" hidden="1" outlineLevel="1">
      <c r="C27" s="32"/>
      <c r="D27" s="3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5"/>
    </row>
    <row r="28" spans="1:25" hidden="1" outlineLevel="1">
      <c r="C28" s="33" t="s">
        <v>61</v>
      </c>
      <c r="D28" s="3"/>
      <c r="E28" s="19">
        <f t="shared" ref="E28:X28" si="120">IF(E$2-1&lt;20,-$D20/20,0)</f>
        <v>7299502.4467600752</v>
      </c>
      <c r="F28" s="19">
        <f t="shared" si="120"/>
        <v>7299502.4467600752</v>
      </c>
      <c r="G28" s="19">
        <f t="shared" si="120"/>
        <v>7299502.4467600752</v>
      </c>
      <c r="H28" s="19">
        <f t="shared" si="120"/>
        <v>7299502.4467600752</v>
      </c>
      <c r="I28" s="19">
        <f t="shared" si="120"/>
        <v>7299502.4467600752</v>
      </c>
      <c r="J28" s="19">
        <f t="shared" si="120"/>
        <v>7299502.4467600752</v>
      </c>
      <c r="K28" s="19">
        <f t="shared" si="120"/>
        <v>7299502.4467600752</v>
      </c>
      <c r="L28" s="19">
        <f t="shared" si="120"/>
        <v>7299502.4467600752</v>
      </c>
      <c r="M28" s="19">
        <f t="shared" si="120"/>
        <v>7299502.4467600752</v>
      </c>
      <c r="N28" s="19">
        <f t="shared" si="120"/>
        <v>7299502.4467600752</v>
      </c>
      <c r="O28" s="19">
        <f t="shared" si="120"/>
        <v>7299502.4467600752</v>
      </c>
      <c r="P28" s="19">
        <f t="shared" si="120"/>
        <v>7299502.4467600752</v>
      </c>
      <c r="Q28" s="19">
        <f t="shared" si="120"/>
        <v>7299502.4467600752</v>
      </c>
      <c r="R28" s="19">
        <f t="shared" si="120"/>
        <v>7299502.4467600752</v>
      </c>
      <c r="S28" s="19">
        <f t="shared" si="120"/>
        <v>7299502.4467600752</v>
      </c>
      <c r="T28" s="19">
        <f t="shared" si="120"/>
        <v>7299502.4467600752</v>
      </c>
      <c r="U28" s="19">
        <f t="shared" si="120"/>
        <v>7299502.4467600752</v>
      </c>
      <c r="V28" s="19">
        <f t="shared" si="120"/>
        <v>7299502.4467600752</v>
      </c>
      <c r="W28" s="19">
        <f t="shared" si="120"/>
        <v>7299502.4467600752</v>
      </c>
      <c r="X28" s="5">
        <f t="shared" si="120"/>
        <v>7299502.4467600752</v>
      </c>
    </row>
    <row r="29" spans="1:25" hidden="1" outlineLevel="1">
      <c r="C29" s="32" t="s">
        <v>62</v>
      </c>
      <c r="D29" s="3"/>
      <c r="E29" s="19">
        <f>SUM($E28:E28)</f>
        <v>7299502.4467600752</v>
      </c>
      <c r="F29" s="19">
        <f>SUM($E28:F28)</f>
        <v>14599004.89352015</v>
      </c>
      <c r="G29" s="19">
        <f>SUM($E28:G28)</f>
        <v>21898507.340280227</v>
      </c>
      <c r="H29" s="19">
        <f>SUM($E28:H28)</f>
        <v>29198009.787040301</v>
      </c>
      <c r="I29" s="19">
        <f>SUM($E28:I28)</f>
        <v>36497512.233800374</v>
      </c>
      <c r="J29" s="19">
        <f>SUM($E28:J28)</f>
        <v>43797014.680560447</v>
      </c>
      <c r="K29" s="19">
        <f>SUM($E28:K28)</f>
        <v>51096517.127320521</v>
      </c>
      <c r="L29" s="19">
        <f>SUM($E28:L28)</f>
        <v>58396019.574080594</v>
      </c>
      <c r="M29" s="19">
        <f>SUM($E28:M28)</f>
        <v>65695522.020840667</v>
      </c>
      <c r="N29" s="19">
        <f>SUM($E28:N28)</f>
        <v>72995024.467600748</v>
      </c>
      <c r="O29" s="19">
        <f>SUM($E28:O28)</f>
        <v>80294526.914360821</v>
      </c>
      <c r="P29" s="19">
        <f>SUM($E28:P28)</f>
        <v>87594029.361120895</v>
      </c>
      <c r="Q29" s="19">
        <f>SUM($E28:Q28)</f>
        <v>94893531.807880968</v>
      </c>
      <c r="R29" s="19">
        <f>SUM($E28:R28)</f>
        <v>102193034.25464104</v>
      </c>
      <c r="S29" s="19">
        <f>SUM($E28:S28)</f>
        <v>109492536.70140111</v>
      </c>
      <c r="T29" s="19">
        <f>SUM($E28:T28)</f>
        <v>116792039.14816119</v>
      </c>
      <c r="U29" s="19">
        <f>SUM($E28:U28)</f>
        <v>124091541.59492126</v>
      </c>
      <c r="V29" s="19">
        <f>SUM($E28:V28)</f>
        <v>131391044.04168133</v>
      </c>
      <c r="W29" s="19">
        <f>SUM($E28:W28)</f>
        <v>138690546.48844141</v>
      </c>
      <c r="X29" s="5">
        <f>SUM($E28:X28)</f>
        <v>145990048.9352015</v>
      </c>
    </row>
    <row r="30" spans="1:25" hidden="1" outlineLevel="1">
      <c r="C30" s="32" t="s">
        <v>63</v>
      </c>
      <c r="D30" s="3"/>
      <c r="E30" s="19">
        <f t="shared" ref="E30:X30" si="121">-$D20-E29</f>
        <v>138690546.48844141</v>
      </c>
      <c r="F30" s="19">
        <f t="shared" si="121"/>
        <v>131391044.04168135</v>
      </c>
      <c r="G30" s="19">
        <f t="shared" si="121"/>
        <v>124091541.59492126</v>
      </c>
      <c r="H30" s="19">
        <f t="shared" si="121"/>
        <v>116792039.1481612</v>
      </c>
      <c r="I30" s="19">
        <f t="shared" si="121"/>
        <v>109492536.70140111</v>
      </c>
      <c r="J30" s="19">
        <f t="shared" si="121"/>
        <v>102193034.25464106</v>
      </c>
      <c r="K30" s="19">
        <f t="shared" si="121"/>
        <v>94893531.807880968</v>
      </c>
      <c r="L30" s="19">
        <f t="shared" si="121"/>
        <v>87594029.361120909</v>
      </c>
      <c r="M30" s="19">
        <f t="shared" si="121"/>
        <v>80294526.914360821</v>
      </c>
      <c r="N30" s="19">
        <f t="shared" si="121"/>
        <v>72995024.467600748</v>
      </c>
      <c r="O30" s="19">
        <f t="shared" si="121"/>
        <v>65695522.020840675</v>
      </c>
      <c r="P30" s="19">
        <f t="shared" si="121"/>
        <v>58396019.574080601</v>
      </c>
      <c r="Q30" s="19">
        <f t="shared" si="121"/>
        <v>51096517.127320528</v>
      </c>
      <c r="R30" s="19">
        <f t="shared" si="121"/>
        <v>43797014.680560455</v>
      </c>
      <c r="S30" s="19">
        <f t="shared" si="121"/>
        <v>36497512.233800381</v>
      </c>
      <c r="T30" s="19">
        <f t="shared" si="121"/>
        <v>29198009.787040308</v>
      </c>
      <c r="U30" s="19">
        <f t="shared" si="121"/>
        <v>21898507.340280235</v>
      </c>
      <c r="V30" s="19">
        <f t="shared" si="121"/>
        <v>14599004.893520162</v>
      </c>
      <c r="W30" s="19">
        <f t="shared" si="121"/>
        <v>7299502.4467600882</v>
      </c>
      <c r="X30" s="5">
        <f t="shared" si="121"/>
        <v>0</v>
      </c>
    </row>
    <row r="31" spans="1:25" hidden="1" outlineLevel="1">
      <c r="C31" s="32" t="s">
        <v>64</v>
      </c>
      <c r="D31" s="3">
        <f>-D20</f>
        <v>145990048.9352015</v>
      </c>
      <c r="E31" s="19">
        <f t="shared" ref="E31:X31" si="122">D31/(($D31/$Y31)^(1/21))</f>
        <v>137855553.48683476</v>
      </c>
      <c r="F31" s="19">
        <f t="shared" si="122"/>
        <v>130174308.22012165</v>
      </c>
      <c r="G31" s="19">
        <f t="shared" si="122"/>
        <v>122921058.25251006</v>
      </c>
      <c r="H31" s="19">
        <f t="shared" si="122"/>
        <v>116071955.8913808</v>
      </c>
      <c r="I31" s="19">
        <f t="shared" si="122"/>
        <v>109604482.22610007</v>
      </c>
      <c r="J31" s="3">
        <f t="shared" si="122"/>
        <v>103497373.08892502</v>
      </c>
      <c r="K31" s="19">
        <f t="shared" si="122"/>
        <v>97730549.141332164</v>
      </c>
      <c r="L31" s="19">
        <f t="shared" si="122"/>
        <v>92285049.855902061</v>
      </c>
      <c r="M31" s="19">
        <f t="shared" si="122"/>
        <v>87142971.176701605</v>
      </c>
      <c r="N31" s="19">
        <f t="shared" si="122"/>
        <v>82287406.653199971</v>
      </c>
      <c r="O31" s="19">
        <f t="shared" si="122"/>
        <v>77702391.854174465</v>
      </c>
      <c r="P31" s="19">
        <f t="shared" si="122"/>
        <v>73372851.878846854</v>
      </c>
      <c r="Q31" s="19">
        <f t="shared" si="122"/>
        <v>69284551.79267399</v>
      </c>
      <c r="R31" s="19">
        <f t="shared" si="122"/>
        <v>65424049.824832402</v>
      </c>
      <c r="S31" s="19">
        <f t="shared" si="122"/>
        <v>61778653.173516579</v>
      </c>
      <c r="T31" s="19">
        <f t="shared" si="122"/>
        <v>58336376.273744792</v>
      </c>
      <c r="U31" s="19">
        <f t="shared" si="122"/>
        <v>55085901.390462771</v>
      </c>
      <c r="V31" s="19">
        <f t="shared" si="122"/>
        <v>52016541.407380722</v>
      </c>
      <c r="W31" s="19">
        <f t="shared" si="122"/>
        <v>49118204.689198479</v>
      </c>
      <c r="X31" s="5">
        <f t="shared" si="122"/>
        <v>46381361.901690587</v>
      </c>
      <c r="Y31" s="24">
        <f>Y20</f>
        <v>43797014.680560447</v>
      </c>
    </row>
    <row r="32" spans="1:25" hidden="1" outlineLevel="1">
      <c r="C32" s="33" t="s">
        <v>65</v>
      </c>
      <c r="D32" s="28"/>
      <c r="E32" s="19">
        <f>-$D20*Assumptions!J$7</f>
        <v>29198009.787040301</v>
      </c>
      <c r="F32" s="19">
        <f>-$D20*Assumptions!K$7</f>
        <v>46716815.659264483</v>
      </c>
      <c r="G32" s="19">
        <f>-$D20*Assumptions!L$7</f>
        <v>28030089.395558689</v>
      </c>
      <c r="H32" s="19">
        <f>-$D20*Assumptions!M$7</f>
        <v>16818053.637335211</v>
      </c>
      <c r="I32" s="19">
        <f>-$D20*Assumptions!N$7</f>
        <v>16818053.637335211</v>
      </c>
      <c r="J32" s="19">
        <f>-$D20*Assumptions!O$7</f>
        <v>8409026.8186676055</v>
      </c>
      <c r="K32" s="19">
        <f>-$D20*Assumptions!P$7</f>
        <v>0</v>
      </c>
      <c r="L32" s="19">
        <f>-$D20*Assumptions!Q$7</f>
        <v>0</v>
      </c>
      <c r="M32" s="19">
        <f>-$D20*Assumptions!R$7</f>
        <v>0</v>
      </c>
      <c r="N32" s="19">
        <f>-$D20*Assumptions!S$7</f>
        <v>0</v>
      </c>
      <c r="O32" s="19">
        <f>-$D20*Assumptions!T$7</f>
        <v>0</v>
      </c>
      <c r="P32" s="19">
        <f>-$D20*Assumptions!U$7</f>
        <v>0</v>
      </c>
      <c r="Q32" s="19">
        <f>-$D20*Assumptions!V$7</f>
        <v>0</v>
      </c>
      <c r="R32" s="19">
        <f>-$D20*Assumptions!W$7</f>
        <v>0</v>
      </c>
      <c r="S32" s="19">
        <f>-$D20*Assumptions!X$7</f>
        <v>0</v>
      </c>
      <c r="T32" s="19">
        <f>-$D20*Assumptions!Y$7</f>
        <v>0</v>
      </c>
      <c r="U32" s="19">
        <f>-$D20*Assumptions!Z$7</f>
        <v>0</v>
      </c>
      <c r="V32" s="19">
        <f>-$D20*Assumptions!AA$7</f>
        <v>0</v>
      </c>
      <c r="W32" s="19">
        <f>-$D20*Assumptions!AB$7</f>
        <v>0</v>
      </c>
      <c r="X32" s="5">
        <f>-$D20*Assumptions!AC$7</f>
        <v>0</v>
      </c>
    </row>
    <row r="33" spans="1:24" ht="15.75" hidden="1" outlineLevel="1" thickBot="1">
      <c r="C33" s="34" t="s">
        <v>66</v>
      </c>
      <c r="D33" s="29"/>
      <c r="E33" s="7">
        <f t="shared" ref="E33:X33" si="123">E32*Federal_Tax_Rate</f>
        <v>6131582.0552784633</v>
      </c>
      <c r="F33" s="7">
        <f t="shared" si="123"/>
        <v>9810531.2884455416</v>
      </c>
      <c r="G33" s="7">
        <f t="shared" si="123"/>
        <v>5886318.7730673244</v>
      </c>
      <c r="H33" s="7">
        <f t="shared" si="123"/>
        <v>3531791.2638403941</v>
      </c>
      <c r="I33" s="7">
        <f t="shared" si="123"/>
        <v>3531791.2638403941</v>
      </c>
      <c r="J33" s="7">
        <f t="shared" si="123"/>
        <v>1765895.631920197</v>
      </c>
      <c r="K33" s="7">
        <f t="shared" si="123"/>
        <v>0</v>
      </c>
      <c r="L33" s="7">
        <f t="shared" si="123"/>
        <v>0</v>
      </c>
      <c r="M33" s="7">
        <f t="shared" si="123"/>
        <v>0</v>
      </c>
      <c r="N33" s="7">
        <f t="shared" si="123"/>
        <v>0</v>
      </c>
      <c r="O33" s="7">
        <f t="shared" si="123"/>
        <v>0</v>
      </c>
      <c r="P33" s="7">
        <f t="shared" si="123"/>
        <v>0</v>
      </c>
      <c r="Q33" s="7">
        <f t="shared" si="123"/>
        <v>0</v>
      </c>
      <c r="R33" s="7">
        <f t="shared" si="123"/>
        <v>0</v>
      </c>
      <c r="S33" s="7">
        <f t="shared" si="123"/>
        <v>0</v>
      </c>
      <c r="T33" s="7">
        <f t="shared" si="123"/>
        <v>0</v>
      </c>
      <c r="U33" s="7">
        <f t="shared" si="123"/>
        <v>0</v>
      </c>
      <c r="V33" s="7">
        <f t="shared" si="123"/>
        <v>0</v>
      </c>
      <c r="W33" s="7">
        <f t="shared" si="123"/>
        <v>0</v>
      </c>
      <c r="X33" s="20">
        <f t="shared" si="123"/>
        <v>0</v>
      </c>
    </row>
    <row r="34" spans="1:24" hidden="1" outlineLevel="1">
      <c r="C34" s="35" t="s">
        <v>67</v>
      </c>
      <c r="D34" s="30"/>
      <c r="E34" s="8">
        <f>NPV(Tax_Equity_Rate,E33:X33)</f>
        <v>24873553.330127694</v>
      </c>
      <c r="F34" s="9">
        <f>E34/E38</f>
        <v>0.17037841627937231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idden="1" outlineLevel="1">
      <c r="C35" s="32" t="s">
        <v>79</v>
      </c>
      <c r="D35" s="27"/>
      <c r="E35" s="10">
        <v>0</v>
      </c>
      <c r="F35" s="11">
        <f>E35/E38</f>
        <v>0</v>
      </c>
    </row>
    <row r="36" spans="1:24" hidden="1" outlineLevel="1">
      <c r="A36" s="95"/>
      <c r="B36" s="22">
        <f>Assumptions!F7</f>
        <v>0.67100000000000004</v>
      </c>
      <c r="C36" s="32" t="s">
        <v>68</v>
      </c>
      <c r="D36" s="27"/>
      <c r="E36" s="10">
        <f>(E38-E34-E35)*$B36</f>
        <v>81269168.551004529</v>
      </c>
      <c r="F36" s="11">
        <f>E36/E38</f>
        <v>0.55667608267654123</v>
      </c>
    </row>
    <row r="37" spans="1:24" hidden="1" outlineLevel="1">
      <c r="A37" s="95"/>
      <c r="B37" s="22">
        <f>1-B36</f>
        <v>0.32899999999999996</v>
      </c>
      <c r="C37" s="32" t="s">
        <v>69</v>
      </c>
      <c r="D37" s="27"/>
      <c r="E37" s="10">
        <f>(E38-E34-E35)*$B37</f>
        <v>39847327.054069281</v>
      </c>
      <c r="F37" s="11">
        <f>E37/E38</f>
        <v>0.27294550104408649</v>
      </c>
    </row>
    <row r="38" spans="1:24" hidden="1" outlineLevel="1">
      <c r="A38" s="95"/>
      <c r="C38" s="32" t="s">
        <v>70</v>
      </c>
      <c r="D38" s="27"/>
      <c r="E38" s="10">
        <f>-D20</f>
        <v>145990048.9352015</v>
      </c>
      <c r="F38" s="12"/>
    </row>
    <row r="39" spans="1:24" ht="15.75" hidden="1" outlineLevel="1" thickBot="1">
      <c r="A39" s="95"/>
      <c r="C39" s="34" t="s">
        <v>71</v>
      </c>
      <c r="D39" s="29"/>
      <c r="E39" s="13">
        <f>SUM(E34:E37)-E38</f>
        <v>0</v>
      </c>
      <c r="F39" s="14"/>
    </row>
    <row r="40" spans="1:24" hidden="1" outlineLevel="1">
      <c r="A40" s="95"/>
    </row>
    <row r="41" spans="1:24" ht="15.75" collapsed="1" thickBot="1">
      <c r="A41" s="95"/>
    </row>
    <row r="42" spans="1:24" ht="18.75" thickBot="1">
      <c r="A42" s="265"/>
      <c r="C42" s="487" t="s">
        <v>5</v>
      </c>
      <c r="D42" s="488"/>
      <c r="E42" s="488"/>
      <c r="F42" s="488"/>
      <c r="G42" s="489"/>
    </row>
    <row r="43" spans="1:24" hidden="1" outlineLevel="1">
      <c r="A43" s="95"/>
      <c r="C43" s="124" t="s">
        <v>44</v>
      </c>
      <c r="D43" s="119"/>
      <c r="E43" s="98">
        <f>INDEX('DATA (Nominal)'!$B$25:$BX$25,1,MATCH($B$1,'DATA (Nominal)'!$B$1:$BX$1,0))*'Resource Options'!$E$8*8760</f>
        <v>282072</v>
      </c>
      <c r="F43" s="98">
        <f>E43</f>
        <v>282072</v>
      </c>
      <c r="G43" s="98">
        <f t="shared" ref="G43:X43" si="124">F43</f>
        <v>282072</v>
      </c>
      <c r="H43" s="98">
        <f t="shared" si="124"/>
        <v>282072</v>
      </c>
      <c r="I43" s="98">
        <f t="shared" si="124"/>
        <v>282072</v>
      </c>
      <c r="J43" s="98">
        <f t="shared" si="124"/>
        <v>282072</v>
      </c>
      <c r="K43" s="98">
        <f t="shared" si="124"/>
        <v>282072</v>
      </c>
      <c r="L43" s="98">
        <f t="shared" si="124"/>
        <v>282072</v>
      </c>
      <c r="M43" s="98">
        <f t="shared" si="124"/>
        <v>282072</v>
      </c>
      <c r="N43" s="98">
        <f t="shared" si="124"/>
        <v>282072</v>
      </c>
      <c r="O43" s="98">
        <f t="shared" si="124"/>
        <v>282072</v>
      </c>
      <c r="P43" s="98">
        <f t="shared" si="124"/>
        <v>282072</v>
      </c>
      <c r="Q43" s="98">
        <f t="shared" si="124"/>
        <v>282072</v>
      </c>
      <c r="R43" s="98">
        <f t="shared" si="124"/>
        <v>282072</v>
      </c>
      <c r="S43" s="98">
        <f t="shared" si="124"/>
        <v>282072</v>
      </c>
      <c r="T43" s="98">
        <f t="shared" si="124"/>
        <v>282072</v>
      </c>
      <c r="U43" s="98">
        <f t="shared" si="124"/>
        <v>282072</v>
      </c>
      <c r="V43" s="98">
        <f t="shared" si="124"/>
        <v>282072</v>
      </c>
      <c r="W43" s="98">
        <f t="shared" si="124"/>
        <v>282072</v>
      </c>
      <c r="X43" s="111">
        <f t="shared" si="124"/>
        <v>282072</v>
      </c>
    </row>
    <row r="44" spans="1:24" hidden="1" outlineLevel="1">
      <c r="A44" s="95"/>
      <c r="B44" s="36"/>
      <c r="C44" s="125" t="s">
        <v>45</v>
      </c>
      <c r="D44" s="120"/>
      <c r="E44" s="117">
        <f>INDEX('PPA Summary'!$3:$34,MATCH($C42,'PPA Summary'!$D$3:$D$34,0),MATCH(B$1,'PPA Summary'!$2:$2,0))</f>
        <v>47.089239270015185</v>
      </c>
      <c r="F44" s="117">
        <f>E44</f>
        <v>47.089239270015185</v>
      </c>
      <c r="G44" s="112">
        <f t="shared" ref="G44:X44" si="125">F44</f>
        <v>47.089239270015185</v>
      </c>
      <c r="H44" s="112">
        <f t="shared" si="125"/>
        <v>47.089239270015185</v>
      </c>
      <c r="I44" s="112">
        <f t="shared" si="125"/>
        <v>47.089239270015185</v>
      </c>
      <c r="J44" s="112">
        <f t="shared" si="125"/>
        <v>47.089239270015185</v>
      </c>
      <c r="K44" s="112">
        <f t="shared" si="125"/>
        <v>47.089239270015185</v>
      </c>
      <c r="L44" s="112">
        <f t="shared" si="125"/>
        <v>47.089239270015185</v>
      </c>
      <c r="M44" s="112">
        <f t="shared" si="125"/>
        <v>47.089239270015185</v>
      </c>
      <c r="N44" s="112">
        <f t="shared" si="125"/>
        <v>47.089239270015185</v>
      </c>
      <c r="O44" s="112">
        <f t="shared" si="125"/>
        <v>47.089239270015185</v>
      </c>
      <c r="P44" s="112">
        <f t="shared" si="125"/>
        <v>47.089239270015185</v>
      </c>
      <c r="Q44" s="112">
        <f t="shared" si="125"/>
        <v>47.089239270015185</v>
      </c>
      <c r="R44" s="112">
        <f t="shared" si="125"/>
        <v>47.089239270015185</v>
      </c>
      <c r="S44" s="112">
        <f t="shared" si="125"/>
        <v>47.089239270015185</v>
      </c>
      <c r="T44" s="112">
        <f t="shared" si="125"/>
        <v>47.089239270015185</v>
      </c>
      <c r="U44" s="112">
        <f t="shared" si="125"/>
        <v>47.089239270015185</v>
      </c>
      <c r="V44" s="112">
        <f t="shared" si="125"/>
        <v>47.089239270015185</v>
      </c>
      <c r="W44" s="112">
        <f t="shared" si="125"/>
        <v>47.089239270015185</v>
      </c>
      <c r="X44" s="113">
        <f t="shared" si="125"/>
        <v>47.089239270015185</v>
      </c>
    </row>
    <row r="45" spans="1:24" hidden="1" outlineLevel="1">
      <c r="A45" s="95"/>
      <c r="B45" s="36"/>
      <c r="C45" s="126" t="s">
        <v>46</v>
      </c>
      <c r="D45" s="121"/>
      <c r="E45" s="114">
        <f>E43*E44</f>
        <v>13282555.899371723</v>
      </c>
      <c r="F45" s="114">
        <f t="shared" ref="F45" si="126">F43*F44</f>
        <v>13282555.899371723</v>
      </c>
      <c r="G45" s="114">
        <f t="shared" ref="G45" si="127">G43*G44</f>
        <v>13282555.899371723</v>
      </c>
      <c r="H45" s="114">
        <f t="shared" ref="H45" si="128">H43*H44</f>
        <v>13282555.899371723</v>
      </c>
      <c r="I45" s="114">
        <f t="shared" ref="I45" si="129">I43*I44</f>
        <v>13282555.899371723</v>
      </c>
      <c r="J45" s="114">
        <f t="shared" ref="J45" si="130">J43*J44</f>
        <v>13282555.899371723</v>
      </c>
      <c r="K45" s="114">
        <f t="shared" ref="K45" si="131">K43*K44</f>
        <v>13282555.899371723</v>
      </c>
      <c r="L45" s="114">
        <f t="shared" ref="L45" si="132">L43*L44</f>
        <v>13282555.899371723</v>
      </c>
      <c r="M45" s="114">
        <f t="shared" ref="M45" si="133">M43*M44</f>
        <v>13282555.899371723</v>
      </c>
      <c r="N45" s="114">
        <f t="shared" ref="N45" si="134">N43*N44</f>
        <v>13282555.899371723</v>
      </c>
      <c r="O45" s="114">
        <f t="shared" ref="O45" si="135">O43*O44</f>
        <v>13282555.899371723</v>
      </c>
      <c r="P45" s="114">
        <f t="shared" ref="P45" si="136">P43*P44</f>
        <v>13282555.899371723</v>
      </c>
      <c r="Q45" s="114">
        <f t="shared" ref="Q45" si="137">Q43*Q44</f>
        <v>13282555.899371723</v>
      </c>
      <c r="R45" s="114">
        <f t="shared" ref="R45" si="138">R43*R44</f>
        <v>13282555.899371723</v>
      </c>
      <c r="S45" s="114">
        <f t="shared" ref="S45" si="139">S43*S44</f>
        <v>13282555.899371723</v>
      </c>
      <c r="T45" s="114">
        <f t="shared" ref="T45" si="140">T43*T44</f>
        <v>13282555.899371723</v>
      </c>
      <c r="U45" s="114">
        <f t="shared" ref="U45" si="141">U43*U44</f>
        <v>13282555.899371723</v>
      </c>
      <c r="V45" s="114">
        <f t="shared" ref="V45" si="142">V43*V44</f>
        <v>13282555.899371723</v>
      </c>
      <c r="W45" s="114">
        <f t="shared" ref="W45" si="143">W43*W44</f>
        <v>13282555.899371723</v>
      </c>
      <c r="X45" s="101">
        <f t="shared" ref="X45" si="144">X43*X44</f>
        <v>13282555.899371723</v>
      </c>
    </row>
    <row r="46" spans="1:24" hidden="1" outlineLevel="1">
      <c r="A46" s="95"/>
      <c r="B46" s="36"/>
      <c r="C46" s="126"/>
      <c r="D46" s="121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01"/>
    </row>
    <row r="47" spans="1:24" hidden="1" outlineLevel="1">
      <c r="A47" s="95"/>
      <c r="B47" s="36"/>
      <c r="C47" s="125" t="s">
        <v>47</v>
      </c>
      <c r="D47" s="120"/>
      <c r="E47" s="114">
        <f>INDEX('DATA (Nominal)'!$B$198:$BX$198,1,MATCH(E$1,'DATA (Nominal)'!$B$1:$BX$1,0))*'Resource Options'!$E$8*1000</f>
        <v>4741652.3988548797</v>
      </c>
      <c r="F47" s="114">
        <f>INDEX('DATA (Nominal)'!$B$198:$BX$198,1,MATCH(F$1,'DATA (Nominal)'!$B$1:$BX$1,0))*'Resource Options'!$E$8*1000</f>
        <v>4799635.758378448</v>
      </c>
      <c r="G47" s="114">
        <f>INDEX('DATA (Nominal)'!$B$198:$BX$198,1,MATCH(G$1,'DATA (Nominal)'!$B$1:$BX$1,0))*'Resource Options'!$E$8*1000</f>
        <v>4857844.0104475738</v>
      </c>
      <c r="H47" s="114">
        <f>INDEX('DATA (Nominal)'!$B$198:$BX$198,1,MATCH(H$1,'DATA (Nominal)'!$B$1:$BX$1,0))*'Resource Options'!$E$8*1000</f>
        <v>4914655.3259856645</v>
      </c>
      <c r="I47" s="114">
        <f>INDEX('DATA (Nominal)'!$B$198:$BX$198,1,MATCH(I$1,'DATA (Nominal)'!$B$1:$BX$1,0))*'Resource Options'!$E$8*1000</f>
        <v>4971615.1429063752</v>
      </c>
      <c r="J47" s="114">
        <f>INDEX('DATA (Nominal)'!$B$198:$BX$198,1,MATCH(J$1,'DATA (Nominal)'!$B$1:$BX$1,0))*'Resource Options'!$E$8*1000</f>
        <v>5028702.4985938203</v>
      </c>
      <c r="K47" s="114">
        <f>INDEX('DATA (Nominal)'!$B$198:$BX$198,1,MATCH(K$1,'DATA (Nominal)'!$B$1:$BX$1,0))*'Resource Options'!$E$8*1000</f>
        <v>5100788.948911163</v>
      </c>
      <c r="L47" s="114">
        <f>INDEX('DATA (Nominal)'!$B$198:$BX$198,1,MATCH(L$1,'DATA (Nominal)'!$B$1:$BX$1,0))*'Resource Options'!$E$8*1000</f>
        <v>5173613.3110331492</v>
      </c>
      <c r="M47" s="114">
        <f>INDEX('DATA (Nominal)'!$B$198:$BX$198,1,MATCH(M$1,'DATA (Nominal)'!$B$1:$BX$1,0))*'Resource Options'!$E$8*1000</f>
        <v>5247173.1632372299</v>
      </c>
      <c r="N47" s="114">
        <f>INDEX('DATA (Nominal)'!$B$198:$BX$198,1,MATCH(N$1,'DATA (Nominal)'!$B$1:$BX$1,0))*'Resource Options'!$E$8*1000</f>
        <v>5321465.6200957503</v>
      </c>
      <c r="O47" s="114">
        <f>INDEX('DATA (Nominal)'!$B$198:$BX$198,1,MATCH(O$1,'DATA (Nominal)'!$B$1:$BX$1,0))*'Resource Options'!$E$8*1000</f>
        <v>5396487.3132450366</v>
      </c>
      <c r="P47" s="114">
        <f>INDEX('DATA (Nominal)'!$B$198:$BX$198,1,MATCH(P$1,'DATA (Nominal)'!$B$1:$BX$1,0))*'Resource Options'!$E$8*1000</f>
        <v>5472234.371532768</v>
      </c>
      <c r="Q47" s="114">
        <f>INDEX('DATA (Nominal)'!$B$198:$BX$198,1,MATCH(Q$1,'DATA (Nominal)'!$B$1:$BX$1,0))*'Resource Options'!$E$8*1000</f>
        <v>5548702.4005255466</v>
      </c>
      <c r="R47" s="114">
        <f>INDEX('DATA (Nominal)'!$B$198:$BX$198,1,MATCH(R$1,'DATA (Nominal)'!$B$1:$BX$1,0))*'Resource Options'!$E$8*1000</f>
        <v>5625886.4613581877</v>
      </c>
      <c r="S47" s="114">
        <f>INDEX('DATA (Nominal)'!$B$198:$BX$198,1,MATCH(S$1,'DATA (Nominal)'!$B$1:$BX$1,0))*'Resource Options'!$E$8*1000</f>
        <v>5703781.0489056101</v>
      </c>
      <c r="T47" s="114">
        <f>INDEX('DATA (Nominal)'!$B$198:$BX$198,1,MATCH(T$1,'DATA (Nominal)'!$B$1:$BX$1,0))*'Resource Options'!$E$8*1000</f>
        <v>5782380.0692578219</v>
      </c>
      <c r="U47" s="114">
        <f>INDEX('DATA (Nominal)'!$B$198:$BX$198,1,MATCH(U$1,'DATA (Nominal)'!$B$1:$BX$1,0))*'Resource Options'!$E$8*1000</f>
        <v>5861676.8164778603</v>
      </c>
      <c r="V47" s="114">
        <f>INDEX('DATA (Nominal)'!$B$198:$BX$198,1,MATCH(V$1,'DATA (Nominal)'!$B$1:$BX$1,0))*'Resource Options'!$E$8*1000</f>
        <v>5941663.9486220591</v>
      </c>
      <c r="W47" s="114">
        <f>INDEX('DATA (Nominal)'!$B$198:$BX$198,1,MATCH(W$1,'DATA (Nominal)'!$B$1:$BX$1,0))*'Resource Options'!$E$8*1000</f>
        <v>6022333.4630014291</v>
      </c>
      <c r="X47" s="101">
        <f>INDEX('DATA (Nominal)'!$B$198:$BX$198,1,MATCH(X$1,'DATA (Nominal)'!$B$1:$BX$1,0))*'Resource Options'!$E$8*1000</f>
        <v>6103676.6706623556</v>
      </c>
    </row>
    <row r="48" spans="1:24" hidden="1" outlineLevel="1">
      <c r="A48" s="95"/>
      <c r="B48" s="36"/>
      <c r="C48" s="125" t="s">
        <v>48</v>
      </c>
      <c r="D48" s="120"/>
      <c r="E48" s="114">
        <f>INDEX('DATA (Nominal)'!$B$120:$BX$120,1,MATCH(E$1,'DATA (Nominal)'!$B$1:$BX$1,0))*E43</f>
        <v>0</v>
      </c>
      <c r="F48" s="114">
        <f>INDEX('DATA (Nominal)'!$B$120:$BX$120,1,MATCH(F$1,'DATA (Nominal)'!$B$1:$BX$1,0))*F43</f>
        <v>0</v>
      </c>
      <c r="G48" s="114">
        <f>INDEX('DATA (Nominal)'!$B$120:$BX$120,1,MATCH(G$1,'DATA (Nominal)'!$B$1:$BX$1,0))*G43</f>
        <v>0</v>
      </c>
      <c r="H48" s="114">
        <f>INDEX('DATA (Nominal)'!$B$120:$BX$120,1,MATCH(H$1,'DATA (Nominal)'!$B$1:$BX$1,0))*H43</f>
        <v>0</v>
      </c>
      <c r="I48" s="114">
        <f>INDEX('DATA (Nominal)'!$B$120:$BX$120,1,MATCH(I$1,'DATA (Nominal)'!$B$1:$BX$1,0))*I43</f>
        <v>0</v>
      </c>
      <c r="J48" s="114">
        <f>INDEX('DATA (Nominal)'!$B$120:$BX$120,1,MATCH(J$1,'DATA (Nominal)'!$B$1:$BX$1,0))*J43</f>
        <v>0</v>
      </c>
      <c r="K48" s="114">
        <f>INDEX('DATA (Nominal)'!$B$120:$BX$120,1,MATCH(K$1,'DATA (Nominal)'!$B$1:$BX$1,0))*K43</f>
        <v>0</v>
      </c>
      <c r="L48" s="114">
        <f>INDEX('DATA (Nominal)'!$B$120:$BX$120,1,MATCH(L$1,'DATA (Nominal)'!$B$1:$BX$1,0))*L43</f>
        <v>0</v>
      </c>
      <c r="M48" s="114">
        <f>INDEX('DATA (Nominal)'!$B$120:$BX$120,1,MATCH(M$1,'DATA (Nominal)'!$B$1:$BX$1,0))*M43</f>
        <v>0</v>
      </c>
      <c r="N48" s="114">
        <f>INDEX('DATA (Nominal)'!$B$120:$BX$120,1,MATCH(N$1,'DATA (Nominal)'!$B$1:$BX$1,0))*N43</f>
        <v>0</v>
      </c>
      <c r="O48" s="114">
        <f>INDEX('DATA (Nominal)'!$B$120:$BX$120,1,MATCH(O$1,'DATA (Nominal)'!$B$1:$BX$1,0))*O43</f>
        <v>0</v>
      </c>
      <c r="P48" s="114">
        <f>INDEX('DATA (Nominal)'!$B$120:$BX$120,1,MATCH(P$1,'DATA (Nominal)'!$B$1:$BX$1,0))*P43</f>
        <v>0</v>
      </c>
      <c r="Q48" s="114">
        <f>INDEX('DATA (Nominal)'!$B$120:$BX$120,1,MATCH(Q$1,'DATA (Nominal)'!$B$1:$BX$1,0))*Q43</f>
        <v>0</v>
      </c>
      <c r="R48" s="114">
        <f>INDEX('DATA (Nominal)'!$B$120:$BX$120,1,MATCH(R$1,'DATA (Nominal)'!$B$1:$BX$1,0))*R43</f>
        <v>0</v>
      </c>
      <c r="S48" s="114">
        <f>INDEX('DATA (Nominal)'!$B$120:$BX$120,1,MATCH(S$1,'DATA (Nominal)'!$B$1:$BX$1,0))*S43</f>
        <v>0</v>
      </c>
      <c r="T48" s="114">
        <f>INDEX('DATA (Nominal)'!$B$120:$BX$120,1,MATCH(T$1,'DATA (Nominal)'!$B$1:$BX$1,0))*T43</f>
        <v>0</v>
      </c>
      <c r="U48" s="114">
        <f>INDEX('DATA (Nominal)'!$B$120:$BX$120,1,MATCH(U$1,'DATA (Nominal)'!$B$1:$BX$1,0))*U43</f>
        <v>0</v>
      </c>
      <c r="V48" s="114">
        <f>INDEX('DATA (Nominal)'!$B$120:$BX$120,1,MATCH(V$1,'DATA (Nominal)'!$B$1:$BX$1,0))*V43</f>
        <v>0</v>
      </c>
      <c r="W48" s="114">
        <f>INDEX('DATA (Nominal)'!$B$120:$BX$120,1,MATCH(W$1,'DATA (Nominal)'!$B$1:$BX$1,0))*W43</f>
        <v>0</v>
      </c>
      <c r="X48" s="101">
        <f>INDEX('DATA (Nominal)'!$B$120:$BX$120,1,MATCH(X$1,'DATA (Nominal)'!$B$1:$BX$1,0))*X43</f>
        <v>0</v>
      </c>
    </row>
    <row r="49" spans="1:25" hidden="1" outlineLevel="1">
      <c r="A49" s="95"/>
      <c r="B49" s="36"/>
      <c r="C49" s="126" t="s">
        <v>49</v>
      </c>
      <c r="D49" s="121"/>
      <c r="E49" s="114">
        <f t="shared" ref="E49:X49" si="145">D68*Property_Tax_Rate</f>
        <v>1613217.1037997545</v>
      </c>
      <c r="F49" s="114">
        <f t="shared" si="145"/>
        <v>1523329.4211542679</v>
      </c>
      <c r="G49" s="114">
        <f t="shared" si="145"/>
        <v>1438450.2370378042</v>
      </c>
      <c r="H49" s="114">
        <f t="shared" si="145"/>
        <v>1358300.4803165111</v>
      </c>
      <c r="I49" s="114">
        <f t="shared" si="145"/>
        <v>1282616.6295661549</v>
      </c>
      <c r="J49" s="114">
        <f t="shared" si="145"/>
        <v>1211149.8466497639</v>
      </c>
      <c r="K49" s="114">
        <f t="shared" si="145"/>
        <v>1143665.158571911</v>
      </c>
      <c r="L49" s="114">
        <f t="shared" si="145"/>
        <v>1079940.6849196826</v>
      </c>
      <c r="M49" s="114">
        <f t="shared" si="145"/>
        <v>1019766.9083502647</v>
      </c>
      <c r="N49" s="114">
        <f t="shared" si="145"/>
        <v>962945.98572661285</v>
      </c>
      <c r="O49" s="114">
        <f t="shared" si="145"/>
        <v>909291.09763630957</v>
      </c>
      <c r="P49" s="114">
        <f t="shared" si="145"/>
        <v>858625.83415491995</v>
      </c>
      <c r="Q49" s="114">
        <f t="shared" si="145"/>
        <v>810783.61483431829</v>
      </c>
      <c r="R49" s="114">
        <f t="shared" si="145"/>
        <v>765607.14100898628</v>
      </c>
      <c r="S49" s="114">
        <f t="shared" si="145"/>
        <v>722947.87861954141</v>
      </c>
      <c r="T49" s="114">
        <f t="shared" si="145"/>
        <v>682665.56985309068</v>
      </c>
      <c r="U49" s="114">
        <f t="shared" si="145"/>
        <v>644627.77199474873</v>
      </c>
      <c r="V49" s="114">
        <f t="shared" si="145"/>
        <v>608709.42197412835</v>
      </c>
      <c r="W49" s="114">
        <f t="shared" si="145"/>
        <v>574792.42517509137</v>
      </c>
      <c r="X49" s="101">
        <f t="shared" si="145"/>
        <v>542765.26715682284</v>
      </c>
    </row>
    <row r="50" spans="1:25" hidden="1" outlineLevel="1">
      <c r="A50" s="95"/>
      <c r="B50" s="36"/>
      <c r="C50" s="126" t="s">
        <v>50</v>
      </c>
      <c r="D50" s="121"/>
      <c r="E50" s="114">
        <f>SUM(E47:E49)</f>
        <v>6354869.5026546344</v>
      </c>
      <c r="F50" s="114">
        <f t="shared" ref="F50" si="146">SUM(F47:F49)</f>
        <v>6322965.1795327161</v>
      </c>
      <c r="G50" s="114">
        <f t="shared" ref="G50" si="147">SUM(G47:G49)</f>
        <v>6296294.2474853778</v>
      </c>
      <c r="H50" s="114">
        <f t="shared" ref="H50" si="148">SUM(H47:H49)</f>
        <v>6272955.8063021759</v>
      </c>
      <c r="I50" s="114">
        <f t="shared" ref="I50" si="149">SUM(I47:I49)</f>
        <v>6254231.7724725306</v>
      </c>
      <c r="J50" s="114">
        <f t="shared" ref="J50" si="150">SUM(J47:J49)</f>
        <v>6239852.3452435844</v>
      </c>
      <c r="K50" s="114">
        <f t="shared" ref="K50" si="151">SUM(K47:K49)</f>
        <v>6244454.1074830741</v>
      </c>
      <c r="L50" s="114">
        <f t="shared" ref="L50" si="152">SUM(L47:L49)</f>
        <v>6253553.9959528316</v>
      </c>
      <c r="M50" s="114">
        <f t="shared" ref="M50" si="153">SUM(M47:M49)</f>
        <v>6266940.0715874946</v>
      </c>
      <c r="N50" s="114">
        <f t="shared" ref="N50" si="154">SUM(N47:N49)</f>
        <v>6284411.6058223629</v>
      </c>
      <c r="O50" s="114">
        <f t="shared" ref="O50" si="155">SUM(O47:O49)</f>
        <v>6305778.4108813461</v>
      </c>
      <c r="P50" s="114">
        <f t="shared" ref="P50" si="156">SUM(P47:P49)</f>
        <v>6330860.2056876877</v>
      </c>
      <c r="Q50" s="114">
        <f t="shared" ref="Q50" si="157">SUM(Q47:Q49)</f>
        <v>6359486.0153598646</v>
      </c>
      <c r="R50" s="114">
        <f t="shared" ref="R50" si="158">SUM(R47:R49)</f>
        <v>6391493.6023671739</v>
      </c>
      <c r="S50" s="114">
        <f t="shared" ref="S50" si="159">SUM(S47:S49)</f>
        <v>6426728.9275251515</v>
      </c>
      <c r="T50" s="114">
        <f t="shared" ref="T50" si="160">SUM(T47:T49)</f>
        <v>6465045.6391109126</v>
      </c>
      <c r="U50" s="114">
        <f t="shared" ref="U50" si="161">SUM(U47:U49)</f>
        <v>6506304.5884726094</v>
      </c>
      <c r="V50" s="114">
        <f t="shared" ref="V50" si="162">SUM(V47:V49)</f>
        <v>6550373.3705961872</v>
      </c>
      <c r="W50" s="114">
        <f t="shared" ref="W50" si="163">SUM(W47:W49)</f>
        <v>6597125.8881765204</v>
      </c>
      <c r="X50" s="101">
        <f t="shared" ref="X50" si="164">SUM(X47:X49)</f>
        <v>6646441.9378191782</v>
      </c>
    </row>
    <row r="51" spans="1:25" hidden="1" outlineLevel="1">
      <c r="A51" s="95"/>
      <c r="B51" s="36"/>
      <c r="C51" s="126"/>
      <c r="D51" s="121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01"/>
    </row>
    <row r="52" spans="1:25" hidden="1" outlineLevel="1">
      <c r="A52" s="95"/>
      <c r="B52" s="36"/>
      <c r="C52" s="125" t="s">
        <v>51</v>
      </c>
      <c r="D52" s="120"/>
      <c r="E52" s="114">
        <f>E45-E50</f>
        <v>6927686.3967170883</v>
      </c>
      <c r="F52" s="114">
        <f t="shared" ref="F52:X52" si="165">F45-F50</f>
        <v>6959590.7198390067</v>
      </c>
      <c r="G52" s="114">
        <f t="shared" si="165"/>
        <v>6986261.6518863449</v>
      </c>
      <c r="H52" s="114">
        <f t="shared" si="165"/>
        <v>7009600.0930695469</v>
      </c>
      <c r="I52" s="114">
        <f t="shared" si="165"/>
        <v>7028324.1268991921</v>
      </c>
      <c r="J52" s="114">
        <f t="shared" si="165"/>
        <v>7042703.5541281383</v>
      </c>
      <c r="K52" s="114">
        <f t="shared" si="165"/>
        <v>7038101.7918886486</v>
      </c>
      <c r="L52" s="114">
        <f t="shared" si="165"/>
        <v>7029001.9034188911</v>
      </c>
      <c r="M52" s="114">
        <f t="shared" si="165"/>
        <v>7015615.8277842281</v>
      </c>
      <c r="N52" s="114">
        <f t="shared" si="165"/>
        <v>6998144.2935493598</v>
      </c>
      <c r="O52" s="114">
        <f t="shared" si="165"/>
        <v>6976777.4884903766</v>
      </c>
      <c r="P52" s="114">
        <f t="shared" si="165"/>
        <v>6951695.693684035</v>
      </c>
      <c r="Q52" s="114">
        <f t="shared" si="165"/>
        <v>6923069.8840118581</v>
      </c>
      <c r="R52" s="114">
        <f t="shared" si="165"/>
        <v>6891062.2970045488</v>
      </c>
      <c r="S52" s="114">
        <f t="shared" si="165"/>
        <v>6855826.9718465712</v>
      </c>
      <c r="T52" s="114">
        <f t="shared" si="165"/>
        <v>6817510.2602608101</v>
      </c>
      <c r="U52" s="114">
        <f t="shared" si="165"/>
        <v>6776251.3108991133</v>
      </c>
      <c r="V52" s="114">
        <f t="shared" si="165"/>
        <v>6732182.5287755355</v>
      </c>
      <c r="W52" s="114">
        <f t="shared" si="165"/>
        <v>6685430.0111952024</v>
      </c>
      <c r="X52" s="101">
        <f t="shared" si="165"/>
        <v>6636113.9615525445</v>
      </c>
    </row>
    <row r="53" spans="1:25" hidden="1" outlineLevel="1">
      <c r="A53" s="95"/>
      <c r="B53" s="36"/>
      <c r="C53" s="125" t="s">
        <v>52</v>
      </c>
      <c r="D53" s="120"/>
      <c r="E53" s="114">
        <f>E52-E69-E60</f>
        <v>-30275872.257453233</v>
      </c>
      <c r="F53" s="114">
        <f>F52-F69-F60</f>
        <v>-49460919.757568873</v>
      </c>
      <c r="G53" s="114">
        <f t="shared" ref="G53" si="166">G52-G69-G60</f>
        <v>-28635625.536295399</v>
      </c>
      <c r="H53" s="114">
        <f t="shared" ref="H53" si="167">H52-H69-H60</f>
        <v>-16065115.937508399</v>
      </c>
      <c r="I53" s="114">
        <f t="shared" ref="I53" si="168">I52-I69-I60</f>
        <v>-15880056.594233876</v>
      </c>
      <c r="J53" s="114">
        <f t="shared" ref="J53" si="169">J52-J69-J60</f>
        <v>-6398062.8976540007</v>
      </c>
      <c r="K53" s="114">
        <f t="shared" ref="K53" si="170">K52-K69-K60</f>
        <v>3074601.215787977</v>
      </c>
      <c r="L53" s="114">
        <f t="shared" ref="L53" si="171">L52-L69-L60</f>
        <v>3260819.1297918209</v>
      </c>
      <c r="M53" s="114">
        <f t="shared" ref="M53" si="172">M52-M69-M60</f>
        <v>3453493.3357668077</v>
      </c>
      <c r="N53" s="114">
        <f t="shared" ref="N53" si="173">N52-N69-N60</f>
        <v>3653415.3986301203</v>
      </c>
      <c r="O53" s="114">
        <f t="shared" ref="O53" si="174">O52-O69-O60</f>
        <v>3861398.8385097175</v>
      </c>
      <c r="P53" s="114">
        <f t="shared" ref="P53" si="175">P52-P69-P60</f>
        <v>4078281.5521135787</v>
      </c>
      <c r="Q53" s="114">
        <f t="shared" ref="Q53" si="176">Q52-Q69-Q60</f>
        <v>4304928.2988141654</v>
      </c>
      <c r="R53" s="114">
        <f t="shared" ref="R53" si="177">R52-R69-R60</f>
        <v>4542233.2587801218</v>
      </c>
      <c r="S53" s="114">
        <f t="shared" ref="S53" si="178">S52-S69-S60</f>
        <v>4791122.6706789387</v>
      </c>
      <c r="T53" s="114">
        <f t="shared" ref="T53" si="179">T52-T69-T60</f>
        <v>5052557.5566880964</v>
      </c>
      <c r="U53" s="114">
        <f t="shared" ref="U53" si="180">U52-U69-U60</f>
        <v>5327536.5427890401</v>
      </c>
      <c r="V53" s="114">
        <f t="shared" ref="V53" si="181">V52-V69-V60</f>
        <v>5617098.7825785466</v>
      </c>
      <c r="W53" s="114">
        <f t="shared" ref="W53" si="182">W52-W69-W60</f>
        <v>5922326.9931165176</v>
      </c>
      <c r="X53" s="101">
        <f t="shared" ref="X53" si="183">X52-X69-X60</f>
        <v>6244350.6116386708</v>
      </c>
    </row>
    <row r="54" spans="1:25" hidden="1" outlineLevel="1">
      <c r="A54" s="95"/>
      <c r="B54" s="36"/>
      <c r="C54" s="125" t="s">
        <v>53</v>
      </c>
      <c r="D54" s="120"/>
      <c r="E54" s="114">
        <f>INDEX('DATA (Nominal)'!$B$266:$BX$266,1,MATCH($B$1,'DATA (Nominal)'!$B$1:$BX$1,0))*INDEX('DATA (Nominal)'!$B$294:$BX$294,1,MATCH(E$1,'DATA (Nominal)'!$B$1:$BX$1,0))*E43</f>
        <v>7917448.87169444</v>
      </c>
      <c r="F54" s="114">
        <f>INDEX('DATA (Nominal)'!$B$266:$BX$266,1,MATCH($B$1,'DATA (Nominal)'!$B$1:$BX$1,0))*INDEX('DATA (Nominal)'!$B$294:$BX$294,1,MATCH(F$1,'DATA (Nominal)'!$B$1:$BX$1,0))*F43</f>
        <v>8094271.896495617</v>
      </c>
      <c r="G54" s="114">
        <f>INDEX('DATA (Nominal)'!$B$266:$BX$266,1,MATCH($B$1,'DATA (Nominal)'!$B$1:$BX$1,0))*INDEX('DATA (Nominal)'!$B$294:$BX$294,1,MATCH(G$1,'DATA (Nominal)'!$B$1:$BX$1,0))*G43</f>
        <v>8275043.9688506853</v>
      </c>
      <c r="H54" s="114">
        <f>INDEX('DATA (Nominal)'!$B$266:$BX$266,1,MATCH($B$1,'DATA (Nominal)'!$B$1:$BX$1,0))*INDEX('DATA (Nominal)'!$B$294:$BX$294,1,MATCH(H$1,'DATA (Nominal)'!$B$1:$BX$1,0))*H43</f>
        <v>8457094.9361654017</v>
      </c>
      <c r="I54" s="114">
        <f>INDEX('DATA (Nominal)'!$B$266:$BX$266,1,MATCH($B$1,'DATA (Nominal)'!$B$1:$BX$1,0))*INDEX('DATA (Nominal)'!$B$294:$BX$294,1,MATCH(I$1,'DATA (Nominal)'!$B$1:$BX$1,0))*I43</f>
        <v>8643151.0247610398</v>
      </c>
      <c r="J54" s="114">
        <f>INDEX('DATA (Nominal)'!$B$266:$BX$266,1,MATCH($B$1,'DATA (Nominal)'!$B$1:$BX$1,0))*INDEX('DATA (Nominal)'!$B$294:$BX$294,1,MATCH(J$1,'DATA (Nominal)'!$B$1:$BX$1,0))*J43</f>
        <v>8833300.347305784</v>
      </c>
      <c r="K54" s="114">
        <f>INDEX('DATA (Nominal)'!$B$266:$BX$266,1,MATCH($B$1,'DATA (Nominal)'!$B$1:$BX$1,0))*INDEX('DATA (Nominal)'!$B$294:$BX$294,1,MATCH(K$1,'DATA (Nominal)'!$B$1:$BX$1,0))*K43</f>
        <v>9027632.9549465086</v>
      </c>
      <c r="L54" s="114">
        <f>INDEX('DATA (Nominal)'!$B$266:$BX$266,1,MATCH($B$1,'DATA (Nominal)'!$B$1:$BX$1,0))*INDEX('DATA (Nominal)'!$B$294:$BX$294,1,MATCH(L$1,'DATA (Nominal)'!$B$1:$BX$1,0))*L43</f>
        <v>9226240.8799553327</v>
      </c>
      <c r="M54" s="114">
        <f>INDEX('DATA (Nominal)'!$B$266:$BX$266,1,MATCH($B$1,'DATA (Nominal)'!$B$1:$BX$1,0))*INDEX('DATA (Nominal)'!$B$294:$BX$294,1,MATCH(M$1,'DATA (Nominal)'!$B$1:$BX$1,0))*M43</f>
        <v>9429218.1793143507</v>
      </c>
      <c r="N54" s="114">
        <f>INDEX('DATA (Nominal)'!$B$266:$BX$266,1,MATCH($B$1,'DATA (Nominal)'!$B$1:$BX$1,0))*INDEX('DATA (Nominal)'!$B$294:$BX$294,1,MATCH(N$1,'DATA (Nominal)'!$B$1:$BX$1,0))*N43</f>
        <v>9636660.9792592674</v>
      </c>
      <c r="O54" s="114"/>
      <c r="P54" s="114"/>
      <c r="Q54" s="114"/>
      <c r="R54" s="114"/>
      <c r="S54" s="114"/>
      <c r="T54" s="114"/>
      <c r="U54" s="114"/>
      <c r="V54" s="114"/>
      <c r="W54" s="114"/>
      <c r="X54" s="101"/>
    </row>
    <row r="55" spans="1:25" hidden="1" outlineLevel="1">
      <c r="A55" s="95"/>
      <c r="B55" s="36"/>
      <c r="C55" s="126" t="s">
        <v>54</v>
      </c>
      <c r="D55" s="121"/>
      <c r="E55" s="114">
        <f t="shared" ref="E55:X55" si="184">E53*Federal_Tax_Rate-E54</f>
        <v>-14275382.045759618</v>
      </c>
      <c r="F55" s="114">
        <f>F53*Federal_Tax_Rate-F54</f>
        <v>-18481065.045585081</v>
      </c>
      <c r="G55" s="114">
        <f t="shared" si="184"/>
        <v>-14288525.331472719</v>
      </c>
      <c r="H55" s="114">
        <f t="shared" si="184"/>
        <v>-11830769.283042166</v>
      </c>
      <c r="I55" s="114">
        <f t="shared" si="184"/>
        <v>-11977962.909550153</v>
      </c>
      <c r="J55" s="114">
        <f t="shared" si="184"/>
        <v>-10176893.555813124</v>
      </c>
      <c r="K55" s="114">
        <f t="shared" si="184"/>
        <v>-8381966.6996310335</v>
      </c>
      <c r="L55" s="114">
        <f t="shared" si="184"/>
        <v>-8541468.8626990505</v>
      </c>
      <c r="M55" s="114">
        <f t="shared" si="184"/>
        <v>-8703984.5788033213</v>
      </c>
      <c r="N55" s="114">
        <f t="shared" si="184"/>
        <v>-8869443.7455469426</v>
      </c>
      <c r="O55" s="114">
        <f t="shared" si="184"/>
        <v>810893.75608704065</v>
      </c>
      <c r="P55" s="114">
        <f t="shared" si="184"/>
        <v>856439.12594385154</v>
      </c>
      <c r="Q55" s="114">
        <f t="shared" si="184"/>
        <v>904034.94275097467</v>
      </c>
      <c r="R55" s="114">
        <f t="shared" si="184"/>
        <v>953868.98434382549</v>
      </c>
      <c r="S55" s="114">
        <f t="shared" si="184"/>
        <v>1006135.7608425771</v>
      </c>
      <c r="T55" s="114">
        <f t="shared" si="184"/>
        <v>1061037.0869045001</v>
      </c>
      <c r="U55" s="114">
        <f t="shared" si="184"/>
        <v>1118782.6739856985</v>
      </c>
      <c r="V55" s="114">
        <f t="shared" si="184"/>
        <v>1179590.7443414947</v>
      </c>
      <c r="W55" s="114">
        <f t="shared" si="184"/>
        <v>1243688.6685544685</v>
      </c>
      <c r="X55" s="101">
        <f t="shared" si="184"/>
        <v>1311313.6284441208</v>
      </c>
    </row>
    <row r="56" spans="1:25" hidden="1" outlineLevel="1">
      <c r="A56" s="95"/>
      <c r="B56" s="36"/>
      <c r="C56" s="126"/>
      <c r="D56" s="121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01"/>
    </row>
    <row r="57" spans="1:25" hidden="1" outlineLevel="1">
      <c r="A57" s="95"/>
      <c r="B57" s="37">
        <f>IRR(D57:Y57,0.1)</f>
        <v>7.5000000957912594E-2</v>
      </c>
      <c r="C57" s="125" t="s">
        <v>55</v>
      </c>
      <c r="D57" s="100">
        <f>-INDEX('DATA (Nominal)'!$B$79:$BX$79,1,MATCH($B$1,'DATA (Nominal)'!$B$1:$BX$1,0))*'Resource Options'!$E$8/1000*1000000*(1+AFUDC!$C$8)</f>
        <v>-161321710.37997544</v>
      </c>
      <c r="E57" s="114">
        <f>E52-E55</f>
        <v>21203068.442476705</v>
      </c>
      <c r="F57" s="114">
        <f t="shared" ref="F57:X57" si="185">F52-F55</f>
        <v>25440655.765424088</v>
      </c>
      <c r="G57" s="114">
        <f t="shared" si="185"/>
        <v>21274786.983359065</v>
      </c>
      <c r="H57" s="114">
        <f t="shared" si="185"/>
        <v>18840369.376111712</v>
      </c>
      <c r="I57" s="114">
        <f t="shared" si="185"/>
        <v>19006287.036449343</v>
      </c>
      <c r="J57" s="114">
        <f t="shared" si="185"/>
        <v>17219597.109941263</v>
      </c>
      <c r="K57" s="114">
        <f t="shared" si="185"/>
        <v>15420068.491519682</v>
      </c>
      <c r="L57" s="114">
        <f t="shared" si="185"/>
        <v>15570470.766117942</v>
      </c>
      <c r="M57" s="114">
        <f t="shared" si="185"/>
        <v>15719600.406587549</v>
      </c>
      <c r="N57" s="114">
        <f t="shared" si="185"/>
        <v>15867588.039096303</v>
      </c>
      <c r="O57" s="114">
        <f t="shared" si="185"/>
        <v>6165883.7324033361</v>
      </c>
      <c r="P57" s="114">
        <f t="shared" si="185"/>
        <v>6095256.5677401833</v>
      </c>
      <c r="Q57" s="114">
        <f t="shared" si="185"/>
        <v>6019034.9412608836</v>
      </c>
      <c r="R57" s="114">
        <f t="shared" si="185"/>
        <v>5937193.312660723</v>
      </c>
      <c r="S57" s="114">
        <f t="shared" si="185"/>
        <v>5849691.2110039946</v>
      </c>
      <c r="T57" s="114">
        <f t="shared" si="185"/>
        <v>5756473.1733563095</v>
      </c>
      <c r="U57" s="114">
        <f t="shared" si="185"/>
        <v>5657468.636913415</v>
      </c>
      <c r="V57" s="114">
        <f t="shared" si="185"/>
        <v>5552591.784434041</v>
      </c>
      <c r="W57" s="114">
        <f t="shared" si="185"/>
        <v>5441741.3426407333</v>
      </c>
      <c r="X57" s="101">
        <f t="shared" si="185"/>
        <v>5324800.3331084233</v>
      </c>
      <c r="Y57" s="24">
        <f>D57*-0.3</f>
        <v>48396513.113992631</v>
      </c>
    </row>
    <row r="58" spans="1:25" hidden="1" outlineLevel="1">
      <c r="A58" s="95"/>
      <c r="B58" s="37">
        <f>IRR(D58:Y58,0.1)</f>
        <v>-2.5368197692675509E-2</v>
      </c>
      <c r="C58" s="125" t="s">
        <v>56</v>
      </c>
      <c r="D58" s="102">
        <f>-E74</f>
        <v>-44032035.068951398</v>
      </c>
      <c r="E58" s="114">
        <f>E57-E54-E60-E62-E70</f>
        <v>-1004625.61352468</v>
      </c>
      <c r="F58" s="114">
        <f t="shared" ref="F58" si="186">F57-F54-F60-F62-F70</f>
        <v>-1009168.416953858</v>
      </c>
      <c r="G58" s="114">
        <f t="shared" ref="G58" si="187">G57-G54-G60-G62-G70</f>
        <v>-1019481.6963602072</v>
      </c>
      <c r="H58" s="114">
        <f t="shared" ref="H58" si="188">H57-H54-H60-H62-H70</f>
        <v>-1034153.7259140317</v>
      </c>
      <c r="I58" s="114">
        <f t="shared" ref="I58" si="189">I57-I54-I60-I62-I70</f>
        <v>-1054292.1541720391</v>
      </c>
      <c r="J58" s="114">
        <f t="shared" ref="J58" si="190">J57-J54-J60-J62-J70</f>
        <v>-1079783.9944686808</v>
      </c>
      <c r="K58" s="114">
        <f t="shared" ref="K58" si="191">K57-K54-K60-K62-K70</f>
        <v>-1122297.8117748033</v>
      </c>
      <c r="L58" s="114">
        <f t="shared" ref="L58" si="192">L57-L54-L60-L62-L70</f>
        <v>-1170503.4621853679</v>
      </c>
      <c r="M58" s="114">
        <f t="shared" ref="M58" si="193">M57-M54-M60-M62-M70</f>
        <v>-1224351.121074779</v>
      </c>
      <c r="N58" s="114">
        <f t="shared" ref="N58" si="194">N57-N54-N60-N62-N70</f>
        <v>-1283806.288510941</v>
      </c>
      <c r="O58" s="114">
        <f t="shared" ref="O58" si="195">O57-O54-O60-O62-O70</f>
        <v>-1348849.6159446412</v>
      </c>
      <c r="P58" s="114">
        <f t="shared" ref="P58" si="196">P57-P54-P60-P62-P70</f>
        <v>-1419476.7806077935</v>
      </c>
      <c r="Q58" s="114">
        <f t="shared" ref="Q58" si="197">Q57-Q54-Q60-Q62-Q70</f>
        <v>-1495698.4070870932</v>
      </c>
      <c r="R58" s="114">
        <f t="shared" ref="R58" si="198">R57-R54-R60-R62-R70</f>
        <v>-1577540.0356872543</v>
      </c>
      <c r="S58" s="114">
        <f t="shared" ref="S58" si="199">S57-S54-S60-S62-S70</f>
        <v>-1665042.1373439822</v>
      </c>
      <c r="T58" s="114">
        <f t="shared" ref="T58" si="200">T57-T54-T60-T62-T70</f>
        <v>-1758260.1749916677</v>
      </c>
      <c r="U58" s="114">
        <f t="shared" ref="U58" si="201">U57-U54-U60-U62-U70</f>
        <v>-1857264.7114345618</v>
      </c>
      <c r="V58" s="114">
        <f t="shared" ref="V58" si="202">V57-V54-V60-V62-V70</f>
        <v>-1962141.5639139358</v>
      </c>
      <c r="W58" s="114">
        <f t="shared" ref="W58" si="203">W57-W54-W60-W62-W70</f>
        <v>-2072992.0057072435</v>
      </c>
      <c r="X58" s="101">
        <f t="shared" ref="X58" si="204">X57-X54-X60-X62-X70</f>
        <v>-2189933.0152395535</v>
      </c>
      <c r="Y58" s="24">
        <f>Y57</f>
        <v>48396513.113992631</v>
      </c>
    </row>
    <row r="59" spans="1:25" hidden="1" outlineLevel="1">
      <c r="A59" s="95"/>
      <c r="B59" s="21"/>
      <c r="C59" s="125"/>
      <c r="D59" s="102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01"/>
    </row>
    <row r="60" spans="1:25" hidden="1" outlineLevel="1">
      <c r="A60" s="95"/>
      <c r="C60" s="126" t="s">
        <v>57</v>
      </c>
      <c r="D60" s="99"/>
      <c r="E60" s="114">
        <f t="shared" ref="E60:X60" si="205">D63*Debt_Rate</f>
        <v>4939216.5781752337</v>
      </c>
      <c r="F60" s="114">
        <f t="shared" si="205"/>
        <v>4797563.1558157327</v>
      </c>
      <c r="G60" s="114">
        <f t="shared" si="205"/>
        <v>4648118.7952264594</v>
      </c>
      <c r="H60" s="114">
        <f t="shared" si="205"/>
        <v>4490454.9948047753</v>
      </c>
      <c r="I60" s="114">
        <f t="shared" si="205"/>
        <v>4324119.685359899</v>
      </c>
      <c r="J60" s="114">
        <f t="shared" si="205"/>
        <v>4148635.9338955544</v>
      </c>
      <c r="K60" s="114">
        <f t="shared" si="205"/>
        <v>3963500.5761006717</v>
      </c>
      <c r="L60" s="114">
        <f t="shared" si="205"/>
        <v>3768182.7736270702</v>
      </c>
      <c r="M60" s="114">
        <f t="shared" si="205"/>
        <v>3562122.4920174205</v>
      </c>
      <c r="N60" s="114">
        <f t="shared" si="205"/>
        <v>3344728.8949192395</v>
      </c>
      <c r="O60" s="114">
        <f t="shared" si="205"/>
        <v>3115378.6499806591</v>
      </c>
      <c r="P60" s="114">
        <f t="shared" si="205"/>
        <v>2873414.1415704563</v>
      </c>
      <c r="Q60" s="114">
        <f t="shared" si="205"/>
        <v>2618141.5851976927</v>
      </c>
      <c r="R60" s="114">
        <f t="shared" si="205"/>
        <v>2348829.0382244275</v>
      </c>
      <c r="S60" s="114">
        <f t="shared" si="205"/>
        <v>2064704.3011676322</v>
      </c>
      <c r="T60" s="114">
        <f t="shared" si="205"/>
        <v>1764952.7035727133</v>
      </c>
      <c r="U60" s="114">
        <f t="shared" si="205"/>
        <v>1448714.7681100736</v>
      </c>
      <c r="V60" s="114">
        <f t="shared" si="205"/>
        <v>1115083.746196989</v>
      </c>
      <c r="W60" s="114">
        <f t="shared" si="205"/>
        <v>763103.01807868469</v>
      </c>
      <c r="X60" s="101">
        <f t="shared" si="205"/>
        <v>391763.34991387365</v>
      </c>
    </row>
    <row r="61" spans="1:25" hidden="1" outlineLevel="1">
      <c r="A61" s="95"/>
      <c r="C61" s="126" t="s">
        <v>58</v>
      </c>
      <c r="D61" s="99"/>
      <c r="E61" s="114">
        <f t="shared" ref="E61:X61" si="206">-PMT(Debt_Rate,20,$E73)</f>
        <v>7514733.3483479768</v>
      </c>
      <c r="F61" s="114">
        <f t="shared" si="206"/>
        <v>7514733.3483479768</v>
      </c>
      <c r="G61" s="114">
        <f t="shared" si="206"/>
        <v>7514733.3483479768</v>
      </c>
      <c r="H61" s="114">
        <f t="shared" si="206"/>
        <v>7514733.3483479768</v>
      </c>
      <c r="I61" s="114">
        <f t="shared" si="206"/>
        <v>7514733.3483479768</v>
      </c>
      <c r="J61" s="114">
        <f t="shared" si="206"/>
        <v>7514733.3483479768</v>
      </c>
      <c r="K61" s="114">
        <f t="shared" si="206"/>
        <v>7514733.3483479768</v>
      </c>
      <c r="L61" s="114">
        <f t="shared" si="206"/>
        <v>7514733.3483479768</v>
      </c>
      <c r="M61" s="114">
        <f t="shared" si="206"/>
        <v>7514733.3483479768</v>
      </c>
      <c r="N61" s="114">
        <f t="shared" si="206"/>
        <v>7514733.3483479768</v>
      </c>
      <c r="O61" s="114">
        <f t="shared" si="206"/>
        <v>7514733.3483479768</v>
      </c>
      <c r="P61" s="114">
        <f t="shared" si="206"/>
        <v>7514733.3483479768</v>
      </c>
      <c r="Q61" s="114">
        <f t="shared" si="206"/>
        <v>7514733.3483479768</v>
      </c>
      <c r="R61" s="114">
        <f t="shared" si="206"/>
        <v>7514733.3483479768</v>
      </c>
      <c r="S61" s="114">
        <f t="shared" si="206"/>
        <v>7514733.3483479768</v>
      </c>
      <c r="T61" s="114">
        <f t="shared" si="206"/>
        <v>7514733.3483479768</v>
      </c>
      <c r="U61" s="114">
        <f t="shared" si="206"/>
        <v>7514733.3483479768</v>
      </c>
      <c r="V61" s="114">
        <f t="shared" si="206"/>
        <v>7514733.3483479768</v>
      </c>
      <c r="W61" s="114">
        <f t="shared" si="206"/>
        <v>7514733.3483479768</v>
      </c>
      <c r="X61" s="101">
        <f t="shared" si="206"/>
        <v>7514733.3483479768</v>
      </c>
    </row>
    <row r="62" spans="1:25" hidden="1" outlineLevel="1">
      <c r="A62" s="95"/>
      <c r="C62" s="126" t="s">
        <v>59</v>
      </c>
      <c r="D62" s="99"/>
      <c r="E62" s="114">
        <f>E61-E60</f>
        <v>2575516.7701727431</v>
      </c>
      <c r="F62" s="114">
        <f>F61-F60</f>
        <v>2717170.1925322441</v>
      </c>
      <c r="G62" s="114">
        <f t="shared" ref="G62" si="207">G61-G60</f>
        <v>2866614.5531215174</v>
      </c>
      <c r="H62" s="114">
        <f t="shared" ref="H62" si="208">H61-H60</f>
        <v>3024278.3535432015</v>
      </c>
      <c r="I62" s="114">
        <f t="shared" ref="I62" si="209">I61-I60</f>
        <v>3190613.6629880778</v>
      </c>
      <c r="J62" s="114">
        <f t="shared" ref="J62" si="210">J61-J60</f>
        <v>3366097.4144524224</v>
      </c>
      <c r="K62" s="114">
        <f t="shared" ref="K62" si="211">K61-K60</f>
        <v>3551232.7722473051</v>
      </c>
      <c r="L62" s="114">
        <f t="shared" ref="L62" si="212">L61-L60</f>
        <v>3746550.5747209066</v>
      </c>
      <c r="M62" s="114">
        <f t="shared" ref="M62" si="213">M61-M60</f>
        <v>3952610.8563305563</v>
      </c>
      <c r="N62" s="114">
        <f t="shared" ref="N62" si="214">N61-N60</f>
        <v>4170004.4534287374</v>
      </c>
      <c r="O62" s="114">
        <f t="shared" ref="O62" si="215">O61-O60</f>
        <v>4399354.6983673181</v>
      </c>
      <c r="P62" s="114">
        <f t="shared" ref="P62" si="216">P61-P60</f>
        <v>4641319.2067775205</v>
      </c>
      <c r="Q62" s="114">
        <f t="shared" ref="Q62" si="217">Q61-Q60</f>
        <v>4896591.7631502841</v>
      </c>
      <c r="R62" s="114">
        <f t="shared" ref="R62" si="218">R61-R60</f>
        <v>5165904.3101235498</v>
      </c>
      <c r="S62" s="114">
        <f t="shared" ref="S62" si="219">S61-S60</f>
        <v>5450029.0471803444</v>
      </c>
      <c r="T62" s="114">
        <f t="shared" ref="T62" si="220">T61-T60</f>
        <v>5749780.644775264</v>
      </c>
      <c r="U62" s="114">
        <f t="shared" ref="U62" si="221">U61-U60</f>
        <v>6066018.5802379027</v>
      </c>
      <c r="V62" s="114">
        <f t="shared" ref="V62" si="222">V61-V60</f>
        <v>6399649.6021509878</v>
      </c>
      <c r="W62" s="114">
        <f t="shared" ref="W62" si="223">W61-W60</f>
        <v>6751630.330269292</v>
      </c>
      <c r="X62" s="101">
        <f t="shared" ref="X62" si="224">X61-X60</f>
        <v>7122969.9984341031</v>
      </c>
    </row>
    <row r="63" spans="1:25" hidden="1" outlineLevel="1">
      <c r="A63" s="95"/>
      <c r="C63" s="126" t="s">
        <v>60</v>
      </c>
      <c r="D63" s="99">
        <f>E73</f>
        <v>89803937.785004243</v>
      </c>
      <c r="E63" s="114">
        <f>D63-E62</f>
        <v>87228421.014831498</v>
      </c>
      <c r="F63" s="114">
        <f>E63-F62</f>
        <v>84511250.822299257</v>
      </c>
      <c r="G63" s="114">
        <f t="shared" ref="G63" si="225">F63-G62</f>
        <v>81644636.269177735</v>
      </c>
      <c r="H63" s="114">
        <f t="shared" ref="H63" si="226">G63-H62</f>
        <v>78620357.915634528</v>
      </c>
      <c r="I63" s="114">
        <f t="shared" ref="I63" si="227">H63-I62</f>
        <v>75429744.252646446</v>
      </c>
      <c r="J63" s="114">
        <f t="shared" ref="J63" si="228">I63-J62</f>
        <v>72063646.838194028</v>
      </c>
      <c r="K63" s="114">
        <f t="shared" ref="K63" si="229">J63-K62</f>
        <v>68512414.065946728</v>
      </c>
      <c r="L63" s="114">
        <f t="shared" ref="L63" si="230">K63-L62</f>
        <v>64765863.491225824</v>
      </c>
      <c r="M63" s="114">
        <f t="shared" ref="M63" si="231">L63-M62</f>
        <v>60813252.634895265</v>
      </c>
      <c r="N63" s="114">
        <f t="shared" ref="N63" si="232">M63-N62</f>
        <v>56643248.181466527</v>
      </c>
      <c r="O63" s="114">
        <f t="shared" ref="O63" si="233">N63-O62</f>
        <v>52243893.483099207</v>
      </c>
      <c r="P63" s="114">
        <f t="shared" ref="P63" si="234">O63-P62</f>
        <v>47602574.276321687</v>
      </c>
      <c r="Q63" s="114">
        <f t="shared" ref="Q63" si="235">P63-Q62</f>
        <v>42705982.513171405</v>
      </c>
      <c r="R63" s="114">
        <f t="shared" ref="R63" si="236">Q63-R62</f>
        <v>37540078.203047857</v>
      </c>
      <c r="S63" s="114">
        <f t="shared" ref="S63" si="237">R63-S62</f>
        <v>32090049.155867513</v>
      </c>
      <c r="T63" s="114">
        <f t="shared" ref="T63" si="238">S63-T62</f>
        <v>26340268.511092249</v>
      </c>
      <c r="U63" s="114">
        <f t="shared" ref="U63" si="239">T63-U62</f>
        <v>20274249.930854347</v>
      </c>
      <c r="V63" s="114">
        <f t="shared" ref="V63" si="240">U63-V62</f>
        <v>13874600.328703359</v>
      </c>
      <c r="W63" s="114">
        <f t="shared" ref="W63" si="241">V63-W62</f>
        <v>7122969.9984340668</v>
      </c>
      <c r="X63" s="101">
        <f t="shared" ref="X63" si="242">W63-X62</f>
        <v>-3.6321580410003662E-8</v>
      </c>
    </row>
    <row r="64" spans="1:25" hidden="1" outlineLevel="1">
      <c r="A64" s="95"/>
      <c r="C64" s="125"/>
      <c r="D64" s="99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01"/>
    </row>
    <row r="65" spans="1:25" hidden="1" outlineLevel="1">
      <c r="A65" s="95"/>
      <c r="C65" s="126" t="s">
        <v>61</v>
      </c>
      <c r="D65" s="99"/>
      <c r="E65" s="114">
        <f t="shared" ref="E65:X65" si="243">IF(E$2-1&lt;20,-$D57/20,0)</f>
        <v>8066085.5189987719</v>
      </c>
      <c r="F65" s="114">
        <f t="shared" si="243"/>
        <v>8066085.5189987719</v>
      </c>
      <c r="G65" s="114">
        <f t="shared" si="243"/>
        <v>8066085.5189987719</v>
      </c>
      <c r="H65" s="114">
        <f t="shared" si="243"/>
        <v>8066085.5189987719</v>
      </c>
      <c r="I65" s="114">
        <f t="shared" si="243"/>
        <v>8066085.5189987719</v>
      </c>
      <c r="J65" s="114">
        <f t="shared" si="243"/>
        <v>8066085.5189987719</v>
      </c>
      <c r="K65" s="114">
        <f t="shared" si="243"/>
        <v>8066085.5189987719</v>
      </c>
      <c r="L65" s="114">
        <f t="shared" si="243"/>
        <v>8066085.5189987719</v>
      </c>
      <c r="M65" s="114">
        <f t="shared" si="243"/>
        <v>8066085.5189987719</v>
      </c>
      <c r="N65" s="114">
        <f t="shared" si="243"/>
        <v>8066085.5189987719</v>
      </c>
      <c r="O65" s="114">
        <f t="shared" si="243"/>
        <v>8066085.5189987719</v>
      </c>
      <c r="P65" s="114">
        <f t="shared" si="243"/>
        <v>8066085.5189987719</v>
      </c>
      <c r="Q65" s="114">
        <f t="shared" si="243"/>
        <v>8066085.5189987719</v>
      </c>
      <c r="R65" s="114">
        <f t="shared" si="243"/>
        <v>8066085.5189987719</v>
      </c>
      <c r="S65" s="114">
        <f t="shared" si="243"/>
        <v>8066085.5189987719</v>
      </c>
      <c r="T65" s="114">
        <f t="shared" si="243"/>
        <v>8066085.5189987719</v>
      </c>
      <c r="U65" s="114">
        <f t="shared" si="243"/>
        <v>8066085.5189987719</v>
      </c>
      <c r="V65" s="114">
        <f t="shared" si="243"/>
        <v>8066085.5189987719</v>
      </c>
      <c r="W65" s="114">
        <f t="shared" si="243"/>
        <v>8066085.5189987719</v>
      </c>
      <c r="X65" s="101">
        <f t="shared" si="243"/>
        <v>8066085.5189987719</v>
      </c>
    </row>
    <row r="66" spans="1:25" hidden="1" outlineLevel="1">
      <c r="A66" s="95"/>
      <c r="C66" s="125" t="s">
        <v>62</v>
      </c>
      <c r="D66" s="99"/>
      <c r="E66" s="114">
        <f>SUM($E65:E65)</f>
        <v>8066085.5189987719</v>
      </c>
      <c r="F66" s="114">
        <f>SUM($E65:F65)</f>
        <v>16132171.037997544</v>
      </c>
      <c r="G66" s="114">
        <f>SUM($E65:G65)</f>
        <v>24198256.556996316</v>
      </c>
      <c r="H66" s="114">
        <f>SUM($E65:H65)</f>
        <v>32264342.075995088</v>
      </c>
      <c r="I66" s="114">
        <f>SUM($E65:I65)</f>
        <v>40330427.59499386</v>
      </c>
      <c r="J66" s="114">
        <f>SUM($E65:J65)</f>
        <v>48396513.113992631</v>
      </c>
      <c r="K66" s="114">
        <f>SUM($E65:K65)</f>
        <v>56462598.632991403</v>
      </c>
      <c r="L66" s="114">
        <f>SUM($E65:L65)</f>
        <v>64528684.151990175</v>
      </c>
      <c r="M66" s="114">
        <f>SUM($E65:M65)</f>
        <v>72594769.670988947</v>
      </c>
      <c r="N66" s="114">
        <f>SUM($E65:N65)</f>
        <v>80660855.189987719</v>
      </c>
      <c r="O66" s="114">
        <f>SUM($E65:O65)</f>
        <v>88726940.708986491</v>
      </c>
      <c r="P66" s="114">
        <f>SUM($E65:P65)</f>
        <v>96793026.227985263</v>
      </c>
      <c r="Q66" s="114">
        <f>SUM($E65:Q65)</f>
        <v>104859111.74698403</v>
      </c>
      <c r="R66" s="114">
        <f>SUM($E65:R65)</f>
        <v>112925197.26598281</v>
      </c>
      <c r="S66" s="114">
        <f>SUM($E65:S65)</f>
        <v>120991282.78498158</v>
      </c>
      <c r="T66" s="114">
        <f>SUM($E65:T65)</f>
        <v>129057368.30398035</v>
      </c>
      <c r="U66" s="114">
        <f>SUM($E65:U65)</f>
        <v>137123453.82297912</v>
      </c>
      <c r="V66" s="114">
        <f>SUM($E65:V65)</f>
        <v>145189539.34197789</v>
      </c>
      <c r="W66" s="114">
        <f>SUM($E65:W65)</f>
        <v>153255624.86097667</v>
      </c>
      <c r="X66" s="101">
        <f>SUM($E65:X65)</f>
        <v>161321710.37997544</v>
      </c>
    </row>
    <row r="67" spans="1:25" hidden="1" outlineLevel="1">
      <c r="A67" s="95"/>
      <c r="C67" s="125" t="s">
        <v>63</v>
      </c>
      <c r="D67" s="99"/>
      <c r="E67" s="114">
        <f t="shared" ref="E67:X67" si="244">-$D57-E66</f>
        <v>153255624.86097667</v>
      </c>
      <c r="F67" s="114">
        <f t="shared" si="244"/>
        <v>145189539.34197789</v>
      </c>
      <c r="G67" s="114">
        <f t="shared" si="244"/>
        <v>137123453.82297912</v>
      </c>
      <c r="H67" s="114">
        <f t="shared" si="244"/>
        <v>129057368.30398035</v>
      </c>
      <c r="I67" s="114">
        <f t="shared" si="244"/>
        <v>120991282.78498158</v>
      </c>
      <c r="J67" s="114">
        <f t="shared" si="244"/>
        <v>112925197.26598281</v>
      </c>
      <c r="K67" s="114">
        <f t="shared" si="244"/>
        <v>104859111.74698403</v>
      </c>
      <c r="L67" s="114">
        <f t="shared" si="244"/>
        <v>96793026.227985263</v>
      </c>
      <c r="M67" s="114">
        <f t="shared" si="244"/>
        <v>88726940.708986491</v>
      </c>
      <c r="N67" s="114">
        <f t="shared" si="244"/>
        <v>80660855.189987719</v>
      </c>
      <c r="O67" s="114">
        <f t="shared" si="244"/>
        <v>72594769.670988947</v>
      </c>
      <c r="P67" s="114">
        <f t="shared" si="244"/>
        <v>64528684.151990175</v>
      </c>
      <c r="Q67" s="114">
        <f t="shared" si="244"/>
        <v>56462598.632991403</v>
      </c>
      <c r="R67" s="114">
        <f t="shared" si="244"/>
        <v>48396513.113992631</v>
      </c>
      <c r="S67" s="114">
        <f t="shared" si="244"/>
        <v>40330427.59499386</v>
      </c>
      <c r="T67" s="114">
        <f t="shared" si="244"/>
        <v>32264342.075995088</v>
      </c>
      <c r="U67" s="114">
        <f t="shared" si="244"/>
        <v>24198256.556996316</v>
      </c>
      <c r="V67" s="114">
        <f t="shared" si="244"/>
        <v>16132171.037997544</v>
      </c>
      <c r="W67" s="114">
        <f t="shared" si="244"/>
        <v>8066085.5189987719</v>
      </c>
      <c r="X67" s="101">
        <f t="shared" si="244"/>
        <v>0</v>
      </c>
    </row>
    <row r="68" spans="1:25" hidden="1" outlineLevel="1">
      <c r="A68" s="95"/>
      <c r="C68" s="125" t="s">
        <v>64</v>
      </c>
      <c r="D68" s="99">
        <f>-D57</f>
        <v>161321710.37997544</v>
      </c>
      <c r="E68" s="114">
        <f t="shared" ref="E68:X68" si="245">D68/(($D68/$Y68)^(1/21))</f>
        <v>152332942.11542678</v>
      </c>
      <c r="F68" s="114">
        <f t="shared" si="245"/>
        <v>143845023.70378041</v>
      </c>
      <c r="G68" s="114">
        <f t="shared" si="245"/>
        <v>135830048.03165111</v>
      </c>
      <c r="H68" s="114">
        <f t="shared" si="245"/>
        <v>128261662.95661549</v>
      </c>
      <c r="I68" s="114">
        <f t="shared" si="245"/>
        <v>121114984.66497639</v>
      </c>
      <c r="J68" s="99">
        <f t="shared" si="245"/>
        <v>114366515.8571911</v>
      </c>
      <c r="K68" s="114">
        <f t="shared" si="245"/>
        <v>107994068.49196824</v>
      </c>
      <c r="L68" s="114">
        <f t="shared" si="245"/>
        <v>101976690.83502646</v>
      </c>
      <c r="M68" s="114">
        <f t="shared" si="245"/>
        <v>96294598.572661281</v>
      </c>
      <c r="N68" s="114">
        <f t="shared" si="245"/>
        <v>90929109.763630956</v>
      </c>
      <c r="O68" s="114">
        <f t="shared" si="245"/>
        <v>85862583.415491998</v>
      </c>
      <c r="P68" s="114">
        <f t="shared" si="245"/>
        <v>81078361.483431831</v>
      </c>
      <c r="Q68" s="114">
        <f t="shared" si="245"/>
        <v>76560714.100898623</v>
      </c>
      <c r="R68" s="114">
        <f t="shared" si="245"/>
        <v>72294787.861954138</v>
      </c>
      <c r="S68" s="114">
        <f t="shared" si="245"/>
        <v>68266556.985309064</v>
      </c>
      <c r="T68" s="114">
        <f t="shared" si="245"/>
        <v>64462777.199474871</v>
      </c>
      <c r="U68" s="114">
        <f t="shared" si="245"/>
        <v>60870942.197412834</v>
      </c>
      <c r="V68" s="114">
        <f t="shared" si="245"/>
        <v>57479242.517509133</v>
      </c>
      <c r="W68" s="114">
        <f t="shared" si="245"/>
        <v>54276526.715682283</v>
      </c>
      <c r="X68" s="101">
        <f t="shared" si="245"/>
        <v>51252264.700962089</v>
      </c>
      <c r="Y68" s="24">
        <f>Y57</f>
        <v>48396513.113992631</v>
      </c>
    </row>
    <row r="69" spans="1:25" hidden="1" outlineLevel="1">
      <c r="A69" s="95"/>
      <c r="C69" s="126" t="s">
        <v>65</v>
      </c>
      <c r="D69" s="121"/>
      <c r="E69" s="114">
        <f>-$D57*Assumptions!J$8</f>
        <v>32264342.075995088</v>
      </c>
      <c r="F69" s="114">
        <f>-$D57*Assumptions!K$8</f>
        <v>51622947.321592145</v>
      </c>
      <c r="G69" s="114">
        <f>-$D57*Assumptions!L$8</f>
        <v>30973768.392955285</v>
      </c>
      <c r="H69" s="114">
        <f>-$D57*Assumptions!M$8</f>
        <v>18584261.035773169</v>
      </c>
      <c r="I69" s="114">
        <f>-$D57*Assumptions!N$8</f>
        <v>18584261.035773169</v>
      </c>
      <c r="J69" s="114">
        <f>-$D57*Assumptions!O$8</f>
        <v>9292130.5178865846</v>
      </c>
      <c r="K69" s="114">
        <f>-$D57*Assumptions!P$8</f>
        <v>0</v>
      </c>
      <c r="L69" s="114">
        <f>-$D57*Assumptions!Q$8</f>
        <v>0</v>
      </c>
      <c r="M69" s="114">
        <f>-$D57*Assumptions!R$8</f>
        <v>0</v>
      </c>
      <c r="N69" s="114">
        <f>-$D57*Assumptions!S$8</f>
        <v>0</v>
      </c>
      <c r="O69" s="114">
        <f>-$D57*Assumptions!T$8</f>
        <v>0</v>
      </c>
      <c r="P69" s="114">
        <f>-$D57*Assumptions!U$8</f>
        <v>0</v>
      </c>
      <c r="Q69" s="114">
        <f>-$D57*Assumptions!V$8</f>
        <v>0</v>
      </c>
      <c r="R69" s="114">
        <f>-$D57*Assumptions!W$8</f>
        <v>0</v>
      </c>
      <c r="S69" s="114">
        <f>-$D57*Assumptions!X$8</f>
        <v>0</v>
      </c>
      <c r="T69" s="114">
        <f>-$D57*Assumptions!Y$8</f>
        <v>0</v>
      </c>
      <c r="U69" s="114">
        <f>-$D57*Assumptions!Z$8</f>
        <v>0</v>
      </c>
      <c r="V69" s="114">
        <f>-$D57*Assumptions!AA$8</f>
        <v>0</v>
      </c>
      <c r="W69" s="114">
        <f>-$D57*Assumptions!AB$8</f>
        <v>0</v>
      </c>
      <c r="X69" s="101">
        <f>-$D57*Assumptions!AC$8</f>
        <v>0</v>
      </c>
    </row>
    <row r="70" spans="1:25" ht="15.75" hidden="1" outlineLevel="1" thickBot="1">
      <c r="A70" s="95"/>
      <c r="C70" s="127" t="s">
        <v>66</v>
      </c>
      <c r="D70" s="122"/>
      <c r="E70" s="103">
        <f t="shared" ref="E70:X70" si="246">E69*Federal_Tax_Rate</f>
        <v>6775511.8359589679</v>
      </c>
      <c r="F70" s="103">
        <f t="shared" si="246"/>
        <v>10840818.937534351</v>
      </c>
      <c r="G70" s="103">
        <f t="shared" si="246"/>
        <v>6504491.36252061</v>
      </c>
      <c r="H70" s="103">
        <f t="shared" si="246"/>
        <v>3902694.8175123655</v>
      </c>
      <c r="I70" s="103">
        <f t="shared" si="246"/>
        <v>3902694.8175123655</v>
      </c>
      <c r="J70" s="103">
        <f t="shared" si="246"/>
        <v>1951347.4087561828</v>
      </c>
      <c r="K70" s="103">
        <f t="shared" si="246"/>
        <v>0</v>
      </c>
      <c r="L70" s="103">
        <f t="shared" si="246"/>
        <v>0</v>
      </c>
      <c r="M70" s="103">
        <f t="shared" si="246"/>
        <v>0</v>
      </c>
      <c r="N70" s="103">
        <f t="shared" si="246"/>
        <v>0</v>
      </c>
      <c r="O70" s="103">
        <f t="shared" si="246"/>
        <v>0</v>
      </c>
      <c r="P70" s="103">
        <f t="shared" si="246"/>
        <v>0</v>
      </c>
      <c r="Q70" s="103">
        <f t="shared" si="246"/>
        <v>0</v>
      </c>
      <c r="R70" s="103">
        <f t="shared" si="246"/>
        <v>0</v>
      </c>
      <c r="S70" s="103">
        <f t="shared" si="246"/>
        <v>0</v>
      </c>
      <c r="T70" s="103">
        <f t="shared" si="246"/>
        <v>0</v>
      </c>
      <c r="U70" s="103">
        <f t="shared" si="246"/>
        <v>0</v>
      </c>
      <c r="V70" s="103">
        <f t="shared" si="246"/>
        <v>0</v>
      </c>
      <c r="W70" s="103">
        <f t="shared" si="246"/>
        <v>0</v>
      </c>
      <c r="X70" s="115">
        <f t="shared" si="246"/>
        <v>0</v>
      </c>
    </row>
    <row r="71" spans="1:25" hidden="1" outlineLevel="1">
      <c r="A71" s="95"/>
      <c r="C71" s="128" t="s">
        <v>67</v>
      </c>
      <c r="D71" s="123"/>
      <c r="E71" s="104">
        <f>NPV(Tax_Equity_Rate,E70:X70)</f>
        <v>27485737.5260198</v>
      </c>
      <c r="F71" s="105">
        <f>E71/E75</f>
        <v>0.17037841627937236</v>
      </c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</row>
    <row r="72" spans="1:25" hidden="1" outlineLevel="1">
      <c r="A72" s="95"/>
      <c r="C72" s="125" t="s">
        <v>79</v>
      </c>
      <c r="D72" s="120"/>
      <c r="E72" s="106">
        <v>0</v>
      </c>
      <c r="F72" s="107">
        <f>E72/E75</f>
        <v>0</v>
      </c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</row>
    <row r="73" spans="1:25" hidden="1" outlineLevel="1">
      <c r="A73" s="95"/>
      <c r="B73" s="22">
        <f>Assumptions!F8</f>
        <v>0.67100000000000004</v>
      </c>
      <c r="C73" s="125" t="s">
        <v>68</v>
      </c>
      <c r="D73" s="120"/>
      <c r="E73" s="106">
        <f>(E75-E71-E72)*$B73</f>
        <v>89803937.785004243</v>
      </c>
      <c r="F73" s="107">
        <f>E73/E75</f>
        <v>0.55667608267654123</v>
      </c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</row>
    <row r="74" spans="1:25" hidden="1" outlineLevel="1">
      <c r="A74" s="95"/>
      <c r="B74" s="22">
        <f>1-B73</f>
        <v>0.32899999999999996</v>
      </c>
      <c r="C74" s="125" t="s">
        <v>69</v>
      </c>
      <c r="D74" s="120"/>
      <c r="E74" s="106">
        <f>(E75-E71-E72)*$B74</f>
        <v>44032035.068951398</v>
      </c>
      <c r="F74" s="107">
        <f>E74/E75</f>
        <v>0.27294550104408644</v>
      </c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</row>
    <row r="75" spans="1:25" hidden="1" outlineLevel="1">
      <c r="A75" s="95"/>
      <c r="C75" s="125" t="s">
        <v>70</v>
      </c>
      <c r="D75" s="120"/>
      <c r="E75" s="106">
        <f>-D57</f>
        <v>161321710.37997544</v>
      </c>
      <c r="F75" s="108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</row>
    <row r="76" spans="1:25" ht="15.75" hidden="1" outlineLevel="1" thickBot="1">
      <c r="A76" s="95"/>
      <c r="C76" s="127" t="s">
        <v>71</v>
      </c>
      <c r="D76" s="122"/>
      <c r="E76" s="109">
        <f>SUM(E71:E74)-E75</f>
        <v>0</v>
      </c>
      <c r="F76" s="110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</row>
    <row r="77" spans="1:25" hidden="1" outlineLevel="1">
      <c r="A77" s="95"/>
    </row>
    <row r="78" spans="1:25" ht="15.75" collapsed="1" thickBot="1">
      <c r="A78" s="95"/>
    </row>
    <row r="79" spans="1:25" ht="18.75" thickBot="1">
      <c r="A79" s="265"/>
      <c r="C79" s="487" t="s">
        <v>6</v>
      </c>
      <c r="D79" s="488"/>
      <c r="E79" s="488"/>
      <c r="F79" s="488"/>
      <c r="G79" s="489"/>
    </row>
    <row r="80" spans="1:25" hidden="1" outlineLevel="1">
      <c r="A80" s="95"/>
      <c r="C80" s="124" t="s">
        <v>44</v>
      </c>
      <c r="D80" s="119"/>
      <c r="E80" s="98">
        <f>INDEX('DATA (Nominal)'!$B$26:$BX$26,1,MATCH($B$1,'DATA (Nominal)'!$B$1:$BX$1,0))*'Resource Options'!$E$9*8760</f>
        <v>359160</v>
      </c>
      <c r="F80" s="98">
        <f>E80</f>
        <v>359160</v>
      </c>
      <c r="G80" s="98">
        <f t="shared" ref="G80:X80" si="247">F80</f>
        <v>359160</v>
      </c>
      <c r="H80" s="98">
        <f t="shared" si="247"/>
        <v>359160</v>
      </c>
      <c r="I80" s="98">
        <f t="shared" si="247"/>
        <v>359160</v>
      </c>
      <c r="J80" s="98">
        <f t="shared" si="247"/>
        <v>359160</v>
      </c>
      <c r="K80" s="98">
        <f t="shared" si="247"/>
        <v>359160</v>
      </c>
      <c r="L80" s="98">
        <f t="shared" si="247"/>
        <v>359160</v>
      </c>
      <c r="M80" s="98">
        <f t="shared" si="247"/>
        <v>359160</v>
      </c>
      <c r="N80" s="98">
        <f t="shared" si="247"/>
        <v>359160</v>
      </c>
      <c r="O80" s="98">
        <f t="shared" si="247"/>
        <v>359160</v>
      </c>
      <c r="P80" s="98">
        <f t="shared" si="247"/>
        <v>359160</v>
      </c>
      <c r="Q80" s="98">
        <f t="shared" si="247"/>
        <v>359160</v>
      </c>
      <c r="R80" s="98">
        <f t="shared" si="247"/>
        <v>359160</v>
      </c>
      <c r="S80" s="98">
        <f t="shared" si="247"/>
        <v>359160</v>
      </c>
      <c r="T80" s="98">
        <f t="shared" si="247"/>
        <v>359160</v>
      </c>
      <c r="U80" s="98">
        <f t="shared" si="247"/>
        <v>359160</v>
      </c>
      <c r="V80" s="98">
        <f t="shared" si="247"/>
        <v>359160</v>
      </c>
      <c r="W80" s="98">
        <f t="shared" si="247"/>
        <v>359160</v>
      </c>
      <c r="X80" s="111">
        <f t="shared" si="247"/>
        <v>359160</v>
      </c>
    </row>
    <row r="81" spans="1:25" hidden="1" outlineLevel="1">
      <c r="A81" s="95"/>
      <c r="B81" s="36"/>
      <c r="C81" s="125" t="s">
        <v>45</v>
      </c>
      <c r="D81" s="120"/>
      <c r="E81" s="117">
        <f>INDEX('PPA Summary'!$3:$34,MATCH($C79,'PPA Summary'!$D$3:$D$34,0),MATCH(B$1,'PPA Summary'!$2:$2,0))</f>
        <v>32.68946872628905</v>
      </c>
      <c r="F81" s="117">
        <f>E81</f>
        <v>32.68946872628905</v>
      </c>
      <c r="G81" s="112">
        <f t="shared" ref="G81:X81" si="248">F81</f>
        <v>32.68946872628905</v>
      </c>
      <c r="H81" s="112">
        <f t="shared" si="248"/>
        <v>32.68946872628905</v>
      </c>
      <c r="I81" s="112">
        <f t="shared" si="248"/>
        <v>32.68946872628905</v>
      </c>
      <c r="J81" s="112">
        <f t="shared" si="248"/>
        <v>32.68946872628905</v>
      </c>
      <c r="K81" s="112">
        <f t="shared" si="248"/>
        <v>32.68946872628905</v>
      </c>
      <c r="L81" s="112">
        <f t="shared" si="248"/>
        <v>32.68946872628905</v>
      </c>
      <c r="M81" s="112">
        <f t="shared" si="248"/>
        <v>32.68946872628905</v>
      </c>
      <c r="N81" s="112">
        <f t="shared" si="248"/>
        <v>32.68946872628905</v>
      </c>
      <c r="O81" s="112">
        <f t="shared" si="248"/>
        <v>32.68946872628905</v>
      </c>
      <c r="P81" s="112">
        <f t="shared" si="248"/>
        <v>32.68946872628905</v>
      </c>
      <c r="Q81" s="112">
        <f t="shared" si="248"/>
        <v>32.68946872628905</v>
      </c>
      <c r="R81" s="112">
        <f t="shared" si="248"/>
        <v>32.68946872628905</v>
      </c>
      <c r="S81" s="112">
        <f t="shared" si="248"/>
        <v>32.68946872628905</v>
      </c>
      <c r="T81" s="112">
        <f t="shared" si="248"/>
        <v>32.68946872628905</v>
      </c>
      <c r="U81" s="112">
        <f t="shared" si="248"/>
        <v>32.68946872628905</v>
      </c>
      <c r="V81" s="112">
        <f t="shared" si="248"/>
        <v>32.68946872628905</v>
      </c>
      <c r="W81" s="112">
        <f t="shared" si="248"/>
        <v>32.68946872628905</v>
      </c>
      <c r="X81" s="113">
        <f t="shared" si="248"/>
        <v>32.68946872628905</v>
      </c>
    </row>
    <row r="82" spans="1:25" hidden="1" outlineLevel="1">
      <c r="A82" s="95"/>
      <c r="B82" s="36"/>
      <c r="C82" s="126" t="s">
        <v>46</v>
      </c>
      <c r="D82" s="121"/>
      <c r="E82" s="114">
        <f>E80*E81</f>
        <v>11740749.587733975</v>
      </c>
      <c r="F82" s="114">
        <f t="shared" ref="F82:X82" si="249">F80*F81</f>
        <v>11740749.587733975</v>
      </c>
      <c r="G82" s="114">
        <f t="shared" si="249"/>
        <v>11740749.587733975</v>
      </c>
      <c r="H82" s="114">
        <f t="shared" si="249"/>
        <v>11740749.587733975</v>
      </c>
      <c r="I82" s="114">
        <f t="shared" si="249"/>
        <v>11740749.587733975</v>
      </c>
      <c r="J82" s="114">
        <f t="shared" si="249"/>
        <v>11740749.587733975</v>
      </c>
      <c r="K82" s="114">
        <f t="shared" si="249"/>
        <v>11740749.587733975</v>
      </c>
      <c r="L82" s="114">
        <f t="shared" si="249"/>
        <v>11740749.587733975</v>
      </c>
      <c r="M82" s="114">
        <f t="shared" si="249"/>
        <v>11740749.587733975</v>
      </c>
      <c r="N82" s="114">
        <f t="shared" si="249"/>
        <v>11740749.587733975</v>
      </c>
      <c r="O82" s="114">
        <f t="shared" si="249"/>
        <v>11740749.587733975</v>
      </c>
      <c r="P82" s="114">
        <f t="shared" si="249"/>
        <v>11740749.587733975</v>
      </c>
      <c r="Q82" s="114">
        <f t="shared" si="249"/>
        <v>11740749.587733975</v>
      </c>
      <c r="R82" s="114">
        <f t="shared" si="249"/>
        <v>11740749.587733975</v>
      </c>
      <c r="S82" s="114">
        <f t="shared" si="249"/>
        <v>11740749.587733975</v>
      </c>
      <c r="T82" s="114">
        <f t="shared" si="249"/>
        <v>11740749.587733975</v>
      </c>
      <c r="U82" s="114">
        <f t="shared" si="249"/>
        <v>11740749.587733975</v>
      </c>
      <c r="V82" s="114">
        <f t="shared" si="249"/>
        <v>11740749.587733975</v>
      </c>
      <c r="W82" s="114">
        <f t="shared" si="249"/>
        <v>11740749.587733975</v>
      </c>
      <c r="X82" s="101">
        <f t="shared" si="249"/>
        <v>11740749.587733975</v>
      </c>
    </row>
    <row r="83" spans="1:25" hidden="1" outlineLevel="1">
      <c r="A83" s="95"/>
      <c r="B83" s="36"/>
      <c r="C83" s="126"/>
      <c r="D83" s="121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01"/>
    </row>
    <row r="84" spans="1:25" hidden="1" outlineLevel="1">
      <c r="A84" s="95"/>
      <c r="B84" s="36"/>
      <c r="C84" s="125" t="s">
        <v>47</v>
      </c>
      <c r="D84" s="120"/>
      <c r="E84" s="114">
        <f>INDEX('DATA (Nominal)'!$B$199:$BX$199,1,MATCH(E$1,'DATA (Nominal)'!$B$1:$BX$1,0))*'Resource Options'!$E$9*1000</f>
        <v>4860193.7088262504</v>
      </c>
      <c r="F84" s="114">
        <f>INDEX('DATA (Nominal)'!$B$199:$BX$199,1,MATCH(F$1,'DATA (Nominal)'!$B$1:$BX$1,0))*'Resource Options'!$E$9*1000</f>
        <v>4919626.6523379087</v>
      </c>
      <c r="G84" s="114">
        <f>INDEX('DATA (Nominal)'!$B$199:$BX$199,1,MATCH(G$1,'DATA (Nominal)'!$B$1:$BX$1,0))*'Resource Options'!$E$9*1000</f>
        <v>4979290.1107087629</v>
      </c>
      <c r="H84" s="114">
        <f>INDEX('DATA (Nominal)'!$B$199:$BX$199,1,MATCH(H$1,'DATA (Nominal)'!$B$1:$BX$1,0))*'Resource Options'!$E$9*1000</f>
        <v>5037521.7091353061</v>
      </c>
      <c r="I84" s="114">
        <f>INDEX('DATA (Nominal)'!$B$199:$BX$199,1,MATCH(I$1,'DATA (Nominal)'!$B$1:$BX$1,0))*'Resource Options'!$E$9*1000</f>
        <v>5095905.5214790348</v>
      </c>
      <c r="J84" s="114">
        <f>INDEX('DATA (Nominal)'!$B$199:$BX$199,1,MATCH(J$1,'DATA (Nominal)'!$B$1:$BX$1,0))*'Resource Options'!$E$9*1000</f>
        <v>5154420.0610586656</v>
      </c>
      <c r="K84" s="114">
        <f>INDEX('DATA (Nominal)'!$B$199:$BX$199,1,MATCH(K$1,'DATA (Nominal)'!$B$1:$BX$1,0))*'Resource Options'!$E$9*1000</f>
        <v>5228308.6726339413</v>
      </c>
      <c r="L84" s="114">
        <f>INDEX('DATA (Nominal)'!$B$199:$BX$199,1,MATCH(L$1,'DATA (Nominal)'!$B$1:$BX$1,0))*'Resource Options'!$E$9*1000</f>
        <v>5302953.6438089777</v>
      </c>
      <c r="M84" s="114">
        <f>INDEX('DATA (Nominal)'!$B$199:$BX$199,1,MATCH(M$1,'DATA (Nominal)'!$B$1:$BX$1,0))*'Resource Options'!$E$9*1000</f>
        <v>5378352.4923181599</v>
      </c>
      <c r="N84" s="114">
        <f>INDEX('DATA (Nominal)'!$B$199:$BX$199,1,MATCH(N$1,'DATA (Nominal)'!$B$1:$BX$1,0))*'Resource Options'!$E$9*1000</f>
        <v>5454502.2605981436</v>
      </c>
      <c r="O84" s="114">
        <f>INDEX('DATA (Nominal)'!$B$199:$BX$199,1,MATCH(O$1,'DATA (Nominal)'!$B$1:$BX$1,0))*'Resource Options'!$E$9*1000</f>
        <v>5531399.4960761629</v>
      </c>
      <c r="P84" s="114">
        <f>INDEX('DATA (Nominal)'!$B$199:$BX$199,1,MATCH(P$1,'DATA (Nominal)'!$B$1:$BX$1,0))*'Resource Options'!$E$9*1000</f>
        <v>5609040.230821087</v>
      </c>
      <c r="Q84" s="114">
        <f>INDEX('DATA (Nominal)'!$B$199:$BX$199,1,MATCH(Q$1,'DATA (Nominal)'!$B$1:$BX$1,0))*'Resource Options'!$E$9*1000</f>
        <v>5687419.9605386844</v>
      </c>
      <c r="R84" s="114">
        <f>INDEX('DATA (Nominal)'!$B$199:$BX$199,1,MATCH(R$1,'DATA (Nominal)'!$B$1:$BX$1,0))*'Resource Options'!$E$9*1000</f>
        <v>5766533.6228921413</v>
      </c>
      <c r="S84" s="114">
        <f>INDEX('DATA (Nominal)'!$B$199:$BX$199,1,MATCH(S$1,'DATA (Nominal)'!$B$1:$BX$1,0))*'Resource Options'!$E$9*1000</f>
        <v>5846375.5751282498</v>
      </c>
      <c r="T84" s="114">
        <f>INDEX('DATA (Nominal)'!$B$199:$BX$199,1,MATCH(T$1,'DATA (Nominal)'!$B$1:$BX$1,0))*'Resource Options'!$E$9*1000</f>
        <v>5926939.570989267</v>
      </c>
      <c r="U84" s="114">
        <f>INDEX('DATA (Nominal)'!$B$199:$BX$199,1,MATCH(U$1,'DATA (Nominal)'!$B$1:$BX$1,0))*'Resource Options'!$E$9*1000</f>
        <v>6008218.7368898056</v>
      </c>
      <c r="V84" s="114">
        <f>INDEX('DATA (Nominal)'!$B$199:$BX$199,1,MATCH(V$1,'DATA (Nominal)'!$B$1:$BX$1,0))*'Resource Options'!$E$9*1000</f>
        <v>6090205.5473376103</v>
      </c>
      <c r="W84" s="114">
        <f>INDEX('DATA (Nominal)'!$B$199:$BX$199,1,MATCH(W$1,'DATA (Nominal)'!$B$1:$BX$1,0))*'Resource Options'!$E$9*1000</f>
        <v>6172891.7995764641</v>
      </c>
      <c r="X84" s="101">
        <f>INDEX('DATA (Nominal)'!$B$199:$BX$199,1,MATCH(X$1,'DATA (Nominal)'!$B$1:$BX$1,0))*'Resource Options'!$E$9*1000</f>
        <v>6256268.5874289135</v>
      </c>
    </row>
    <row r="85" spans="1:25" hidden="1" outlineLevel="1">
      <c r="A85" s="95"/>
      <c r="B85" s="36"/>
      <c r="C85" s="125" t="s">
        <v>48</v>
      </c>
      <c r="D85" s="120"/>
      <c r="E85" s="114">
        <f>INDEX('DATA (Nominal)'!$B$121:$BX$121,1,MATCH(E$1,'DATA (Nominal)'!$B$1:$BX$1,0))*E80</f>
        <v>0</v>
      </c>
      <c r="F85" s="114">
        <f>INDEX('DATA (Nominal)'!$B$121:$BX$121,1,MATCH(F$1,'DATA (Nominal)'!$B$1:$BX$1,0))*F80</f>
        <v>0</v>
      </c>
      <c r="G85" s="114">
        <f>INDEX('DATA (Nominal)'!$B$121:$BX$121,1,MATCH(G$1,'DATA (Nominal)'!$B$1:$BX$1,0))*G80</f>
        <v>0</v>
      </c>
      <c r="H85" s="114">
        <f>INDEX('DATA (Nominal)'!$B$121:$BX$121,1,MATCH(H$1,'DATA (Nominal)'!$B$1:$BX$1,0))*H80</f>
        <v>0</v>
      </c>
      <c r="I85" s="114">
        <f>INDEX('DATA (Nominal)'!$B$121:$BX$121,1,MATCH(I$1,'DATA (Nominal)'!$B$1:$BX$1,0))*I80</f>
        <v>0</v>
      </c>
      <c r="J85" s="114">
        <f>INDEX('DATA (Nominal)'!$B$121:$BX$121,1,MATCH(J$1,'DATA (Nominal)'!$B$1:$BX$1,0))*J80</f>
        <v>0</v>
      </c>
      <c r="K85" s="114">
        <f>INDEX('DATA (Nominal)'!$B$121:$BX$121,1,MATCH(K$1,'DATA (Nominal)'!$B$1:$BX$1,0))*K80</f>
        <v>0</v>
      </c>
      <c r="L85" s="114">
        <f>INDEX('DATA (Nominal)'!$B$121:$BX$121,1,MATCH(L$1,'DATA (Nominal)'!$B$1:$BX$1,0))*L80</f>
        <v>0</v>
      </c>
      <c r="M85" s="114">
        <f>INDEX('DATA (Nominal)'!$B$121:$BX$121,1,MATCH(M$1,'DATA (Nominal)'!$B$1:$BX$1,0))*M80</f>
        <v>0</v>
      </c>
      <c r="N85" s="114">
        <f>INDEX('DATA (Nominal)'!$B$121:$BX$121,1,MATCH(N$1,'DATA (Nominal)'!$B$1:$BX$1,0))*N80</f>
        <v>0</v>
      </c>
      <c r="O85" s="114">
        <f>INDEX('DATA (Nominal)'!$B$121:$BX$121,1,MATCH(O$1,'DATA (Nominal)'!$B$1:$BX$1,0))*O80</f>
        <v>0</v>
      </c>
      <c r="P85" s="114">
        <f>INDEX('DATA (Nominal)'!$B$121:$BX$121,1,MATCH(P$1,'DATA (Nominal)'!$B$1:$BX$1,0))*P80</f>
        <v>0</v>
      </c>
      <c r="Q85" s="114">
        <f>INDEX('DATA (Nominal)'!$B$121:$BX$121,1,MATCH(Q$1,'DATA (Nominal)'!$B$1:$BX$1,0))*Q80</f>
        <v>0</v>
      </c>
      <c r="R85" s="114">
        <f>INDEX('DATA (Nominal)'!$B$121:$BX$121,1,MATCH(R$1,'DATA (Nominal)'!$B$1:$BX$1,0))*R80</f>
        <v>0</v>
      </c>
      <c r="S85" s="114">
        <f>INDEX('DATA (Nominal)'!$B$121:$BX$121,1,MATCH(S$1,'DATA (Nominal)'!$B$1:$BX$1,0))*S80</f>
        <v>0</v>
      </c>
      <c r="T85" s="114">
        <f>INDEX('DATA (Nominal)'!$B$121:$BX$121,1,MATCH(T$1,'DATA (Nominal)'!$B$1:$BX$1,0))*T80</f>
        <v>0</v>
      </c>
      <c r="U85" s="114">
        <f>INDEX('DATA (Nominal)'!$B$121:$BX$121,1,MATCH(U$1,'DATA (Nominal)'!$B$1:$BX$1,0))*U80</f>
        <v>0</v>
      </c>
      <c r="V85" s="114">
        <f>INDEX('DATA (Nominal)'!$B$121:$BX$121,1,MATCH(V$1,'DATA (Nominal)'!$B$1:$BX$1,0))*V80</f>
        <v>0</v>
      </c>
      <c r="W85" s="114">
        <f>INDEX('DATA (Nominal)'!$B$121:$BX$121,1,MATCH(W$1,'DATA (Nominal)'!$B$1:$BX$1,0))*W80</f>
        <v>0</v>
      </c>
      <c r="X85" s="101">
        <f>INDEX('DATA (Nominal)'!$B$121:$BX$121,1,MATCH(X$1,'DATA (Nominal)'!$B$1:$BX$1,0))*X80</f>
        <v>0</v>
      </c>
    </row>
    <row r="86" spans="1:25" hidden="1" outlineLevel="1">
      <c r="A86" s="95"/>
      <c r="B86" s="36"/>
      <c r="C86" s="126" t="s">
        <v>49</v>
      </c>
      <c r="D86" s="121"/>
      <c r="E86" s="114">
        <f t="shared" ref="E86:X86" si="250">D105*Property_Tax_Rate</f>
        <v>1648824.4328083398</v>
      </c>
      <c r="F86" s="114">
        <f t="shared" si="250"/>
        <v>1556952.7268827639</v>
      </c>
      <c r="G86" s="114">
        <f t="shared" si="250"/>
        <v>1470200.0683110044</v>
      </c>
      <c r="H86" s="114">
        <f t="shared" si="250"/>
        <v>1388281.2262317573</v>
      </c>
      <c r="I86" s="114">
        <f t="shared" si="250"/>
        <v>1310926.8627103942</v>
      </c>
      <c r="J86" s="114">
        <f t="shared" si="250"/>
        <v>1237882.6471927152</v>
      </c>
      <c r="K86" s="114">
        <f t="shared" si="250"/>
        <v>1168908.420300917</v>
      </c>
      <c r="L86" s="114">
        <f t="shared" si="250"/>
        <v>1103777.4042224463</v>
      </c>
      <c r="M86" s="114">
        <f t="shared" si="250"/>
        <v>1042275.4570956065</v>
      </c>
      <c r="N86" s="114">
        <f t="shared" si="250"/>
        <v>984200.36894044233</v>
      </c>
      <c r="O86" s="114">
        <f t="shared" si="250"/>
        <v>929361.19682001683</v>
      </c>
      <c r="P86" s="114">
        <f t="shared" si="250"/>
        <v>877577.63704618206</v>
      </c>
      <c r="Q86" s="114">
        <f t="shared" si="250"/>
        <v>828679.43236574437</v>
      </c>
      <c r="R86" s="114">
        <f t="shared" si="250"/>
        <v>782505.81217793119</v>
      </c>
      <c r="S86" s="114">
        <f t="shared" si="250"/>
        <v>738904.96394267131</v>
      </c>
      <c r="T86" s="114">
        <f t="shared" si="250"/>
        <v>697733.53404175327</v>
      </c>
      <c r="U86" s="114">
        <f t="shared" si="250"/>
        <v>658856.15645175974</v>
      </c>
      <c r="V86" s="114">
        <f t="shared" si="250"/>
        <v>622145.00767911936</v>
      </c>
      <c r="W86" s="114">
        <f t="shared" si="250"/>
        <v>587479.38649396482</v>
      </c>
      <c r="X86" s="101">
        <f t="shared" si="250"/>
        <v>554745.31708101777</v>
      </c>
    </row>
    <row r="87" spans="1:25" hidden="1" outlineLevel="1">
      <c r="A87" s="95"/>
      <c r="B87" s="36"/>
      <c r="C87" s="126" t="s">
        <v>50</v>
      </c>
      <c r="D87" s="121"/>
      <c r="E87" s="114">
        <f>SUM(E84:E86)</f>
        <v>6509018.14163459</v>
      </c>
      <c r="F87" s="114">
        <f t="shared" ref="F87:X87" si="251">SUM(F84:F86)</f>
        <v>6476579.3792206729</v>
      </c>
      <c r="G87" s="114">
        <f t="shared" si="251"/>
        <v>6449490.1790197678</v>
      </c>
      <c r="H87" s="114">
        <f t="shared" si="251"/>
        <v>6425802.9353670636</v>
      </c>
      <c r="I87" s="114">
        <f t="shared" si="251"/>
        <v>6406832.3841894288</v>
      </c>
      <c r="J87" s="114">
        <f t="shared" si="251"/>
        <v>6392302.7082513813</v>
      </c>
      <c r="K87" s="114">
        <f t="shared" si="251"/>
        <v>6397217.0929348581</v>
      </c>
      <c r="L87" s="114">
        <f t="shared" si="251"/>
        <v>6406731.0480314242</v>
      </c>
      <c r="M87" s="114">
        <f t="shared" si="251"/>
        <v>6420627.9494137662</v>
      </c>
      <c r="N87" s="114">
        <f t="shared" si="251"/>
        <v>6438702.6295385864</v>
      </c>
      <c r="O87" s="114">
        <f t="shared" si="251"/>
        <v>6460760.6928961799</v>
      </c>
      <c r="P87" s="114">
        <f t="shared" si="251"/>
        <v>6486617.8678672686</v>
      </c>
      <c r="Q87" s="114">
        <f t="shared" si="251"/>
        <v>6516099.3929044288</v>
      </c>
      <c r="R87" s="114">
        <f t="shared" si="251"/>
        <v>6549039.4350700723</v>
      </c>
      <c r="S87" s="114">
        <f t="shared" si="251"/>
        <v>6585280.539070921</v>
      </c>
      <c r="T87" s="114">
        <f t="shared" si="251"/>
        <v>6624673.10503102</v>
      </c>
      <c r="U87" s="114">
        <f t="shared" si="251"/>
        <v>6667074.8933415655</v>
      </c>
      <c r="V87" s="114">
        <f t="shared" si="251"/>
        <v>6712350.55501673</v>
      </c>
      <c r="W87" s="114">
        <f t="shared" si="251"/>
        <v>6760371.1860704292</v>
      </c>
      <c r="X87" s="101">
        <f t="shared" si="251"/>
        <v>6811013.9045099309</v>
      </c>
    </row>
    <row r="88" spans="1:25" hidden="1" outlineLevel="1">
      <c r="A88" s="95"/>
      <c r="B88" s="36"/>
      <c r="C88" s="126"/>
      <c r="D88" s="121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01"/>
    </row>
    <row r="89" spans="1:25" hidden="1" outlineLevel="1">
      <c r="A89" s="95"/>
      <c r="B89" s="36"/>
      <c r="C89" s="125" t="s">
        <v>51</v>
      </c>
      <c r="D89" s="120"/>
      <c r="E89" s="114">
        <f>E82-E87</f>
        <v>5231731.4460993847</v>
      </c>
      <c r="F89" s="114">
        <f t="shared" ref="F89:X89" si="252">F82-F87</f>
        <v>5264170.2085133018</v>
      </c>
      <c r="G89" s="114">
        <f t="shared" si="252"/>
        <v>5291259.4087142069</v>
      </c>
      <c r="H89" s="114">
        <f t="shared" si="252"/>
        <v>5314946.6523669111</v>
      </c>
      <c r="I89" s="114">
        <f t="shared" si="252"/>
        <v>5333917.2035445459</v>
      </c>
      <c r="J89" s="114">
        <f t="shared" si="252"/>
        <v>5348446.8794825934</v>
      </c>
      <c r="K89" s="114">
        <f t="shared" si="252"/>
        <v>5343532.4947991166</v>
      </c>
      <c r="L89" s="114">
        <f t="shared" si="252"/>
        <v>5334018.5397025505</v>
      </c>
      <c r="M89" s="114">
        <f t="shared" si="252"/>
        <v>5320121.6383202085</v>
      </c>
      <c r="N89" s="114">
        <f t="shared" si="252"/>
        <v>5302046.9581953883</v>
      </c>
      <c r="O89" s="114">
        <f t="shared" si="252"/>
        <v>5279988.8948377948</v>
      </c>
      <c r="P89" s="114">
        <f t="shared" si="252"/>
        <v>5254131.7198667061</v>
      </c>
      <c r="Q89" s="114">
        <f t="shared" si="252"/>
        <v>5224650.1948295459</v>
      </c>
      <c r="R89" s="114">
        <f t="shared" si="252"/>
        <v>5191710.1526639024</v>
      </c>
      <c r="S89" s="114">
        <f t="shared" si="252"/>
        <v>5155469.0486630537</v>
      </c>
      <c r="T89" s="114">
        <f t="shared" si="252"/>
        <v>5116076.4827029547</v>
      </c>
      <c r="U89" s="114">
        <f t="shared" si="252"/>
        <v>5073674.6943924092</v>
      </c>
      <c r="V89" s="114">
        <f t="shared" si="252"/>
        <v>5028399.0327172447</v>
      </c>
      <c r="W89" s="114">
        <f t="shared" si="252"/>
        <v>4980378.4016635455</v>
      </c>
      <c r="X89" s="101">
        <f t="shared" si="252"/>
        <v>4929735.6832240438</v>
      </c>
    </row>
    <row r="90" spans="1:25" hidden="1" outlineLevel="1">
      <c r="A90" s="95"/>
      <c r="B90" s="36"/>
      <c r="C90" s="125" t="s">
        <v>52</v>
      </c>
      <c r="D90" s="120"/>
      <c r="E90" s="114">
        <f>E89-E106-E97</f>
        <v>-32792993.404591553</v>
      </c>
      <c r="F90" s="114">
        <f t="shared" ref="F90:X90" si="253">F89-F106-F97</f>
        <v>-52401667.803960659</v>
      </c>
      <c r="G90" s="114">
        <f t="shared" si="253"/>
        <v>-31116882.930140514</v>
      </c>
      <c r="H90" s="114">
        <f t="shared" si="253"/>
        <v>-18269080.247495286</v>
      </c>
      <c r="I90" s="114">
        <f t="shared" si="253"/>
        <v>-18080102.992566824</v>
      </c>
      <c r="J90" s="114">
        <f t="shared" si="253"/>
        <v>-8388987.5111956205</v>
      </c>
      <c r="K90" s="114">
        <f t="shared" si="253"/>
        <v>1292548.5485392017</v>
      </c>
      <c r="L90" s="114">
        <f t="shared" si="253"/>
        <v>1482663.4990142207</v>
      </c>
      <c r="M90" s="114">
        <f t="shared" si="253"/>
        <v>1679375.0930099017</v>
      </c>
      <c r="N90" s="114">
        <f t="shared" si="253"/>
        <v>1883492.3755088951</v>
      </c>
      <c r="O90" s="114">
        <f t="shared" si="253"/>
        <v>2095846.8327194257</v>
      </c>
      <c r="P90" s="114">
        <f t="shared" si="253"/>
        <v>2317294.8669477068</v>
      </c>
      <c r="Q90" s="114">
        <f t="shared" si="253"/>
        <v>2548720.3376158825</v>
      </c>
      <c r="R90" s="114">
        <f t="shared" si="253"/>
        <v>2791037.1759193679</v>
      </c>
      <c r="S90" s="114">
        <f t="shared" si="253"/>
        <v>3045192.0808134503</v>
      </c>
      <c r="T90" s="114">
        <f t="shared" si="253"/>
        <v>3312167.304237504</v>
      </c>
      <c r="U90" s="114">
        <f t="shared" si="253"/>
        <v>3592983.5337272398</v>
      </c>
      <c r="V90" s="114">
        <f t="shared" si="253"/>
        <v>3888702.8808313711</v>
      </c>
      <c r="W90" s="114">
        <f t="shared" si="253"/>
        <v>4200431.98403983</v>
      </c>
      <c r="X90" s="101">
        <f t="shared" si="253"/>
        <v>4529325.2352469042</v>
      </c>
    </row>
    <row r="91" spans="1:25" hidden="1" outlineLevel="1">
      <c r="A91" s="95"/>
      <c r="B91" s="36"/>
      <c r="C91" s="125" t="s">
        <v>53</v>
      </c>
      <c r="D91" s="120"/>
      <c r="E91" s="114">
        <f>INDEX('DATA (Nominal)'!$B$267:$BX$267,1,MATCH($B$1,'DATA (Nominal)'!$B$1:$BX$1,0))*INDEX('DATA (Nominal)'!$B$295:$BX$295,1,MATCH(E$1,'DATA (Nominal)'!$B$1:$BX$1,0))*E80</f>
        <v>10081223.718617145</v>
      </c>
      <c r="F91" s="114">
        <f>INDEX('DATA (Nominal)'!$B$267:$BX$267,1,MATCH($B$1,'DATA (Nominal)'!$B$1:$BX$1,0))*INDEX('DATA (Nominal)'!$B$295:$BX$295,1,MATCH(F$1,'DATA (Nominal)'!$B$1:$BX$1,0))*F80</f>
        <v>10306371.048332928</v>
      </c>
      <c r="G91" s="114">
        <f>INDEX('DATA (Nominal)'!$B$267:$BX$267,1,MATCH($B$1,'DATA (Nominal)'!$B$1:$BX$1,0))*INDEX('DATA (Nominal)'!$B$295:$BX$295,1,MATCH(G$1,'DATA (Nominal)'!$B$1:$BX$1,0))*G80</f>
        <v>10536546.668412363</v>
      </c>
      <c r="H91" s="114">
        <f>INDEX('DATA (Nominal)'!$B$267:$BX$267,1,MATCH($B$1,'DATA (Nominal)'!$B$1:$BX$1,0))*INDEX('DATA (Nominal)'!$B$295:$BX$295,1,MATCH(H$1,'DATA (Nominal)'!$B$1:$BX$1,0))*H80</f>
        <v>10768350.695117436</v>
      </c>
      <c r="I91" s="114">
        <f>INDEX('DATA (Nominal)'!$B$267:$BX$267,1,MATCH($B$1,'DATA (Nominal)'!$B$1:$BX$1,0))*INDEX('DATA (Nominal)'!$B$295:$BX$295,1,MATCH(I$1,'DATA (Nominal)'!$B$1:$BX$1,0))*I80</f>
        <v>11005254.410410019</v>
      </c>
      <c r="J91" s="114">
        <f>INDEX('DATA (Nominal)'!$B$267:$BX$267,1,MATCH($B$1,'DATA (Nominal)'!$B$1:$BX$1,0))*INDEX('DATA (Nominal)'!$B$295:$BX$295,1,MATCH(J$1,'DATA (Nominal)'!$B$1:$BX$1,0))*J80</f>
        <v>11247370.007439042</v>
      </c>
      <c r="K91" s="114">
        <f>INDEX('DATA (Nominal)'!$B$267:$BX$267,1,MATCH($B$1,'DATA (Nominal)'!$B$1:$BX$1,0))*INDEX('DATA (Nominal)'!$B$295:$BX$295,1,MATCH(K$1,'DATA (Nominal)'!$B$1:$BX$1,0))*K80</f>
        <v>11494812.147602698</v>
      </c>
      <c r="L91" s="114">
        <f>INDEX('DATA (Nominal)'!$B$267:$BX$267,1,MATCH($B$1,'DATA (Nominal)'!$B$1:$BX$1,0))*INDEX('DATA (Nominal)'!$B$295:$BX$295,1,MATCH(L$1,'DATA (Nominal)'!$B$1:$BX$1,0))*L80</f>
        <v>11747698.014849959</v>
      </c>
      <c r="M91" s="114">
        <f>INDEX('DATA (Nominal)'!$B$267:$BX$267,1,MATCH($B$1,'DATA (Nominal)'!$B$1:$BX$1,0))*INDEX('DATA (Nominal)'!$B$295:$BX$295,1,MATCH(M$1,'DATA (Nominal)'!$B$1:$BX$1,0))*M80</f>
        <v>12006147.371176658</v>
      </c>
      <c r="N91" s="114">
        <f>INDEX('DATA (Nominal)'!$B$267:$BX$267,1,MATCH($B$1,'DATA (Nominal)'!$B$1:$BX$1,0))*INDEX('DATA (Nominal)'!$B$295:$BX$295,1,MATCH(N$1,'DATA (Nominal)'!$B$1:$BX$1,0))*N80</f>
        <v>12270282.613342544</v>
      </c>
      <c r="O91" s="114"/>
      <c r="P91" s="114"/>
      <c r="Q91" s="114"/>
      <c r="R91" s="114"/>
      <c r="S91" s="114"/>
      <c r="T91" s="114"/>
      <c r="U91" s="114"/>
      <c r="V91" s="114"/>
      <c r="W91" s="114"/>
      <c r="X91" s="101"/>
    </row>
    <row r="92" spans="1:25" hidden="1" outlineLevel="1">
      <c r="A92" s="95"/>
      <c r="B92" s="36"/>
      <c r="C92" s="126" t="s">
        <v>54</v>
      </c>
      <c r="D92" s="121"/>
      <c r="E92" s="114">
        <f t="shared" ref="E92:X92" si="254">E90*Federal_Tax_Rate-E91</f>
        <v>-16967752.333581373</v>
      </c>
      <c r="F92" s="114">
        <f t="shared" si="254"/>
        <v>-21310721.287164666</v>
      </c>
      <c r="G92" s="114">
        <f t="shared" si="254"/>
        <v>-17071092.08374187</v>
      </c>
      <c r="H92" s="114">
        <f t="shared" si="254"/>
        <v>-14604857.547091447</v>
      </c>
      <c r="I92" s="114">
        <f t="shared" si="254"/>
        <v>-14802076.038849052</v>
      </c>
      <c r="J92" s="114">
        <f t="shared" si="254"/>
        <v>-13009057.384790123</v>
      </c>
      <c r="K92" s="114">
        <f t="shared" si="254"/>
        <v>-11223376.952409465</v>
      </c>
      <c r="L92" s="114">
        <f t="shared" si="254"/>
        <v>-11436338.680056972</v>
      </c>
      <c r="M92" s="114">
        <f t="shared" si="254"/>
        <v>-11653478.601644579</v>
      </c>
      <c r="N92" s="114">
        <f t="shared" si="254"/>
        <v>-11874749.214485677</v>
      </c>
      <c r="O92" s="114">
        <f t="shared" si="254"/>
        <v>440127.83487107937</v>
      </c>
      <c r="P92" s="114">
        <f t="shared" si="254"/>
        <v>486631.9220590184</v>
      </c>
      <c r="Q92" s="114">
        <f t="shared" si="254"/>
        <v>535231.27089933527</v>
      </c>
      <c r="R92" s="114">
        <f t="shared" si="254"/>
        <v>586117.80694306723</v>
      </c>
      <c r="S92" s="114">
        <f t="shared" si="254"/>
        <v>639490.33697082452</v>
      </c>
      <c r="T92" s="114">
        <f t="shared" si="254"/>
        <v>695555.13388987584</v>
      </c>
      <c r="U92" s="114">
        <f t="shared" si="254"/>
        <v>754526.54208272032</v>
      </c>
      <c r="V92" s="114">
        <f t="shared" si="254"/>
        <v>816627.60497458791</v>
      </c>
      <c r="W92" s="114">
        <f t="shared" si="254"/>
        <v>882090.71664836432</v>
      </c>
      <c r="X92" s="101">
        <f t="shared" si="254"/>
        <v>951158.29940184986</v>
      </c>
    </row>
    <row r="93" spans="1:25" hidden="1" outlineLevel="1">
      <c r="A93" s="95"/>
      <c r="B93" s="36"/>
      <c r="C93" s="126"/>
      <c r="D93" s="121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01"/>
    </row>
    <row r="94" spans="1:25" hidden="1" outlineLevel="1">
      <c r="A94" s="95"/>
      <c r="B94" s="37">
        <f>IRR(D94:Y94,0.1)</f>
        <v>7.5000001374605274E-2</v>
      </c>
      <c r="C94" s="125" t="s">
        <v>55</v>
      </c>
      <c r="D94" s="100">
        <f>-INDEX('DATA (Nominal)'!$B$80:$BX$80,1,MATCH($B$1,'DATA (Nominal)'!$B$1:$BX$1,0))*'Resource Options'!$E$9/1000*1000000*(1+AFUDC!$C$9)</f>
        <v>-164882443.28083399</v>
      </c>
      <c r="E94" s="114">
        <f>E89-E92</f>
        <v>22199483.779680759</v>
      </c>
      <c r="F94" s="114">
        <f t="shared" ref="F94:X94" si="255">F89-F92</f>
        <v>26574891.495677967</v>
      </c>
      <c r="G94" s="114">
        <f t="shared" si="255"/>
        <v>22362351.492456079</v>
      </c>
      <c r="H94" s="114">
        <f t="shared" si="255"/>
        <v>19919804.199458357</v>
      </c>
      <c r="I94" s="114">
        <f t="shared" si="255"/>
        <v>20135993.242393598</v>
      </c>
      <c r="J94" s="114">
        <f t="shared" si="255"/>
        <v>18357504.264272716</v>
      </c>
      <c r="K94" s="114">
        <f t="shared" si="255"/>
        <v>16566909.447208581</v>
      </c>
      <c r="L94" s="114">
        <f t="shared" si="255"/>
        <v>16770357.219759524</v>
      </c>
      <c r="M94" s="114">
        <f t="shared" si="255"/>
        <v>16973600.239964787</v>
      </c>
      <c r="N94" s="114">
        <f t="shared" si="255"/>
        <v>17176796.172681063</v>
      </c>
      <c r="O94" s="114">
        <f t="shared" si="255"/>
        <v>4839861.0599667151</v>
      </c>
      <c r="P94" s="114">
        <f t="shared" si="255"/>
        <v>4767499.7978076879</v>
      </c>
      <c r="Q94" s="114">
        <f t="shared" si="255"/>
        <v>4689418.923930211</v>
      </c>
      <c r="R94" s="114">
        <f t="shared" si="255"/>
        <v>4605592.345720835</v>
      </c>
      <c r="S94" s="114">
        <f t="shared" si="255"/>
        <v>4515978.7116922289</v>
      </c>
      <c r="T94" s="114">
        <f t="shared" si="255"/>
        <v>4420521.3488130793</v>
      </c>
      <c r="U94" s="114">
        <f t="shared" si="255"/>
        <v>4319148.1523096887</v>
      </c>
      <c r="V94" s="114">
        <f t="shared" si="255"/>
        <v>4211771.4277426563</v>
      </c>
      <c r="W94" s="114">
        <f t="shared" si="255"/>
        <v>4098287.6850151811</v>
      </c>
      <c r="X94" s="101">
        <f t="shared" si="255"/>
        <v>3978577.3838221938</v>
      </c>
      <c r="Y94" s="24">
        <f>D94*-0.3</f>
        <v>49464732.984250195</v>
      </c>
    </row>
    <row r="95" spans="1:25" hidden="1" outlineLevel="1">
      <c r="A95" s="95"/>
      <c r="B95" s="37">
        <f>IRR(D95:Y95,0.1)</f>
        <v>-5.4291991831900144E-2</v>
      </c>
      <c r="C95" s="125" t="s">
        <v>56</v>
      </c>
      <c r="D95" s="102">
        <f>-E111</f>
        <v>-45003921.094660401</v>
      </c>
      <c r="E95" s="114">
        <f>E94-E91-E97-E99-E107</f>
        <v>-2487402.9679292459</v>
      </c>
      <c r="F95" s="114">
        <f t="shared" ref="F95:X95" si="256">F94-F91-F97-F99-F107</f>
        <v>-2492180.1523248367</v>
      </c>
      <c r="G95" s="114">
        <f t="shared" si="256"/>
        <v>-2502855.7002373422</v>
      </c>
      <c r="H95" s="114">
        <f t="shared" si="256"/>
        <v>-2517982.9747068472</v>
      </c>
      <c r="I95" s="114">
        <f t="shared" si="256"/>
        <v>-2538697.6470641885</v>
      </c>
      <c r="J95" s="114">
        <f t="shared" si="256"/>
        <v>-2564884.1882891254</v>
      </c>
      <c r="K95" s="114">
        <f t="shared" si="256"/>
        <v>-2608503.1115919482</v>
      </c>
      <c r="L95" s="114">
        <f t="shared" si="256"/>
        <v>-2657941.2062882669</v>
      </c>
      <c r="M95" s="114">
        <f t="shared" si="256"/>
        <v>-2713147.5424097031</v>
      </c>
      <c r="N95" s="114">
        <f t="shared" si="256"/>
        <v>-2774086.8518593125</v>
      </c>
      <c r="O95" s="114">
        <f t="shared" si="256"/>
        <v>-2840739.3512311168</v>
      </c>
      <c r="P95" s="114">
        <f t="shared" si="256"/>
        <v>-2913100.613390144</v>
      </c>
      <c r="Q95" s="114">
        <f t="shared" si="256"/>
        <v>-2991181.4872676213</v>
      </c>
      <c r="R95" s="114">
        <f t="shared" si="256"/>
        <v>-3075008.0654769968</v>
      </c>
      <c r="S95" s="114">
        <f t="shared" si="256"/>
        <v>-3164621.6995056034</v>
      </c>
      <c r="T95" s="114">
        <f t="shared" si="256"/>
        <v>-3260079.062384753</v>
      </c>
      <c r="U95" s="114">
        <f t="shared" si="256"/>
        <v>-3361452.2588881431</v>
      </c>
      <c r="V95" s="114">
        <f t="shared" si="256"/>
        <v>-3468828.9834551755</v>
      </c>
      <c r="W95" s="114">
        <f t="shared" si="256"/>
        <v>-3582312.7261826508</v>
      </c>
      <c r="X95" s="101">
        <f t="shared" si="256"/>
        <v>-3702023.0273756385</v>
      </c>
      <c r="Y95" s="24">
        <f>Y94</f>
        <v>49464732.984250195</v>
      </c>
    </row>
    <row r="96" spans="1:25" hidden="1" outlineLevel="1">
      <c r="A96" s="95"/>
      <c r="B96" s="21"/>
      <c r="C96" s="125"/>
      <c r="D96" s="102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01"/>
    </row>
    <row r="97" spans="1:25" hidden="1" outlineLevel="1">
      <c r="A97" s="95"/>
      <c r="C97" s="126" t="s">
        <v>57</v>
      </c>
      <c r="D97" s="99"/>
      <c r="E97" s="114">
        <f t="shared" ref="E97:X97" si="257">D100*Debt_Rate</f>
        <v>5048236.194524141</v>
      </c>
      <c r="F97" s="114">
        <f t="shared" si="257"/>
        <v>4903456.1626070878</v>
      </c>
      <c r="G97" s="114">
        <f t="shared" si="257"/>
        <v>4750713.2289345972</v>
      </c>
      <c r="H97" s="114">
        <f t="shared" si="257"/>
        <v>4589569.4339101193</v>
      </c>
      <c r="I97" s="114">
        <f t="shared" si="257"/>
        <v>4419562.7301592957</v>
      </c>
      <c r="J97" s="114">
        <f t="shared" si="257"/>
        <v>4240205.6577021759</v>
      </c>
      <c r="K97" s="114">
        <f t="shared" si="257"/>
        <v>4050983.9462599149</v>
      </c>
      <c r="L97" s="114">
        <f t="shared" si="257"/>
        <v>3851355.0406883298</v>
      </c>
      <c r="M97" s="114">
        <f t="shared" si="257"/>
        <v>3640746.5453103068</v>
      </c>
      <c r="N97" s="114">
        <f t="shared" si="257"/>
        <v>3418554.5826864932</v>
      </c>
      <c r="O97" s="114">
        <f t="shared" si="257"/>
        <v>3184142.0621183692</v>
      </c>
      <c r="P97" s="114">
        <f t="shared" si="257"/>
        <v>2936836.8529189993</v>
      </c>
      <c r="Q97" s="114">
        <f t="shared" si="257"/>
        <v>2675929.8572136634</v>
      </c>
      <c r="R97" s="114">
        <f t="shared" si="257"/>
        <v>2400672.9767445344</v>
      </c>
      <c r="S97" s="114">
        <f t="shared" si="257"/>
        <v>2110276.9678496034</v>
      </c>
      <c r="T97" s="114">
        <f t="shared" si="257"/>
        <v>1803909.1784654506</v>
      </c>
      <c r="U97" s="114">
        <f t="shared" si="257"/>
        <v>1480691.1606651696</v>
      </c>
      <c r="V97" s="114">
        <f t="shared" si="257"/>
        <v>1139696.1518858734</v>
      </c>
      <c r="W97" s="114">
        <f t="shared" si="257"/>
        <v>779946.41762371559</v>
      </c>
      <c r="X97" s="101">
        <f t="shared" si="257"/>
        <v>400410.44797713915</v>
      </c>
    </row>
    <row r="98" spans="1:25" hidden="1" outlineLevel="1">
      <c r="A98" s="95"/>
      <c r="C98" s="126" t="s">
        <v>58</v>
      </c>
      <c r="D98" s="99"/>
      <c r="E98" s="114">
        <f t="shared" ref="E98:X98" si="258">-PMT(Debt_Rate,20,$E110)</f>
        <v>7680600.4111978319</v>
      </c>
      <c r="F98" s="114">
        <f t="shared" si="258"/>
        <v>7680600.4111978319</v>
      </c>
      <c r="G98" s="114">
        <f t="shared" si="258"/>
        <v>7680600.4111978319</v>
      </c>
      <c r="H98" s="114">
        <f t="shared" si="258"/>
        <v>7680600.4111978319</v>
      </c>
      <c r="I98" s="114">
        <f t="shared" si="258"/>
        <v>7680600.4111978319</v>
      </c>
      <c r="J98" s="114">
        <f t="shared" si="258"/>
        <v>7680600.4111978319</v>
      </c>
      <c r="K98" s="114">
        <f t="shared" si="258"/>
        <v>7680600.4111978319</v>
      </c>
      <c r="L98" s="114">
        <f t="shared" si="258"/>
        <v>7680600.4111978319</v>
      </c>
      <c r="M98" s="114">
        <f t="shared" si="258"/>
        <v>7680600.4111978319</v>
      </c>
      <c r="N98" s="114">
        <f t="shared" si="258"/>
        <v>7680600.4111978319</v>
      </c>
      <c r="O98" s="114">
        <f t="shared" si="258"/>
        <v>7680600.4111978319</v>
      </c>
      <c r="P98" s="114">
        <f t="shared" si="258"/>
        <v>7680600.4111978319</v>
      </c>
      <c r="Q98" s="114">
        <f t="shared" si="258"/>
        <v>7680600.4111978319</v>
      </c>
      <c r="R98" s="114">
        <f t="shared" si="258"/>
        <v>7680600.4111978319</v>
      </c>
      <c r="S98" s="114">
        <f t="shared" si="258"/>
        <v>7680600.4111978319</v>
      </c>
      <c r="T98" s="114">
        <f t="shared" si="258"/>
        <v>7680600.4111978319</v>
      </c>
      <c r="U98" s="114">
        <f t="shared" si="258"/>
        <v>7680600.4111978319</v>
      </c>
      <c r="V98" s="114">
        <f t="shared" si="258"/>
        <v>7680600.4111978319</v>
      </c>
      <c r="W98" s="114">
        <f t="shared" si="258"/>
        <v>7680600.4111978319</v>
      </c>
      <c r="X98" s="101">
        <f t="shared" si="258"/>
        <v>7680600.4111978319</v>
      </c>
    </row>
    <row r="99" spans="1:25" hidden="1" outlineLevel="1">
      <c r="A99" s="95"/>
      <c r="C99" s="126" t="s">
        <v>59</v>
      </c>
      <c r="D99" s="99"/>
      <c r="E99" s="114">
        <f>E98-E97</f>
        <v>2632364.2166736908</v>
      </c>
      <c r="F99" s="114">
        <f>F98-F97</f>
        <v>2777144.2485907441</v>
      </c>
      <c r="G99" s="114">
        <f t="shared" ref="G99:X99" si="259">G98-G97</f>
        <v>2929887.1822632346</v>
      </c>
      <c r="H99" s="114">
        <f t="shared" si="259"/>
        <v>3091030.9772877125</v>
      </c>
      <c r="I99" s="114">
        <f t="shared" si="259"/>
        <v>3261037.6810385361</v>
      </c>
      <c r="J99" s="114">
        <f t="shared" si="259"/>
        <v>3440394.753495656</v>
      </c>
      <c r="K99" s="114">
        <f t="shared" si="259"/>
        <v>3629616.464937917</v>
      </c>
      <c r="L99" s="114">
        <f t="shared" si="259"/>
        <v>3829245.370509502</v>
      </c>
      <c r="M99" s="114">
        <f t="shared" si="259"/>
        <v>4039853.865887525</v>
      </c>
      <c r="N99" s="114">
        <f t="shared" si="259"/>
        <v>4262045.8285113387</v>
      </c>
      <c r="O99" s="114">
        <f t="shared" si="259"/>
        <v>4496458.3490794627</v>
      </c>
      <c r="P99" s="114">
        <f t="shared" si="259"/>
        <v>4743763.5582788326</v>
      </c>
      <c r="Q99" s="114">
        <f t="shared" si="259"/>
        <v>5004670.5539841689</v>
      </c>
      <c r="R99" s="114">
        <f t="shared" si="259"/>
        <v>5279927.4344532974</v>
      </c>
      <c r="S99" s="114">
        <f t="shared" si="259"/>
        <v>5570323.4433482289</v>
      </c>
      <c r="T99" s="114">
        <f t="shared" si="259"/>
        <v>5876691.2327323817</v>
      </c>
      <c r="U99" s="114">
        <f t="shared" si="259"/>
        <v>6199909.2505326625</v>
      </c>
      <c r="V99" s="114">
        <f t="shared" si="259"/>
        <v>6540904.2593119582</v>
      </c>
      <c r="W99" s="114">
        <f t="shared" si="259"/>
        <v>6900653.9935741164</v>
      </c>
      <c r="X99" s="101">
        <f t="shared" si="259"/>
        <v>7280189.9632206932</v>
      </c>
    </row>
    <row r="100" spans="1:25" hidden="1" outlineLevel="1">
      <c r="A100" s="95"/>
      <c r="C100" s="126" t="s">
        <v>60</v>
      </c>
      <c r="D100" s="99">
        <f>E110</f>
        <v>91786112.627711654</v>
      </c>
      <c r="E100" s="114">
        <f>D100-E99</f>
        <v>89153748.411037967</v>
      </c>
      <c r="F100" s="114">
        <f>E100-F99</f>
        <v>86376604.162447229</v>
      </c>
      <c r="G100" s="114">
        <f t="shared" ref="G100:X100" si="260">F100-G99</f>
        <v>83446716.980183989</v>
      </c>
      <c r="H100" s="114">
        <f t="shared" si="260"/>
        <v>80355686.002896279</v>
      </c>
      <c r="I100" s="114">
        <f t="shared" si="260"/>
        <v>77094648.32185775</v>
      </c>
      <c r="J100" s="114">
        <f t="shared" si="260"/>
        <v>73654253.568362087</v>
      </c>
      <c r="K100" s="114">
        <f t="shared" si="260"/>
        <v>70024637.103424177</v>
      </c>
      <c r="L100" s="114">
        <f t="shared" si="260"/>
        <v>66195391.732914671</v>
      </c>
      <c r="M100" s="114">
        <f t="shared" si="260"/>
        <v>62155537.867027149</v>
      </c>
      <c r="N100" s="114">
        <f t="shared" si="260"/>
        <v>57893492.038515806</v>
      </c>
      <c r="O100" s="114">
        <f t="shared" si="260"/>
        <v>53397033.689436346</v>
      </c>
      <c r="P100" s="114">
        <f t="shared" si="260"/>
        <v>48653270.131157517</v>
      </c>
      <c r="Q100" s="114">
        <f t="shared" si="260"/>
        <v>43648599.577173352</v>
      </c>
      <c r="R100" s="114">
        <f t="shared" si="260"/>
        <v>38368672.142720059</v>
      </c>
      <c r="S100" s="114">
        <f t="shared" si="260"/>
        <v>32798348.69937183</v>
      </c>
      <c r="T100" s="114">
        <f t="shared" si="260"/>
        <v>26921657.466639448</v>
      </c>
      <c r="U100" s="114">
        <f t="shared" si="260"/>
        <v>20721748.216106787</v>
      </c>
      <c r="V100" s="114">
        <f t="shared" si="260"/>
        <v>14180843.956794828</v>
      </c>
      <c r="W100" s="114">
        <f t="shared" si="260"/>
        <v>7280189.9632207118</v>
      </c>
      <c r="X100" s="101">
        <f t="shared" si="260"/>
        <v>1.862645149230957E-8</v>
      </c>
    </row>
    <row r="101" spans="1:25" hidden="1" outlineLevel="1">
      <c r="A101" s="95"/>
      <c r="C101" s="125"/>
      <c r="D101" s="99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01"/>
    </row>
    <row r="102" spans="1:25" hidden="1" outlineLevel="1">
      <c r="A102" s="95"/>
      <c r="C102" s="126" t="s">
        <v>61</v>
      </c>
      <c r="D102" s="99"/>
      <c r="E102" s="114">
        <f t="shared" ref="E102:X102" si="261">IF(E$2-1&lt;20,-$D94/20,0)</f>
        <v>8244122.1640416998</v>
      </c>
      <c r="F102" s="114">
        <f t="shared" si="261"/>
        <v>8244122.1640416998</v>
      </c>
      <c r="G102" s="114">
        <f t="shared" si="261"/>
        <v>8244122.1640416998</v>
      </c>
      <c r="H102" s="114">
        <f t="shared" si="261"/>
        <v>8244122.1640416998</v>
      </c>
      <c r="I102" s="114">
        <f t="shared" si="261"/>
        <v>8244122.1640416998</v>
      </c>
      <c r="J102" s="114">
        <f t="shared" si="261"/>
        <v>8244122.1640416998</v>
      </c>
      <c r="K102" s="114">
        <f t="shared" si="261"/>
        <v>8244122.1640416998</v>
      </c>
      <c r="L102" s="114">
        <f t="shared" si="261"/>
        <v>8244122.1640416998</v>
      </c>
      <c r="M102" s="114">
        <f t="shared" si="261"/>
        <v>8244122.1640416998</v>
      </c>
      <c r="N102" s="114">
        <f t="shared" si="261"/>
        <v>8244122.1640416998</v>
      </c>
      <c r="O102" s="114">
        <f t="shared" si="261"/>
        <v>8244122.1640416998</v>
      </c>
      <c r="P102" s="114">
        <f t="shared" si="261"/>
        <v>8244122.1640416998</v>
      </c>
      <c r="Q102" s="114">
        <f t="shared" si="261"/>
        <v>8244122.1640416998</v>
      </c>
      <c r="R102" s="114">
        <f t="shared" si="261"/>
        <v>8244122.1640416998</v>
      </c>
      <c r="S102" s="114">
        <f t="shared" si="261"/>
        <v>8244122.1640416998</v>
      </c>
      <c r="T102" s="114">
        <f t="shared" si="261"/>
        <v>8244122.1640416998</v>
      </c>
      <c r="U102" s="114">
        <f t="shared" si="261"/>
        <v>8244122.1640416998</v>
      </c>
      <c r="V102" s="114">
        <f t="shared" si="261"/>
        <v>8244122.1640416998</v>
      </c>
      <c r="W102" s="114">
        <f t="shared" si="261"/>
        <v>8244122.1640416998</v>
      </c>
      <c r="X102" s="101">
        <f t="shared" si="261"/>
        <v>8244122.1640416998</v>
      </c>
    </row>
    <row r="103" spans="1:25" hidden="1" outlineLevel="1">
      <c r="A103" s="95"/>
      <c r="C103" s="125" t="s">
        <v>62</v>
      </c>
      <c r="D103" s="99"/>
      <c r="E103" s="114">
        <f>SUM($E102:E102)</f>
        <v>8244122.1640416998</v>
      </c>
      <c r="F103" s="114">
        <f>SUM($E102:F102)</f>
        <v>16488244.3280834</v>
      </c>
      <c r="G103" s="114">
        <f>SUM($E102:G102)</f>
        <v>24732366.492125101</v>
      </c>
      <c r="H103" s="114">
        <f>SUM($E102:H102)</f>
        <v>32976488.656166799</v>
      </c>
      <c r="I103" s="114">
        <f>SUM($E102:I102)</f>
        <v>41220610.820208497</v>
      </c>
      <c r="J103" s="114">
        <f>SUM($E102:J102)</f>
        <v>49464732.984250195</v>
      </c>
      <c r="K103" s="114">
        <f>SUM($E102:K102)</f>
        <v>57708855.148291893</v>
      </c>
      <c r="L103" s="114">
        <f>SUM($E102:L102)</f>
        <v>65952977.312333591</v>
      </c>
      <c r="M103" s="114">
        <f>SUM($E102:M102)</f>
        <v>74197099.476375297</v>
      </c>
      <c r="N103" s="114">
        <f>SUM($E102:N102)</f>
        <v>82441221.640416995</v>
      </c>
      <c r="O103" s="114">
        <f>SUM($E102:O102)</f>
        <v>90685343.804458693</v>
      </c>
      <c r="P103" s="114">
        <f>SUM($E102:P102)</f>
        <v>98929465.968500391</v>
      </c>
      <c r="Q103" s="114">
        <f>SUM($E102:Q102)</f>
        <v>107173588.13254209</v>
      </c>
      <c r="R103" s="114">
        <f>SUM($E102:R102)</f>
        <v>115417710.29658379</v>
      </c>
      <c r="S103" s="114">
        <f>SUM($E102:S102)</f>
        <v>123661832.46062548</v>
      </c>
      <c r="T103" s="114">
        <f>SUM($E102:T102)</f>
        <v>131905954.62466718</v>
      </c>
      <c r="U103" s="114">
        <f>SUM($E102:U102)</f>
        <v>140150076.7887089</v>
      </c>
      <c r="V103" s="114">
        <f>SUM($E102:V102)</f>
        <v>148394198.95275059</v>
      </c>
      <c r="W103" s="114">
        <f>SUM($E102:W102)</f>
        <v>156638321.11679229</v>
      </c>
      <c r="X103" s="101">
        <f>SUM($E102:X102)</f>
        <v>164882443.28083399</v>
      </c>
    </row>
    <row r="104" spans="1:25" hidden="1" outlineLevel="1">
      <c r="A104" s="95"/>
      <c r="C104" s="125" t="s">
        <v>63</v>
      </c>
      <c r="D104" s="99"/>
      <c r="E104" s="114">
        <f t="shared" ref="E104:X104" si="262">-$D94-E103</f>
        <v>156638321.11679229</v>
      </c>
      <c r="F104" s="114">
        <f t="shared" si="262"/>
        <v>148394198.95275059</v>
      </c>
      <c r="G104" s="114">
        <f t="shared" si="262"/>
        <v>140150076.7887089</v>
      </c>
      <c r="H104" s="114">
        <f t="shared" si="262"/>
        <v>131905954.6246672</v>
      </c>
      <c r="I104" s="114">
        <f t="shared" si="262"/>
        <v>123661832.4606255</v>
      </c>
      <c r="J104" s="114">
        <f t="shared" si="262"/>
        <v>115417710.2965838</v>
      </c>
      <c r="K104" s="114">
        <f t="shared" si="262"/>
        <v>107173588.1325421</v>
      </c>
      <c r="L104" s="114">
        <f t="shared" si="262"/>
        <v>98929465.968500406</v>
      </c>
      <c r="M104" s="114">
        <f t="shared" si="262"/>
        <v>90685343.804458693</v>
      </c>
      <c r="N104" s="114">
        <f t="shared" si="262"/>
        <v>82441221.640416995</v>
      </c>
      <c r="O104" s="114">
        <f t="shared" si="262"/>
        <v>74197099.476375297</v>
      </c>
      <c r="P104" s="114">
        <f t="shared" si="262"/>
        <v>65952977.312333599</v>
      </c>
      <c r="Q104" s="114">
        <f t="shared" si="262"/>
        <v>57708855.148291901</v>
      </c>
      <c r="R104" s="114">
        <f t="shared" si="262"/>
        <v>49464732.984250203</v>
      </c>
      <c r="S104" s="114">
        <f t="shared" si="262"/>
        <v>41220610.820208505</v>
      </c>
      <c r="T104" s="114">
        <f t="shared" si="262"/>
        <v>32976488.656166807</v>
      </c>
      <c r="U104" s="114">
        <f t="shared" si="262"/>
        <v>24732366.492125094</v>
      </c>
      <c r="V104" s="114">
        <f t="shared" si="262"/>
        <v>16488244.328083396</v>
      </c>
      <c r="W104" s="114">
        <f t="shared" si="262"/>
        <v>8244122.164041698</v>
      </c>
      <c r="X104" s="101">
        <f t="shared" si="262"/>
        <v>0</v>
      </c>
    </row>
    <row r="105" spans="1:25" hidden="1" outlineLevel="1">
      <c r="A105" s="95"/>
      <c r="C105" s="125" t="s">
        <v>64</v>
      </c>
      <c r="D105" s="99">
        <f>-D94</f>
        <v>164882443.28083399</v>
      </c>
      <c r="E105" s="114">
        <f t="shared" ref="E105:X105" si="263">D105/(($D105/$Y105)^(1/21))</f>
        <v>155695272.68827638</v>
      </c>
      <c r="F105" s="114">
        <f t="shared" si="263"/>
        <v>147020006.83110043</v>
      </c>
      <c r="G105" s="114">
        <f t="shared" si="263"/>
        <v>138828122.62317574</v>
      </c>
      <c r="H105" s="114">
        <f t="shared" si="263"/>
        <v>131092686.27103941</v>
      </c>
      <c r="I105" s="114">
        <f t="shared" si="263"/>
        <v>123788264.71927151</v>
      </c>
      <c r="J105" s="99">
        <f t="shared" si="263"/>
        <v>116890842.0300917</v>
      </c>
      <c r="K105" s="114">
        <f t="shared" si="263"/>
        <v>110377740.42224462</v>
      </c>
      <c r="L105" s="114">
        <f t="shared" si="263"/>
        <v>104227545.70956065</v>
      </c>
      <c r="M105" s="114">
        <f t="shared" si="263"/>
        <v>98420036.894044235</v>
      </c>
      <c r="N105" s="114">
        <f t="shared" si="263"/>
        <v>92936119.68200168</v>
      </c>
      <c r="O105" s="114">
        <f t="shared" si="263"/>
        <v>87757763.704618201</v>
      </c>
      <c r="P105" s="114">
        <f t="shared" si="263"/>
        <v>82867943.236574441</v>
      </c>
      <c r="Q105" s="114">
        <f t="shared" si="263"/>
        <v>78250581.217793122</v>
      </c>
      <c r="R105" s="114">
        <f t="shared" si="263"/>
        <v>73890496.394267127</v>
      </c>
      <c r="S105" s="114">
        <f t="shared" si="263"/>
        <v>69773353.404175326</v>
      </c>
      <c r="T105" s="114">
        <f t="shared" si="263"/>
        <v>65885615.645175971</v>
      </c>
      <c r="U105" s="114">
        <f t="shared" si="263"/>
        <v>62214500.767911933</v>
      </c>
      <c r="V105" s="114">
        <f t="shared" si="263"/>
        <v>58747938.649396479</v>
      </c>
      <c r="W105" s="114">
        <f t="shared" si="263"/>
        <v>55474531.708101772</v>
      </c>
      <c r="X105" s="101">
        <f t="shared" si="263"/>
        <v>52383517.430271626</v>
      </c>
      <c r="Y105" s="24">
        <f>Y94</f>
        <v>49464732.984250195</v>
      </c>
    </row>
    <row r="106" spans="1:25" hidden="1" outlineLevel="1">
      <c r="A106" s="95"/>
      <c r="C106" s="126" t="s">
        <v>65</v>
      </c>
      <c r="D106" s="121"/>
      <c r="E106" s="114">
        <f>-$D94*Assumptions!J$9</f>
        <v>32976488.656166799</v>
      </c>
      <c r="F106" s="114">
        <f>-$D94*Assumptions!K$9</f>
        <v>52762381.849866875</v>
      </c>
      <c r="G106" s="114">
        <f>-$D94*Assumptions!L$9</f>
        <v>31657429.109920125</v>
      </c>
      <c r="H106" s="114">
        <f>-$D94*Assumptions!M$9</f>
        <v>18994457.465952076</v>
      </c>
      <c r="I106" s="114">
        <f>-$D94*Assumptions!N$9</f>
        <v>18994457.465952076</v>
      </c>
      <c r="J106" s="114">
        <f>-$D94*Assumptions!O$9</f>
        <v>9497228.732976038</v>
      </c>
      <c r="K106" s="114">
        <f>-$D94*Assumptions!P$9</f>
        <v>0</v>
      </c>
      <c r="L106" s="114">
        <f>-$D94*Assumptions!Q$9</f>
        <v>0</v>
      </c>
      <c r="M106" s="114">
        <f>-$D94*Assumptions!R$9</f>
        <v>0</v>
      </c>
      <c r="N106" s="114">
        <f>-$D94*Assumptions!S$9</f>
        <v>0</v>
      </c>
      <c r="O106" s="114">
        <f>-$D94*Assumptions!T$9</f>
        <v>0</v>
      </c>
      <c r="P106" s="114">
        <f>-$D94*Assumptions!U$9</f>
        <v>0</v>
      </c>
      <c r="Q106" s="114">
        <f>-$D94*Assumptions!V$9</f>
        <v>0</v>
      </c>
      <c r="R106" s="114">
        <f>-$D94*Assumptions!W$9</f>
        <v>0</v>
      </c>
      <c r="S106" s="114">
        <f>-$D94*Assumptions!X$9</f>
        <v>0</v>
      </c>
      <c r="T106" s="114">
        <f>-$D94*Assumptions!Y$9</f>
        <v>0</v>
      </c>
      <c r="U106" s="114">
        <f>-$D94*Assumptions!Z$9</f>
        <v>0</v>
      </c>
      <c r="V106" s="114">
        <f>-$D94*Assumptions!AA$9</f>
        <v>0</v>
      </c>
      <c r="W106" s="114">
        <f>-$D94*Assumptions!AB$9</f>
        <v>0</v>
      </c>
      <c r="X106" s="101">
        <f>-$D94*Assumptions!AC$9</f>
        <v>0</v>
      </c>
    </row>
    <row r="107" spans="1:25" ht="15.75" hidden="1" outlineLevel="1" thickBot="1">
      <c r="A107" s="95"/>
      <c r="C107" s="127" t="s">
        <v>66</v>
      </c>
      <c r="D107" s="122"/>
      <c r="E107" s="103">
        <f t="shared" ref="E107:X107" si="264">E106*Federal_Tax_Rate</f>
        <v>6925062.6177950278</v>
      </c>
      <c r="F107" s="103">
        <f t="shared" si="264"/>
        <v>11080100.188472044</v>
      </c>
      <c r="G107" s="103">
        <f t="shared" si="264"/>
        <v>6648060.1130832257</v>
      </c>
      <c r="H107" s="103">
        <f t="shared" si="264"/>
        <v>3988836.067849936</v>
      </c>
      <c r="I107" s="103">
        <f t="shared" si="264"/>
        <v>3988836.067849936</v>
      </c>
      <c r="J107" s="103">
        <f t="shared" si="264"/>
        <v>1994418.033924968</v>
      </c>
      <c r="K107" s="103">
        <f t="shared" si="264"/>
        <v>0</v>
      </c>
      <c r="L107" s="103">
        <f t="shared" si="264"/>
        <v>0</v>
      </c>
      <c r="M107" s="103">
        <f t="shared" si="264"/>
        <v>0</v>
      </c>
      <c r="N107" s="103">
        <f t="shared" si="264"/>
        <v>0</v>
      </c>
      <c r="O107" s="103">
        <f t="shared" si="264"/>
        <v>0</v>
      </c>
      <c r="P107" s="103">
        <f t="shared" si="264"/>
        <v>0</v>
      </c>
      <c r="Q107" s="103">
        <f t="shared" si="264"/>
        <v>0</v>
      </c>
      <c r="R107" s="103">
        <f t="shared" si="264"/>
        <v>0</v>
      </c>
      <c r="S107" s="103">
        <f t="shared" si="264"/>
        <v>0</v>
      </c>
      <c r="T107" s="103">
        <f t="shared" si="264"/>
        <v>0</v>
      </c>
      <c r="U107" s="103">
        <f t="shared" si="264"/>
        <v>0</v>
      </c>
      <c r="V107" s="103">
        <f t="shared" si="264"/>
        <v>0</v>
      </c>
      <c r="W107" s="103">
        <f t="shared" si="264"/>
        <v>0</v>
      </c>
      <c r="X107" s="115">
        <f t="shared" si="264"/>
        <v>0</v>
      </c>
    </row>
    <row r="108" spans="1:25" hidden="1" outlineLevel="1">
      <c r="A108" s="95"/>
      <c r="C108" s="128" t="s">
        <v>67</v>
      </c>
      <c r="D108" s="123"/>
      <c r="E108" s="104">
        <f>NPV(Tax_Equity_Rate,E107:X107)</f>
        <v>28092409.558461931</v>
      </c>
      <c r="F108" s="105">
        <f>E108/E112</f>
        <v>0.17037841627937234</v>
      </c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1:25" hidden="1" outlineLevel="1">
      <c r="A109" s="95"/>
      <c r="C109" s="125" t="s">
        <v>79</v>
      </c>
      <c r="D109" s="120"/>
      <c r="E109" s="106">
        <v>0</v>
      </c>
      <c r="F109" s="107">
        <f>E109/E112</f>
        <v>0</v>
      </c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</row>
    <row r="110" spans="1:25" hidden="1" outlineLevel="1">
      <c r="A110" s="95"/>
      <c r="B110" s="22">
        <f>Assumptions!F9</f>
        <v>0.67100000000000004</v>
      </c>
      <c r="C110" s="125" t="s">
        <v>68</v>
      </c>
      <c r="D110" s="120"/>
      <c r="E110" s="106">
        <f>(E112-E108-E109)*$B110</f>
        <v>91786112.627711654</v>
      </c>
      <c r="F110" s="107">
        <f>E110/E112</f>
        <v>0.55667608267654123</v>
      </c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</row>
    <row r="111" spans="1:25" hidden="1" outlineLevel="1">
      <c r="A111" s="95"/>
      <c r="B111" s="22">
        <f>1-B110</f>
        <v>0.32899999999999996</v>
      </c>
      <c r="C111" s="125" t="s">
        <v>69</v>
      </c>
      <c r="D111" s="120"/>
      <c r="E111" s="106">
        <f>(E112-E108-E109)*$B111</f>
        <v>45003921.094660401</v>
      </c>
      <c r="F111" s="107">
        <f>E111/E112</f>
        <v>0.27294550104408649</v>
      </c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</row>
    <row r="112" spans="1:25" hidden="1" outlineLevel="1">
      <c r="A112" s="95"/>
      <c r="C112" s="125" t="s">
        <v>70</v>
      </c>
      <c r="D112" s="120"/>
      <c r="E112" s="106">
        <f>-D94</f>
        <v>164882443.28083399</v>
      </c>
      <c r="F112" s="108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</row>
    <row r="113" spans="1:24" ht="15.75" hidden="1" outlineLevel="1" thickBot="1">
      <c r="A113" s="95"/>
      <c r="C113" s="127" t="s">
        <v>71</v>
      </c>
      <c r="D113" s="122"/>
      <c r="E113" s="109">
        <f>SUM(E108:E111)-E112</f>
        <v>0</v>
      </c>
      <c r="F113" s="110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</row>
    <row r="114" spans="1:24" hidden="1" outlineLevel="1">
      <c r="A114" s="95"/>
    </row>
    <row r="115" spans="1:24" ht="15.75" collapsed="1" thickBot="1">
      <c r="A115" s="95"/>
    </row>
    <row r="116" spans="1:24" ht="18.75" thickBot="1">
      <c r="A116" s="265"/>
      <c r="C116" s="487" t="s">
        <v>7</v>
      </c>
      <c r="D116" s="488"/>
      <c r="E116" s="488"/>
      <c r="F116" s="488"/>
      <c r="G116" s="489"/>
    </row>
    <row r="117" spans="1:24" hidden="1" outlineLevel="1">
      <c r="A117" s="95"/>
      <c r="C117" s="124" t="s">
        <v>44</v>
      </c>
      <c r="D117" s="119"/>
      <c r="E117" s="98">
        <f>INDEX('DATA (Nominal)'!$B$27:$BX$27,1,MATCH($B$1,'DATA (Nominal)'!$B$1:$BX$1,0))*'Resource Options'!$E$10*8760</f>
        <v>423550.29138703796</v>
      </c>
      <c r="F117" s="98">
        <f>E117</f>
        <v>423550.29138703796</v>
      </c>
      <c r="G117" s="98">
        <f t="shared" ref="G117:X117" si="265">F117</f>
        <v>423550.29138703796</v>
      </c>
      <c r="H117" s="98">
        <f t="shared" si="265"/>
        <v>423550.29138703796</v>
      </c>
      <c r="I117" s="98">
        <f t="shared" si="265"/>
        <v>423550.29138703796</v>
      </c>
      <c r="J117" s="98">
        <f t="shared" si="265"/>
        <v>423550.29138703796</v>
      </c>
      <c r="K117" s="98">
        <f t="shared" si="265"/>
        <v>423550.29138703796</v>
      </c>
      <c r="L117" s="98">
        <f t="shared" si="265"/>
        <v>423550.29138703796</v>
      </c>
      <c r="M117" s="98">
        <f t="shared" si="265"/>
        <v>423550.29138703796</v>
      </c>
      <c r="N117" s="98">
        <f t="shared" si="265"/>
        <v>423550.29138703796</v>
      </c>
      <c r="O117" s="98">
        <f t="shared" si="265"/>
        <v>423550.29138703796</v>
      </c>
      <c r="P117" s="98">
        <f t="shared" si="265"/>
        <v>423550.29138703796</v>
      </c>
      <c r="Q117" s="98">
        <f t="shared" si="265"/>
        <v>423550.29138703796</v>
      </c>
      <c r="R117" s="98">
        <f t="shared" si="265"/>
        <v>423550.29138703796</v>
      </c>
      <c r="S117" s="98">
        <f t="shared" si="265"/>
        <v>423550.29138703796</v>
      </c>
      <c r="T117" s="98">
        <f t="shared" si="265"/>
        <v>423550.29138703796</v>
      </c>
      <c r="U117" s="98">
        <f t="shared" si="265"/>
        <v>423550.29138703796</v>
      </c>
      <c r="V117" s="98">
        <f t="shared" si="265"/>
        <v>423550.29138703796</v>
      </c>
      <c r="W117" s="98">
        <f t="shared" si="265"/>
        <v>423550.29138703796</v>
      </c>
      <c r="X117" s="111">
        <f t="shared" si="265"/>
        <v>423550.29138703796</v>
      </c>
    </row>
    <row r="118" spans="1:24" hidden="1" outlineLevel="1">
      <c r="A118" s="95"/>
      <c r="B118" s="36"/>
      <c r="C118" s="125" t="s">
        <v>45</v>
      </c>
      <c r="D118" s="120"/>
      <c r="E118" s="117">
        <f>INDEX('PPA Summary'!$3:$34,MATCH($C116,'PPA Summary'!$D$3:$D$34,0),MATCH(B$1,'PPA Summary'!$2:$2,0))</f>
        <v>124.41987348393539</v>
      </c>
      <c r="F118" s="117">
        <f>E118</f>
        <v>124.41987348393539</v>
      </c>
      <c r="G118" s="112">
        <f t="shared" ref="G118:X118" si="266">F118</f>
        <v>124.41987348393539</v>
      </c>
      <c r="H118" s="112">
        <f t="shared" si="266"/>
        <v>124.41987348393539</v>
      </c>
      <c r="I118" s="112">
        <f t="shared" si="266"/>
        <v>124.41987348393539</v>
      </c>
      <c r="J118" s="112">
        <f t="shared" si="266"/>
        <v>124.41987348393539</v>
      </c>
      <c r="K118" s="112">
        <f t="shared" si="266"/>
        <v>124.41987348393539</v>
      </c>
      <c r="L118" s="112">
        <f t="shared" si="266"/>
        <v>124.41987348393539</v>
      </c>
      <c r="M118" s="112">
        <f t="shared" si="266"/>
        <v>124.41987348393539</v>
      </c>
      <c r="N118" s="112">
        <f t="shared" si="266"/>
        <v>124.41987348393539</v>
      </c>
      <c r="O118" s="112">
        <f t="shared" si="266"/>
        <v>124.41987348393539</v>
      </c>
      <c r="P118" s="112">
        <f t="shared" si="266"/>
        <v>124.41987348393539</v>
      </c>
      <c r="Q118" s="112">
        <f t="shared" si="266"/>
        <v>124.41987348393539</v>
      </c>
      <c r="R118" s="112">
        <f t="shared" si="266"/>
        <v>124.41987348393539</v>
      </c>
      <c r="S118" s="112">
        <f t="shared" si="266"/>
        <v>124.41987348393539</v>
      </c>
      <c r="T118" s="112">
        <f t="shared" si="266"/>
        <v>124.41987348393539</v>
      </c>
      <c r="U118" s="112">
        <f t="shared" si="266"/>
        <v>124.41987348393539</v>
      </c>
      <c r="V118" s="112">
        <f t="shared" si="266"/>
        <v>124.41987348393539</v>
      </c>
      <c r="W118" s="112">
        <f t="shared" si="266"/>
        <v>124.41987348393539</v>
      </c>
      <c r="X118" s="113">
        <f t="shared" si="266"/>
        <v>124.41987348393539</v>
      </c>
    </row>
    <row r="119" spans="1:24" hidden="1" outlineLevel="1">
      <c r="A119" s="95"/>
      <c r="B119" s="36"/>
      <c r="C119" s="126" t="s">
        <v>46</v>
      </c>
      <c r="D119" s="121"/>
      <c r="E119" s="114">
        <f>E117*E118</f>
        <v>52698073.668459229</v>
      </c>
      <c r="F119" s="114">
        <f t="shared" ref="F119" si="267">F117*F118</f>
        <v>52698073.668459229</v>
      </c>
      <c r="G119" s="114">
        <f t="shared" ref="G119" si="268">G117*G118</f>
        <v>52698073.668459229</v>
      </c>
      <c r="H119" s="114">
        <f t="shared" ref="H119" si="269">H117*H118</f>
        <v>52698073.668459229</v>
      </c>
      <c r="I119" s="114">
        <f t="shared" ref="I119" si="270">I117*I118</f>
        <v>52698073.668459229</v>
      </c>
      <c r="J119" s="114">
        <f t="shared" ref="J119" si="271">J117*J118</f>
        <v>52698073.668459229</v>
      </c>
      <c r="K119" s="114">
        <f t="shared" ref="K119" si="272">K117*K118</f>
        <v>52698073.668459229</v>
      </c>
      <c r="L119" s="114">
        <f t="shared" ref="L119" si="273">L117*L118</f>
        <v>52698073.668459229</v>
      </c>
      <c r="M119" s="114">
        <f t="shared" ref="M119" si="274">M117*M118</f>
        <v>52698073.668459229</v>
      </c>
      <c r="N119" s="114">
        <f t="shared" ref="N119" si="275">N117*N118</f>
        <v>52698073.668459229</v>
      </c>
      <c r="O119" s="114">
        <f t="shared" ref="O119" si="276">O117*O118</f>
        <v>52698073.668459229</v>
      </c>
      <c r="P119" s="114">
        <f t="shared" ref="P119" si="277">P117*P118</f>
        <v>52698073.668459229</v>
      </c>
      <c r="Q119" s="114">
        <f t="shared" ref="Q119" si="278">Q117*Q118</f>
        <v>52698073.668459229</v>
      </c>
      <c r="R119" s="114">
        <f t="shared" ref="R119" si="279">R117*R118</f>
        <v>52698073.668459229</v>
      </c>
      <c r="S119" s="114">
        <f t="shared" ref="S119" si="280">S117*S118</f>
        <v>52698073.668459229</v>
      </c>
      <c r="T119" s="114">
        <f t="shared" ref="T119" si="281">T117*T118</f>
        <v>52698073.668459229</v>
      </c>
      <c r="U119" s="114">
        <f t="shared" ref="U119" si="282">U117*U118</f>
        <v>52698073.668459229</v>
      </c>
      <c r="V119" s="114">
        <f t="shared" ref="V119" si="283">V117*V118</f>
        <v>52698073.668459229</v>
      </c>
      <c r="W119" s="114">
        <f t="shared" ref="W119" si="284">W117*W118</f>
        <v>52698073.668459229</v>
      </c>
      <c r="X119" s="101">
        <f t="shared" ref="X119" si="285">X117*X118</f>
        <v>52698073.668459229</v>
      </c>
    </row>
    <row r="120" spans="1:24" hidden="1" outlineLevel="1">
      <c r="A120" s="95"/>
      <c r="B120" s="36"/>
      <c r="C120" s="126"/>
      <c r="D120" s="121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01"/>
    </row>
    <row r="121" spans="1:24" hidden="1" outlineLevel="1">
      <c r="A121" s="95"/>
      <c r="B121" s="36"/>
      <c r="C121" s="125" t="s">
        <v>47</v>
      </c>
      <c r="D121" s="120"/>
      <c r="E121" s="114">
        <f>INDEX('DATA (Nominal)'!$B$200:$BX$200,1,MATCH(E$1,'DATA (Nominal)'!$B$1:$BX$1,0))*'Resource Options'!$E$10*1000</f>
        <v>9700998.4554000814</v>
      </c>
      <c r="F121" s="114">
        <f>INDEX('DATA (Nominal)'!$B$200:$BX$200,1,MATCH(F$1,'DATA (Nominal)'!$B$1:$BX$1,0))*'Resource Options'!$E$10*1000</f>
        <v>9721393.9547602348</v>
      </c>
      <c r="G121" s="114">
        <f>INDEX('DATA (Nominal)'!$B$200:$BX$200,1,MATCH(G$1,'DATA (Nominal)'!$B$1:$BX$1,0))*'Resource Options'!$E$10*1000</f>
        <v>9759023.5602249</v>
      </c>
      <c r="H121" s="114">
        <f>INDEX('DATA (Nominal)'!$B$200:$BX$200,1,MATCH(H$1,'DATA (Nominal)'!$B$1:$BX$1,0))*'Resource Options'!$E$10*1000</f>
        <v>9807789.3514039256</v>
      </c>
      <c r="I121" s="114">
        <f>INDEX('DATA (Nominal)'!$B$200:$BX$200,1,MATCH(I$1,'DATA (Nominal)'!$B$1:$BX$1,0))*'Resource Options'!$E$10*1000</f>
        <v>9868743.3421325777</v>
      </c>
      <c r="J121" s="114">
        <f>INDEX('DATA (Nominal)'!$B$200:$BX$200,1,MATCH(J$1,'DATA (Nominal)'!$B$1:$BX$1,0))*'Resource Options'!$E$10*1000</f>
        <v>9940304.3164050374</v>
      </c>
      <c r="K121" s="114">
        <f>INDEX('DATA (Nominal)'!$B$200:$BX$200,1,MATCH(K$1,'DATA (Nominal)'!$B$1:$BX$1,0))*'Resource Options'!$E$10*1000</f>
        <v>10021266.773050286</v>
      </c>
      <c r="L121" s="114">
        <f>INDEX('DATA (Nominal)'!$B$200:$BX$200,1,MATCH(L$1,'DATA (Nominal)'!$B$1:$BX$1,0))*'Resource Options'!$E$10*1000</f>
        <v>10110695.643318474</v>
      </c>
      <c r="M121" s="114">
        <f>INDEX('DATA (Nominal)'!$B$200:$BX$200,1,MATCH(M$1,'DATA (Nominal)'!$B$1:$BX$1,0))*'Resource Options'!$E$10*1000</f>
        <v>10207855.416915087</v>
      </c>
      <c r="N121" s="114">
        <f>INDEX('DATA (Nominal)'!$B$200:$BX$200,1,MATCH(N$1,'DATA (Nominal)'!$B$1:$BX$1,0))*'Resource Options'!$E$10*1000</f>
        <v>10312161.041819295</v>
      </c>
      <c r="O121" s="114">
        <f>INDEX('DATA (Nominal)'!$B$200:$BX$200,1,MATCH(O$1,'DATA (Nominal)'!$B$1:$BX$1,0))*'Resource Options'!$E$10*1000</f>
        <v>10423143.057437265</v>
      </c>
      <c r="P121" s="114">
        <f>INDEX('DATA (Nominal)'!$B$200:$BX$200,1,MATCH(P$1,'DATA (Nominal)'!$B$1:$BX$1,0))*'Resource Options'!$E$10*1000</f>
        <v>10540422.29690079</v>
      </c>
      <c r="Q121" s="114">
        <f>INDEX('DATA (Nominal)'!$B$200:$BX$200,1,MATCH(Q$1,'DATA (Nominal)'!$B$1:$BX$1,0))*'Resource Options'!$E$10*1000</f>
        <v>10663691.182501033</v>
      </c>
      <c r="R121" s="114">
        <f>INDEX('DATA (Nominal)'!$B$200:$BX$200,1,MATCH(R$1,'DATA (Nominal)'!$B$1:$BX$1,0))*'Resource Options'!$E$10*1000</f>
        <v>10792699.663073389</v>
      </c>
      <c r="S121" s="114">
        <f>INDEX('DATA (Nominal)'!$B$200:$BX$200,1,MATCH(S$1,'DATA (Nominal)'!$B$1:$BX$1,0))*'Resource Options'!$E$10*1000</f>
        <v>10927244.482969305</v>
      </c>
      <c r="T121" s="114">
        <f>INDEX('DATA (Nominal)'!$B$200:$BX$200,1,MATCH(T$1,'DATA (Nominal)'!$B$1:$BX$1,0))*'Resource Options'!$E$10*1000</f>
        <v>11067160.883593543</v>
      </c>
      <c r="U121" s="114">
        <f>INDEX('DATA (Nominal)'!$B$200:$BX$200,1,MATCH(U$1,'DATA (Nominal)'!$B$1:$BX$1,0))*'Resource Options'!$E$10*1000</f>
        <v>11212316.108771147</v>
      </c>
      <c r="V121" s="114">
        <f>INDEX('DATA (Nominal)'!$B$200:$BX$200,1,MATCH(V$1,'DATA (Nominal)'!$B$1:$BX$1,0))*'Resource Options'!$E$10*1000</f>
        <v>11362604.266575238</v>
      </c>
      <c r="W121" s="114">
        <f>INDEX('DATA (Nominal)'!$B$200:$BX$200,1,MATCH(W$1,'DATA (Nominal)'!$B$1:$BX$1,0))*'Resource Options'!$E$10*1000</f>
        <v>11517942.224275149</v>
      </c>
      <c r="X121" s="101">
        <f>INDEX('DATA (Nominal)'!$B$200:$BX$200,1,MATCH(X$1,'DATA (Nominal)'!$B$1:$BX$1,0))*'Resource Options'!$E$10*1000</f>
        <v>11678266.299353855</v>
      </c>
    </row>
    <row r="122" spans="1:24" hidden="1" outlineLevel="1">
      <c r="A122" s="95"/>
      <c r="B122" s="36"/>
      <c r="C122" s="125" t="s">
        <v>48</v>
      </c>
      <c r="D122" s="120"/>
      <c r="E122" s="114">
        <f>INDEX('DATA (Nominal)'!$B$122:$BX$122,1,MATCH(E$1,'DATA (Nominal)'!$B$1:$BX$1,0))*E117</f>
        <v>0</v>
      </c>
      <c r="F122" s="114">
        <f>INDEX('DATA (Nominal)'!$B$122:$BX$122,1,MATCH(F$1,'DATA (Nominal)'!$B$1:$BX$1,0))*F117</f>
        <v>0</v>
      </c>
      <c r="G122" s="114">
        <f>INDEX('DATA (Nominal)'!$B$122:$BX$122,1,MATCH(G$1,'DATA (Nominal)'!$B$1:$BX$1,0))*G117</f>
        <v>0</v>
      </c>
      <c r="H122" s="114">
        <f>INDEX('DATA (Nominal)'!$B$122:$BX$122,1,MATCH(H$1,'DATA (Nominal)'!$B$1:$BX$1,0))*H117</f>
        <v>0</v>
      </c>
      <c r="I122" s="114">
        <f>INDEX('DATA (Nominal)'!$B$122:$BX$122,1,MATCH(I$1,'DATA (Nominal)'!$B$1:$BX$1,0))*I117</f>
        <v>0</v>
      </c>
      <c r="J122" s="114">
        <f>INDEX('DATA (Nominal)'!$B$122:$BX$122,1,MATCH(J$1,'DATA (Nominal)'!$B$1:$BX$1,0))*J117</f>
        <v>0</v>
      </c>
      <c r="K122" s="114">
        <f>INDEX('DATA (Nominal)'!$B$122:$BX$122,1,MATCH(K$1,'DATA (Nominal)'!$B$1:$BX$1,0))*K117</f>
        <v>0</v>
      </c>
      <c r="L122" s="114">
        <f>INDEX('DATA (Nominal)'!$B$122:$BX$122,1,MATCH(L$1,'DATA (Nominal)'!$B$1:$BX$1,0))*L117</f>
        <v>0</v>
      </c>
      <c r="M122" s="114">
        <f>INDEX('DATA (Nominal)'!$B$122:$BX$122,1,MATCH(M$1,'DATA (Nominal)'!$B$1:$BX$1,0))*M117</f>
        <v>0</v>
      </c>
      <c r="N122" s="114">
        <f>INDEX('DATA (Nominal)'!$B$122:$BX$122,1,MATCH(N$1,'DATA (Nominal)'!$B$1:$BX$1,0))*N117</f>
        <v>0</v>
      </c>
      <c r="O122" s="114">
        <f>INDEX('DATA (Nominal)'!$B$122:$BX$122,1,MATCH(O$1,'DATA (Nominal)'!$B$1:$BX$1,0))*O117</f>
        <v>0</v>
      </c>
      <c r="P122" s="114">
        <f>INDEX('DATA (Nominal)'!$B$122:$BX$122,1,MATCH(P$1,'DATA (Nominal)'!$B$1:$BX$1,0))*P117</f>
        <v>0</v>
      </c>
      <c r="Q122" s="114">
        <f>INDEX('DATA (Nominal)'!$B$122:$BX$122,1,MATCH(Q$1,'DATA (Nominal)'!$B$1:$BX$1,0))*Q117</f>
        <v>0</v>
      </c>
      <c r="R122" s="114">
        <f>INDEX('DATA (Nominal)'!$B$122:$BX$122,1,MATCH(R$1,'DATA (Nominal)'!$B$1:$BX$1,0))*R117</f>
        <v>0</v>
      </c>
      <c r="S122" s="114">
        <f>INDEX('DATA (Nominal)'!$B$122:$BX$122,1,MATCH(S$1,'DATA (Nominal)'!$B$1:$BX$1,0))*S117</f>
        <v>0</v>
      </c>
      <c r="T122" s="114">
        <f>INDEX('DATA (Nominal)'!$B$122:$BX$122,1,MATCH(T$1,'DATA (Nominal)'!$B$1:$BX$1,0))*T117</f>
        <v>0</v>
      </c>
      <c r="U122" s="114">
        <f>INDEX('DATA (Nominal)'!$B$122:$BX$122,1,MATCH(U$1,'DATA (Nominal)'!$B$1:$BX$1,0))*U117</f>
        <v>0</v>
      </c>
      <c r="V122" s="114">
        <f>INDEX('DATA (Nominal)'!$B$122:$BX$122,1,MATCH(V$1,'DATA (Nominal)'!$B$1:$BX$1,0))*V117</f>
        <v>0</v>
      </c>
      <c r="W122" s="114">
        <f>INDEX('DATA (Nominal)'!$B$122:$BX$122,1,MATCH(W$1,'DATA (Nominal)'!$B$1:$BX$1,0))*W117</f>
        <v>0</v>
      </c>
      <c r="X122" s="101">
        <f>INDEX('DATA (Nominal)'!$B$122:$BX$122,1,MATCH(X$1,'DATA (Nominal)'!$B$1:$BX$1,0))*X117</f>
        <v>0</v>
      </c>
    </row>
    <row r="123" spans="1:24" hidden="1" outlineLevel="1">
      <c r="A123" s="95"/>
      <c r="B123" s="36"/>
      <c r="C123" s="126" t="s">
        <v>49</v>
      </c>
      <c r="D123" s="121"/>
      <c r="E123" s="114">
        <f t="shared" ref="E123:X123" si="286">D142*Property_Tax_Rate</f>
        <v>5535122.6813898813</v>
      </c>
      <c r="F123" s="114">
        <f t="shared" si="286"/>
        <v>5226708.3025584714</v>
      </c>
      <c r="G123" s="114">
        <f t="shared" si="286"/>
        <v>4935478.6248701401</v>
      </c>
      <c r="H123" s="114">
        <f t="shared" si="286"/>
        <v>4660476.1250262149</v>
      </c>
      <c r="I123" s="114">
        <f t="shared" si="286"/>
        <v>4400796.6324665928</v>
      </c>
      <c r="J123" s="114">
        <f t="shared" si="286"/>
        <v>4155586.3565807594</v>
      </c>
      <c r="K123" s="114">
        <f t="shared" si="286"/>
        <v>3924039.07956118</v>
      </c>
      <c r="L123" s="114">
        <f t="shared" si="286"/>
        <v>3705393.5056695552</v>
      </c>
      <c r="M123" s="114">
        <f t="shared" si="286"/>
        <v>3498930.7582006841</v>
      </c>
      <c r="N123" s="114">
        <f t="shared" si="286"/>
        <v>3303972.0159143056</v>
      </c>
      <c r="O123" s="114">
        <f t="shared" si="286"/>
        <v>3119876.2811638154</v>
      </c>
      <c r="P123" s="114">
        <f t="shared" si="286"/>
        <v>2946038.2723837872</v>
      </c>
      <c r="Q123" s="114">
        <f t="shared" si="286"/>
        <v>2781886.4340070705</v>
      </c>
      <c r="R123" s="114">
        <f t="shared" si="286"/>
        <v>2626881.0572683606</v>
      </c>
      <c r="S123" s="114">
        <f t="shared" si="286"/>
        <v>2480512.5057156812</v>
      </c>
      <c r="T123" s="114">
        <f t="shared" si="286"/>
        <v>2342299.5395955252</v>
      </c>
      <c r="U123" s="114">
        <f t="shared" si="286"/>
        <v>2211787.7336024451</v>
      </c>
      <c r="V123" s="114">
        <f t="shared" si="286"/>
        <v>2088547.9827908799</v>
      </c>
      <c r="W123" s="114">
        <f t="shared" si="286"/>
        <v>1972175.0917368555</v>
      </c>
      <c r="X123" s="101">
        <f t="shared" si="286"/>
        <v>1862286.4423109193</v>
      </c>
    </row>
    <row r="124" spans="1:24" hidden="1" outlineLevel="1">
      <c r="A124" s="95"/>
      <c r="B124" s="36"/>
      <c r="C124" s="126" t="s">
        <v>50</v>
      </c>
      <c r="D124" s="121"/>
      <c r="E124" s="114">
        <f>SUM(E121:E123)</f>
        <v>15236121.136789963</v>
      </c>
      <c r="F124" s="114">
        <f t="shared" ref="F124" si="287">SUM(F121:F123)</f>
        <v>14948102.257318705</v>
      </c>
      <c r="G124" s="114">
        <f t="shared" ref="G124" si="288">SUM(G121:G123)</f>
        <v>14694502.18509504</v>
      </c>
      <c r="H124" s="114">
        <f t="shared" ref="H124" si="289">SUM(H121:H123)</f>
        <v>14468265.47643014</v>
      </c>
      <c r="I124" s="114">
        <f t="shared" ref="I124" si="290">SUM(I121:I123)</f>
        <v>14269539.974599171</v>
      </c>
      <c r="J124" s="114">
        <f t="shared" ref="J124" si="291">SUM(J121:J123)</f>
        <v>14095890.672985796</v>
      </c>
      <c r="K124" s="114">
        <f t="shared" ref="K124" si="292">SUM(K121:K123)</f>
        <v>13945305.852611465</v>
      </c>
      <c r="L124" s="114">
        <f t="shared" ref="L124" si="293">SUM(L121:L123)</f>
        <v>13816089.148988029</v>
      </c>
      <c r="M124" s="114">
        <f t="shared" ref="M124" si="294">SUM(M121:M123)</f>
        <v>13706786.175115772</v>
      </c>
      <c r="N124" s="114">
        <f t="shared" ref="N124" si="295">SUM(N121:N123)</f>
        <v>13616133.057733601</v>
      </c>
      <c r="O124" s="114">
        <f t="shared" ref="O124" si="296">SUM(O121:O123)</f>
        <v>13543019.338601081</v>
      </c>
      <c r="P124" s="114">
        <f t="shared" ref="P124" si="297">SUM(P121:P123)</f>
        <v>13486460.569284577</v>
      </c>
      <c r="Q124" s="114">
        <f t="shared" ref="Q124" si="298">SUM(Q121:Q123)</f>
        <v>13445577.616508104</v>
      </c>
      <c r="R124" s="114">
        <f t="shared" ref="R124" si="299">SUM(R121:R123)</f>
        <v>13419580.720341749</v>
      </c>
      <c r="S124" s="114">
        <f t="shared" ref="S124" si="300">SUM(S121:S123)</f>
        <v>13407756.988684986</v>
      </c>
      <c r="T124" s="114">
        <f t="shared" ref="T124" si="301">SUM(T121:T123)</f>
        <v>13409460.423189068</v>
      </c>
      <c r="U124" s="114">
        <f t="shared" ref="U124" si="302">SUM(U121:U123)</f>
        <v>13424103.842373593</v>
      </c>
      <c r="V124" s="114">
        <f t="shared" ref="V124" si="303">SUM(V121:V123)</f>
        <v>13451152.249366118</v>
      </c>
      <c r="W124" s="114">
        <f t="shared" ref="W124" si="304">SUM(W121:W123)</f>
        <v>13490117.316012004</v>
      </c>
      <c r="X124" s="101">
        <f t="shared" ref="X124" si="305">SUM(X121:X123)</f>
        <v>13540552.741664775</v>
      </c>
    </row>
    <row r="125" spans="1:24" hidden="1" outlineLevel="1">
      <c r="A125" s="95"/>
      <c r="B125" s="36"/>
      <c r="C125" s="126"/>
      <c r="D125" s="121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01"/>
    </row>
    <row r="126" spans="1:24" hidden="1" outlineLevel="1">
      <c r="A126" s="95"/>
      <c r="B126" s="36"/>
      <c r="C126" s="125" t="s">
        <v>51</v>
      </c>
      <c r="D126" s="120"/>
      <c r="E126" s="114">
        <f>E119-E124</f>
        <v>37461952.531669267</v>
      </c>
      <c r="F126" s="114">
        <f t="shared" ref="F126:X126" si="306">F119-F124</f>
        <v>37749971.411140524</v>
      </c>
      <c r="G126" s="114">
        <f t="shared" si="306"/>
        <v>38003571.483364187</v>
      </c>
      <c r="H126" s="114">
        <f t="shared" si="306"/>
        <v>38229808.192029089</v>
      </c>
      <c r="I126" s="114">
        <f t="shared" si="306"/>
        <v>38428533.693860054</v>
      </c>
      <c r="J126" s="114">
        <f t="shared" si="306"/>
        <v>38602182.99547343</v>
      </c>
      <c r="K126" s="114">
        <f t="shared" si="306"/>
        <v>38752767.815847762</v>
      </c>
      <c r="L126" s="114">
        <f t="shared" si="306"/>
        <v>38881984.519471198</v>
      </c>
      <c r="M126" s="114">
        <f t="shared" si="306"/>
        <v>38991287.493343458</v>
      </c>
      <c r="N126" s="114">
        <f t="shared" si="306"/>
        <v>39081940.610725626</v>
      </c>
      <c r="O126" s="114">
        <f t="shared" si="306"/>
        <v>39155054.329858147</v>
      </c>
      <c r="P126" s="114">
        <f t="shared" si="306"/>
        <v>39211613.099174649</v>
      </c>
      <c r="Q126" s="114">
        <f t="shared" si="306"/>
        <v>39252496.051951125</v>
      </c>
      <c r="R126" s="114">
        <f t="shared" si="306"/>
        <v>39278492.94811748</v>
      </c>
      <c r="S126" s="114">
        <f t="shared" si="306"/>
        <v>39290316.67977424</v>
      </c>
      <c r="T126" s="114">
        <f t="shared" si="306"/>
        <v>39288613.245270163</v>
      </c>
      <c r="U126" s="114">
        <f t="shared" si="306"/>
        <v>39273969.826085635</v>
      </c>
      <c r="V126" s="114">
        <f t="shared" si="306"/>
        <v>39246921.41909311</v>
      </c>
      <c r="W126" s="114">
        <f t="shared" si="306"/>
        <v>39207956.352447227</v>
      </c>
      <c r="X126" s="101">
        <f t="shared" si="306"/>
        <v>39157520.926794454</v>
      </c>
    </row>
    <row r="127" spans="1:24" hidden="1" outlineLevel="1">
      <c r="A127" s="95"/>
      <c r="B127" s="36"/>
      <c r="C127" s="125" t="s">
        <v>52</v>
      </c>
      <c r="D127" s="120"/>
      <c r="E127" s="114">
        <f>E126-E143-E134</f>
        <v>-87263468.915103629</v>
      </c>
      <c r="F127" s="114">
        <f t="shared" ref="F127" si="307">F126-F143-F134</f>
        <v>-152994752.89016128</v>
      </c>
      <c r="G127" s="114">
        <f t="shared" ref="G127" si="308">G126-G143-G134</f>
        <v>-81467293.861279294</v>
      </c>
      <c r="H127" s="114">
        <f t="shared" ref="H127" si="309">H126-H143-H134</f>
        <v>-38283690.449754491</v>
      </c>
      <c r="I127" s="114">
        <f t="shared" ref="I127" si="310">I126-I143-I134</f>
        <v>-37612721.090099715</v>
      </c>
      <c r="J127" s="114">
        <f t="shared" ref="J127" si="311">J126-J143-J134</f>
        <v>-5058547.8736765031</v>
      </c>
      <c r="K127" s="114">
        <f t="shared" ref="K127" si="312">K126-K143-K134</f>
        <v>27499962.811357889</v>
      </c>
      <c r="L127" s="114">
        <f t="shared" ref="L127" si="313">L126-L143-L134</f>
        <v>28183707.791927658</v>
      </c>
      <c r="M127" s="114">
        <f t="shared" ref="M127" si="314">M126-M143-M134</f>
        <v>28878038.097978301</v>
      </c>
      <c r="N127" s="114">
        <f t="shared" ref="N127" si="315">N126-N143-N134</f>
        <v>29585895.050808668</v>
      </c>
      <c r="O127" s="114">
        <f t="shared" ref="O127" si="316">O126-O143-O134</f>
        <v>30310158.816339031</v>
      </c>
      <c r="P127" s="114">
        <f t="shared" ref="P127" si="317">P126-P143-P134</f>
        <v>31053680.884605259</v>
      </c>
      <c r="Q127" s="114">
        <f t="shared" ref="Q127" si="318">Q126-Q143-Q134</f>
        <v>31819310.117773697</v>
      </c>
      <c r="R127" s="114">
        <f t="shared" ref="R127" si="319">R126-R143-R134</f>
        <v>32609914.339753572</v>
      </c>
      <c r="S127" s="114">
        <f t="shared" ref="S127" si="320">S126-S143-S134</f>
        <v>33428398.800143596</v>
      </c>
      <c r="T127" s="114">
        <f t="shared" ref="T127" si="321">T126-T143-T134</f>
        <v>34277722.434453107</v>
      </c>
      <c r="U127" s="114">
        <f t="shared" ref="U127" si="322">U126-U143-U134</f>
        <v>35160912.572866924</v>
      </c>
      <c r="V127" s="114">
        <f t="shared" ref="V127" si="323">V126-V143-V134</f>
        <v>36081078.569140643</v>
      </c>
      <c r="W127" s="114">
        <f t="shared" ref="W127" si="324">W126-W143-W134</f>
        <v>37041424.697940655</v>
      </c>
      <c r="X127" s="101">
        <f t="shared" ref="X127" si="325">X126-X143-X134</f>
        <v>38045262.583483301</v>
      </c>
    </row>
    <row r="128" spans="1:24" hidden="1" outlineLevel="1">
      <c r="A128" s="95"/>
      <c r="B128" s="36"/>
      <c r="C128" s="125" t="s">
        <v>53</v>
      </c>
      <c r="D128" s="120"/>
      <c r="E128" s="114">
        <f>INDEX('DATA (Nominal)'!$B$268:$BX$268,1,MATCH($B$1,'DATA (Nominal)'!$B$1:$BX$1,0))*INDEX('DATA (Nominal)'!$B$296:$BX$296,1,MATCH(E$1,'DATA (Nominal)'!$B$1:$BX$1,0))*E117</f>
        <v>11888587.937293155</v>
      </c>
      <c r="F128" s="114">
        <f>INDEX('DATA (Nominal)'!$B$268:$BX$268,1,MATCH($B$1,'DATA (Nominal)'!$B$1:$BX$1,0))*INDEX('DATA (Nominal)'!$B$296:$BX$296,1,MATCH(F$1,'DATA (Nominal)'!$B$1:$BX$1,0))*F117</f>
        <v>12154099.734559372</v>
      </c>
      <c r="G128" s="114">
        <f>INDEX('DATA (Nominal)'!$B$268:$BX$268,1,MATCH($B$1,'DATA (Nominal)'!$B$1:$BX$1,0))*INDEX('DATA (Nominal)'!$B$296:$BX$296,1,MATCH(G$1,'DATA (Nominal)'!$B$1:$BX$1,0))*G117</f>
        <v>12425541.295297863</v>
      </c>
      <c r="H128" s="114">
        <f>INDEX('DATA (Nominal)'!$B$268:$BX$268,1,MATCH($B$1,'DATA (Nominal)'!$B$1:$BX$1,0))*INDEX('DATA (Nominal)'!$B$296:$BX$296,1,MATCH(H$1,'DATA (Nominal)'!$B$1:$BX$1,0))*H117</f>
        <v>12698903.203794418</v>
      </c>
      <c r="I128" s="114">
        <f>INDEX('DATA (Nominal)'!$B$268:$BX$268,1,MATCH($B$1,'DATA (Nominal)'!$B$1:$BX$1,0))*INDEX('DATA (Nominal)'!$B$296:$BX$296,1,MATCH(I$1,'DATA (Nominal)'!$B$1:$BX$1,0))*I117</f>
        <v>12978279.074277893</v>
      </c>
      <c r="J128" s="114">
        <f>INDEX('DATA (Nominal)'!$B$268:$BX$268,1,MATCH($B$1,'DATA (Nominal)'!$B$1:$BX$1,0))*INDEX('DATA (Nominal)'!$B$296:$BX$296,1,MATCH(J$1,'DATA (Nominal)'!$B$1:$BX$1,0))*J117</f>
        <v>13263801.213912008</v>
      </c>
      <c r="K128" s="114">
        <f>INDEX('DATA (Nominal)'!$B$268:$BX$268,1,MATCH($B$1,'DATA (Nominal)'!$B$1:$BX$1,0))*INDEX('DATA (Nominal)'!$B$296:$BX$296,1,MATCH(K$1,'DATA (Nominal)'!$B$1:$BX$1,0))*K117</f>
        <v>13555604.84061807</v>
      </c>
      <c r="L128" s="114">
        <f>INDEX('DATA (Nominal)'!$B$268:$BX$268,1,MATCH($B$1,'DATA (Nominal)'!$B$1:$BX$1,0))*INDEX('DATA (Nominal)'!$B$296:$BX$296,1,MATCH(L$1,'DATA (Nominal)'!$B$1:$BX$1,0))*L117</f>
        <v>13853828.147111671</v>
      </c>
      <c r="M128" s="114">
        <f>INDEX('DATA (Nominal)'!$B$268:$BX$268,1,MATCH($B$1,'DATA (Nominal)'!$B$1:$BX$1,0))*INDEX('DATA (Nominal)'!$B$296:$BX$296,1,MATCH(M$1,'DATA (Nominal)'!$B$1:$BX$1,0))*M117</f>
        <v>14158612.366348127</v>
      </c>
      <c r="N128" s="114">
        <f>INDEX('DATA (Nominal)'!$B$268:$BX$268,1,MATCH($B$1,'DATA (Nominal)'!$B$1:$BX$1,0))*INDEX('DATA (Nominal)'!$B$296:$BX$296,1,MATCH(N$1,'DATA (Nominal)'!$B$1:$BX$1,0))*N117</f>
        <v>14470101.838407787</v>
      </c>
      <c r="O128" s="114"/>
      <c r="P128" s="114"/>
      <c r="Q128" s="114"/>
      <c r="R128" s="114"/>
      <c r="S128" s="114"/>
      <c r="T128" s="114"/>
      <c r="U128" s="114"/>
      <c r="V128" s="114"/>
      <c r="W128" s="114"/>
      <c r="X128" s="101"/>
    </row>
    <row r="129" spans="1:25" hidden="1" outlineLevel="1">
      <c r="A129" s="95"/>
      <c r="B129" s="36"/>
      <c r="C129" s="126" t="s">
        <v>54</v>
      </c>
      <c r="D129" s="121"/>
      <c r="E129" s="114">
        <f t="shared" ref="E129:X129" si="326">E127*Federal_Tax_Rate-E128</f>
        <v>-30213916.409464918</v>
      </c>
      <c r="F129" s="114">
        <f t="shared" si="326"/>
        <v>-44282997.841493234</v>
      </c>
      <c r="G129" s="114">
        <f t="shared" si="326"/>
        <v>-29533673.006166518</v>
      </c>
      <c r="H129" s="114">
        <f t="shared" si="326"/>
        <v>-20738478.198242862</v>
      </c>
      <c r="I129" s="114">
        <f t="shared" si="326"/>
        <v>-20876950.503198832</v>
      </c>
      <c r="J129" s="114">
        <f t="shared" si="326"/>
        <v>-14326096.267384075</v>
      </c>
      <c r="K129" s="114">
        <f t="shared" si="326"/>
        <v>-7780612.6502329139</v>
      </c>
      <c r="L129" s="114">
        <f t="shared" si="326"/>
        <v>-7935249.5108068632</v>
      </c>
      <c r="M129" s="114">
        <f t="shared" si="326"/>
        <v>-8094224.3657726841</v>
      </c>
      <c r="N129" s="114">
        <f t="shared" si="326"/>
        <v>-8257063.8777379664</v>
      </c>
      <c r="O129" s="114">
        <f t="shared" si="326"/>
        <v>6365133.3514311966</v>
      </c>
      <c r="P129" s="114">
        <f t="shared" si="326"/>
        <v>6521272.9857671037</v>
      </c>
      <c r="Q129" s="114">
        <f t="shared" si="326"/>
        <v>6682055.1247324757</v>
      </c>
      <c r="R129" s="114">
        <f t="shared" si="326"/>
        <v>6848082.0113482494</v>
      </c>
      <c r="S129" s="114">
        <f t="shared" si="326"/>
        <v>7019963.748030155</v>
      </c>
      <c r="T129" s="114">
        <f t="shared" si="326"/>
        <v>7198321.7112351526</v>
      </c>
      <c r="U129" s="114">
        <f t="shared" si="326"/>
        <v>7383791.6403020537</v>
      </c>
      <c r="V129" s="114">
        <f t="shared" si="326"/>
        <v>7577026.4995195344</v>
      </c>
      <c r="W129" s="114">
        <f t="shared" si="326"/>
        <v>7778699.1865675375</v>
      </c>
      <c r="X129" s="101">
        <f t="shared" si="326"/>
        <v>7989505.1425314927</v>
      </c>
    </row>
    <row r="130" spans="1:25" hidden="1" outlineLevel="1">
      <c r="A130" s="95"/>
      <c r="B130" s="36"/>
      <c r="C130" s="126"/>
      <c r="D130" s="121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01"/>
    </row>
    <row r="131" spans="1:25" hidden="1" outlineLevel="1">
      <c r="A131" s="95"/>
      <c r="B131" s="37">
        <f>IRR(D131:Y131,0.1)</f>
        <v>7.4999967098206222E-2</v>
      </c>
      <c r="C131" s="125" t="s">
        <v>55</v>
      </c>
      <c r="D131" s="100">
        <f>-INDEX('DATA (Nominal)'!$B$81:$BX$81,1,MATCH($B$1,'DATA (Nominal)'!$B$1:$BX$1,0))*'Resource Options'!$E$10/1000*1000000*(1+AFUDC!$C$10)</f>
        <v>-553512268.13898814</v>
      </c>
      <c r="E131" s="114">
        <f>E126-E129</f>
        <v>67675868.941134185</v>
      </c>
      <c r="F131" s="114">
        <f t="shared" ref="F131:X131" si="327">F126-F129</f>
        <v>82032969.25263375</v>
      </c>
      <c r="G131" s="114">
        <f t="shared" si="327"/>
        <v>67537244.489530712</v>
      </c>
      <c r="H131" s="114">
        <f t="shared" si="327"/>
        <v>58968286.390271947</v>
      </c>
      <c r="I131" s="114">
        <f t="shared" si="327"/>
        <v>59305484.197058886</v>
      </c>
      <c r="J131" s="114">
        <f t="shared" si="327"/>
        <v>52928279.262857504</v>
      </c>
      <c r="K131" s="114">
        <f t="shared" si="327"/>
        <v>46533380.466080673</v>
      </c>
      <c r="L131" s="114">
        <f t="shared" si="327"/>
        <v>46817234.030278064</v>
      </c>
      <c r="M131" s="114">
        <f t="shared" si="327"/>
        <v>47085511.859116144</v>
      </c>
      <c r="N131" s="114">
        <f t="shared" si="327"/>
        <v>47339004.488463596</v>
      </c>
      <c r="O131" s="114">
        <f t="shared" si="327"/>
        <v>32789920.978426948</v>
      </c>
      <c r="P131" s="114">
        <f t="shared" si="327"/>
        <v>32690340.113407545</v>
      </c>
      <c r="Q131" s="114">
        <f t="shared" si="327"/>
        <v>32570440.92721865</v>
      </c>
      <c r="R131" s="114">
        <f t="shared" si="327"/>
        <v>32430410.936769232</v>
      </c>
      <c r="S131" s="114">
        <f t="shared" si="327"/>
        <v>32270352.931744084</v>
      </c>
      <c r="T131" s="114">
        <f t="shared" si="327"/>
        <v>32090291.534035012</v>
      </c>
      <c r="U131" s="114">
        <f t="shared" si="327"/>
        <v>31890178.18578358</v>
      </c>
      <c r="V131" s="114">
        <f t="shared" si="327"/>
        <v>31669894.919573575</v>
      </c>
      <c r="W131" s="114">
        <f t="shared" si="327"/>
        <v>31429257.165879689</v>
      </c>
      <c r="X131" s="101">
        <f t="shared" si="327"/>
        <v>31168015.784262963</v>
      </c>
      <c r="Y131" s="24">
        <f>D131*-0.3</f>
        <v>166053680.44169644</v>
      </c>
    </row>
    <row r="132" spans="1:25" hidden="1" outlineLevel="1">
      <c r="A132" s="95"/>
      <c r="B132" s="37">
        <f>IRR(D132:Y132,0.1)</f>
        <v>0.10151295022022522</v>
      </c>
      <c r="C132" s="125" t="s">
        <v>56</v>
      </c>
      <c r="D132" s="102">
        <f>-E148</f>
        <v>-117245782.69348918</v>
      </c>
      <c r="E132" s="114">
        <f>E131-E128-E134-E136-E144</f>
        <v>11204628.429398473</v>
      </c>
      <c r="F132" s="114">
        <f t="shared" ref="F132" si="328">F131-F128-F134-F136-F144</f>
        <v>11347707.786529325</v>
      </c>
      <c r="G132" s="114">
        <f t="shared" ref="G132" si="329">G131-G128-G134-G136-G144</f>
        <v>11458951.230263796</v>
      </c>
      <c r="H132" s="114">
        <f t="shared" ref="H132" si="330">H131-H128-H134-H136-H144</f>
        <v>11543677.083054075</v>
      </c>
      <c r="I132" s="114">
        <f t="shared" ref="I132" si="331">I131-I128-I134-I136-I144</f>
        <v>11601499.019357542</v>
      </c>
      <c r="J132" s="114">
        <f t="shared" ref="J132" si="332">J131-J128-J134-J136-J144</f>
        <v>11634056.34093124</v>
      </c>
      <c r="K132" s="114">
        <f t="shared" ref="K132" si="333">K131-K128-K134-K136-K144</f>
        <v>11642638.31285755</v>
      </c>
      <c r="L132" s="114">
        <f t="shared" ref="L132" si="334">L131-L128-L134-L136-L144</f>
        <v>11628268.57056134</v>
      </c>
      <c r="M132" s="114">
        <f t="shared" ref="M132" si="335">M131-M128-M134-M136-M144</f>
        <v>11591762.180162964</v>
      </c>
      <c r="N132" s="114">
        <f t="shared" ref="N132" si="336">N131-N128-N134-N136-N144</f>
        <v>11533765.337450759</v>
      </c>
      <c r="O132" s="114">
        <f t="shared" ref="O132" si="337">O131-O128-O134-O136-O144</f>
        <v>11454783.665821895</v>
      </c>
      <c r="P132" s="114">
        <f t="shared" ref="P132" si="338">P131-P128-P134-P136-P144</f>
        <v>11355202.800802492</v>
      </c>
      <c r="Q132" s="114">
        <f t="shared" ref="Q132" si="339">Q131-Q128-Q134-Q136-Q144</f>
        <v>11235303.614613598</v>
      </c>
      <c r="R132" s="114">
        <f t="shared" ref="R132" si="340">R131-R128-R134-R136-R144</f>
        <v>11095273.624164179</v>
      </c>
      <c r="S132" s="114">
        <f t="shared" ref="S132" si="341">S131-S128-S134-S136-S144</f>
        <v>10935215.619139031</v>
      </c>
      <c r="T132" s="114">
        <f t="shared" ref="T132" si="342">T131-T128-T134-T136-T144</f>
        <v>10755154.221429959</v>
      </c>
      <c r="U132" s="114">
        <f t="shared" ref="U132" si="343">U131-U128-U134-U136-U144</f>
        <v>10555040.873178527</v>
      </c>
      <c r="V132" s="114">
        <f t="shared" ref="V132" si="344">V131-V128-V134-V136-V144</f>
        <v>10334757.606968522</v>
      </c>
      <c r="W132" s="114">
        <f t="shared" ref="W132" si="345">W131-W128-W134-W136-W144</f>
        <v>10094119.853274636</v>
      </c>
      <c r="X132" s="101">
        <f t="shared" ref="X132" si="346">X131-X128-X134-X136-X144</f>
        <v>9832878.4716579095</v>
      </c>
      <c r="Y132" s="24">
        <f>Y131</f>
        <v>166053680.44169644</v>
      </c>
    </row>
    <row r="133" spans="1:25" hidden="1" outlineLevel="1">
      <c r="A133" s="95"/>
      <c r="B133" s="21"/>
      <c r="C133" s="125"/>
      <c r="D133" s="102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01"/>
    </row>
    <row r="134" spans="1:25" hidden="1" outlineLevel="1">
      <c r="A134" s="95"/>
      <c r="C134" s="126" t="s">
        <v>57</v>
      </c>
      <c r="D134" s="99"/>
      <c r="E134" s="114">
        <f t="shared" ref="E134:X134" si="347">D137*Debt_Rate</f>
        <v>14022967.818975257</v>
      </c>
      <c r="F134" s="114">
        <f t="shared" si="347"/>
        <v>13620798.496825619</v>
      </c>
      <c r="G134" s="114">
        <f t="shared" si="347"/>
        <v>13196509.861957749</v>
      </c>
      <c r="H134" s="114">
        <f t="shared" si="347"/>
        <v>12748885.352172147</v>
      </c>
      <c r="I134" s="114">
        <f t="shared" si="347"/>
        <v>12276641.494348338</v>
      </c>
      <c r="J134" s="114">
        <f t="shared" si="347"/>
        <v>11778424.224344218</v>
      </c>
      <c r="K134" s="114">
        <f t="shared" si="347"/>
        <v>11252805.004489873</v>
      </c>
      <c r="L134" s="114">
        <f t="shared" si="347"/>
        <v>10698276.727543538</v>
      </c>
      <c r="M134" s="114">
        <f t="shared" si="347"/>
        <v>10113249.395365154</v>
      </c>
      <c r="N134" s="114">
        <f t="shared" si="347"/>
        <v>9496045.5599169601</v>
      </c>
      <c r="O134" s="114">
        <f t="shared" si="347"/>
        <v>8844895.5135191157</v>
      </c>
      <c r="P134" s="114">
        <f t="shared" si="347"/>
        <v>8157932.2145693889</v>
      </c>
      <c r="Q134" s="114">
        <f t="shared" si="347"/>
        <v>7433185.9341774266</v>
      </c>
      <c r="R134" s="114">
        <f t="shared" si="347"/>
        <v>6668578.6083639078</v>
      </c>
      <c r="S134" s="114">
        <f t="shared" si="347"/>
        <v>5861917.8796306448</v>
      </c>
      <c r="T134" s="114">
        <f t="shared" si="347"/>
        <v>5010890.8108170526</v>
      </c>
      <c r="U134" s="114">
        <f t="shared" si="347"/>
        <v>4113057.2532187118</v>
      </c>
      <c r="V134" s="114">
        <f t="shared" si="347"/>
        <v>3165842.8499524631</v>
      </c>
      <c r="W134" s="114">
        <f t="shared" si="347"/>
        <v>2166531.6545065702</v>
      </c>
      <c r="X134" s="101">
        <f t="shared" si="347"/>
        <v>1112258.3433111538</v>
      </c>
    </row>
    <row r="135" spans="1:25" hidden="1" outlineLevel="1">
      <c r="C135" s="126" t="s">
        <v>58</v>
      </c>
      <c r="D135" s="99"/>
      <c r="E135" s="114">
        <f t="shared" ref="E135:X135" si="348">-PMT(Debt_Rate,20,$E147)</f>
        <v>21335137.312605053</v>
      </c>
      <c r="F135" s="114">
        <f t="shared" si="348"/>
        <v>21335137.312605053</v>
      </c>
      <c r="G135" s="114">
        <f t="shared" si="348"/>
        <v>21335137.312605053</v>
      </c>
      <c r="H135" s="114">
        <f t="shared" si="348"/>
        <v>21335137.312605053</v>
      </c>
      <c r="I135" s="114">
        <f t="shared" si="348"/>
        <v>21335137.312605053</v>
      </c>
      <c r="J135" s="114">
        <f t="shared" si="348"/>
        <v>21335137.312605053</v>
      </c>
      <c r="K135" s="114">
        <f t="shared" si="348"/>
        <v>21335137.312605053</v>
      </c>
      <c r="L135" s="114">
        <f t="shared" si="348"/>
        <v>21335137.312605053</v>
      </c>
      <c r="M135" s="114">
        <f t="shared" si="348"/>
        <v>21335137.312605053</v>
      </c>
      <c r="N135" s="114">
        <f t="shared" si="348"/>
        <v>21335137.312605053</v>
      </c>
      <c r="O135" s="114">
        <f t="shared" si="348"/>
        <v>21335137.312605053</v>
      </c>
      <c r="P135" s="114">
        <f t="shared" si="348"/>
        <v>21335137.312605053</v>
      </c>
      <c r="Q135" s="114">
        <f t="shared" si="348"/>
        <v>21335137.312605053</v>
      </c>
      <c r="R135" s="114">
        <f t="shared" si="348"/>
        <v>21335137.312605053</v>
      </c>
      <c r="S135" s="114">
        <f t="shared" si="348"/>
        <v>21335137.312605053</v>
      </c>
      <c r="T135" s="114">
        <f t="shared" si="348"/>
        <v>21335137.312605053</v>
      </c>
      <c r="U135" s="114">
        <f t="shared" si="348"/>
        <v>21335137.312605053</v>
      </c>
      <c r="V135" s="114">
        <f t="shared" si="348"/>
        <v>21335137.312605053</v>
      </c>
      <c r="W135" s="114">
        <f t="shared" si="348"/>
        <v>21335137.312605053</v>
      </c>
      <c r="X135" s="101">
        <f t="shared" si="348"/>
        <v>21335137.312605053</v>
      </c>
    </row>
    <row r="136" spans="1:25" hidden="1" outlineLevel="1">
      <c r="C136" s="126" t="s">
        <v>59</v>
      </c>
      <c r="D136" s="99"/>
      <c r="E136" s="114">
        <f>E135-E134</f>
        <v>7312169.4936297964</v>
      </c>
      <c r="F136" s="114">
        <f>F135-F134</f>
        <v>7714338.8157794345</v>
      </c>
      <c r="G136" s="114">
        <f t="shared" ref="G136" si="349">G135-G134</f>
        <v>8138627.4506473038</v>
      </c>
      <c r="H136" s="114">
        <f t="shared" ref="H136" si="350">H135-H134</f>
        <v>8586251.9604329057</v>
      </c>
      <c r="I136" s="114">
        <f t="shared" ref="I136" si="351">I135-I134</f>
        <v>9058495.8182567153</v>
      </c>
      <c r="J136" s="114">
        <f t="shared" ref="J136" si="352">J135-J134</f>
        <v>9556713.088260835</v>
      </c>
      <c r="K136" s="114">
        <f t="shared" ref="K136" si="353">K135-K134</f>
        <v>10082332.308115181</v>
      </c>
      <c r="L136" s="114">
        <f t="shared" ref="L136" si="354">L135-L134</f>
        <v>10636860.585061515</v>
      </c>
      <c r="M136" s="114">
        <f t="shared" ref="M136" si="355">M135-M134</f>
        <v>11221887.917239899</v>
      </c>
      <c r="N136" s="114">
        <f t="shared" ref="N136" si="356">N135-N134</f>
        <v>11839091.752688093</v>
      </c>
      <c r="O136" s="114">
        <f t="shared" ref="O136" si="357">O135-O134</f>
        <v>12490241.799085937</v>
      </c>
      <c r="P136" s="114">
        <f t="shared" ref="P136" si="358">P135-P134</f>
        <v>13177205.098035663</v>
      </c>
      <c r="Q136" s="114">
        <f t="shared" ref="Q136" si="359">Q135-Q134</f>
        <v>13901951.378427627</v>
      </c>
      <c r="R136" s="114">
        <f t="shared" ref="R136" si="360">R135-R134</f>
        <v>14666558.704241145</v>
      </c>
      <c r="S136" s="114">
        <f t="shared" ref="S136" si="361">S135-S134</f>
        <v>15473219.432974409</v>
      </c>
      <c r="T136" s="114">
        <f t="shared" ref="T136" si="362">T135-T134</f>
        <v>16324246.501788002</v>
      </c>
      <c r="U136" s="114">
        <f t="shared" ref="U136" si="363">U135-U134</f>
        <v>17222080.059386343</v>
      </c>
      <c r="V136" s="114">
        <f t="shared" ref="V136" si="364">V135-V134</f>
        <v>18169294.46265259</v>
      </c>
      <c r="W136" s="114">
        <f t="shared" ref="W136" si="365">W135-W134</f>
        <v>19168605.658098482</v>
      </c>
      <c r="X136" s="101">
        <f t="shared" ref="X136" si="366">X135-X134</f>
        <v>20222878.9692939</v>
      </c>
    </row>
    <row r="137" spans="1:25" hidden="1" outlineLevel="1">
      <c r="C137" s="126" t="s">
        <v>60</v>
      </c>
      <c r="D137" s="99">
        <f>E147</f>
        <v>254963051.25409558</v>
      </c>
      <c r="E137" s="114">
        <f>D137-E136</f>
        <v>247650881.7604658</v>
      </c>
      <c r="F137" s="114">
        <f>E137-F136</f>
        <v>239936542.94468635</v>
      </c>
      <c r="G137" s="114">
        <f t="shared" ref="G137" si="367">F137-G136</f>
        <v>231797915.49403906</v>
      </c>
      <c r="H137" s="114">
        <f t="shared" ref="H137" si="368">G137-H136</f>
        <v>223211663.53360614</v>
      </c>
      <c r="I137" s="114">
        <f t="shared" ref="I137" si="369">H137-I136</f>
        <v>214153167.71534944</v>
      </c>
      <c r="J137" s="114">
        <f t="shared" ref="J137" si="370">I137-J136</f>
        <v>204596454.62708861</v>
      </c>
      <c r="K137" s="114">
        <f t="shared" ref="K137" si="371">J137-K136</f>
        <v>194514122.31897342</v>
      </c>
      <c r="L137" s="114">
        <f t="shared" ref="L137" si="372">K137-L136</f>
        <v>183877261.7339119</v>
      </c>
      <c r="M137" s="114">
        <f t="shared" ref="M137" si="373">L137-M136</f>
        <v>172655373.816672</v>
      </c>
      <c r="N137" s="114">
        <f t="shared" ref="N137" si="374">M137-N136</f>
        <v>160816282.06398392</v>
      </c>
      <c r="O137" s="114">
        <f t="shared" ref="O137" si="375">N137-O136</f>
        <v>148326040.26489797</v>
      </c>
      <c r="P137" s="114">
        <f t="shared" ref="P137" si="376">O137-P136</f>
        <v>135148835.16686231</v>
      </c>
      <c r="Q137" s="114">
        <f t="shared" ref="Q137" si="377">P137-Q136</f>
        <v>121246883.78843468</v>
      </c>
      <c r="R137" s="114">
        <f t="shared" ref="R137" si="378">Q137-R136</f>
        <v>106580325.08419354</v>
      </c>
      <c r="S137" s="114">
        <f t="shared" ref="S137" si="379">R137-S136</f>
        <v>91107105.65121913</v>
      </c>
      <c r="T137" s="114">
        <f t="shared" ref="T137" si="380">S137-T136</f>
        <v>74782859.149431124</v>
      </c>
      <c r="U137" s="114">
        <f t="shared" ref="U137" si="381">T137-U136</f>
        <v>57560779.090044782</v>
      </c>
      <c r="V137" s="114">
        <f t="shared" ref="V137" si="382">U137-V136</f>
        <v>39391484.627392188</v>
      </c>
      <c r="W137" s="114">
        <f t="shared" ref="W137" si="383">V137-W136</f>
        <v>20222878.969293706</v>
      </c>
      <c r="X137" s="101">
        <f t="shared" ref="X137" si="384">W137-X136</f>
        <v>-1.9371509552001953E-7</v>
      </c>
    </row>
    <row r="138" spans="1:25" hidden="1" outlineLevel="1">
      <c r="C138" s="125"/>
      <c r="D138" s="99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01"/>
    </row>
    <row r="139" spans="1:25" hidden="1" outlineLevel="1">
      <c r="C139" s="126" t="s">
        <v>61</v>
      </c>
      <c r="D139" s="99"/>
      <c r="E139" s="114">
        <f t="shared" ref="E139:X139" si="385">IF(E$2-1&lt;20,-$D131/20,0)</f>
        <v>27675613.406949408</v>
      </c>
      <c r="F139" s="114">
        <f t="shared" si="385"/>
        <v>27675613.406949408</v>
      </c>
      <c r="G139" s="114">
        <f t="shared" si="385"/>
        <v>27675613.406949408</v>
      </c>
      <c r="H139" s="114">
        <f t="shared" si="385"/>
        <v>27675613.406949408</v>
      </c>
      <c r="I139" s="114">
        <f t="shared" si="385"/>
        <v>27675613.406949408</v>
      </c>
      <c r="J139" s="114">
        <f t="shared" si="385"/>
        <v>27675613.406949408</v>
      </c>
      <c r="K139" s="114">
        <f t="shared" si="385"/>
        <v>27675613.406949408</v>
      </c>
      <c r="L139" s="114">
        <f t="shared" si="385"/>
        <v>27675613.406949408</v>
      </c>
      <c r="M139" s="114">
        <f t="shared" si="385"/>
        <v>27675613.406949408</v>
      </c>
      <c r="N139" s="114">
        <f t="shared" si="385"/>
        <v>27675613.406949408</v>
      </c>
      <c r="O139" s="114">
        <f t="shared" si="385"/>
        <v>27675613.406949408</v>
      </c>
      <c r="P139" s="114">
        <f t="shared" si="385"/>
        <v>27675613.406949408</v>
      </c>
      <c r="Q139" s="114">
        <f t="shared" si="385"/>
        <v>27675613.406949408</v>
      </c>
      <c r="R139" s="114">
        <f t="shared" si="385"/>
        <v>27675613.406949408</v>
      </c>
      <c r="S139" s="114">
        <f t="shared" si="385"/>
        <v>27675613.406949408</v>
      </c>
      <c r="T139" s="114">
        <f t="shared" si="385"/>
        <v>27675613.406949408</v>
      </c>
      <c r="U139" s="114">
        <f t="shared" si="385"/>
        <v>27675613.406949408</v>
      </c>
      <c r="V139" s="114">
        <f t="shared" si="385"/>
        <v>27675613.406949408</v>
      </c>
      <c r="W139" s="114">
        <f t="shared" si="385"/>
        <v>27675613.406949408</v>
      </c>
      <c r="X139" s="101">
        <f t="shared" si="385"/>
        <v>27675613.406949408</v>
      </c>
    </row>
    <row r="140" spans="1:25" hidden="1" outlineLevel="1">
      <c r="C140" s="125" t="s">
        <v>62</v>
      </c>
      <c r="D140" s="99"/>
      <c r="E140" s="114">
        <f>SUM($E139:E139)</f>
        <v>27675613.406949408</v>
      </c>
      <c r="F140" s="114">
        <f>SUM($E139:F139)</f>
        <v>55351226.813898817</v>
      </c>
      <c r="G140" s="114">
        <f>SUM($E139:G139)</f>
        <v>83026840.220848233</v>
      </c>
      <c r="H140" s="114">
        <f>SUM($E139:H139)</f>
        <v>110702453.62779763</v>
      </c>
      <c r="I140" s="114">
        <f>SUM($E139:I139)</f>
        <v>138378067.03474703</v>
      </c>
      <c r="J140" s="114">
        <f>SUM($E139:J139)</f>
        <v>166053680.44169644</v>
      </c>
      <c r="K140" s="114">
        <f>SUM($E139:K139)</f>
        <v>193729293.84864584</v>
      </c>
      <c r="L140" s="114">
        <f>SUM($E139:L139)</f>
        <v>221404907.25559524</v>
      </c>
      <c r="M140" s="114">
        <f>SUM($E139:M139)</f>
        <v>249080520.66254464</v>
      </c>
      <c r="N140" s="114">
        <f>SUM($E139:N139)</f>
        <v>276756134.06949407</v>
      </c>
      <c r="O140" s="114">
        <f>SUM($E139:O139)</f>
        <v>304431747.47644347</v>
      </c>
      <c r="P140" s="114">
        <f>SUM($E139:P139)</f>
        <v>332107360.88339287</v>
      </c>
      <c r="Q140" s="114">
        <f>SUM($E139:Q139)</f>
        <v>359782974.29034227</v>
      </c>
      <c r="R140" s="114">
        <f>SUM($E139:R139)</f>
        <v>387458587.69729167</v>
      </c>
      <c r="S140" s="114">
        <f>SUM($E139:S139)</f>
        <v>415134201.10424107</v>
      </c>
      <c r="T140" s="114">
        <f>SUM($E139:T139)</f>
        <v>442809814.51119047</v>
      </c>
      <c r="U140" s="114">
        <f>SUM($E139:U139)</f>
        <v>470485427.91813987</v>
      </c>
      <c r="V140" s="114">
        <f>SUM($E139:V139)</f>
        <v>498161041.32508928</v>
      </c>
      <c r="W140" s="114">
        <f>SUM($E139:W139)</f>
        <v>525836654.73203868</v>
      </c>
      <c r="X140" s="101">
        <f>SUM($E139:X139)</f>
        <v>553512268.13898814</v>
      </c>
    </row>
    <row r="141" spans="1:25" hidden="1" outlineLevel="1">
      <c r="C141" s="125" t="s">
        <v>63</v>
      </c>
      <c r="D141" s="99"/>
      <c r="E141" s="114">
        <f t="shared" ref="E141:X141" si="386">-$D131-E140</f>
        <v>525836654.73203874</v>
      </c>
      <c r="F141" s="114">
        <f t="shared" si="386"/>
        <v>498161041.32508934</v>
      </c>
      <c r="G141" s="114">
        <f t="shared" si="386"/>
        <v>470485427.91813993</v>
      </c>
      <c r="H141" s="114">
        <f t="shared" si="386"/>
        <v>442809814.51119053</v>
      </c>
      <c r="I141" s="114">
        <f t="shared" si="386"/>
        <v>415134201.10424113</v>
      </c>
      <c r="J141" s="114">
        <f t="shared" si="386"/>
        <v>387458587.69729173</v>
      </c>
      <c r="K141" s="114">
        <f t="shared" si="386"/>
        <v>359782974.29034233</v>
      </c>
      <c r="L141" s="114">
        <f t="shared" si="386"/>
        <v>332107360.88339293</v>
      </c>
      <c r="M141" s="114">
        <f t="shared" si="386"/>
        <v>304431747.47644353</v>
      </c>
      <c r="N141" s="114">
        <f t="shared" si="386"/>
        <v>276756134.06949407</v>
      </c>
      <c r="O141" s="114">
        <f t="shared" si="386"/>
        <v>249080520.66254467</v>
      </c>
      <c r="P141" s="114">
        <f t="shared" si="386"/>
        <v>221404907.25559527</v>
      </c>
      <c r="Q141" s="114">
        <f t="shared" si="386"/>
        <v>193729293.84864587</v>
      </c>
      <c r="R141" s="114">
        <f t="shared" si="386"/>
        <v>166053680.44169647</v>
      </c>
      <c r="S141" s="114">
        <f t="shared" si="386"/>
        <v>138378067.03474706</v>
      </c>
      <c r="T141" s="114">
        <f t="shared" si="386"/>
        <v>110702453.62779766</v>
      </c>
      <c r="U141" s="114">
        <f t="shared" si="386"/>
        <v>83026840.220848262</v>
      </c>
      <c r="V141" s="114">
        <f t="shared" si="386"/>
        <v>55351226.813898861</v>
      </c>
      <c r="W141" s="114">
        <f t="shared" si="386"/>
        <v>27675613.406949461</v>
      </c>
      <c r="X141" s="101">
        <f t="shared" si="386"/>
        <v>0</v>
      </c>
    </row>
    <row r="142" spans="1:25" hidden="1" outlineLevel="1">
      <c r="C142" s="125" t="s">
        <v>64</v>
      </c>
      <c r="D142" s="99">
        <f>-D131</f>
        <v>553512268.13898814</v>
      </c>
      <c r="E142" s="114">
        <f t="shared" ref="E142:X142" si="387">D142/(($D142/$Y142)^(1/21))</f>
        <v>522670830.2558471</v>
      </c>
      <c r="F142" s="114">
        <f t="shared" si="387"/>
        <v>493547862.487014</v>
      </c>
      <c r="G142" s="114">
        <f t="shared" si="387"/>
        <v>466047612.50262147</v>
      </c>
      <c r="H142" s="114">
        <f t="shared" si="387"/>
        <v>440079663.24665928</v>
      </c>
      <c r="I142" s="114">
        <f t="shared" si="387"/>
        <v>415558635.65807593</v>
      </c>
      <c r="J142" s="99">
        <f t="shared" si="387"/>
        <v>392403907.95611799</v>
      </c>
      <c r="K142" s="114">
        <f t="shared" si="387"/>
        <v>370539350.56695551</v>
      </c>
      <c r="L142" s="114">
        <f t="shared" si="387"/>
        <v>349893075.82006842</v>
      </c>
      <c r="M142" s="114">
        <f t="shared" si="387"/>
        <v>330397201.59143054</v>
      </c>
      <c r="N142" s="114">
        <f t="shared" si="387"/>
        <v>311987628.11638153</v>
      </c>
      <c r="O142" s="114">
        <f t="shared" si="387"/>
        <v>294603827.2383787</v>
      </c>
      <c r="P142" s="114">
        <f t="shared" si="387"/>
        <v>278188643.40070707</v>
      </c>
      <c r="Q142" s="114">
        <f t="shared" si="387"/>
        <v>262688105.72683606</v>
      </c>
      <c r="R142" s="114">
        <f t="shared" si="387"/>
        <v>248051250.5715681</v>
      </c>
      <c r="S142" s="114">
        <f t="shared" si="387"/>
        <v>234229953.9595525</v>
      </c>
      <c r="T142" s="114">
        <f t="shared" si="387"/>
        <v>221178773.36024451</v>
      </c>
      <c r="U142" s="114">
        <f t="shared" si="387"/>
        <v>208854798.27908799</v>
      </c>
      <c r="V142" s="114">
        <f t="shared" si="387"/>
        <v>197217509.17368555</v>
      </c>
      <c r="W142" s="114">
        <f t="shared" si="387"/>
        <v>186228644.23109192</v>
      </c>
      <c r="X142" s="101">
        <f t="shared" si="387"/>
        <v>175852073.56821263</v>
      </c>
      <c r="Y142" s="24">
        <f>Y131</f>
        <v>166053680.44169644</v>
      </c>
    </row>
    <row r="143" spans="1:25" hidden="1" outlineLevel="1">
      <c r="C143" s="126" t="s">
        <v>65</v>
      </c>
      <c r="D143" s="121"/>
      <c r="E143" s="114">
        <f>-$D131*Assumptions!J$10</f>
        <v>110702453.62779763</v>
      </c>
      <c r="F143" s="114">
        <f>-$D131*Assumptions!K$10</f>
        <v>177123925.8044762</v>
      </c>
      <c r="G143" s="114">
        <f>-$D131*Assumptions!L$10</f>
        <v>106274355.48268573</v>
      </c>
      <c r="H143" s="114">
        <f>-$D131*Assumptions!M$10</f>
        <v>63764613.289611429</v>
      </c>
      <c r="I143" s="114">
        <f>-$D131*Assumptions!N$10</f>
        <v>63764613.289611429</v>
      </c>
      <c r="J143" s="114">
        <f>-$D131*Assumptions!O$10</f>
        <v>31882306.644805714</v>
      </c>
      <c r="K143" s="114">
        <f>-$D131*Assumptions!P$10</f>
        <v>0</v>
      </c>
      <c r="L143" s="114">
        <f>-$D131*Assumptions!Q$10</f>
        <v>0</v>
      </c>
      <c r="M143" s="114">
        <f>-$D131*Assumptions!R$10</f>
        <v>0</v>
      </c>
      <c r="N143" s="114">
        <f>-$D131*Assumptions!S$10</f>
        <v>0</v>
      </c>
      <c r="O143" s="114">
        <f>-$D131*Assumptions!T$10</f>
        <v>0</v>
      </c>
      <c r="P143" s="114">
        <f>-$D131*Assumptions!U$10</f>
        <v>0</v>
      </c>
      <c r="Q143" s="114">
        <f>-$D131*Assumptions!V$10</f>
        <v>0</v>
      </c>
      <c r="R143" s="114">
        <f>-$D131*Assumptions!W$10</f>
        <v>0</v>
      </c>
      <c r="S143" s="114">
        <f>-$D131*Assumptions!X$10</f>
        <v>0</v>
      </c>
      <c r="T143" s="114">
        <f>-$D131*Assumptions!Y$10</f>
        <v>0</v>
      </c>
      <c r="U143" s="114">
        <f>-$D131*Assumptions!Z$10</f>
        <v>0</v>
      </c>
      <c r="V143" s="114">
        <f>-$D131*Assumptions!AA$10</f>
        <v>0</v>
      </c>
      <c r="W143" s="114">
        <f>-$D131*Assumptions!AB$10</f>
        <v>0</v>
      </c>
      <c r="X143" s="101">
        <f>-$D131*Assumptions!AC$10</f>
        <v>0</v>
      </c>
    </row>
    <row r="144" spans="1:25" ht="15.75" hidden="1" outlineLevel="1" thickBot="1">
      <c r="C144" s="127" t="s">
        <v>66</v>
      </c>
      <c r="D144" s="122"/>
      <c r="E144" s="103">
        <f t="shared" ref="E144:X144" si="388">E143*Federal_Tax_Rate</f>
        <v>23247515.261837501</v>
      </c>
      <c r="F144" s="103">
        <f t="shared" si="388"/>
        <v>37196024.41894</v>
      </c>
      <c r="G144" s="103">
        <f t="shared" si="388"/>
        <v>22317614.651364002</v>
      </c>
      <c r="H144" s="103">
        <f t="shared" si="388"/>
        <v>13390568.790818399</v>
      </c>
      <c r="I144" s="103">
        <f t="shared" si="388"/>
        <v>13390568.790818399</v>
      </c>
      <c r="J144" s="103">
        <f t="shared" si="388"/>
        <v>6695284.3954091994</v>
      </c>
      <c r="K144" s="103">
        <f t="shared" si="388"/>
        <v>0</v>
      </c>
      <c r="L144" s="103">
        <f t="shared" si="388"/>
        <v>0</v>
      </c>
      <c r="M144" s="103">
        <f t="shared" si="388"/>
        <v>0</v>
      </c>
      <c r="N144" s="103">
        <f t="shared" si="388"/>
        <v>0</v>
      </c>
      <c r="O144" s="103">
        <f t="shared" si="388"/>
        <v>0</v>
      </c>
      <c r="P144" s="103">
        <f t="shared" si="388"/>
        <v>0</v>
      </c>
      <c r="Q144" s="103">
        <f t="shared" si="388"/>
        <v>0</v>
      </c>
      <c r="R144" s="103">
        <f t="shared" si="388"/>
        <v>0</v>
      </c>
      <c r="S144" s="103">
        <f t="shared" si="388"/>
        <v>0</v>
      </c>
      <c r="T144" s="103">
        <f t="shared" si="388"/>
        <v>0</v>
      </c>
      <c r="U144" s="103">
        <f t="shared" si="388"/>
        <v>0</v>
      </c>
      <c r="V144" s="103">
        <f t="shared" si="388"/>
        <v>0</v>
      </c>
      <c r="W144" s="103">
        <f t="shared" si="388"/>
        <v>0</v>
      </c>
      <c r="X144" s="115">
        <f t="shared" si="388"/>
        <v>0</v>
      </c>
    </row>
    <row r="145" spans="2:24" hidden="1" outlineLevel="1">
      <c r="C145" s="128" t="s">
        <v>67</v>
      </c>
      <c r="D145" s="123"/>
      <c r="E145" s="104">
        <f>NPV(Tax_Equity_Rate,E144:X144)</f>
        <v>94306543.636724085</v>
      </c>
      <c r="F145" s="105">
        <f>E145/E149</f>
        <v>0.17037841627937234</v>
      </c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</row>
    <row r="146" spans="2:24" hidden="1" outlineLevel="1">
      <c r="C146" s="125" t="s">
        <v>79</v>
      </c>
      <c r="D146" s="120"/>
      <c r="E146" s="106">
        <f>NPV(Tax_Equity_Rate,E128:X128)</f>
        <v>86996890.554679275</v>
      </c>
      <c r="F146" s="107">
        <f>E146/E149</f>
        <v>0.15717247035405216</v>
      </c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</row>
    <row r="147" spans="2:24" hidden="1" outlineLevel="1">
      <c r="B147" s="22">
        <f>Assumptions!F10</f>
        <v>0.68500000000000005</v>
      </c>
      <c r="C147" s="125" t="s">
        <v>68</v>
      </c>
      <c r="D147" s="120"/>
      <c r="E147" s="106">
        <f>(E149-E145-E146)*$B147</f>
        <v>254963051.25409558</v>
      </c>
      <c r="F147" s="107">
        <f>E147/E149</f>
        <v>0.46062764265610423</v>
      </c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</row>
    <row r="148" spans="2:24" hidden="1" outlineLevel="1">
      <c r="B148" s="22">
        <f>1-B147</f>
        <v>0.31499999999999995</v>
      </c>
      <c r="C148" s="125" t="s">
        <v>69</v>
      </c>
      <c r="D148" s="120"/>
      <c r="E148" s="106">
        <f>(E149-E145-E146)*$B148</f>
        <v>117245782.69348918</v>
      </c>
      <c r="F148" s="107">
        <f>E148/E149</f>
        <v>0.21182147071047125</v>
      </c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</row>
    <row r="149" spans="2:24" hidden="1" outlineLevel="1">
      <c r="C149" s="125" t="s">
        <v>70</v>
      </c>
      <c r="D149" s="120"/>
      <c r="E149" s="106">
        <f>-D131</f>
        <v>553512268.13898814</v>
      </c>
      <c r="F149" s="108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</row>
    <row r="150" spans="2:24" ht="15.75" hidden="1" outlineLevel="1" thickBot="1">
      <c r="C150" s="127" t="s">
        <v>71</v>
      </c>
      <c r="D150" s="122"/>
      <c r="E150" s="109">
        <f>SUM(E145:E148)-E149</f>
        <v>0</v>
      </c>
      <c r="F150" s="110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</row>
    <row r="151" spans="2:24" hidden="1" outlineLevel="1"/>
    <row r="152" spans="2:24" collapsed="1"/>
  </sheetData>
  <mergeCells count="6">
    <mergeCell ref="C5:G5"/>
    <mergeCell ref="C42:G42"/>
    <mergeCell ref="C79:G79"/>
    <mergeCell ref="C116:G116"/>
    <mergeCell ref="A1:A2"/>
    <mergeCell ref="B1:B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71D75-2044-49B6-84FD-83EF6E1DC283}">
  <sheetPr codeName="Sheet13">
    <tabColor theme="7" tint="0.39997558519241921"/>
  </sheetPr>
  <dimension ref="A1:Y82"/>
  <sheetViews>
    <sheetView workbookViewId="0">
      <pane ySplit="2" topLeftCell="A3" activePane="bottomLeft" state="frozen"/>
      <selection activeCell="A2" sqref="A2"/>
      <selection pane="bottomLeft" activeCell="D77" sqref="D77"/>
    </sheetView>
  </sheetViews>
  <sheetFormatPr defaultRowHeight="15" outlineLevelRow="1"/>
  <cols>
    <col min="1" max="1" width="12.7109375" style="263" bestFit="1" customWidth="1"/>
    <col min="2" max="2" width="7.7109375" style="263" bestFit="1" customWidth="1"/>
    <col min="3" max="3" width="32.85546875" style="263" bestFit="1" customWidth="1"/>
    <col min="4" max="4" width="15.140625" style="263" bestFit="1" customWidth="1"/>
    <col min="5" max="11" width="13.5703125" style="263" bestFit="1" customWidth="1"/>
    <col min="12" max="25" width="12" style="263" bestFit="1" customWidth="1"/>
    <col min="26" max="16384" width="9.140625" style="263"/>
  </cols>
  <sheetData>
    <row r="1" spans="1:25">
      <c r="A1" s="482" t="s">
        <v>72</v>
      </c>
      <c r="B1" s="491">
        <v>2025</v>
      </c>
      <c r="E1" s="257">
        <f>B1</f>
        <v>2025</v>
      </c>
      <c r="F1" s="257">
        <f>E1+1</f>
        <v>2026</v>
      </c>
      <c r="G1" s="257">
        <f t="shared" ref="G1:Y1" si="0">F1+1</f>
        <v>2027</v>
      </c>
      <c r="H1" s="257">
        <f t="shared" si="0"/>
        <v>2028</v>
      </c>
      <c r="I1" s="257">
        <f t="shared" si="0"/>
        <v>2029</v>
      </c>
      <c r="J1" s="257">
        <f t="shared" si="0"/>
        <v>2030</v>
      </c>
      <c r="K1" s="257">
        <f t="shared" si="0"/>
        <v>2031</v>
      </c>
      <c r="L1" s="257">
        <f t="shared" si="0"/>
        <v>2032</v>
      </c>
      <c r="M1" s="257">
        <f t="shared" si="0"/>
        <v>2033</v>
      </c>
      <c r="N1" s="257">
        <f t="shared" si="0"/>
        <v>2034</v>
      </c>
      <c r="O1" s="257">
        <f t="shared" si="0"/>
        <v>2035</v>
      </c>
      <c r="P1" s="257">
        <f t="shared" si="0"/>
        <v>2036</v>
      </c>
      <c r="Q1" s="257">
        <f t="shared" si="0"/>
        <v>2037</v>
      </c>
      <c r="R1" s="257">
        <f t="shared" si="0"/>
        <v>2038</v>
      </c>
      <c r="S1" s="257">
        <f t="shared" si="0"/>
        <v>2039</v>
      </c>
      <c r="T1" s="257">
        <f t="shared" si="0"/>
        <v>2040</v>
      </c>
      <c r="U1" s="257">
        <f t="shared" si="0"/>
        <v>2041</v>
      </c>
      <c r="V1" s="257">
        <f t="shared" si="0"/>
        <v>2042</v>
      </c>
      <c r="W1" s="257">
        <f t="shared" si="0"/>
        <v>2043</v>
      </c>
      <c r="X1" s="257">
        <f t="shared" si="0"/>
        <v>2044</v>
      </c>
      <c r="Y1" s="257">
        <f t="shared" si="0"/>
        <v>2045</v>
      </c>
    </row>
    <row r="2" spans="1:25">
      <c r="A2" s="482"/>
      <c r="B2" s="491"/>
      <c r="D2" s="257">
        <v>0</v>
      </c>
      <c r="E2" s="257">
        <v>1</v>
      </c>
      <c r="F2" s="257">
        <v>2</v>
      </c>
      <c r="G2" s="257">
        <v>3</v>
      </c>
      <c r="H2" s="257">
        <v>4</v>
      </c>
      <c r="I2" s="257">
        <v>5</v>
      </c>
      <c r="J2" s="257">
        <v>6</v>
      </c>
      <c r="K2" s="257">
        <v>7</v>
      </c>
      <c r="L2" s="257">
        <v>8</v>
      </c>
      <c r="M2" s="257">
        <v>9</v>
      </c>
      <c r="N2" s="257">
        <v>10</v>
      </c>
      <c r="O2" s="257">
        <v>11</v>
      </c>
      <c r="P2" s="257">
        <v>12</v>
      </c>
      <c r="Q2" s="257">
        <v>13</v>
      </c>
      <c r="R2" s="257">
        <v>14</v>
      </c>
      <c r="S2" s="257">
        <v>15</v>
      </c>
      <c r="T2" s="257">
        <v>16</v>
      </c>
      <c r="U2" s="257">
        <v>17</v>
      </c>
      <c r="V2" s="257">
        <v>18</v>
      </c>
      <c r="W2" s="257">
        <v>19</v>
      </c>
      <c r="X2" s="257">
        <v>20</v>
      </c>
      <c r="Y2" s="257">
        <v>21</v>
      </c>
    </row>
    <row r="4" spans="1:25" ht="15.75" thickBot="1"/>
    <row r="5" spans="1:25" ht="18.75" thickBot="1">
      <c r="A5" s="86"/>
      <c r="C5" s="492" t="s">
        <v>3</v>
      </c>
      <c r="D5" s="493"/>
      <c r="E5" s="493"/>
      <c r="F5" s="494"/>
      <c r="Y5" s="254"/>
    </row>
    <row r="6" spans="1:25" hidden="1" outlineLevel="1">
      <c r="C6" s="124" t="s">
        <v>44</v>
      </c>
      <c r="D6" s="62"/>
      <c r="E6" s="98">
        <f>INDEX('DATA (Nominal)'!$B$28:$BX$28,1,MATCH($B$1,'DATA (Nominal)'!$B$1:$BX$1,0))*'Resource Options'!$E$6*8760</f>
        <v>820812</v>
      </c>
      <c r="F6" s="98">
        <f>E6</f>
        <v>820812</v>
      </c>
      <c r="G6" s="98">
        <f t="shared" ref="G6:V8" si="1">F6</f>
        <v>820812</v>
      </c>
      <c r="H6" s="98">
        <f t="shared" si="1"/>
        <v>820812</v>
      </c>
      <c r="I6" s="98">
        <f t="shared" si="1"/>
        <v>820812</v>
      </c>
      <c r="J6" s="98">
        <f t="shared" si="1"/>
        <v>820812</v>
      </c>
      <c r="K6" s="98">
        <f t="shared" si="1"/>
        <v>820812</v>
      </c>
      <c r="L6" s="98">
        <f t="shared" si="1"/>
        <v>820812</v>
      </c>
      <c r="M6" s="98">
        <f t="shared" si="1"/>
        <v>820812</v>
      </c>
      <c r="N6" s="98">
        <f t="shared" si="1"/>
        <v>820812</v>
      </c>
      <c r="O6" s="98">
        <f t="shared" si="1"/>
        <v>820812</v>
      </c>
      <c r="P6" s="98">
        <f t="shared" si="1"/>
        <v>820812</v>
      </c>
      <c r="Q6" s="98">
        <f t="shared" si="1"/>
        <v>820812</v>
      </c>
      <c r="R6" s="98">
        <f t="shared" si="1"/>
        <v>820812</v>
      </c>
      <c r="S6" s="98">
        <f t="shared" si="1"/>
        <v>820812</v>
      </c>
      <c r="T6" s="98">
        <f t="shared" si="1"/>
        <v>820812</v>
      </c>
      <c r="U6" s="98">
        <f t="shared" si="1"/>
        <v>820812</v>
      </c>
      <c r="V6" s="98">
        <f t="shared" si="1"/>
        <v>820812</v>
      </c>
      <c r="W6" s="98">
        <f t="shared" ref="W6:X8" si="2">V6</f>
        <v>820812</v>
      </c>
      <c r="X6" s="63">
        <f t="shared" si="2"/>
        <v>820812</v>
      </c>
      <c r="Y6" s="254"/>
    </row>
    <row r="7" spans="1:25" hidden="1" outlineLevel="1">
      <c r="C7" s="258" t="s">
        <v>45</v>
      </c>
      <c r="D7" s="254"/>
      <c r="E7" s="292">
        <f>INDEX('PPA Summary'!$3:$34,MATCH($C5,'PPA Summary'!$D$3:$D$34,0),MATCH(B$1,'PPA Summary'!$2:$2,0))</f>
        <v>127.76692847036539</v>
      </c>
      <c r="F7" s="264">
        <f>E7</f>
        <v>127.76692847036539</v>
      </c>
      <c r="G7" s="264">
        <f t="shared" si="1"/>
        <v>127.76692847036539</v>
      </c>
      <c r="H7" s="264">
        <f t="shared" si="1"/>
        <v>127.76692847036539</v>
      </c>
      <c r="I7" s="264">
        <f t="shared" si="1"/>
        <v>127.76692847036539</v>
      </c>
      <c r="J7" s="264">
        <f t="shared" si="1"/>
        <v>127.76692847036539</v>
      </c>
      <c r="K7" s="264">
        <f t="shared" si="1"/>
        <v>127.76692847036539</v>
      </c>
      <c r="L7" s="264">
        <f t="shared" si="1"/>
        <v>127.76692847036539</v>
      </c>
      <c r="M7" s="264">
        <f t="shared" si="1"/>
        <v>127.76692847036539</v>
      </c>
      <c r="N7" s="264">
        <f t="shared" si="1"/>
        <v>127.76692847036539</v>
      </c>
      <c r="O7" s="264">
        <f t="shared" si="1"/>
        <v>127.76692847036539</v>
      </c>
      <c r="P7" s="264">
        <f t="shared" si="1"/>
        <v>127.76692847036539</v>
      </c>
      <c r="Q7" s="264">
        <f t="shared" si="1"/>
        <v>127.76692847036539</v>
      </c>
      <c r="R7" s="264">
        <f t="shared" si="1"/>
        <v>127.76692847036539</v>
      </c>
      <c r="S7" s="264">
        <f t="shared" si="1"/>
        <v>127.76692847036539</v>
      </c>
      <c r="T7" s="264">
        <f t="shared" si="1"/>
        <v>127.76692847036539</v>
      </c>
      <c r="U7" s="264">
        <f t="shared" si="1"/>
        <v>127.76692847036539</v>
      </c>
      <c r="V7" s="264">
        <f t="shared" si="1"/>
        <v>127.76692847036539</v>
      </c>
      <c r="W7" s="264">
        <f t="shared" si="2"/>
        <v>127.76692847036539</v>
      </c>
      <c r="X7" s="139">
        <f t="shared" si="2"/>
        <v>127.76692847036539</v>
      </c>
      <c r="Y7" s="254"/>
    </row>
    <row r="8" spans="1:25" hidden="1" outlineLevel="1">
      <c r="C8" s="258" t="s">
        <v>111</v>
      </c>
      <c r="D8" s="254"/>
      <c r="E8" s="154">
        <v>0</v>
      </c>
      <c r="F8" s="154">
        <f>E8</f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1"/>
        <v>0</v>
      </c>
      <c r="R8" s="154">
        <f t="shared" si="1"/>
        <v>0</v>
      </c>
      <c r="S8" s="154">
        <f t="shared" si="1"/>
        <v>0</v>
      </c>
      <c r="T8" s="154">
        <f t="shared" si="1"/>
        <v>0</v>
      </c>
      <c r="U8" s="154">
        <f t="shared" si="1"/>
        <v>0</v>
      </c>
      <c r="V8" s="154">
        <f t="shared" si="1"/>
        <v>0</v>
      </c>
      <c r="W8" s="154">
        <f t="shared" si="2"/>
        <v>0</v>
      </c>
      <c r="X8" s="113">
        <f t="shared" si="2"/>
        <v>0</v>
      </c>
      <c r="Y8" s="254"/>
    </row>
    <row r="9" spans="1:25" hidden="1" outlineLevel="1">
      <c r="C9" s="258" t="s">
        <v>46</v>
      </c>
      <c r="D9" s="254"/>
      <c r="E9" s="254">
        <f>E6*E7+E8*12*'Resource Options'!$E$6</f>
        <v>104872628.09161755</v>
      </c>
      <c r="F9" s="254">
        <f>F6*F7+F8*12*'Resource Options'!$E$6</f>
        <v>104872628.09161755</v>
      </c>
      <c r="G9" s="254">
        <f>G6*G7+G8*12*'Resource Options'!$E$6</f>
        <v>104872628.09161755</v>
      </c>
      <c r="H9" s="254">
        <f>H6*H7+H8*12*'Resource Options'!$E$6</f>
        <v>104872628.09161755</v>
      </c>
      <c r="I9" s="254">
        <f>I6*I7+I8*12*'Resource Options'!$E$6</f>
        <v>104872628.09161755</v>
      </c>
      <c r="J9" s="254">
        <f>J6*J7+J8*12*'Resource Options'!$E$6</f>
        <v>104872628.09161755</v>
      </c>
      <c r="K9" s="254">
        <f>K6*K7+K8*12*'Resource Options'!$E$6</f>
        <v>104872628.09161755</v>
      </c>
      <c r="L9" s="254">
        <f>L6*L7+L8*12*'Resource Options'!$E$6</f>
        <v>104872628.09161755</v>
      </c>
      <c r="M9" s="254">
        <f>M6*M7+M8*12*'Resource Options'!$E$6</f>
        <v>104872628.09161755</v>
      </c>
      <c r="N9" s="254">
        <f>N6*N7+N8*12*'Resource Options'!$E$6</f>
        <v>104872628.09161755</v>
      </c>
      <c r="O9" s="254">
        <f>O6*O7+O8*12*'Resource Options'!$E$6</f>
        <v>104872628.09161755</v>
      </c>
      <c r="P9" s="254">
        <f>P6*P7+P8*12*'Resource Options'!$E$6</f>
        <v>104872628.09161755</v>
      </c>
      <c r="Q9" s="254">
        <f>Q6*Q7+Q8*12*'Resource Options'!$E$6</f>
        <v>104872628.09161755</v>
      </c>
      <c r="R9" s="254">
        <f>R6*R7+R8*12*'Resource Options'!$E$6</f>
        <v>104872628.09161755</v>
      </c>
      <c r="S9" s="254">
        <f>S6*S7+S8*12*'Resource Options'!$E$6</f>
        <v>104872628.09161755</v>
      </c>
      <c r="T9" s="254">
        <f>T6*T7+T8*12*'Resource Options'!$E$6</f>
        <v>104872628.09161755</v>
      </c>
      <c r="U9" s="254">
        <f>U6*U7+U8*12*'Resource Options'!$E$6</f>
        <v>104872628.09161755</v>
      </c>
      <c r="V9" s="254">
        <f>V6*V7+V8*12*'Resource Options'!$E$6</f>
        <v>104872628.09161755</v>
      </c>
      <c r="W9" s="254">
        <f>W6*W7+W8*12*'Resource Options'!$E$6</f>
        <v>104872628.09161755</v>
      </c>
      <c r="X9" s="256">
        <f>X6*X7+X8*12*'Resource Options'!$E$6</f>
        <v>104872628.09161755</v>
      </c>
      <c r="Y9" s="254"/>
    </row>
    <row r="10" spans="1:25" hidden="1" outlineLevel="1">
      <c r="C10" s="258"/>
      <c r="X10" s="131"/>
    </row>
    <row r="11" spans="1:25" hidden="1" outlineLevel="1">
      <c r="C11" s="258" t="s">
        <v>112</v>
      </c>
      <c r="D11" s="254"/>
      <c r="E11" s="254">
        <f>E6*INDEX('DATA (Nominal)'!$B$32:$BX$32,1,MATCH(E$1,'DATA (Nominal)'!$B$1:$BX$1,0))*INDEX('DATA (Nominal)'!$B$132:$BX$132,1,MATCH(E$1,'DATA (Nominal)'!$B$1:$BX$1,0))</f>
        <v>7020540.9782209573</v>
      </c>
      <c r="F11" s="254">
        <f>F6*INDEX('DATA (Nominal)'!$B$32:$BX$32,1,MATCH(F$1,'DATA (Nominal)'!$B$1:$BX$1,0))*INDEX('DATA (Nominal)'!$B$132:$BX$132,1,MATCH(F$1,'DATA (Nominal)'!$B$1:$BX$1,0))</f>
        <v>7187757.1639424833</v>
      </c>
      <c r="G11" s="254">
        <f>G6*INDEX('DATA (Nominal)'!$B$32:$BX$32,1,MATCH(G$1,'DATA (Nominal)'!$B$1:$BX$1,0))*INDEX('DATA (Nominal)'!$B$132:$BX$132,1,MATCH(G$1,'DATA (Nominal)'!$B$1:$BX$1,0))</f>
        <v>7369577.2594520925</v>
      </c>
      <c r="H11" s="254">
        <f>H6*INDEX('DATA (Nominal)'!$B$32:$BX$32,1,MATCH(H$1,'DATA (Nominal)'!$B$1:$BX$1,0))*INDEX('DATA (Nominal)'!$B$132:$BX$132,1,MATCH(H$1,'DATA (Nominal)'!$B$1:$BX$1,0))</f>
        <v>7542588.947291485</v>
      </c>
      <c r="I11" s="254">
        <f>I6*INDEX('DATA (Nominal)'!$B$32:$BX$32,1,MATCH(I$1,'DATA (Nominal)'!$B$1:$BX$1,0))*INDEX('DATA (Nominal)'!$B$132:$BX$132,1,MATCH(I$1,'DATA (Nominal)'!$B$1:$BX$1,0))</f>
        <v>7730777.2447971366</v>
      </c>
      <c r="J11" s="254">
        <f>J6*INDEX('DATA (Nominal)'!$B$32:$BX$32,1,MATCH(J$1,'DATA (Nominal)'!$B$1:$BX$1,0))*INDEX('DATA (Nominal)'!$B$132:$BX$132,1,MATCH(J$1,'DATA (Nominal)'!$B$1:$BX$1,0))</f>
        <v>7923595.2143425485</v>
      </c>
      <c r="K11" s="254">
        <f>K6*INDEX('DATA (Nominal)'!$B$32:$BX$32,1,MATCH(K$1,'DATA (Nominal)'!$B$1:$BX$1,0))*INDEX('DATA (Nominal)'!$B$132:$BX$132,1,MATCH(K$1,'DATA (Nominal)'!$B$1:$BX$1,0))</f>
        <v>8109529.3574617337</v>
      </c>
      <c r="L11" s="254">
        <f>L6*INDEX('DATA (Nominal)'!$B$32:$BX$32,1,MATCH(L$1,'DATA (Nominal)'!$B$1:$BX$1,0))*INDEX('DATA (Nominal)'!$B$132:$BX$132,1,MATCH(L$1,'DATA (Nominal)'!$B$1:$BX$1,0))</f>
        <v>8311691.4783539586</v>
      </c>
      <c r="M11" s="254">
        <f>M6*INDEX('DATA (Nominal)'!$B$32:$BX$32,1,MATCH(M$1,'DATA (Nominal)'!$B$1:$BX$1,0))*INDEX('DATA (Nominal)'!$B$132:$BX$132,1,MATCH(M$1,'DATA (Nominal)'!$B$1:$BX$1,0))</f>
        <v>8518812.1553114187</v>
      </c>
      <c r="N11" s="254">
        <f>N6*INDEX('DATA (Nominal)'!$B$32:$BX$32,1,MATCH(N$1,'DATA (Nominal)'!$B$1:$BX$1,0))*INDEX('DATA (Nominal)'!$B$132:$BX$132,1,MATCH(N$1,'DATA (Nominal)'!$B$1:$BX$1,0))</f>
        <v>8718624.653053876</v>
      </c>
      <c r="O11" s="254">
        <f>O6*INDEX('DATA (Nominal)'!$B$32:$BX$32,1,MATCH(O$1,'DATA (Nominal)'!$B$1:$BX$1,0))*INDEX('DATA (Nominal)'!$B$132:$BX$132,1,MATCH(O$1,'DATA (Nominal)'!$B$1:$BX$1,0))</f>
        <v>8935789.2753110752</v>
      </c>
      <c r="P11" s="254">
        <f>P6*INDEX('DATA (Nominal)'!$B$32:$BX$32,1,MATCH(P$1,'DATA (Nominal)'!$B$1:$BX$1,0))*INDEX('DATA (Nominal)'!$B$132:$BX$132,1,MATCH(P$1,'DATA (Nominal)'!$B$1:$BX$1,0))</f>
        <v>9158289.3266155124</v>
      </c>
      <c r="Q11" s="254">
        <f>Q6*INDEX('DATA (Nominal)'!$B$32:$BX$32,1,MATCH(Q$1,'DATA (Nominal)'!$B$1:$BX$1,0))*INDEX('DATA (Nominal)'!$B$132:$BX$132,1,MATCH(Q$1,'DATA (Nominal)'!$B$1:$BX$1,0))</f>
        <v>9373006.7665599994</v>
      </c>
      <c r="R11" s="254">
        <f>R6*INDEX('DATA (Nominal)'!$B$32:$BX$32,1,MATCH(R$1,'DATA (Nominal)'!$B$1:$BX$1,0))*INDEX('DATA (Nominal)'!$B$132:$BX$132,1,MATCH(R$1,'DATA (Nominal)'!$B$1:$BX$1,0))</f>
        <v>9606265.4082316048</v>
      </c>
      <c r="S11" s="254">
        <f>S6*INDEX('DATA (Nominal)'!$B$32:$BX$32,1,MATCH(S$1,'DATA (Nominal)'!$B$1:$BX$1,0))*INDEX('DATA (Nominal)'!$B$132:$BX$132,1,MATCH(S$1,'DATA (Nominal)'!$B$1:$BX$1,0))</f>
        <v>9845264.0729588103</v>
      </c>
      <c r="T11" s="254">
        <f>T6*INDEX('DATA (Nominal)'!$B$32:$BX$32,1,MATCH(T$1,'DATA (Nominal)'!$B$1:$BX$1,0))*INDEX('DATA (Nominal)'!$B$132:$BX$132,1,MATCH(T$1,'DATA (Nominal)'!$B$1:$BX$1,0))</f>
        <v>10090129.24647643</v>
      </c>
      <c r="U11" s="254">
        <f>U6*INDEX('DATA (Nominal)'!$B$32:$BX$32,1,MATCH(U$1,'DATA (Nominal)'!$B$1:$BX$1,0))*INDEX('DATA (Nominal)'!$B$132:$BX$132,1,MATCH(U$1,'DATA (Nominal)'!$B$1:$BX$1,0))</f>
        <v>10340989.615505978</v>
      </c>
      <c r="V11" s="254">
        <f>V6*INDEX('DATA (Nominal)'!$B$32:$BX$32,1,MATCH(V$1,'DATA (Nominal)'!$B$1:$BX$1,0))*INDEX('DATA (Nominal)'!$B$132:$BX$132,1,MATCH(V$1,'DATA (Nominal)'!$B$1:$BX$1,0))</f>
        <v>10598018.285343923</v>
      </c>
      <c r="W11" s="254">
        <f>W6*INDEX('DATA (Nominal)'!$B$32:$BX$32,1,MATCH(W$1,'DATA (Nominal)'!$B$1:$BX$1,0))*INDEX('DATA (Nominal)'!$B$132:$BX$132,1,MATCH(W$1,'DATA (Nominal)'!$B$1:$BX$1,0))</f>
        <v>10861336.801077658</v>
      </c>
      <c r="X11" s="256">
        <f>X6*INDEX('DATA (Nominal)'!$B$32:$BX$32,1,MATCH(X$1,'DATA (Nominal)'!$B$1:$BX$1,0))*INDEX('DATA (Nominal)'!$B$132:$BX$132,1,MATCH(X$1,'DATA (Nominal)'!$B$1:$BX$1,0))</f>
        <v>11131126.583542012</v>
      </c>
      <c r="Y11" s="254"/>
    </row>
    <row r="12" spans="1:25" hidden="1" outlineLevel="1">
      <c r="C12" s="258" t="s">
        <v>47</v>
      </c>
      <c r="D12" s="254"/>
      <c r="E12" s="254">
        <f>INDEX('DATA (Nominal)'!$B$201:$BX$201,1,MATCH(E$1,'DATA (Nominal)'!$B$1:$BX$1,0))*'Resource Options'!$E$6*1000</f>
        <v>13521954.430901587</v>
      </c>
      <c r="F12" s="254">
        <f>INDEX('DATA (Nominal)'!$B$201:$BX$201,1,MATCH(F$1,'DATA (Nominal)'!$B$1:$BX$1,0))*'Resource Options'!$E$6*1000</f>
        <v>13823944.746525055</v>
      </c>
      <c r="G12" s="254">
        <f>INDEX('DATA (Nominal)'!$B$201:$BX$201,1,MATCH(G$1,'DATA (Nominal)'!$B$1:$BX$1,0))*'Resource Options'!$E$6*1000</f>
        <v>14132679.512530781</v>
      </c>
      <c r="H12" s="254">
        <f>INDEX('DATA (Nominal)'!$B$201:$BX$201,1,MATCH(H$1,'DATA (Nominal)'!$B$1:$BX$1,0))*'Resource Options'!$E$6*1000</f>
        <v>14443598.461806459</v>
      </c>
      <c r="I12" s="254">
        <f>INDEX('DATA (Nominal)'!$B$201:$BX$201,1,MATCH(I$1,'DATA (Nominal)'!$B$1:$BX$1,0))*'Resource Options'!$E$6*1000</f>
        <v>14761357.627966203</v>
      </c>
      <c r="J12" s="254">
        <f>INDEX('DATA (Nominal)'!$B$201:$BX$201,1,MATCH(J$1,'DATA (Nominal)'!$B$1:$BX$1,0))*'Resource Options'!$E$6*1000</f>
        <v>15086107.495781461</v>
      </c>
      <c r="K12" s="254">
        <f>INDEX('DATA (Nominal)'!$B$201:$BX$201,1,MATCH(K$1,'DATA (Nominal)'!$B$1:$BX$1,0))*'Resource Options'!$E$6*1000</f>
        <v>15418001.860688651</v>
      </c>
      <c r="L12" s="254">
        <f>INDEX('DATA (Nominal)'!$B$201:$BX$201,1,MATCH(L$1,'DATA (Nominal)'!$B$1:$BX$1,0))*'Resource Options'!$E$6*1000</f>
        <v>15757197.901623804</v>
      </c>
      <c r="M12" s="254">
        <f>INDEX('DATA (Nominal)'!$B$201:$BX$201,1,MATCH(M$1,'DATA (Nominal)'!$B$1:$BX$1,0))*'Resource Options'!$E$6*1000</f>
        <v>16103856.255459527</v>
      </c>
      <c r="N12" s="254">
        <f>INDEX('DATA (Nominal)'!$B$201:$BX$201,1,MATCH(N$1,'DATA (Nominal)'!$B$1:$BX$1,0))*'Resource Options'!$E$6*1000</f>
        <v>16458141.093079634</v>
      </c>
      <c r="O12" s="254">
        <f>INDEX('DATA (Nominal)'!$B$201:$BX$201,1,MATCH(O$1,'DATA (Nominal)'!$B$1:$BX$1,0))*'Resource Options'!$E$6*1000</f>
        <v>16820220.197127387</v>
      </c>
      <c r="P12" s="254">
        <f>INDEX('DATA (Nominal)'!$B$201:$BX$201,1,MATCH(P$1,'DATA (Nominal)'!$B$1:$BX$1,0))*'Resource Options'!$E$6*1000</f>
        <v>17190265.041464191</v>
      </c>
      <c r="Q12" s="254">
        <f>INDEX('DATA (Nominal)'!$B$201:$BX$201,1,MATCH(Q$1,'DATA (Nominal)'!$B$1:$BX$1,0))*'Resource Options'!$E$6*1000</f>
        <v>17568450.872376401</v>
      </c>
      <c r="R12" s="254">
        <f>INDEX('DATA (Nominal)'!$B$201:$BX$201,1,MATCH(R$1,'DATA (Nominal)'!$B$1:$BX$1,0))*'Resource Options'!$E$6*1000</f>
        <v>17954956.791568682</v>
      </c>
      <c r="S12" s="254">
        <f>INDEX('DATA (Nominal)'!$B$201:$BX$201,1,MATCH(S$1,'DATA (Nominal)'!$B$1:$BX$1,0))*'Resource Options'!$E$6*1000</f>
        <v>18349965.840983193</v>
      </c>
      <c r="T12" s="254">
        <f>INDEX('DATA (Nominal)'!$B$201:$BX$201,1,MATCH(T$1,'DATA (Nominal)'!$B$1:$BX$1,0))*'Resource Options'!$E$6*1000</f>
        <v>18753665.089484826</v>
      </c>
      <c r="U12" s="254">
        <f>INDEX('DATA (Nominal)'!$B$201:$BX$201,1,MATCH(U$1,'DATA (Nominal)'!$B$1:$BX$1,0))*'Resource Options'!$E$6*1000</f>
        <v>19166245.721453488</v>
      </c>
      <c r="V12" s="254">
        <f>INDEX('DATA (Nominal)'!$B$201:$BX$201,1,MATCH(V$1,'DATA (Nominal)'!$B$1:$BX$1,0))*'Resource Options'!$E$6*1000</f>
        <v>19587903.127325468</v>
      </c>
      <c r="W12" s="254">
        <f>INDEX('DATA (Nominal)'!$B$201:$BX$201,1,MATCH(W$1,'DATA (Nominal)'!$B$1:$BX$1,0))*'Resource Options'!$E$6*1000</f>
        <v>20018836.996126629</v>
      </c>
      <c r="X12" s="256">
        <f>INDEX('DATA (Nominal)'!$B$201:$BX$201,1,MATCH(X$1,'DATA (Nominal)'!$B$1:$BX$1,0))*'Resource Options'!$E$6*1000</f>
        <v>20459251.41004141</v>
      </c>
      <c r="Y12" s="254"/>
    </row>
    <row r="13" spans="1:25" hidden="1" outlineLevel="1">
      <c r="C13" s="258" t="s">
        <v>48</v>
      </c>
      <c r="D13" s="254"/>
      <c r="E13" s="254">
        <f>E6*INDEX('DATA (Nominal)'!$B$123:$BX$123,1,MATCH(E$1,'DATA (Nominal)'!$B$1:$BX$1,0))</f>
        <v>3504941.8295801668</v>
      </c>
      <c r="F13" s="254">
        <f>F6*INDEX('DATA (Nominal)'!$B$123:$BX$123,1,MATCH(F$1,'DATA (Nominal)'!$B$1:$BX$1,0))</f>
        <v>3583218.8637741231</v>
      </c>
      <c r="G13" s="254">
        <f>G6*INDEX('DATA (Nominal)'!$B$123:$BX$123,1,MATCH(G$1,'DATA (Nominal)'!$B$1:$BX$1,0))</f>
        <v>3663244.0850650794</v>
      </c>
      <c r="H13" s="254">
        <f>H6*INDEX('DATA (Nominal)'!$B$123:$BX$123,1,MATCH(H$1,'DATA (Nominal)'!$B$1:$BX$1,0))</f>
        <v>3743835.4549365109</v>
      </c>
      <c r="I13" s="254">
        <f>I6*INDEX('DATA (Nominal)'!$B$123:$BX$123,1,MATCH(I$1,'DATA (Nominal)'!$B$1:$BX$1,0))</f>
        <v>3826199.8349451143</v>
      </c>
      <c r="J13" s="254">
        <f>J6*INDEX('DATA (Nominal)'!$B$123:$BX$123,1,MATCH(J$1,'DATA (Nominal)'!$B$1:$BX$1,0))</f>
        <v>3910376.2313139071</v>
      </c>
      <c r="K13" s="254">
        <f>K6*INDEX('DATA (Nominal)'!$B$123:$BX$123,1,MATCH(K$1,'DATA (Nominal)'!$B$1:$BX$1,0))</f>
        <v>3996404.5084028123</v>
      </c>
      <c r="L13" s="254">
        <f>L6*INDEX('DATA (Nominal)'!$B$123:$BX$123,1,MATCH(L$1,'DATA (Nominal)'!$B$1:$BX$1,0))</f>
        <v>4084325.4075876749</v>
      </c>
      <c r="M13" s="254">
        <f>M6*INDEX('DATA (Nominal)'!$B$123:$BX$123,1,MATCH(M$1,'DATA (Nominal)'!$B$1:$BX$1,0))</f>
        <v>4174180.5665546036</v>
      </c>
      <c r="N13" s="254">
        <f>N6*INDEX('DATA (Nominal)'!$B$123:$BX$123,1,MATCH(N$1,'DATA (Nominal)'!$B$1:$BX$1,0))</f>
        <v>4266012.5390188042</v>
      </c>
      <c r="O13" s="254">
        <f>O6*INDEX('DATA (Nominal)'!$B$123:$BX$123,1,MATCH(O$1,'DATA (Nominal)'!$B$1:$BX$1,0))</f>
        <v>4359864.8148772176</v>
      </c>
      <c r="P13" s="254">
        <f>P6*INDEX('DATA (Nominal)'!$B$123:$BX$123,1,MATCH(P$1,'DATA (Nominal)'!$B$1:$BX$1,0))</f>
        <v>4455781.8408045173</v>
      </c>
      <c r="Q13" s="254">
        <f>Q6*INDEX('DATA (Nominal)'!$B$123:$BX$123,1,MATCH(Q$1,'DATA (Nominal)'!$B$1:$BX$1,0))</f>
        <v>4553809.0413022162</v>
      </c>
      <c r="R13" s="254">
        <f>R6*INDEX('DATA (Nominal)'!$B$123:$BX$123,1,MATCH(R$1,'DATA (Nominal)'!$B$1:$BX$1,0))</f>
        <v>4653992.8402108653</v>
      </c>
      <c r="S13" s="254">
        <f>S6*INDEX('DATA (Nominal)'!$B$123:$BX$123,1,MATCH(S$1,'DATA (Nominal)'!$B$1:$BX$1,0))</f>
        <v>4756380.6826955043</v>
      </c>
      <c r="T13" s="254">
        <f>T6*INDEX('DATA (Nominal)'!$B$123:$BX$123,1,MATCH(T$1,'DATA (Nominal)'!$B$1:$BX$1,0))</f>
        <v>4861021.057714805</v>
      </c>
      <c r="U13" s="254">
        <f>U6*INDEX('DATA (Nominal)'!$B$123:$BX$123,1,MATCH(U$1,'DATA (Nominal)'!$B$1:$BX$1,0))</f>
        <v>4967963.5209845314</v>
      </c>
      <c r="V13" s="254">
        <f>V6*INDEX('DATA (Nominal)'!$B$123:$BX$123,1,MATCH(V$1,'DATA (Nominal)'!$B$1:$BX$1,0))</f>
        <v>5077258.7184461914</v>
      </c>
      <c r="W13" s="254">
        <f>W6*INDEX('DATA (Nominal)'!$B$123:$BX$123,1,MATCH(W$1,'DATA (Nominal)'!$B$1:$BX$1,0))</f>
        <v>5188958.4102520077</v>
      </c>
      <c r="X13" s="256">
        <f>X6*INDEX('DATA (Nominal)'!$B$123:$BX$123,1,MATCH(X$1,'DATA (Nominal)'!$B$1:$BX$1,0))</f>
        <v>5303115.495277551</v>
      </c>
      <c r="Y13" s="254"/>
    </row>
    <row r="14" spans="1:25" hidden="1" outlineLevel="1">
      <c r="C14" s="258" t="s">
        <v>49</v>
      </c>
      <c r="D14" s="254"/>
      <c r="E14" s="254">
        <f t="shared" ref="E14:X14" si="3">D33*Property_Tax_Rate</f>
        <v>9047005.5691293199</v>
      </c>
      <c r="F14" s="254">
        <f t="shared" si="3"/>
        <v>8753265.3886152431</v>
      </c>
      <c r="G14" s="254">
        <f t="shared" si="3"/>
        <v>8469062.4293385297</v>
      </c>
      <c r="H14" s="254">
        <f t="shared" si="3"/>
        <v>8194087.0346877789</v>
      </c>
      <c r="I14" s="254">
        <f t="shared" si="3"/>
        <v>7928039.6020510281</v>
      </c>
      <c r="J14" s="254">
        <f t="shared" si="3"/>
        <v>7670630.2563802768</v>
      </c>
      <c r="K14" s="254">
        <f t="shared" si="3"/>
        <v>7421578.5343547845</v>
      </c>
      <c r="L14" s="254">
        <f t="shared" si="3"/>
        <v>7180613.0787990214</v>
      </c>
      <c r="M14" s="254">
        <f t="shared" si="3"/>
        <v>6947471.3430223344</v>
      </c>
      <c r="N14" s="254">
        <f t="shared" si="3"/>
        <v>6721899.3047581697</v>
      </c>
      <c r="O14" s="254">
        <f t="shared" si="3"/>
        <v>6503651.1893911827</v>
      </c>
      <c r="P14" s="254">
        <f t="shared" si="3"/>
        <v>6292489.2021706738</v>
      </c>
      <c r="Q14" s="254">
        <f t="shared" si="3"/>
        <v>6088183.2691185763</v>
      </c>
      <c r="R14" s="254">
        <f t="shared" si="3"/>
        <v>5890510.786349697</v>
      </c>
      <c r="S14" s="254">
        <f t="shared" si="3"/>
        <v>5699256.3775310898</v>
      </c>
      <c r="T14" s="254">
        <f t="shared" si="3"/>
        <v>5514211.6592162875</v>
      </c>
      <c r="U14" s="254">
        <f t="shared" si="3"/>
        <v>5335175.0137987137</v>
      </c>
      <c r="V14" s="254">
        <f t="shared" si="3"/>
        <v>5161951.3698368976</v>
      </c>
      <c r="W14" s="254">
        <f t="shared" si="3"/>
        <v>4994351.9895121325</v>
      </c>
      <c r="X14" s="256">
        <f t="shared" si="3"/>
        <v>4832194.2629870102</v>
      </c>
      <c r="Y14" s="254"/>
    </row>
    <row r="15" spans="1:25" hidden="1" outlineLevel="1">
      <c r="C15" s="258" t="s">
        <v>50</v>
      </c>
      <c r="D15" s="254"/>
      <c r="E15" s="254">
        <f t="shared" ref="E15:X15" si="4">SUM(E11:E14)</f>
        <v>33094442.807832032</v>
      </c>
      <c r="F15" s="254">
        <f t="shared" si="4"/>
        <v>33348186.162856907</v>
      </c>
      <c r="G15" s="254">
        <f t="shared" si="4"/>
        <v>33634563.286386482</v>
      </c>
      <c r="H15" s="254">
        <f t="shared" si="4"/>
        <v>33924109.898722231</v>
      </c>
      <c r="I15" s="254">
        <f t="shared" si="4"/>
        <v>34246374.309759483</v>
      </c>
      <c r="J15" s="254">
        <f t="shared" si="4"/>
        <v>34590709.19781819</v>
      </c>
      <c r="K15" s="254">
        <f t="shared" si="4"/>
        <v>34945514.260907985</v>
      </c>
      <c r="L15" s="254">
        <f t="shared" si="4"/>
        <v>35333827.866364457</v>
      </c>
      <c r="M15" s="254">
        <f t="shared" si="4"/>
        <v>35744320.320347883</v>
      </c>
      <c r="N15" s="254">
        <f t="shared" si="4"/>
        <v>36164677.589910485</v>
      </c>
      <c r="O15" s="254">
        <f t="shared" si="4"/>
        <v>36619525.476706862</v>
      </c>
      <c r="P15" s="254">
        <f t="shared" si="4"/>
        <v>37096825.411054894</v>
      </c>
      <c r="Q15" s="254">
        <f t="shared" si="4"/>
        <v>37583449.949357189</v>
      </c>
      <c r="R15" s="254">
        <f t="shared" si="4"/>
        <v>38105725.826360852</v>
      </c>
      <c r="S15" s="254">
        <f t="shared" si="4"/>
        <v>38650866.974168599</v>
      </c>
      <c r="T15" s="254">
        <f t="shared" si="4"/>
        <v>39219027.052892342</v>
      </c>
      <c r="U15" s="254">
        <f t="shared" si="4"/>
        <v>39810373.87174271</v>
      </c>
      <c r="V15" s="254">
        <f t="shared" si="4"/>
        <v>40425131.500952482</v>
      </c>
      <c r="W15" s="254">
        <f t="shared" si="4"/>
        <v>41063484.196968421</v>
      </c>
      <c r="X15" s="256">
        <f t="shared" si="4"/>
        <v>41725687.751847982</v>
      </c>
      <c r="Y15" s="254"/>
    </row>
    <row r="16" spans="1:25" hidden="1" outlineLevel="1">
      <c r="C16" s="258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6"/>
      <c r="Y16" s="254"/>
    </row>
    <row r="17" spans="1:25" hidden="1" outlineLevel="1">
      <c r="C17" s="258" t="s">
        <v>51</v>
      </c>
      <c r="D17" s="254"/>
      <c r="E17" s="254">
        <f t="shared" ref="E17:X17" si="5">E9-E15</f>
        <v>71778185.283785522</v>
      </c>
      <c r="F17" s="254">
        <f t="shared" si="5"/>
        <v>71524441.928760648</v>
      </c>
      <c r="G17" s="254">
        <f t="shared" si="5"/>
        <v>71238064.805231065</v>
      </c>
      <c r="H17" s="254">
        <f t="shared" si="5"/>
        <v>70948518.192895323</v>
      </c>
      <c r="I17" s="254">
        <f t="shared" si="5"/>
        <v>70626253.781858072</v>
      </c>
      <c r="J17" s="254">
        <f t="shared" si="5"/>
        <v>70281918.893799365</v>
      </c>
      <c r="K17" s="254">
        <f t="shared" si="5"/>
        <v>69927113.830709577</v>
      </c>
      <c r="L17" s="254">
        <f t="shared" si="5"/>
        <v>69538800.225253105</v>
      </c>
      <c r="M17" s="254">
        <f t="shared" si="5"/>
        <v>69128307.771269679</v>
      </c>
      <c r="N17" s="254">
        <f t="shared" si="5"/>
        <v>68707950.501707077</v>
      </c>
      <c r="O17" s="254">
        <f t="shared" si="5"/>
        <v>68253102.614910692</v>
      </c>
      <c r="P17" s="254">
        <f t="shared" si="5"/>
        <v>67775802.68056266</v>
      </c>
      <c r="Q17" s="254">
        <f t="shared" si="5"/>
        <v>67289178.142260373</v>
      </c>
      <c r="R17" s="254">
        <f t="shared" si="5"/>
        <v>66766902.265256703</v>
      </c>
      <c r="S17" s="254">
        <f t="shared" si="5"/>
        <v>66221761.117448956</v>
      </c>
      <c r="T17" s="254">
        <f t="shared" si="5"/>
        <v>65653601.038725212</v>
      </c>
      <c r="U17" s="254">
        <f t="shared" si="5"/>
        <v>65062254.219874844</v>
      </c>
      <c r="V17" s="254">
        <f t="shared" si="5"/>
        <v>64447496.590665072</v>
      </c>
      <c r="W17" s="254">
        <f t="shared" si="5"/>
        <v>63809143.894649133</v>
      </c>
      <c r="X17" s="256">
        <f t="shared" si="5"/>
        <v>63146940.339769572</v>
      </c>
      <c r="Y17" s="254"/>
    </row>
    <row r="18" spans="1:25" hidden="1" outlineLevel="1">
      <c r="C18" s="258" t="s">
        <v>52</v>
      </c>
      <c r="D18" s="254"/>
      <c r="E18" s="254">
        <f t="shared" ref="E18:X18" si="6">E17-E34-E25</f>
        <v>5482347.6079416387</v>
      </c>
      <c r="F18" s="254">
        <f t="shared" si="6"/>
        <v>-25227120.57728849</v>
      </c>
      <c r="G18" s="254">
        <f t="shared" si="6"/>
        <v>-19639671.636914007</v>
      </c>
      <c r="H18" s="254">
        <f t="shared" si="6"/>
        <v>-14372452.630874705</v>
      </c>
      <c r="I18" s="254">
        <f t="shared" si="6"/>
        <v>-9415861.1737351157</v>
      </c>
      <c r="J18" s="254">
        <f t="shared" si="6"/>
        <v>-4728983.3070355356</v>
      </c>
      <c r="K18" s="254">
        <f t="shared" si="6"/>
        <v>-287874.19404020533</v>
      </c>
      <c r="L18" s="254">
        <f t="shared" si="6"/>
        <v>3924094.7134727277</v>
      </c>
      <c r="M18" s="254">
        <f t="shared" si="6"/>
        <v>5424949.8046747148</v>
      </c>
      <c r="N18" s="254">
        <f t="shared" si="6"/>
        <v>6429299.5610059723</v>
      </c>
      <c r="O18" s="254">
        <f t="shared" si="6"/>
        <v>7477517.5865276083</v>
      </c>
      <c r="P18" s="254">
        <f t="shared" si="6"/>
        <v>8585952.189675089</v>
      </c>
      <c r="Q18" s="254">
        <f t="shared" si="6"/>
        <v>9772277.5884305649</v>
      </c>
      <c r="R18" s="254">
        <f t="shared" si="6"/>
        <v>11014963.895022841</v>
      </c>
      <c r="S18" s="254">
        <f t="shared" si="6"/>
        <v>12331857.850908812</v>
      </c>
      <c r="T18" s="254">
        <f t="shared" si="6"/>
        <v>13728144.806581944</v>
      </c>
      <c r="U18" s="254">
        <f t="shared" si="6"/>
        <v>15209289.609020278</v>
      </c>
      <c r="V18" s="254">
        <f t="shared" si="6"/>
        <v>16781010.640270088</v>
      </c>
      <c r="W18" s="254">
        <f t="shared" si="6"/>
        <v>18449392.931039006</v>
      </c>
      <c r="X18" s="256">
        <f t="shared" si="6"/>
        <v>20220794.787217468</v>
      </c>
      <c r="Y18" s="254"/>
    </row>
    <row r="19" spans="1:25" hidden="1" outlineLevel="1">
      <c r="C19" s="258" t="s">
        <v>53</v>
      </c>
      <c r="D19" s="254"/>
      <c r="E19" s="114">
        <f>INDEX('DATA (Nominal)'!$B$269:$BX$269,1,MATCH($B$1,'DATA (Nominal)'!$B$1:$BX$1,0))*INDEX('DATA (Nominal)'!$B$297:$BX$297,1,MATCH(E$1,'DATA (Nominal)'!$B$1:$BX$1,0))*E6</f>
        <v>15950273.849737033</v>
      </c>
      <c r="F19" s="114">
        <f>INDEX('DATA (Nominal)'!$B$269:$BX$269,1,MATCH($B$1,'DATA (Nominal)'!$B$1:$BX$1,0))*INDEX('DATA (Nominal)'!$B$297:$BX$297,1,MATCH(F$1,'DATA (Nominal)'!$B$1:$BX$1,0))*F6</f>
        <v>16306496.632381162</v>
      </c>
      <c r="G19" s="114">
        <f>INDEX('DATA (Nominal)'!$B$269:$BX$269,1,MATCH($B$1,'DATA (Nominal)'!$B$1:$BX$1,0))*INDEX('DATA (Nominal)'!$B$297:$BX$297,1,MATCH(G$1,'DATA (Nominal)'!$B$1:$BX$1,0))*G6</f>
        <v>16670675.057171008</v>
      </c>
      <c r="H19" s="114">
        <f>INDEX('DATA (Nominal)'!$B$269:$BX$269,1,MATCH($B$1,'DATA (Nominal)'!$B$1:$BX$1,0))*INDEX('DATA (Nominal)'!$B$297:$BX$297,1,MATCH(H$1,'DATA (Nominal)'!$B$1:$BX$1,0))*H6</f>
        <v>17037429.90842877</v>
      </c>
      <c r="I19" s="114">
        <f>INDEX('DATA (Nominal)'!$B$269:$BX$269,1,MATCH($B$1,'DATA (Nominal)'!$B$1:$BX$1,0))*INDEX('DATA (Nominal)'!$B$297:$BX$297,1,MATCH(I$1,'DATA (Nominal)'!$B$1:$BX$1,0))*I6</f>
        <v>17412253.366414204</v>
      </c>
      <c r="J19" s="114">
        <f>INDEX('DATA (Nominal)'!$B$269:$BX$269,1,MATCH($B$1,'DATA (Nominal)'!$B$1:$BX$1,0))*INDEX('DATA (Nominal)'!$B$297:$BX$297,1,MATCH(J$1,'DATA (Nominal)'!$B$1:$BX$1,0))*J6</f>
        <v>17795322.940475315</v>
      </c>
      <c r="K19" s="114">
        <f>INDEX('DATA (Nominal)'!$B$269:$BX$269,1,MATCH($B$1,'DATA (Nominal)'!$B$1:$BX$1,0))*INDEX('DATA (Nominal)'!$B$297:$BX$297,1,MATCH(K$1,'DATA (Nominal)'!$B$1:$BX$1,0))*K6</f>
        <v>18186820.04516577</v>
      </c>
      <c r="L19" s="114">
        <f>INDEX('DATA (Nominal)'!$B$269:$BX$269,1,MATCH($B$1,'DATA (Nominal)'!$B$1:$BX$1,0))*INDEX('DATA (Nominal)'!$B$297:$BX$297,1,MATCH(L$1,'DATA (Nominal)'!$B$1:$BX$1,0))*L6</f>
        <v>18586930.086159419</v>
      </c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256"/>
      <c r="Y19" s="254"/>
    </row>
    <row r="20" spans="1:25" hidden="1" outlineLevel="1">
      <c r="C20" s="258" t="s">
        <v>54</v>
      </c>
      <c r="D20" s="254"/>
      <c r="E20" s="254">
        <f t="shared" ref="E20:X20" si="7">E18*Federal_Tax_Rate-E19</f>
        <v>-14798980.852069288</v>
      </c>
      <c r="F20" s="254">
        <f t="shared" si="7"/>
        <v>-21604191.953611746</v>
      </c>
      <c r="G20" s="254">
        <f t="shared" si="7"/>
        <v>-20795006.10092295</v>
      </c>
      <c r="H20" s="254">
        <f t="shared" si="7"/>
        <v>-20055644.960912459</v>
      </c>
      <c r="I20" s="254">
        <f t="shared" si="7"/>
        <v>-19389584.212898578</v>
      </c>
      <c r="J20" s="254">
        <f t="shared" si="7"/>
        <v>-18788409.434952777</v>
      </c>
      <c r="K20" s="254">
        <f t="shared" si="7"/>
        <v>-18247273.625914212</v>
      </c>
      <c r="L20" s="254">
        <f t="shared" si="7"/>
        <v>-17762870.196330145</v>
      </c>
      <c r="M20" s="254">
        <f t="shared" si="7"/>
        <v>1139239.45898169</v>
      </c>
      <c r="N20" s="254">
        <f t="shared" si="7"/>
        <v>1350152.907811254</v>
      </c>
      <c r="O20" s="254">
        <f t="shared" si="7"/>
        <v>1570278.6931707978</v>
      </c>
      <c r="P20" s="254">
        <f t="shared" si="7"/>
        <v>1803049.9598317686</v>
      </c>
      <c r="Q20" s="254">
        <f t="shared" si="7"/>
        <v>2052178.2935704186</v>
      </c>
      <c r="R20" s="254">
        <f t="shared" si="7"/>
        <v>2313142.4179547965</v>
      </c>
      <c r="S20" s="254">
        <f t="shared" si="7"/>
        <v>2589690.1486908505</v>
      </c>
      <c r="T20" s="254">
        <f t="shared" si="7"/>
        <v>2882910.4093822083</v>
      </c>
      <c r="U20" s="254">
        <f t="shared" si="7"/>
        <v>3193950.8178942581</v>
      </c>
      <c r="V20" s="254">
        <f t="shared" si="7"/>
        <v>3524012.2344567184</v>
      </c>
      <c r="W20" s="254">
        <f t="shared" si="7"/>
        <v>3874372.5155181908</v>
      </c>
      <c r="X20" s="256">
        <f t="shared" si="7"/>
        <v>4246366.9053156683</v>
      </c>
      <c r="Y20" s="254"/>
    </row>
    <row r="21" spans="1:25" hidden="1" outlineLevel="1">
      <c r="C21" s="258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6"/>
      <c r="Y21" s="254"/>
    </row>
    <row r="22" spans="1:25" hidden="1" outlineLevel="1">
      <c r="A22" s="86"/>
      <c r="B22" s="37">
        <f>IRR(D22:Y22,0.1)</f>
        <v>7.5000000049733062E-2</v>
      </c>
      <c r="C22" s="258" t="s">
        <v>55</v>
      </c>
      <c r="D22" s="261">
        <f>-INDEX('DATA (Nominal)'!$B$82:$BX$82,1,MATCH(B$1,'DATA (Nominal)'!$B$1:$BX$1,0))*1000000*(1+AFUDC!$C$6)*'Resource Options'!$E$6/1000</f>
        <v>-904700556.91293204</v>
      </c>
      <c r="E22" s="261">
        <f t="shared" ref="E22:X22" si="8">E17-E20</f>
        <v>86577166.13585481</v>
      </c>
      <c r="F22" s="261">
        <f t="shared" si="8"/>
        <v>93128633.882372394</v>
      </c>
      <c r="G22" s="261">
        <f t="shared" si="8"/>
        <v>92033070.906154007</v>
      </c>
      <c r="H22" s="261">
        <f t="shared" si="8"/>
        <v>91004163.153807789</v>
      </c>
      <c r="I22" s="261">
        <f t="shared" si="8"/>
        <v>90015837.994756654</v>
      </c>
      <c r="J22" s="261">
        <f t="shared" si="8"/>
        <v>89070328.328752145</v>
      </c>
      <c r="K22" s="261">
        <f t="shared" si="8"/>
        <v>88174387.456623793</v>
      </c>
      <c r="L22" s="261">
        <f t="shared" si="8"/>
        <v>87301670.42158325</v>
      </c>
      <c r="M22" s="261">
        <f t="shared" si="8"/>
        <v>67989068.312287986</v>
      </c>
      <c r="N22" s="261">
        <f t="shared" si="8"/>
        <v>67357797.593895823</v>
      </c>
      <c r="O22" s="261">
        <f t="shared" si="8"/>
        <v>66682823.921739891</v>
      </c>
      <c r="P22" s="261">
        <f t="shared" si="8"/>
        <v>65972752.720730893</v>
      </c>
      <c r="Q22" s="261">
        <f t="shared" si="8"/>
        <v>65236999.848689951</v>
      </c>
      <c r="R22" s="261">
        <f t="shared" si="8"/>
        <v>64453759.847301908</v>
      </c>
      <c r="S22" s="261">
        <f t="shared" si="8"/>
        <v>63632070.968758106</v>
      </c>
      <c r="T22" s="261">
        <f t="shared" si="8"/>
        <v>62770690.629343003</v>
      </c>
      <c r="U22" s="261">
        <f t="shared" si="8"/>
        <v>61868303.401980586</v>
      </c>
      <c r="V22" s="261">
        <f t="shared" si="8"/>
        <v>60923484.356208354</v>
      </c>
      <c r="W22" s="261">
        <f t="shared" si="8"/>
        <v>59934771.379130945</v>
      </c>
      <c r="X22" s="161">
        <f t="shared" si="8"/>
        <v>58900573.434453905</v>
      </c>
      <c r="Y22" s="254">
        <f>-D22*0.5</f>
        <v>452350278.45646602</v>
      </c>
    </row>
    <row r="23" spans="1:25" hidden="1" outlineLevel="1">
      <c r="B23" s="37">
        <f>IRR(D23:Y23,0.1)</f>
        <v>6.7151608812928698E-2</v>
      </c>
      <c r="C23" s="258" t="s">
        <v>56</v>
      </c>
      <c r="D23" s="254">
        <f>-D39</f>
        <v>-289876717.53679639</v>
      </c>
      <c r="E23" s="261">
        <f t="shared" ref="E23:X23" si="9">E22-E25-E27-E35-E19</f>
        <v>18664360.385508843</v>
      </c>
      <c r="F23" s="261">
        <f t="shared" si="9"/>
        <v>22348880.363837525</v>
      </c>
      <c r="G23" s="261">
        <f t="shared" si="9"/>
        <v>21280693.363861211</v>
      </c>
      <c r="H23" s="261">
        <f t="shared" si="9"/>
        <v>20246910.983022403</v>
      </c>
      <c r="I23" s="261">
        <f t="shared" si="9"/>
        <v>19218863.45226638</v>
      </c>
      <c r="J23" s="261">
        <f t="shared" si="9"/>
        <v>18200777.443333283</v>
      </c>
      <c r="K23" s="261">
        <f t="shared" si="9"/>
        <v>17199948.602944493</v>
      </c>
      <c r="L23" s="261">
        <f t="shared" si="9"/>
        <v>16192741.61041994</v>
      </c>
      <c r="M23" s="261">
        <f t="shared" si="9"/>
        <v>15511942.734906973</v>
      </c>
      <c r="N23" s="261">
        <f t="shared" si="9"/>
        <v>14880672.01651481</v>
      </c>
      <c r="O23" s="261">
        <f t="shared" si="9"/>
        <v>14205698.344358878</v>
      </c>
      <c r="P23" s="261">
        <f t="shared" si="9"/>
        <v>13495627.143349877</v>
      </c>
      <c r="Q23" s="261">
        <f t="shared" si="9"/>
        <v>12759874.271308934</v>
      </c>
      <c r="R23" s="261">
        <f t="shared" si="9"/>
        <v>11976634.269920895</v>
      </c>
      <c r="S23" s="261">
        <f t="shared" si="9"/>
        <v>11154945.391377093</v>
      </c>
      <c r="T23" s="261">
        <f t="shared" si="9"/>
        <v>10293565.05196199</v>
      </c>
      <c r="U23" s="261">
        <f t="shared" si="9"/>
        <v>9391177.8245995734</v>
      </c>
      <c r="V23" s="261">
        <f t="shared" si="9"/>
        <v>8446358.7788273413</v>
      </c>
      <c r="W23" s="261">
        <f t="shared" si="9"/>
        <v>7457645.8017499316</v>
      </c>
      <c r="X23" s="161">
        <f t="shared" si="9"/>
        <v>6423447.8570728917</v>
      </c>
      <c r="Y23" s="254">
        <f>Y22</f>
        <v>452350278.45646602</v>
      </c>
    </row>
    <row r="24" spans="1:25" hidden="1" outlineLevel="1">
      <c r="B24" s="346"/>
      <c r="C24" s="258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6"/>
      <c r="Y24" s="254"/>
    </row>
    <row r="25" spans="1:25" hidden="1" outlineLevel="1">
      <c r="B25" s="346"/>
      <c r="C25" s="258" t="s">
        <v>57</v>
      </c>
      <c r="D25" s="254"/>
      <c r="E25" s="254">
        <f>D28*Debt_Rate</f>
        <v>32369566.791608933</v>
      </c>
      <c r="F25" s="254">
        <f>E28*Debt_Rate</f>
        <v>31441229.302504573</v>
      </c>
      <c r="G25" s="254">
        <f t="shared" ref="G25:X25" si="10">F28*Debt_Rate</f>
        <v>30461833.251499467</v>
      </c>
      <c r="H25" s="254">
        <f t="shared" si="10"/>
        <v>29428570.417689081</v>
      </c>
      <c r="I25" s="254">
        <f t="shared" si="10"/>
        <v>28338478.128019121</v>
      </c>
      <c r="J25" s="254">
        <f t="shared" si="10"/>
        <v>27188430.762417316</v>
      </c>
      <c r="K25" s="254">
        <f t="shared" si="10"/>
        <v>25975130.791707408</v>
      </c>
      <c r="L25" s="254">
        <f t="shared" si="10"/>
        <v>24695099.32260846</v>
      </c>
      <c r="M25" s="254">
        <f t="shared" si="10"/>
        <v>23344666.122709066</v>
      </c>
      <c r="N25" s="254">
        <f t="shared" si="10"/>
        <v>21919959.096815206</v>
      </c>
      <c r="O25" s="254">
        <f t="shared" si="10"/>
        <v>20416893.184497185</v>
      </c>
      <c r="P25" s="254">
        <f t="shared" si="10"/>
        <v>18831158.647001673</v>
      </c>
      <c r="Q25" s="254">
        <f t="shared" si="10"/>
        <v>17158208.709943909</v>
      </c>
      <c r="R25" s="254">
        <f t="shared" si="10"/>
        <v>15393246.526347963</v>
      </c>
      <c r="S25" s="254">
        <f t="shared" si="10"/>
        <v>13531211.422654245</v>
      </c>
      <c r="T25" s="254">
        <f t="shared" si="10"/>
        <v>11566764.388257369</v>
      </c>
      <c r="U25" s="254">
        <f t="shared" si="10"/>
        <v>9494272.7669686675</v>
      </c>
      <c r="V25" s="254">
        <f t="shared" si="10"/>
        <v>7307794.1065090867</v>
      </c>
      <c r="W25" s="254">
        <f t="shared" si="10"/>
        <v>5001059.119724229</v>
      </c>
      <c r="X25" s="256">
        <f t="shared" si="10"/>
        <v>2567453.708666204</v>
      </c>
      <c r="Y25" s="254"/>
    </row>
    <row r="26" spans="1:25" hidden="1" outlineLevel="1">
      <c r="B26" s="346"/>
      <c r="C26" s="258" t="s">
        <v>113</v>
      </c>
      <c r="D26" s="254"/>
      <c r="E26" s="254">
        <f t="shared" ref="E26:X26" si="11">-PMT(Debt_Rate,20,$D38)</f>
        <v>49248430.229870141</v>
      </c>
      <c r="F26" s="254">
        <f t="shared" si="11"/>
        <v>49248430.229870141</v>
      </c>
      <c r="G26" s="254">
        <f t="shared" si="11"/>
        <v>49248430.229870141</v>
      </c>
      <c r="H26" s="254">
        <f t="shared" si="11"/>
        <v>49248430.229870141</v>
      </c>
      <c r="I26" s="254">
        <f t="shared" si="11"/>
        <v>49248430.229870141</v>
      </c>
      <c r="J26" s="254">
        <f t="shared" si="11"/>
        <v>49248430.229870141</v>
      </c>
      <c r="K26" s="254">
        <f t="shared" si="11"/>
        <v>49248430.229870141</v>
      </c>
      <c r="L26" s="254">
        <f t="shared" si="11"/>
        <v>49248430.229870141</v>
      </c>
      <c r="M26" s="254">
        <f t="shared" si="11"/>
        <v>49248430.229870141</v>
      </c>
      <c r="N26" s="254">
        <f t="shared" si="11"/>
        <v>49248430.229870141</v>
      </c>
      <c r="O26" s="254">
        <f t="shared" si="11"/>
        <v>49248430.229870141</v>
      </c>
      <c r="P26" s="254">
        <f t="shared" si="11"/>
        <v>49248430.229870141</v>
      </c>
      <c r="Q26" s="254">
        <f t="shared" si="11"/>
        <v>49248430.229870141</v>
      </c>
      <c r="R26" s="254">
        <f t="shared" si="11"/>
        <v>49248430.229870141</v>
      </c>
      <c r="S26" s="254">
        <f t="shared" si="11"/>
        <v>49248430.229870141</v>
      </c>
      <c r="T26" s="254">
        <f t="shared" si="11"/>
        <v>49248430.229870141</v>
      </c>
      <c r="U26" s="254">
        <f t="shared" si="11"/>
        <v>49248430.229870141</v>
      </c>
      <c r="V26" s="254">
        <f t="shared" si="11"/>
        <v>49248430.229870141</v>
      </c>
      <c r="W26" s="254">
        <f t="shared" si="11"/>
        <v>49248430.229870141</v>
      </c>
      <c r="X26" s="256">
        <f t="shared" si="11"/>
        <v>49248430.229870141</v>
      </c>
      <c r="Y26" s="254"/>
    </row>
    <row r="27" spans="1:25" hidden="1" outlineLevel="1">
      <c r="B27" s="346"/>
      <c r="C27" s="258" t="s">
        <v>59</v>
      </c>
      <c r="D27" s="254"/>
      <c r="E27" s="254">
        <f t="shared" ref="E27:X27" si="12">E26-E25</f>
        <v>16878863.438261207</v>
      </c>
      <c r="F27" s="254">
        <f t="shared" si="12"/>
        <v>17807200.927365568</v>
      </c>
      <c r="G27" s="254">
        <f t="shared" si="12"/>
        <v>18786596.978370674</v>
      </c>
      <c r="H27" s="254">
        <f t="shared" si="12"/>
        <v>19819859.812181059</v>
      </c>
      <c r="I27" s="254">
        <f t="shared" si="12"/>
        <v>20909952.10185102</v>
      </c>
      <c r="J27" s="254">
        <f t="shared" si="12"/>
        <v>22059999.467452824</v>
      </c>
      <c r="K27" s="254">
        <f t="shared" si="12"/>
        <v>23273299.438162733</v>
      </c>
      <c r="L27" s="254">
        <f t="shared" si="12"/>
        <v>24553330.907261681</v>
      </c>
      <c r="M27" s="254">
        <f t="shared" si="12"/>
        <v>25903764.107161075</v>
      </c>
      <c r="N27" s="254">
        <f t="shared" si="12"/>
        <v>27328471.133054934</v>
      </c>
      <c r="O27" s="254">
        <f t="shared" si="12"/>
        <v>28831537.045372956</v>
      </c>
      <c r="P27" s="254">
        <f t="shared" si="12"/>
        <v>30417271.582868468</v>
      </c>
      <c r="Q27" s="254">
        <f t="shared" si="12"/>
        <v>32090221.519926231</v>
      </c>
      <c r="R27" s="254">
        <f t="shared" si="12"/>
        <v>33855183.703522176</v>
      </c>
      <c r="S27" s="254">
        <f t="shared" si="12"/>
        <v>35717218.807215899</v>
      </c>
      <c r="T27" s="254">
        <f t="shared" si="12"/>
        <v>37681665.841612771</v>
      </c>
      <c r="U27" s="254">
        <f t="shared" si="12"/>
        <v>39754157.462901473</v>
      </c>
      <c r="V27" s="254">
        <f t="shared" si="12"/>
        <v>41940636.123361051</v>
      </c>
      <c r="W27" s="254">
        <f t="shared" si="12"/>
        <v>44247371.110145912</v>
      </c>
      <c r="X27" s="256">
        <f t="shared" si="12"/>
        <v>46680976.521203935</v>
      </c>
      <c r="Y27" s="254"/>
    </row>
    <row r="28" spans="1:25" hidden="1" outlineLevel="1">
      <c r="B28" s="346"/>
      <c r="C28" s="258" t="s">
        <v>60</v>
      </c>
      <c r="D28" s="254">
        <f>D38</f>
        <v>588537578.02925336</v>
      </c>
      <c r="E28" s="254">
        <f>D28-E27</f>
        <v>571658714.59099221</v>
      </c>
      <c r="F28" s="254">
        <f t="shared" ref="F28:X28" si="13">E28-F27</f>
        <v>553851513.66362667</v>
      </c>
      <c r="G28" s="254">
        <f t="shared" si="13"/>
        <v>535064916.685256</v>
      </c>
      <c r="H28" s="254">
        <f t="shared" si="13"/>
        <v>515245056.87307495</v>
      </c>
      <c r="I28" s="254">
        <f t="shared" si="13"/>
        <v>494335104.7712239</v>
      </c>
      <c r="J28" s="254">
        <f t="shared" si="13"/>
        <v>472275105.30377108</v>
      </c>
      <c r="K28" s="254">
        <f t="shared" si="13"/>
        <v>449001805.86560833</v>
      </c>
      <c r="L28" s="254">
        <f t="shared" si="13"/>
        <v>424448474.95834666</v>
      </c>
      <c r="M28" s="254">
        <f t="shared" si="13"/>
        <v>398544710.85118556</v>
      </c>
      <c r="N28" s="254">
        <f t="shared" si="13"/>
        <v>371216239.71813065</v>
      </c>
      <c r="O28" s="254">
        <f t="shared" si="13"/>
        <v>342384702.67275769</v>
      </c>
      <c r="P28" s="254">
        <f t="shared" si="13"/>
        <v>311967431.08988923</v>
      </c>
      <c r="Q28" s="254">
        <f t="shared" si="13"/>
        <v>279877209.56996298</v>
      </c>
      <c r="R28" s="254">
        <f t="shared" si="13"/>
        <v>246022025.8664408</v>
      </c>
      <c r="S28" s="254">
        <f t="shared" si="13"/>
        <v>210304807.0592249</v>
      </c>
      <c r="T28" s="254">
        <f t="shared" si="13"/>
        <v>172623141.21761215</v>
      </c>
      <c r="U28" s="254">
        <f t="shared" si="13"/>
        <v>132868983.75471067</v>
      </c>
      <c r="V28" s="254">
        <f t="shared" si="13"/>
        <v>90928347.631349623</v>
      </c>
      <c r="W28" s="254">
        <f t="shared" si="13"/>
        <v>46680976.521203712</v>
      </c>
      <c r="X28" s="256">
        <f t="shared" si="13"/>
        <v>-2.2351741790771484E-7</v>
      </c>
      <c r="Y28" s="254"/>
    </row>
    <row r="29" spans="1:25" hidden="1" outlineLevel="1">
      <c r="B29" s="346"/>
      <c r="C29" s="258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6"/>
      <c r="Y29" s="254"/>
    </row>
    <row r="30" spans="1:25" hidden="1" outlineLevel="1">
      <c r="B30" s="346"/>
      <c r="C30" s="258" t="s">
        <v>114</v>
      </c>
      <c r="D30" s="254"/>
      <c r="E30" s="254">
        <f t="shared" ref="E30:X30" si="14">IF(E$2-1&lt;40,-$D22/40,0)</f>
        <v>22617513.922823302</v>
      </c>
      <c r="F30" s="254">
        <f t="shared" si="14"/>
        <v>22617513.922823302</v>
      </c>
      <c r="G30" s="254">
        <f t="shared" si="14"/>
        <v>22617513.922823302</v>
      </c>
      <c r="H30" s="254">
        <f t="shared" si="14"/>
        <v>22617513.922823302</v>
      </c>
      <c r="I30" s="254">
        <f t="shared" si="14"/>
        <v>22617513.922823302</v>
      </c>
      <c r="J30" s="254">
        <f t="shared" si="14"/>
        <v>22617513.922823302</v>
      </c>
      <c r="K30" s="254">
        <f t="shared" si="14"/>
        <v>22617513.922823302</v>
      </c>
      <c r="L30" s="254">
        <f t="shared" si="14"/>
        <v>22617513.922823302</v>
      </c>
      <c r="M30" s="254">
        <f t="shared" si="14"/>
        <v>22617513.922823302</v>
      </c>
      <c r="N30" s="254">
        <f t="shared" si="14"/>
        <v>22617513.922823302</v>
      </c>
      <c r="O30" s="254">
        <f t="shared" si="14"/>
        <v>22617513.922823302</v>
      </c>
      <c r="P30" s="254">
        <f t="shared" si="14"/>
        <v>22617513.922823302</v>
      </c>
      <c r="Q30" s="254">
        <f t="shared" si="14"/>
        <v>22617513.922823302</v>
      </c>
      <c r="R30" s="254">
        <f t="shared" si="14"/>
        <v>22617513.922823302</v>
      </c>
      <c r="S30" s="254">
        <f t="shared" si="14"/>
        <v>22617513.922823302</v>
      </c>
      <c r="T30" s="254">
        <f t="shared" si="14"/>
        <v>22617513.922823302</v>
      </c>
      <c r="U30" s="254">
        <f t="shared" si="14"/>
        <v>22617513.922823302</v>
      </c>
      <c r="V30" s="254">
        <f t="shared" si="14"/>
        <v>22617513.922823302</v>
      </c>
      <c r="W30" s="254">
        <f t="shared" si="14"/>
        <v>22617513.922823302</v>
      </c>
      <c r="X30" s="256">
        <f t="shared" si="14"/>
        <v>22617513.922823302</v>
      </c>
      <c r="Y30" s="254"/>
    </row>
    <row r="31" spans="1:25" hidden="1" outlineLevel="1">
      <c r="B31" s="346"/>
      <c r="C31" s="258" t="s">
        <v>62</v>
      </c>
      <c r="D31" s="254"/>
      <c r="E31" s="254">
        <f>SUM($E30:E30)</f>
        <v>22617513.922823302</v>
      </c>
      <c r="F31" s="254">
        <f>SUM($E30:F30)</f>
        <v>45235027.845646605</v>
      </c>
      <c r="G31" s="254">
        <f>SUM($E30:G30)</f>
        <v>67852541.7684699</v>
      </c>
      <c r="H31" s="254">
        <f>SUM($E30:H30)</f>
        <v>90470055.69129321</v>
      </c>
      <c r="I31" s="254">
        <f>SUM($E30:I30)</f>
        <v>113087569.61411652</v>
      </c>
      <c r="J31" s="254">
        <f>SUM($E30:J30)</f>
        <v>135705083.53693983</v>
      </c>
      <c r="K31" s="254">
        <f>SUM($E30:K30)</f>
        <v>158322597.45976314</v>
      </c>
      <c r="L31" s="254">
        <f>SUM($E30:L30)</f>
        <v>180940111.38258645</v>
      </c>
      <c r="M31" s="254">
        <f>SUM($E30:M30)</f>
        <v>203557625.30540976</v>
      </c>
      <c r="N31" s="254">
        <f>SUM($E30:N30)</f>
        <v>226175139.22823307</v>
      </c>
      <c r="O31" s="254">
        <f>SUM($E30:O30)</f>
        <v>248792653.15105638</v>
      </c>
      <c r="P31" s="254">
        <f>SUM($E30:P30)</f>
        <v>271410167.07387966</v>
      </c>
      <c r="Q31" s="254">
        <f>SUM($E30:Q30)</f>
        <v>294027680.99670297</v>
      </c>
      <c r="R31" s="254">
        <f>SUM($E30:R30)</f>
        <v>316645194.91952628</v>
      </c>
      <c r="S31" s="254">
        <f>SUM($E30:S30)</f>
        <v>339262708.84234959</v>
      </c>
      <c r="T31" s="254">
        <f>SUM($E30:T30)</f>
        <v>361880222.7651729</v>
      </c>
      <c r="U31" s="254">
        <f>SUM($E30:U30)</f>
        <v>384497736.68799621</v>
      </c>
      <c r="V31" s="254">
        <f>SUM($E30:V30)</f>
        <v>407115250.61081952</v>
      </c>
      <c r="W31" s="254">
        <f>SUM($E30:W30)</f>
        <v>429732764.53364283</v>
      </c>
      <c r="X31" s="256">
        <f>SUM($E30:X30)</f>
        <v>452350278.45646614</v>
      </c>
      <c r="Y31" s="254"/>
    </row>
    <row r="32" spans="1:25" hidden="1" outlineLevel="1">
      <c r="B32" s="346"/>
      <c r="C32" s="258" t="s">
        <v>63</v>
      </c>
      <c r="D32" s="254"/>
      <c r="E32" s="254">
        <f t="shared" ref="E32:X32" si="15">-$D22-E31</f>
        <v>882083042.99010873</v>
      </c>
      <c r="F32" s="254">
        <f t="shared" si="15"/>
        <v>859465529.06728542</v>
      </c>
      <c r="G32" s="254">
        <f t="shared" si="15"/>
        <v>836848015.14446211</v>
      </c>
      <c r="H32" s="254">
        <f t="shared" si="15"/>
        <v>814230501.2216388</v>
      </c>
      <c r="I32" s="254">
        <f t="shared" si="15"/>
        <v>791612987.29881549</v>
      </c>
      <c r="J32" s="254">
        <f t="shared" si="15"/>
        <v>768995473.37599218</v>
      </c>
      <c r="K32" s="254">
        <f t="shared" si="15"/>
        <v>746377959.45316887</v>
      </c>
      <c r="L32" s="254">
        <f t="shared" si="15"/>
        <v>723760445.53034556</v>
      </c>
      <c r="M32" s="254">
        <f t="shared" si="15"/>
        <v>701142931.60752225</v>
      </c>
      <c r="N32" s="254">
        <f t="shared" si="15"/>
        <v>678525417.68469894</v>
      </c>
      <c r="O32" s="254">
        <f t="shared" si="15"/>
        <v>655907903.76187563</v>
      </c>
      <c r="P32" s="254">
        <f t="shared" si="15"/>
        <v>633290389.83905244</v>
      </c>
      <c r="Q32" s="254">
        <f t="shared" si="15"/>
        <v>610672875.91622901</v>
      </c>
      <c r="R32" s="254">
        <f t="shared" si="15"/>
        <v>588055361.99340582</v>
      </c>
      <c r="S32" s="254">
        <f t="shared" si="15"/>
        <v>565437848.07058239</v>
      </c>
      <c r="T32" s="254">
        <f t="shared" si="15"/>
        <v>542820334.1477592</v>
      </c>
      <c r="U32" s="254">
        <f t="shared" si="15"/>
        <v>520202820.22493583</v>
      </c>
      <c r="V32" s="254">
        <f t="shared" si="15"/>
        <v>497585306.30211252</v>
      </c>
      <c r="W32" s="254">
        <f t="shared" si="15"/>
        <v>474967792.37928921</v>
      </c>
      <c r="X32" s="256">
        <f t="shared" si="15"/>
        <v>452350278.4564659</v>
      </c>
      <c r="Y32" s="254"/>
    </row>
    <row r="33" spans="1:25" hidden="1" outlineLevel="1">
      <c r="B33" s="346"/>
      <c r="C33" s="258" t="s">
        <v>64</v>
      </c>
      <c r="D33" s="254">
        <f>-D22</f>
        <v>904700556.91293204</v>
      </c>
      <c r="E33" s="254">
        <f>D33/(($D33/$Y33)^(1/21))</f>
        <v>875326538.86152434</v>
      </c>
      <c r="F33" s="254">
        <f>E33/(($D33/$Y33)^(1/21))</f>
        <v>846906242.93385303</v>
      </c>
      <c r="G33" s="254">
        <f>F33/(($D33/$Y33)^(1/21))</f>
        <v>819408703.46877789</v>
      </c>
      <c r="H33" s="254">
        <f t="shared" ref="H33:X33" si="16">G33/(($D33/$Y33)^(1/21))</f>
        <v>792803960.2051028</v>
      </c>
      <c r="I33" s="254">
        <f t="shared" si="16"/>
        <v>767063025.63802767</v>
      </c>
      <c r="J33" s="254">
        <f t="shared" si="16"/>
        <v>742157853.43547845</v>
      </c>
      <c r="K33" s="254">
        <f t="shared" si="16"/>
        <v>718061307.87990212</v>
      </c>
      <c r="L33" s="254">
        <f>K33/(($D33/$Y33)^(1/21))</f>
        <v>694747134.30223346</v>
      </c>
      <c r="M33" s="254">
        <f>L33/(($D33/$Y33)^(1/21))</f>
        <v>672189930.47581697</v>
      </c>
      <c r="N33" s="254">
        <f>M33/(($D33/$Y33)^(1/21))</f>
        <v>650365118.93911827</v>
      </c>
      <c r="O33" s="254">
        <f t="shared" si="16"/>
        <v>629248920.21706736</v>
      </c>
      <c r="P33" s="254">
        <f t="shared" si="16"/>
        <v>608818326.9118576</v>
      </c>
      <c r="Q33" s="254">
        <f t="shared" si="16"/>
        <v>589051078.63496971</v>
      </c>
      <c r="R33" s="254">
        <f t="shared" si="16"/>
        <v>569925637.75310898</v>
      </c>
      <c r="S33" s="254">
        <f t="shared" si="16"/>
        <v>551421165.92162871</v>
      </c>
      <c r="T33" s="254">
        <f t="shared" si="16"/>
        <v>533517501.37987137</v>
      </c>
      <c r="U33" s="254">
        <f t="shared" si="16"/>
        <v>516195136.98368979</v>
      </c>
      <c r="V33" s="254">
        <f t="shared" si="16"/>
        <v>499435198.95121324</v>
      </c>
      <c r="W33" s="254">
        <f t="shared" si="16"/>
        <v>483219426.29870099</v>
      </c>
      <c r="X33" s="256">
        <f t="shared" si="16"/>
        <v>467530150.94407672</v>
      </c>
      <c r="Y33" s="254">
        <f>Y22</f>
        <v>452350278.45646602</v>
      </c>
    </row>
    <row r="34" spans="1:25" hidden="1" outlineLevel="1">
      <c r="B34" s="346"/>
      <c r="C34" s="258" t="s">
        <v>65</v>
      </c>
      <c r="D34" s="254"/>
      <c r="E34" s="254">
        <f>-$D22*Assumptions!J$6</f>
        <v>33926270.88423495</v>
      </c>
      <c r="F34" s="254">
        <f>-$D22*Assumptions!K$6</f>
        <v>65310333.203544565</v>
      </c>
      <c r="G34" s="254">
        <f>-$D22*Assumptions!L$6</f>
        <v>60415903.190645605</v>
      </c>
      <c r="H34" s="254">
        <f>-$D22*Assumptions!M$6</f>
        <v>55892400.406080946</v>
      </c>
      <c r="I34" s="254">
        <f>-$D22*Assumptions!N$6</f>
        <v>51703636.827574067</v>
      </c>
      <c r="J34" s="254">
        <f>-$D22*Assumptions!O$6</f>
        <v>47822471.438417584</v>
      </c>
      <c r="K34" s="254">
        <f>-$D22*Assumptions!P$6</f>
        <v>44239857.233042374</v>
      </c>
      <c r="L34" s="254">
        <f>-$D22*Assumptions!Q$6</f>
        <v>40919606.189171918</v>
      </c>
      <c r="M34" s="254">
        <f>-$D22*Assumptions!R$6</f>
        <v>40358691.843885899</v>
      </c>
      <c r="N34" s="254">
        <f>-$D22*Assumptions!S$6</f>
        <v>40358691.843885899</v>
      </c>
      <c r="O34" s="254">
        <f>-$D22*Assumptions!T$6</f>
        <v>40358691.843885899</v>
      </c>
      <c r="P34" s="254">
        <f>-$D22*Assumptions!U$6</f>
        <v>40358691.843885899</v>
      </c>
      <c r="Q34" s="254">
        <f>-$D22*Assumptions!V$6</f>
        <v>40358691.843885899</v>
      </c>
      <c r="R34" s="254">
        <f>-$D22*Assumptions!W$6</f>
        <v>40358691.843885899</v>
      </c>
      <c r="S34" s="254">
        <f>-$D22*Assumptions!X$6</f>
        <v>40358691.843885899</v>
      </c>
      <c r="T34" s="254">
        <f>-$D22*Assumptions!Y$6</f>
        <v>40358691.843885899</v>
      </c>
      <c r="U34" s="254">
        <f>-$D22*Assumptions!Z$6</f>
        <v>40358691.843885899</v>
      </c>
      <c r="V34" s="254">
        <f>-$D22*Assumptions!AA$6</f>
        <v>40358691.843885899</v>
      </c>
      <c r="W34" s="254">
        <f>-$D22*Assumptions!AB$6</f>
        <v>40358691.843885899</v>
      </c>
      <c r="X34" s="256">
        <f>-$D22*Assumptions!AC$6</f>
        <v>40358691.843885899</v>
      </c>
      <c r="Y34" s="254"/>
    </row>
    <row r="35" spans="1:25" ht="15.75" hidden="1" outlineLevel="1" thickBot="1">
      <c r="B35" s="346"/>
      <c r="C35" s="147" t="s">
        <v>66</v>
      </c>
      <c r="D35" s="103"/>
      <c r="E35" s="103">
        <f>E34*Tax_Equity_Rate</f>
        <v>2714101.6707387962</v>
      </c>
      <c r="F35" s="103">
        <f t="shared" ref="F35:X35" si="17">F34*Tax_Equity_Rate</f>
        <v>5224826.6562835649</v>
      </c>
      <c r="G35" s="103">
        <f t="shared" si="17"/>
        <v>4833272.2552516488</v>
      </c>
      <c r="H35" s="103">
        <f t="shared" si="17"/>
        <v>4471392.032486476</v>
      </c>
      <c r="I35" s="103">
        <f t="shared" si="17"/>
        <v>4136290.9462059257</v>
      </c>
      <c r="J35" s="103">
        <f t="shared" si="17"/>
        <v>3825797.7150734067</v>
      </c>
      <c r="K35" s="103">
        <f t="shared" si="17"/>
        <v>3539188.57864339</v>
      </c>
      <c r="L35" s="103">
        <f t="shared" si="17"/>
        <v>3273568.4951337534</v>
      </c>
      <c r="M35" s="103">
        <f t="shared" si="17"/>
        <v>3228695.3475108719</v>
      </c>
      <c r="N35" s="103">
        <f t="shared" si="17"/>
        <v>3228695.3475108719</v>
      </c>
      <c r="O35" s="103">
        <f t="shared" si="17"/>
        <v>3228695.3475108719</v>
      </c>
      <c r="P35" s="103">
        <f t="shared" si="17"/>
        <v>3228695.3475108719</v>
      </c>
      <c r="Q35" s="103">
        <f t="shared" si="17"/>
        <v>3228695.3475108719</v>
      </c>
      <c r="R35" s="103">
        <f t="shared" si="17"/>
        <v>3228695.3475108719</v>
      </c>
      <c r="S35" s="103">
        <f t="shared" si="17"/>
        <v>3228695.3475108719</v>
      </c>
      <c r="T35" s="103">
        <f t="shared" si="17"/>
        <v>3228695.3475108719</v>
      </c>
      <c r="U35" s="103">
        <f t="shared" si="17"/>
        <v>3228695.3475108719</v>
      </c>
      <c r="V35" s="103">
        <f t="shared" si="17"/>
        <v>3228695.3475108719</v>
      </c>
      <c r="W35" s="103">
        <f t="shared" si="17"/>
        <v>3228695.3475108719</v>
      </c>
      <c r="X35" s="64">
        <f t="shared" si="17"/>
        <v>3228695.3475108719</v>
      </c>
      <c r="Y35" s="254"/>
    </row>
    <row r="36" spans="1:25" hidden="1" outlineLevel="1">
      <c r="C36" s="124" t="s">
        <v>67</v>
      </c>
      <c r="D36" s="116">
        <f>NPV(Tax_Equity_Rate,E35:N35)</f>
        <v>26286261.346882209</v>
      </c>
      <c r="E36" s="65">
        <f>D36/D40</f>
        <v>2.9055206328796355E-2</v>
      </c>
      <c r="Y36" s="254"/>
    </row>
    <row r="37" spans="1:25" hidden="1" outlineLevel="1">
      <c r="C37" s="258" t="s">
        <v>79</v>
      </c>
      <c r="D37" s="106">
        <v>0</v>
      </c>
      <c r="E37" s="66">
        <f>D37/D40</f>
        <v>0</v>
      </c>
    </row>
    <row r="38" spans="1:25" hidden="1" outlineLevel="1">
      <c r="B38" s="22">
        <f>Assumptions!F6</f>
        <v>0.67</v>
      </c>
      <c r="C38" s="258" t="s">
        <v>68</v>
      </c>
      <c r="D38" s="116">
        <f>(D40-D36-D37)*$B38</f>
        <v>588537578.02925336</v>
      </c>
      <c r="E38" s="66">
        <f>D38/D40</f>
        <v>0.65053301175970646</v>
      </c>
    </row>
    <row r="39" spans="1:25" hidden="1" outlineLevel="1">
      <c r="B39" s="22">
        <f>1-B38</f>
        <v>0.32999999999999996</v>
      </c>
      <c r="C39" s="258" t="s">
        <v>69</v>
      </c>
      <c r="D39" s="116">
        <f>(D40-D36-D37)*$B39</f>
        <v>289876717.53679639</v>
      </c>
      <c r="E39" s="66">
        <f>D39/D40</f>
        <v>0.32041178191149716</v>
      </c>
    </row>
    <row r="40" spans="1:25" hidden="1" outlineLevel="1">
      <c r="C40" s="258" t="s">
        <v>70</v>
      </c>
      <c r="D40" s="116">
        <f>-D22</f>
        <v>904700556.91293204</v>
      </c>
      <c r="E40" s="131"/>
    </row>
    <row r="41" spans="1:25" ht="15.75" hidden="1" outlineLevel="1" thickBot="1">
      <c r="C41" s="147" t="s">
        <v>71</v>
      </c>
      <c r="D41" s="109">
        <f>SUM(D36:D39)-D40</f>
        <v>0</v>
      </c>
      <c r="E41" s="64"/>
    </row>
    <row r="42" spans="1:25" hidden="1" outlineLevel="1"/>
    <row r="43" spans="1:25" ht="15.75" collapsed="1" thickBot="1"/>
    <row r="44" spans="1:25" ht="18.75" thickBot="1">
      <c r="A44" s="86"/>
      <c r="C44" s="492" t="s">
        <v>19</v>
      </c>
      <c r="D44" s="493"/>
      <c r="E44" s="493"/>
      <c r="F44" s="494"/>
    </row>
    <row r="45" spans="1:25" hidden="1" outlineLevel="1">
      <c r="C45" s="124" t="s">
        <v>44</v>
      </c>
      <c r="D45" s="62"/>
      <c r="E45" s="98">
        <f>INDEX('DATA (Nominal)'!$B$29:$BX$29,1,MATCH($B$1,'DATA (Nominal)'!$B$1:$BX$1,0))*'Resource Options'!$E$32*8760</f>
        <v>157680</v>
      </c>
      <c r="F45" s="98">
        <f>E45</f>
        <v>157680</v>
      </c>
      <c r="G45" s="98">
        <f t="shared" ref="G45:X47" si="18">F45</f>
        <v>157680</v>
      </c>
      <c r="H45" s="98">
        <f t="shared" si="18"/>
        <v>157680</v>
      </c>
      <c r="I45" s="98">
        <f t="shared" si="18"/>
        <v>157680</v>
      </c>
      <c r="J45" s="98">
        <f t="shared" si="18"/>
        <v>157680</v>
      </c>
      <c r="K45" s="98">
        <f t="shared" si="18"/>
        <v>157680</v>
      </c>
      <c r="L45" s="98">
        <f t="shared" si="18"/>
        <v>157680</v>
      </c>
      <c r="M45" s="98">
        <f t="shared" si="18"/>
        <v>157680</v>
      </c>
      <c r="N45" s="98">
        <f t="shared" si="18"/>
        <v>157680</v>
      </c>
      <c r="O45" s="98">
        <f t="shared" si="18"/>
        <v>157680</v>
      </c>
      <c r="P45" s="98">
        <f t="shared" si="18"/>
        <v>157680</v>
      </c>
      <c r="Q45" s="98">
        <f t="shared" si="18"/>
        <v>157680</v>
      </c>
      <c r="R45" s="98">
        <f t="shared" si="18"/>
        <v>157680</v>
      </c>
      <c r="S45" s="98">
        <f t="shared" si="18"/>
        <v>157680</v>
      </c>
      <c r="T45" s="98">
        <f t="shared" si="18"/>
        <v>157680</v>
      </c>
      <c r="U45" s="98">
        <f t="shared" si="18"/>
        <v>157680</v>
      </c>
      <c r="V45" s="98">
        <f t="shared" si="18"/>
        <v>157680</v>
      </c>
      <c r="W45" s="98">
        <f t="shared" si="18"/>
        <v>157680</v>
      </c>
      <c r="X45" s="63">
        <f t="shared" si="18"/>
        <v>157680</v>
      </c>
      <c r="Y45" s="254"/>
    </row>
    <row r="46" spans="1:25" hidden="1" outlineLevel="1">
      <c r="C46" s="258" t="s">
        <v>45</v>
      </c>
      <c r="D46" s="254"/>
      <c r="E46" s="117">
        <f>INDEX('PPA Summary'!$3:$34,MATCH($C44,'PPA Summary'!$D$3:$D$34,0),MATCH(B$1,'PPA Summary'!$2:$2,0))</f>
        <v>54.47113763669271</v>
      </c>
      <c r="F46" s="254">
        <f>E46</f>
        <v>54.47113763669271</v>
      </c>
      <c r="G46" s="254">
        <f t="shared" si="18"/>
        <v>54.47113763669271</v>
      </c>
      <c r="H46" s="254">
        <f t="shared" si="18"/>
        <v>54.47113763669271</v>
      </c>
      <c r="I46" s="254">
        <f t="shared" si="18"/>
        <v>54.47113763669271</v>
      </c>
      <c r="J46" s="254">
        <f t="shared" si="18"/>
        <v>54.47113763669271</v>
      </c>
      <c r="K46" s="254">
        <f t="shared" si="18"/>
        <v>54.47113763669271</v>
      </c>
      <c r="L46" s="254">
        <f t="shared" si="18"/>
        <v>54.47113763669271</v>
      </c>
      <c r="M46" s="254">
        <f t="shared" si="18"/>
        <v>54.47113763669271</v>
      </c>
      <c r="N46" s="254">
        <f t="shared" si="18"/>
        <v>54.47113763669271</v>
      </c>
      <c r="O46" s="254">
        <f t="shared" si="18"/>
        <v>54.47113763669271</v>
      </c>
      <c r="P46" s="254">
        <f t="shared" si="18"/>
        <v>54.47113763669271</v>
      </c>
      <c r="Q46" s="254">
        <f t="shared" si="18"/>
        <v>54.47113763669271</v>
      </c>
      <c r="R46" s="254">
        <f t="shared" si="18"/>
        <v>54.47113763669271</v>
      </c>
      <c r="S46" s="254">
        <f t="shared" si="18"/>
        <v>54.47113763669271</v>
      </c>
      <c r="T46" s="254">
        <f t="shared" si="18"/>
        <v>54.47113763669271</v>
      </c>
      <c r="U46" s="254">
        <f t="shared" si="18"/>
        <v>54.47113763669271</v>
      </c>
      <c r="V46" s="254">
        <f t="shared" si="18"/>
        <v>54.47113763669271</v>
      </c>
      <c r="W46" s="254">
        <f t="shared" si="18"/>
        <v>54.47113763669271</v>
      </c>
      <c r="X46" s="256">
        <f t="shared" si="18"/>
        <v>54.47113763669271</v>
      </c>
      <c r="Y46" s="254"/>
    </row>
    <row r="47" spans="1:25" hidden="1" outlineLevel="1">
      <c r="C47" s="258" t="s">
        <v>111</v>
      </c>
      <c r="D47" s="254"/>
      <c r="E47" s="154">
        <f>INDEX('PPA Summary'!$C$106:$AA$106,1,MATCH($B$1,'PPA Summary'!$C$74:$AA$74))</f>
        <v>0</v>
      </c>
      <c r="F47" s="154">
        <f>E47</f>
        <v>0</v>
      </c>
      <c r="G47" s="154">
        <f t="shared" si="18"/>
        <v>0</v>
      </c>
      <c r="H47" s="154">
        <f t="shared" si="18"/>
        <v>0</v>
      </c>
      <c r="I47" s="154">
        <f t="shared" si="18"/>
        <v>0</v>
      </c>
      <c r="J47" s="154">
        <f t="shared" si="18"/>
        <v>0</v>
      </c>
      <c r="K47" s="154">
        <f t="shared" si="18"/>
        <v>0</v>
      </c>
      <c r="L47" s="154">
        <f t="shared" si="18"/>
        <v>0</v>
      </c>
      <c r="M47" s="154">
        <f t="shared" si="18"/>
        <v>0</v>
      </c>
      <c r="N47" s="154">
        <f t="shared" si="18"/>
        <v>0</v>
      </c>
      <c r="O47" s="154">
        <f t="shared" si="18"/>
        <v>0</v>
      </c>
      <c r="P47" s="154">
        <f t="shared" si="18"/>
        <v>0</v>
      </c>
      <c r="Q47" s="154">
        <f t="shared" si="18"/>
        <v>0</v>
      </c>
      <c r="R47" s="154">
        <f t="shared" si="18"/>
        <v>0</v>
      </c>
      <c r="S47" s="154">
        <f t="shared" si="18"/>
        <v>0</v>
      </c>
      <c r="T47" s="154">
        <f t="shared" si="18"/>
        <v>0</v>
      </c>
      <c r="U47" s="154">
        <f t="shared" si="18"/>
        <v>0</v>
      </c>
      <c r="V47" s="154">
        <f t="shared" si="18"/>
        <v>0</v>
      </c>
      <c r="W47" s="154">
        <f t="shared" si="18"/>
        <v>0</v>
      </c>
      <c r="X47" s="113">
        <f t="shared" si="18"/>
        <v>0</v>
      </c>
      <c r="Y47" s="254"/>
    </row>
    <row r="48" spans="1:25" hidden="1" outlineLevel="1">
      <c r="C48" s="258" t="s">
        <v>46</v>
      </c>
      <c r="D48" s="254"/>
      <c r="E48" s="254">
        <f>E45*E46+E47*12*'Resource Options'!$E$32</f>
        <v>8589008.9825537056</v>
      </c>
      <c r="F48" s="254">
        <f>F45*F46+F47*12*'Resource Options'!$E$32</f>
        <v>8589008.9825537056</v>
      </c>
      <c r="G48" s="254">
        <f>G45*G46+G47*12*'Resource Options'!$E$32</f>
        <v>8589008.9825537056</v>
      </c>
      <c r="H48" s="254">
        <f>H45*H46+H47*12*'Resource Options'!$E$32</f>
        <v>8589008.9825537056</v>
      </c>
      <c r="I48" s="254">
        <f>I45*I46+I47*12*'Resource Options'!$E$32</f>
        <v>8589008.9825537056</v>
      </c>
      <c r="J48" s="254">
        <f>J45*J46+J47*12*'Resource Options'!$E$32</f>
        <v>8589008.9825537056</v>
      </c>
      <c r="K48" s="254">
        <f>K45*K46+K47*12*'Resource Options'!$E$32</f>
        <v>8589008.9825537056</v>
      </c>
      <c r="L48" s="254">
        <f>L45*L46+L47*12*'Resource Options'!$E$32</f>
        <v>8589008.9825537056</v>
      </c>
      <c r="M48" s="254">
        <f>M45*M46+M47*12*'Resource Options'!$E$32</f>
        <v>8589008.9825537056</v>
      </c>
      <c r="N48" s="254">
        <f>N45*N46+N47*12*'Resource Options'!$E$32</f>
        <v>8589008.9825537056</v>
      </c>
      <c r="O48" s="254">
        <f>O45*O46+O47*12*'Resource Options'!$E$32</f>
        <v>8589008.9825537056</v>
      </c>
      <c r="P48" s="254">
        <f>P45*P46+P47*12*'Resource Options'!$E$32</f>
        <v>8589008.9825537056</v>
      </c>
      <c r="Q48" s="254">
        <f>Q45*Q46+Q47*12*'Resource Options'!$E$32</f>
        <v>8589008.9825537056</v>
      </c>
      <c r="R48" s="254">
        <f>R45*R46+R47*12*'Resource Options'!$E$32</f>
        <v>8589008.9825537056</v>
      </c>
      <c r="S48" s="254">
        <f>S45*S46+S47*12*'Resource Options'!$E$32</f>
        <v>8589008.9825537056</v>
      </c>
      <c r="T48" s="254">
        <f>T45*T46+T47*12*'Resource Options'!$E$32</f>
        <v>8589008.9825537056</v>
      </c>
      <c r="U48" s="254">
        <f>U45*U46+U47*12*'Resource Options'!$E$32</f>
        <v>8589008.9825537056</v>
      </c>
      <c r="V48" s="254">
        <f>V45*V46+V47*12*'Resource Options'!$E$32</f>
        <v>8589008.9825537056</v>
      </c>
      <c r="W48" s="254">
        <f>W45*W46+W47*12*'Resource Options'!$E$32</f>
        <v>8589008.9825537056</v>
      </c>
      <c r="X48" s="256">
        <f>X45*X46+X47*12*'Resource Options'!$E$32</f>
        <v>8589008.9825537056</v>
      </c>
      <c r="Y48" s="254"/>
    </row>
    <row r="49" spans="2:25" hidden="1" outlineLevel="1">
      <c r="C49" s="258"/>
      <c r="X49" s="131"/>
    </row>
    <row r="50" spans="2:25" hidden="1" outlineLevel="1">
      <c r="C50" s="258" t="s">
        <v>112</v>
      </c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6"/>
      <c r="Y50" s="254"/>
    </row>
    <row r="51" spans="2:25" hidden="1" outlineLevel="1">
      <c r="C51" s="258" t="s">
        <v>47</v>
      </c>
      <c r="D51" s="254"/>
      <c r="E51" s="254">
        <f>INDEX('DATA (Nominal)'!$B$202:$BX$202,1,MATCH(E$1,'DATA (Nominal)'!$B$1:$BX$1,0))*'Resource Options'!$E$32*1000</f>
        <v>2451905.0904953512</v>
      </c>
      <c r="F51" s="254">
        <f>INDEX('DATA (Nominal)'!$B$202:$BX$202,1,MATCH(F$1,'DATA (Nominal)'!$B$1:$BX$1,0))*'Resource Options'!$E$32*1000</f>
        <v>2487104.288674505</v>
      </c>
      <c r="G51" s="254">
        <f>INDEX('DATA (Nominal)'!$B$202:$BX$202,1,MATCH(G$1,'DATA (Nominal)'!$B$1:$BX$1,0))*'Resource Options'!$E$32*1000</f>
        <v>2522652.7619333011</v>
      </c>
      <c r="H51" s="254">
        <f>INDEX('DATA (Nominal)'!$B$202:$BX$202,1,MATCH(H$1,'DATA (Nominal)'!$B$1:$BX$1,0))*'Resource Options'!$E$32*1000</f>
        <v>2557714.3360120915</v>
      </c>
      <c r="I51" s="254">
        <f>INDEX('DATA (Nominal)'!$B$202:$BX$202,1,MATCH(I$1,'DATA (Nominal)'!$B$1:$BX$1,0))*'Resource Options'!$E$32*1000</f>
        <v>2593097.6554135722</v>
      </c>
      <c r="J51" s="254">
        <f>INDEX('DATA (Nominal)'!$B$202:$BX$202,1,MATCH(J$1,'DATA (Nominal)'!$B$1:$BX$1,0))*'Resource Options'!$E$32*1000</f>
        <v>2628799.907130091</v>
      </c>
      <c r="K51" s="254">
        <f>INDEX('DATA (Nominal)'!$B$202:$BX$202,1,MATCH(K$1,'DATA (Nominal)'!$B$1:$BX$1,0))*'Resource Options'!$E$32*1000</f>
        <v>2686633.5050869519</v>
      </c>
      <c r="L51" s="254">
        <f>INDEX('DATA (Nominal)'!$B$202:$BX$202,1,MATCH(L$1,'DATA (Nominal)'!$B$1:$BX$1,0))*'Resource Options'!$E$32*1000</f>
        <v>2745739.4421988651</v>
      </c>
      <c r="M51" s="254">
        <f>INDEX('DATA (Nominal)'!$B$202:$BX$202,1,MATCH(M$1,'DATA (Nominal)'!$B$1:$BX$1,0))*'Resource Options'!$E$32*1000</f>
        <v>2806145.7099272409</v>
      </c>
      <c r="N51" s="254">
        <f>INDEX('DATA (Nominal)'!$B$202:$BX$202,1,MATCH(N$1,'DATA (Nominal)'!$B$1:$BX$1,0))*'Resource Options'!$E$32*1000</f>
        <v>2867880.91554564</v>
      </c>
      <c r="O51" s="254">
        <f>INDEX('DATA (Nominal)'!$B$202:$BX$202,1,MATCH(O$1,'DATA (Nominal)'!$B$1:$BX$1,0))*'Resource Options'!$E$32*1000</f>
        <v>2930974.2956876433</v>
      </c>
      <c r="P51" s="254">
        <f>INDEX('DATA (Nominal)'!$B$202:$BX$202,1,MATCH(P$1,'DATA (Nominal)'!$B$1:$BX$1,0))*'Resource Options'!$E$32*1000</f>
        <v>2995455.7301927726</v>
      </c>
      <c r="Q51" s="254">
        <f>INDEX('DATA (Nominal)'!$B$202:$BX$202,1,MATCH(Q$1,'DATA (Nominal)'!$B$1:$BX$1,0))*'Resource Options'!$E$32*1000</f>
        <v>3061355.7562570125</v>
      </c>
      <c r="R51" s="254">
        <f>INDEX('DATA (Nominal)'!$B$202:$BX$202,1,MATCH(R$1,'DATA (Nominal)'!$B$1:$BX$1,0))*'Resource Options'!$E$32*1000</f>
        <v>3128705.5828946675</v>
      </c>
      <c r="S51" s="254">
        <f>INDEX('DATA (Nominal)'!$B$202:$BX$202,1,MATCH(S$1,'DATA (Nominal)'!$B$1:$BX$1,0))*'Resource Options'!$E$32*1000</f>
        <v>3197537.1057183496</v>
      </c>
      <c r="T51" s="254">
        <f>INDEX('DATA (Nominal)'!$B$202:$BX$202,1,MATCH(T$1,'DATA (Nominal)'!$B$1:$BX$1,0))*'Resource Options'!$E$32*1000</f>
        <v>3267882.9220441543</v>
      </c>
      <c r="U51" s="254">
        <f>INDEX('DATA (Nominal)'!$B$202:$BX$202,1,MATCH(U$1,'DATA (Nominal)'!$B$1:$BX$1,0))*'Resource Options'!$E$32*1000</f>
        <v>3339776.3463291246</v>
      </c>
      <c r="V51" s="254">
        <f>INDEX('DATA (Nominal)'!$B$202:$BX$202,1,MATCH(V$1,'DATA (Nominal)'!$B$1:$BX$1,0))*'Resource Options'!$E$32*1000</f>
        <v>3413251.4259483656</v>
      </c>
      <c r="W51" s="254">
        <f>INDEX('DATA (Nominal)'!$B$202:$BX$202,1,MATCH(W$1,'DATA (Nominal)'!$B$1:$BX$1,0))*'Resource Options'!$E$32*1000</f>
        <v>3488342.9573192298</v>
      </c>
      <c r="X51" s="256">
        <f>INDEX('DATA (Nominal)'!$B$202:$BX$202,1,MATCH(X$1,'DATA (Nominal)'!$B$1:$BX$1,0))*'Resource Options'!$E$32*1000</f>
        <v>3565086.5023802524</v>
      </c>
      <c r="Y51" s="254"/>
    </row>
    <row r="52" spans="2:25" hidden="1" outlineLevel="1">
      <c r="C52" s="258" t="s">
        <v>48</v>
      </c>
      <c r="D52" s="254"/>
      <c r="E52" s="254">
        <f>E45*INDEX('DATA (Nominal)'!$B$124:$BX$124,1,MATCH(E$1,'DATA (Nominal)'!$B$1:$BX$1,0))</f>
        <v>0</v>
      </c>
      <c r="F52" s="254">
        <f>F45*INDEX('DATA (Nominal)'!$B$124:$BX$124,1,MATCH(F$1,'DATA (Nominal)'!$B$1:$BX$1,0))</f>
        <v>0</v>
      </c>
      <c r="G52" s="254">
        <f>G45*INDEX('DATA (Nominal)'!$B$124:$BX$124,1,MATCH(G$1,'DATA (Nominal)'!$B$1:$BX$1,0))</f>
        <v>0</v>
      </c>
      <c r="H52" s="254">
        <f>H45*INDEX('DATA (Nominal)'!$B$124:$BX$124,1,MATCH(H$1,'DATA (Nominal)'!$B$1:$BX$1,0))</f>
        <v>0</v>
      </c>
      <c r="I52" s="254">
        <f>I45*INDEX('DATA (Nominal)'!$B$124:$BX$124,1,MATCH(I$1,'DATA (Nominal)'!$B$1:$BX$1,0))</f>
        <v>0</v>
      </c>
      <c r="J52" s="254">
        <f>J45*INDEX('DATA (Nominal)'!$B$124:$BX$124,1,MATCH(J$1,'DATA (Nominal)'!$B$1:$BX$1,0))</f>
        <v>0</v>
      </c>
      <c r="K52" s="254">
        <f>K45*INDEX('DATA (Nominal)'!$B$124:$BX$124,1,MATCH(K$1,'DATA (Nominal)'!$B$1:$BX$1,0))</f>
        <v>0</v>
      </c>
      <c r="L52" s="254">
        <f>L45*INDEX('DATA (Nominal)'!$B$124:$BX$124,1,MATCH(L$1,'DATA (Nominal)'!$B$1:$BX$1,0))</f>
        <v>0</v>
      </c>
      <c r="M52" s="254">
        <f>M45*INDEX('DATA (Nominal)'!$B$124:$BX$124,1,MATCH(M$1,'DATA (Nominal)'!$B$1:$BX$1,0))</f>
        <v>0</v>
      </c>
      <c r="N52" s="254">
        <f>N45*INDEX('DATA (Nominal)'!$B$124:$BX$124,1,MATCH(N$1,'DATA (Nominal)'!$B$1:$BX$1,0))</f>
        <v>0</v>
      </c>
      <c r="O52" s="254">
        <f>O45*INDEX('DATA (Nominal)'!$B$124:$BX$124,1,MATCH(O$1,'DATA (Nominal)'!$B$1:$BX$1,0))</f>
        <v>0</v>
      </c>
      <c r="P52" s="254">
        <f>P45*INDEX('DATA (Nominal)'!$B$124:$BX$124,1,MATCH(P$1,'DATA (Nominal)'!$B$1:$BX$1,0))</f>
        <v>0</v>
      </c>
      <c r="Q52" s="254">
        <f>Q45*INDEX('DATA (Nominal)'!$B$124:$BX$124,1,MATCH(Q$1,'DATA (Nominal)'!$B$1:$BX$1,0))</f>
        <v>0</v>
      </c>
      <c r="R52" s="254">
        <f>R45*INDEX('DATA (Nominal)'!$B$124:$BX$124,1,MATCH(R$1,'DATA (Nominal)'!$B$1:$BX$1,0))</f>
        <v>0</v>
      </c>
      <c r="S52" s="254">
        <f>S45*INDEX('DATA (Nominal)'!$B$124:$BX$124,1,MATCH(S$1,'DATA (Nominal)'!$B$1:$BX$1,0))</f>
        <v>0</v>
      </c>
      <c r="T52" s="254">
        <f>T45*INDEX('DATA (Nominal)'!$B$124:$BX$124,1,MATCH(T$1,'DATA (Nominal)'!$B$1:$BX$1,0))</f>
        <v>0</v>
      </c>
      <c r="U52" s="254">
        <f>U45*INDEX('DATA (Nominal)'!$B$124:$BX$124,1,MATCH(U$1,'DATA (Nominal)'!$B$1:$BX$1,0))</f>
        <v>0</v>
      </c>
      <c r="V52" s="254">
        <f>V45*INDEX('DATA (Nominal)'!$B$124:$BX$124,1,MATCH(V$1,'DATA (Nominal)'!$B$1:$BX$1,0))</f>
        <v>0</v>
      </c>
      <c r="W52" s="254">
        <f>W45*INDEX('DATA (Nominal)'!$B$124:$BX$124,1,MATCH(W$1,'DATA (Nominal)'!$B$1:$BX$1,0))</f>
        <v>0</v>
      </c>
      <c r="X52" s="256">
        <f>X45*INDEX('DATA (Nominal)'!$B$124:$BX$124,1,MATCH(X$1,'DATA (Nominal)'!$B$1:$BX$1,0))</f>
        <v>0</v>
      </c>
      <c r="Y52" s="254"/>
    </row>
    <row r="53" spans="2:25" hidden="1" outlineLevel="1">
      <c r="C53" s="258" t="s">
        <v>49</v>
      </c>
      <c r="D53" s="254"/>
      <c r="E53" s="254">
        <f t="shared" ref="E53:X53" si="19">D72*Property_Tax_Rate</f>
        <v>1101696.6698255856</v>
      </c>
      <c r="F53" s="254">
        <f t="shared" si="19"/>
        <v>1065926.5383501975</v>
      </c>
      <c r="G53" s="254">
        <f t="shared" si="19"/>
        <v>1031317.7994257817</v>
      </c>
      <c r="H53" s="254">
        <f t="shared" si="19"/>
        <v>997832.7447017727</v>
      </c>
      <c r="I53" s="254">
        <f t="shared" si="19"/>
        <v>965434.8901506823</v>
      </c>
      <c r="J53" s="254">
        <f t="shared" si="19"/>
        <v>934088.93631650764</v>
      </c>
      <c r="K53" s="254">
        <f t="shared" si="19"/>
        <v>903760.72985380085</v>
      </c>
      <c r="L53" s="254">
        <f t="shared" si="19"/>
        <v>874417.22631549835</v>
      </c>
      <c r="M53" s="254">
        <f t="shared" si="19"/>
        <v>846026.4541489624</v>
      </c>
      <c r="N53" s="254">
        <f t="shared" si="19"/>
        <v>818557.47986100719</v>
      </c>
      <c r="O53" s="254">
        <f t="shared" si="19"/>
        <v>791980.37431395485</v>
      </c>
      <c r="P53" s="254">
        <f t="shared" si="19"/>
        <v>766266.18011599826</v>
      </c>
      <c r="Q53" s="254">
        <f t="shared" si="19"/>
        <v>741386.88007034047</v>
      </c>
      <c r="R53" s="254">
        <f t="shared" si="19"/>
        <v>717315.36664873571</v>
      </c>
      <c r="S53" s="254">
        <f t="shared" si="19"/>
        <v>694025.41245616868</v>
      </c>
      <c r="T53" s="254">
        <f t="shared" si="19"/>
        <v>671491.64165449445</v>
      </c>
      <c r="U53" s="254">
        <f t="shared" si="19"/>
        <v>649689.50231390062</v>
      </c>
      <c r="V53" s="254">
        <f t="shared" si="19"/>
        <v>628595.23966207041</v>
      </c>
      <c r="W53" s="254">
        <f t="shared" si="19"/>
        <v>608185.8702018949</v>
      </c>
      <c r="X53" s="256">
        <f t="shared" si="19"/>
        <v>588439.1566695401</v>
      </c>
      <c r="Y53" s="254"/>
    </row>
    <row r="54" spans="2:25" hidden="1" outlineLevel="1">
      <c r="C54" s="258" t="s">
        <v>50</v>
      </c>
      <c r="D54" s="254"/>
      <c r="E54" s="254">
        <f t="shared" ref="E54:X54" si="20">SUM(E50:E53)</f>
        <v>3553601.7603209368</v>
      </c>
      <c r="F54" s="254">
        <f t="shared" si="20"/>
        <v>3553030.8270247024</v>
      </c>
      <c r="G54" s="254">
        <f t="shared" si="20"/>
        <v>3553970.5613590828</v>
      </c>
      <c r="H54" s="254">
        <f t="shared" si="20"/>
        <v>3555547.0807138644</v>
      </c>
      <c r="I54" s="254">
        <f t="shared" si="20"/>
        <v>3558532.5455642547</v>
      </c>
      <c r="J54" s="254">
        <f t="shared" si="20"/>
        <v>3562888.8434465984</v>
      </c>
      <c r="K54" s="254">
        <f t="shared" si="20"/>
        <v>3590394.2349407529</v>
      </c>
      <c r="L54" s="254">
        <f t="shared" si="20"/>
        <v>3620156.6685143635</v>
      </c>
      <c r="M54" s="254">
        <f t="shared" si="20"/>
        <v>3652172.1640762035</v>
      </c>
      <c r="N54" s="254">
        <f t="shared" si="20"/>
        <v>3686438.3954066471</v>
      </c>
      <c r="O54" s="254">
        <f t="shared" si="20"/>
        <v>3722954.6700015981</v>
      </c>
      <c r="P54" s="254">
        <f t="shared" si="20"/>
        <v>3761721.9103087708</v>
      </c>
      <c r="Q54" s="254">
        <f t="shared" si="20"/>
        <v>3802742.6363273528</v>
      </c>
      <c r="R54" s="254">
        <f t="shared" si="20"/>
        <v>3846020.9495434035</v>
      </c>
      <c r="S54" s="254">
        <f t="shared" si="20"/>
        <v>3891562.5181745184</v>
      </c>
      <c r="T54" s="254">
        <f t="shared" si="20"/>
        <v>3939374.5636986485</v>
      </c>
      <c r="U54" s="254">
        <f t="shared" si="20"/>
        <v>3989465.8486430254</v>
      </c>
      <c r="V54" s="254">
        <f t="shared" si="20"/>
        <v>4041846.6656104359</v>
      </c>
      <c r="W54" s="254">
        <f t="shared" si="20"/>
        <v>4096528.8275211249</v>
      </c>
      <c r="X54" s="256">
        <f t="shared" si="20"/>
        <v>4153525.6590497922</v>
      </c>
      <c r="Y54" s="254"/>
    </row>
    <row r="55" spans="2:25" hidden="1" outlineLevel="1">
      <c r="C55" s="258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6"/>
      <c r="Y55" s="254"/>
    </row>
    <row r="56" spans="2:25" hidden="1" outlineLevel="1">
      <c r="C56" s="258" t="s">
        <v>51</v>
      </c>
      <c r="D56" s="254"/>
      <c r="E56" s="254">
        <f t="shared" ref="E56:X56" si="21">E48-E54</f>
        <v>5035407.2222327683</v>
      </c>
      <c r="F56" s="254">
        <f t="shared" si="21"/>
        <v>5035978.1555290036</v>
      </c>
      <c r="G56" s="254">
        <f t="shared" si="21"/>
        <v>5035038.4211946223</v>
      </c>
      <c r="H56" s="254">
        <f t="shared" si="21"/>
        <v>5033461.9018398412</v>
      </c>
      <c r="I56" s="254">
        <f t="shared" si="21"/>
        <v>5030476.4369894508</v>
      </c>
      <c r="J56" s="254">
        <f t="shared" si="21"/>
        <v>5026120.1391071072</v>
      </c>
      <c r="K56" s="254">
        <f t="shared" si="21"/>
        <v>4998614.7476129532</v>
      </c>
      <c r="L56" s="254">
        <f t="shared" si="21"/>
        <v>4968852.3140393421</v>
      </c>
      <c r="M56" s="254">
        <f t="shared" si="21"/>
        <v>4936836.8184775021</v>
      </c>
      <c r="N56" s="254">
        <f t="shared" si="21"/>
        <v>4902570.5871470589</v>
      </c>
      <c r="O56" s="254">
        <f t="shared" si="21"/>
        <v>4866054.3125521075</v>
      </c>
      <c r="P56" s="254">
        <f t="shared" si="21"/>
        <v>4827287.0722449347</v>
      </c>
      <c r="Q56" s="254">
        <f t="shared" si="21"/>
        <v>4786266.3462263532</v>
      </c>
      <c r="R56" s="254">
        <f t="shared" si="21"/>
        <v>4742988.0330103021</v>
      </c>
      <c r="S56" s="254">
        <f t="shared" si="21"/>
        <v>4697446.4643791877</v>
      </c>
      <c r="T56" s="254">
        <f t="shared" si="21"/>
        <v>4649634.4188550571</v>
      </c>
      <c r="U56" s="254">
        <f t="shared" si="21"/>
        <v>4599543.1339106802</v>
      </c>
      <c r="V56" s="254">
        <f t="shared" si="21"/>
        <v>4547162.3169432692</v>
      </c>
      <c r="W56" s="254">
        <f t="shared" si="21"/>
        <v>4492480.1550325807</v>
      </c>
      <c r="X56" s="256">
        <f t="shared" si="21"/>
        <v>4435483.3235039134</v>
      </c>
      <c r="Y56" s="254"/>
    </row>
    <row r="57" spans="2:25" hidden="1" outlineLevel="1">
      <c r="C57" s="258" t="s">
        <v>52</v>
      </c>
      <c r="D57" s="254"/>
      <c r="E57" s="254">
        <f t="shared" ref="E57:X57" si="22">E56-E73-E64</f>
        <v>-21174400.836594015</v>
      </c>
      <c r="F57" s="254">
        <f t="shared" si="22"/>
        <v>-34274428.653579757</v>
      </c>
      <c r="G57" s="254">
        <f t="shared" si="22"/>
        <v>-20047302.855702218</v>
      </c>
      <c r="H57" s="254">
        <f t="shared" si="22"/>
        <v>-11454551.643637629</v>
      </c>
      <c r="I57" s="254">
        <f t="shared" si="22"/>
        <v>-11316908.449435411</v>
      </c>
      <c r="J57" s="254">
        <f t="shared" si="22"/>
        <v>-4827128.693821881</v>
      </c>
      <c r="K57" s="254">
        <f t="shared" si="22"/>
        <v>1647661.9461213667</v>
      </c>
      <c r="L57" s="254">
        <f t="shared" si="22"/>
        <v>1783031.5025180965</v>
      </c>
      <c r="M57" s="254">
        <f t="shared" si="22"/>
        <v>1925230.2563749659</v>
      </c>
      <c r="N57" s="254">
        <f t="shared" si="22"/>
        <v>2074760.0581812612</v>
      </c>
      <c r="O57" s="254">
        <f t="shared" si="22"/>
        <v>2232148.598545569</v>
      </c>
      <c r="P57" s="254">
        <f t="shared" si="22"/>
        <v>2397950.9380204147</v>
      </c>
      <c r="Q57" s="254">
        <f t="shared" si="22"/>
        <v>2572751.1186718629</v>
      </c>
      <c r="R57" s="254">
        <f t="shared" si="22"/>
        <v>2757163.861992693</v>
      </c>
      <c r="S57" s="254">
        <f t="shared" si="22"/>
        <v>2951836.3580079884</v>
      </c>
      <c r="T57" s="254">
        <f t="shared" si="22"/>
        <v>3157450.1506858198</v>
      </c>
      <c r="U57" s="254">
        <f t="shared" si="22"/>
        <v>3374723.1250445135</v>
      </c>
      <c r="V57" s="254">
        <f t="shared" si="22"/>
        <v>3604411.6016418412</v>
      </c>
      <c r="W57" s="254">
        <f t="shared" si="22"/>
        <v>3847312.5444419524</v>
      </c>
      <c r="X57" s="256">
        <f t="shared" si="22"/>
        <v>4104265.8883831785</v>
      </c>
      <c r="Y57" s="254"/>
    </row>
    <row r="58" spans="2:25" hidden="1" outlineLevel="1">
      <c r="C58" s="258" t="s">
        <v>53</v>
      </c>
      <c r="D58" s="254"/>
      <c r="E58" s="114">
        <f>INDEX('DATA (Nominal)'!$B$270:$BX$270,1,MATCH($B$1,'DATA (Nominal)'!$B$1:$BX$1,0))*INDEX('DATA (Nominal)'!$B$298:$BX$298,1,MATCH(E$1,'DATA (Nominal)'!$B$1:$BX$1,0))*E45</f>
        <v>4425903.0959782582</v>
      </c>
      <c r="F58" s="114">
        <f>INDEX('DATA (Nominal)'!$B$270:$BX$270,1,MATCH($B$1,'DATA (Nominal)'!$B$1:$BX$1,0))*INDEX('DATA (Nominal)'!$B$298:$BX$298,1,MATCH(F$1,'DATA (Nominal)'!$B$1:$BX$1,0))*F45</f>
        <v>4524748.2651217738</v>
      </c>
      <c r="G58" s="114">
        <f>INDEX('DATA (Nominal)'!$B$270:$BX$270,1,MATCH($B$1,'DATA (Nominal)'!$B$1:$BX$1,0))*INDEX('DATA (Nominal)'!$B$298:$BX$298,1,MATCH(G$1,'DATA (Nominal)'!$B$1:$BX$1,0))*G45</f>
        <v>4625800.9763761591</v>
      </c>
      <c r="H58" s="114">
        <f>INDEX('DATA (Nominal)'!$B$270:$BX$270,1,MATCH($B$1,'DATA (Nominal)'!$B$1:$BX$1,0))*INDEX('DATA (Nominal)'!$B$298:$BX$298,1,MATCH(H$1,'DATA (Nominal)'!$B$1:$BX$1,0))*H45</f>
        <v>4727568.597856435</v>
      </c>
      <c r="I58" s="114">
        <f>INDEX('DATA (Nominal)'!$B$270:$BX$270,1,MATCH($B$1,'DATA (Nominal)'!$B$1:$BX$1,0))*INDEX('DATA (Nominal)'!$B$298:$BX$298,1,MATCH(I$1,'DATA (Nominal)'!$B$1:$BX$1,0))*I45</f>
        <v>4831575.1070092767</v>
      </c>
      <c r="J58" s="114">
        <f>INDEX('DATA (Nominal)'!$B$270:$BX$270,1,MATCH($B$1,'DATA (Nominal)'!$B$1:$BX$1,0))*INDEX('DATA (Nominal)'!$B$298:$BX$298,1,MATCH(J$1,'DATA (Nominal)'!$B$1:$BX$1,0))*J45</f>
        <v>4937869.7593634808</v>
      </c>
      <c r="K58" s="114">
        <f>INDEX('DATA (Nominal)'!$B$270:$BX$270,1,MATCH($B$1,'DATA (Nominal)'!$B$1:$BX$1,0))*INDEX('DATA (Nominal)'!$B$298:$BX$298,1,MATCH(K$1,'DATA (Nominal)'!$B$1:$BX$1,0))*K45</f>
        <v>5046502.894069477</v>
      </c>
      <c r="L58" s="114">
        <f>INDEX('DATA (Nominal)'!$B$270:$BX$270,1,MATCH($B$1,'DATA (Nominal)'!$B$1:$BX$1,0))*INDEX('DATA (Nominal)'!$B$298:$BX$298,1,MATCH(L$1,'DATA (Nominal)'!$B$1:$BX$1,0))*L45</f>
        <v>5157525.9577390067</v>
      </c>
      <c r="M58" s="114">
        <f>INDEX('DATA (Nominal)'!$B$270:$BX$270,1,MATCH($B$1,'DATA (Nominal)'!$B$1:$BX$1,0))*INDEX('DATA (Nominal)'!$B$298:$BX$298,1,MATCH(M$1,'DATA (Nominal)'!$B$1:$BX$1,0))*M45</f>
        <v>5270991.5288092652</v>
      </c>
      <c r="N58" s="114">
        <f>INDEX('DATA (Nominal)'!$B$270:$BX$270,1,MATCH($B$1,'DATA (Nominal)'!$B$1:$BX$1,0))*INDEX('DATA (Nominal)'!$B$298:$BX$298,1,MATCH(N$1,'DATA (Nominal)'!$B$1:$BX$1,0))*N45</f>
        <v>5386953.3424430685</v>
      </c>
      <c r="O58" s="114"/>
      <c r="P58" s="114"/>
      <c r="Q58" s="114"/>
      <c r="R58" s="114"/>
      <c r="S58" s="114"/>
      <c r="T58" s="114"/>
      <c r="U58" s="114"/>
      <c r="V58" s="114"/>
      <c r="W58" s="114"/>
      <c r="X58" s="256"/>
      <c r="Y58" s="254"/>
    </row>
    <row r="59" spans="2:25" hidden="1" outlineLevel="1">
      <c r="C59" s="258" t="s">
        <v>54</v>
      </c>
      <c r="D59" s="254"/>
      <c r="E59" s="254">
        <f t="shared" ref="E59:X59" si="23">E57*Federal_Tax_Rate-E58</f>
        <v>-8872527.2716630008</v>
      </c>
      <c r="F59" s="254">
        <f t="shared" si="23"/>
        <v>-11722378.282373521</v>
      </c>
      <c r="G59" s="254">
        <f t="shared" si="23"/>
        <v>-8835734.5760736242</v>
      </c>
      <c r="H59" s="254">
        <f t="shared" si="23"/>
        <v>-7133024.4430203373</v>
      </c>
      <c r="I59" s="254">
        <f t="shared" si="23"/>
        <v>-7208125.8813907132</v>
      </c>
      <c r="J59" s="254">
        <f t="shared" si="23"/>
        <v>-5951566.7850660756</v>
      </c>
      <c r="K59" s="254">
        <f t="shared" si="23"/>
        <v>-4700493.8853839897</v>
      </c>
      <c r="L59" s="254">
        <f t="shared" si="23"/>
        <v>-4783089.3422102062</v>
      </c>
      <c r="M59" s="254">
        <f t="shared" si="23"/>
        <v>-4866693.1749705225</v>
      </c>
      <c r="N59" s="254">
        <f t="shared" si="23"/>
        <v>-4951253.7302250033</v>
      </c>
      <c r="O59" s="254">
        <f t="shared" si="23"/>
        <v>468751.20569456945</v>
      </c>
      <c r="P59" s="254">
        <f t="shared" si="23"/>
        <v>503569.69698428706</v>
      </c>
      <c r="Q59" s="254">
        <f t="shared" si="23"/>
        <v>540277.73492109124</v>
      </c>
      <c r="R59" s="254">
        <f t="shared" si="23"/>
        <v>579004.41101846553</v>
      </c>
      <c r="S59" s="254">
        <f t="shared" si="23"/>
        <v>619885.63518167753</v>
      </c>
      <c r="T59" s="254">
        <f t="shared" si="23"/>
        <v>663064.53164402209</v>
      </c>
      <c r="U59" s="254">
        <f t="shared" si="23"/>
        <v>708691.85625934775</v>
      </c>
      <c r="V59" s="254">
        <f t="shared" si="23"/>
        <v>756926.43634478666</v>
      </c>
      <c r="W59" s="254">
        <f t="shared" si="23"/>
        <v>807935.63433280995</v>
      </c>
      <c r="X59" s="256">
        <f t="shared" si="23"/>
        <v>861895.83656046749</v>
      </c>
      <c r="Y59" s="254"/>
    </row>
    <row r="60" spans="2:25" hidden="1" outlineLevel="1">
      <c r="C60" s="258"/>
      <c r="D60" s="254"/>
      <c r="E60" s="261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6"/>
      <c r="Y60" s="254"/>
    </row>
    <row r="61" spans="2:25" hidden="1" outlineLevel="1">
      <c r="B61" s="37">
        <f>IRR(D61:Y61,0.1)</f>
        <v>7.5000000962512914E-2</v>
      </c>
      <c r="C61" s="258" t="s">
        <v>55</v>
      </c>
      <c r="D61" s="261">
        <f>-INDEX('DATA (Nominal)'!$B$83:$BX$83,1,MATCH(B$1,'DATA (Nominal)'!$B$1:$BX$1,0))*'Resource Options'!$E$32/1000*1000000*(1+AFUDC!$C$32)</f>
        <v>-110169666.98255855</v>
      </c>
      <c r="E61" s="261">
        <f t="shared" ref="E61:X61" si="24">E56-E59</f>
        <v>13907934.493895769</v>
      </c>
      <c r="F61" s="261">
        <f t="shared" si="24"/>
        <v>16758356.437902525</v>
      </c>
      <c r="G61" s="261">
        <f t="shared" si="24"/>
        <v>13870772.997268246</v>
      </c>
      <c r="H61" s="261">
        <f t="shared" si="24"/>
        <v>12166486.344860177</v>
      </c>
      <c r="I61" s="261">
        <f t="shared" si="24"/>
        <v>12238602.318380164</v>
      </c>
      <c r="J61" s="261">
        <f t="shared" si="24"/>
        <v>10977686.924173184</v>
      </c>
      <c r="K61" s="261">
        <f t="shared" si="24"/>
        <v>9699108.6329969428</v>
      </c>
      <c r="L61" s="261">
        <f t="shared" si="24"/>
        <v>9751941.6562495492</v>
      </c>
      <c r="M61" s="261">
        <f t="shared" si="24"/>
        <v>9803529.9934480246</v>
      </c>
      <c r="N61" s="261">
        <f t="shared" si="24"/>
        <v>9853824.3173720613</v>
      </c>
      <c r="O61" s="261">
        <f t="shared" si="24"/>
        <v>4397303.1068575382</v>
      </c>
      <c r="P61" s="261">
        <f t="shared" si="24"/>
        <v>4323717.3752606474</v>
      </c>
      <c r="Q61" s="261">
        <f t="shared" si="24"/>
        <v>4245988.611305262</v>
      </c>
      <c r="R61" s="261">
        <f t="shared" si="24"/>
        <v>4163983.6219918365</v>
      </c>
      <c r="S61" s="261">
        <f t="shared" si="24"/>
        <v>4077560.8291975101</v>
      </c>
      <c r="T61" s="261">
        <f t="shared" si="24"/>
        <v>3986569.887211035</v>
      </c>
      <c r="U61" s="261">
        <f t="shared" si="24"/>
        <v>3890851.2776513323</v>
      </c>
      <c r="V61" s="261">
        <f t="shared" si="24"/>
        <v>3790235.8805984827</v>
      </c>
      <c r="W61" s="261">
        <f t="shared" si="24"/>
        <v>3684544.5206997707</v>
      </c>
      <c r="X61" s="161">
        <f t="shared" si="24"/>
        <v>3573587.4869434461</v>
      </c>
      <c r="Y61" s="254">
        <f>-D61*0.5</f>
        <v>55084833.491279274</v>
      </c>
    </row>
    <row r="62" spans="2:25" hidden="1" outlineLevel="1">
      <c r="B62" s="37">
        <f>IRR(D62:Y62,0.1)</f>
        <v>3.3291411267872828E-3</v>
      </c>
      <c r="C62" s="258" t="s">
        <v>56</v>
      </c>
      <c r="D62" s="254">
        <f>-D78</f>
        <v>-27093993.738469571</v>
      </c>
      <c r="E62" s="261">
        <f t="shared" ref="E62:X62" si="25">E61-E64-E66-E74-E58</f>
        <v>1365964.1070624255</v>
      </c>
      <c r="F62" s="261">
        <f t="shared" si="25"/>
        <v>3059912.0788931036</v>
      </c>
      <c r="G62" s="261">
        <f t="shared" si="25"/>
        <v>1199413.3169058384</v>
      </c>
      <c r="H62" s="261">
        <f t="shared" si="25"/>
        <v>70241.476958334446</v>
      </c>
      <c r="I62" s="261">
        <f t="shared" si="25"/>
        <v>38350.941325479187</v>
      </c>
      <c r="J62" s="261">
        <f t="shared" si="25"/>
        <v>-821197.27978007542</v>
      </c>
      <c r="K62" s="261">
        <f t="shared" si="25"/>
        <v>-1700746.8802066827</v>
      </c>
      <c r="L62" s="261">
        <f t="shared" si="25"/>
        <v>-1758936.9206236056</v>
      </c>
      <c r="M62" s="261">
        <f t="shared" si="25"/>
        <v>-1820814.1544953887</v>
      </c>
      <c r="N62" s="261">
        <f t="shared" si="25"/>
        <v>-1886481.6442051553</v>
      </c>
      <c r="O62" s="261">
        <f t="shared" si="25"/>
        <v>-1956049.5122766104</v>
      </c>
      <c r="P62" s="261">
        <f t="shared" si="25"/>
        <v>-2029635.2438735012</v>
      </c>
      <c r="Q62" s="261">
        <f t="shared" si="25"/>
        <v>-2107364.0078288866</v>
      </c>
      <c r="R62" s="261">
        <f t="shared" si="25"/>
        <v>-2189368.9971423117</v>
      </c>
      <c r="S62" s="261">
        <f t="shared" si="25"/>
        <v>-2275791.789936638</v>
      </c>
      <c r="T62" s="261">
        <f t="shared" si="25"/>
        <v>-2366782.7319231136</v>
      </c>
      <c r="U62" s="261">
        <f t="shared" si="25"/>
        <v>-2462501.3414828163</v>
      </c>
      <c r="V62" s="261">
        <f t="shared" si="25"/>
        <v>-2563116.7385356659</v>
      </c>
      <c r="W62" s="261">
        <f t="shared" si="25"/>
        <v>-2668808.0984343779</v>
      </c>
      <c r="X62" s="161">
        <f t="shared" si="25"/>
        <v>-2779765.1321907029</v>
      </c>
      <c r="Y62" s="254">
        <f>Y61</f>
        <v>55084833.491279274</v>
      </c>
    </row>
    <row r="63" spans="2:25" hidden="1" outlineLevel="1">
      <c r="B63" s="346"/>
      <c r="C63" s="258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6"/>
      <c r="Y63" s="254"/>
    </row>
    <row r="64" spans="2:25" hidden="1" outlineLevel="1">
      <c r="B64" s="346"/>
      <c r="C64" s="258" t="s">
        <v>57</v>
      </c>
      <c r="D64" s="254"/>
      <c r="E64" s="254">
        <f t="shared" ref="E64:X64" si="26">D67*Debt_Rate</f>
        <v>4175874.6623150725</v>
      </c>
      <c r="F64" s="254">
        <f t="shared" si="26"/>
        <v>4056113.3746900237</v>
      </c>
      <c r="G64" s="254">
        <f t="shared" si="26"/>
        <v>3929765.2162455963</v>
      </c>
      <c r="H64" s="254">
        <f t="shared" si="26"/>
        <v>3796467.9090867261</v>
      </c>
      <c r="I64" s="254">
        <f t="shared" si="26"/>
        <v>3655839.2500341176</v>
      </c>
      <c r="J64" s="254">
        <f t="shared" si="26"/>
        <v>3507476.0147336158</v>
      </c>
      <c r="K64" s="254">
        <f t="shared" si="26"/>
        <v>3350952.8014915865</v>
      </c>
      <c r="L64" s="254">
        <f t="shared" si="26"/>
        <v>3185820.8115212456</v>
      </c>
      <c r="M64" s="254">
        <f t="shared" si="26"/>
        <v>3011606.5621025362</v>
      </c>
      <c r="N64" s="254">
        <f t="shared" si="26"/>
        <v>2827810.5289657977</v>
      </c>
      <c r="O64" s="254">
        <f t="shared" si="26"/>
        <v>2633905.7140065385</v>
      </c>
      <c r="P64" s="254">
        <f t="shared" si="26"/>
        <v>2429336.1342245201</v>
      </c>
      <c r="Q64" s="254">
        <f t="shared" si="26"/>
        <v>2213515.2275544903</v>
      </c>
      <c r="R64" s="254">
        <f t="shared" si="26"/>
        <v>1985824.1710176091</v>
      </c>
      <c r="S64" s="254">
        <f t="shared" si="26"/>
        <v>1745610.1063711992</v>
      </c>
      <c r="T64" s="254">
        <f t="shared" si="26"/>
        <v>1492184.2681692371</v>
      </c>
      <c r="U64" s="254">
        <f t="shared" si="26"/>
        <v>1224820.0088661669</v>
      </c>
      <c r="V64" s="254">
        <f t="shared" si="26"/>
        <v>942750.71530142799</v>
      </c>
      <c r="W64" s="254">
        <f t="shared" si="26"/>
        <v>645167.61059062835</v>
      </c>
      <c r="X64" s="256">
        <f t="shared" si="26"/>
        <v>331217.43512073474</v>
      </c>
      <c r="Y64" s="254"/>
    </row>
    <row r="65" spans="2:25" hidden="1" outlineLevel="1">
      <c r="B65" s="346"/>
      <c r="C65" s="258" t="s">
        <v>113</v>
      </c>
      <c r="D65" s="254"/>
      <c r="E65" s="254">
        <f t="shared" ref="E65:X65" si="27">-PMT(Debt_Rate,20,$D77)</f>
        <v>6353352.6191341486</v>
      </c>
      <c r="F65" s="254">
        <f t="shared" si="27"/>
        <v>6353352.6191341486</v>
      </c>
      <c r="G65" s="254">
        <f t="shared" si="27"/>
        <v>6353352.6191341486</v>
      </c>
      <c r="H65" s="254">
        <f t="shared" si="27"/>
        <v>6353352.6191341486</v>
      </c>
      <c r="I65" s="254">
        <f t="shared" si="27"/>
        <v>6353352.6191341486</v>
      </c>
      <c r="J65" s="254">
        <f t="shared" si="27"/>
        <v>6353352.6191341486</v>
      </c>
      <c r="K65" s="254">
        <f t="shared" si="27"/>
        <v>6353352.6191341486</v>
      </c>
      <c r="L65" s="254">
        <f t="shared" si="27"/>
        <v>6353352.6191341486</v>
      </c>
      <c r="M65" s="254">
        <f t="shared" si="27"/>
        <v>6353352.6191341486</v>
      </c>
      <c r="N65" s="254">
        <f t="shared" si="27"/>
        <v>6353352.6191341486</v>
      </c>
      <c r="O65" s="254">
        <f t="shared" si="27"/>
        <v>6353352.6191341486</v>
      </c>
      <c r="P65" s="254">
        <f t="shared" si="27"/>
        <v>6353352.6191341486</v>
      </c>
      <c r="Q65" s="254">
        <f t="shared" si="27"/>
        <v>6353352.6191341486</v>
      </c>
      <c r="R65" s="254">
        <f t="shared" si="27"/>
        <v>6353352.6191341486</v>
      </c>
      <c r="S65" s="254">
        <f t="shared" si="27"/>
        <v>6353352.6191341486</v>
      </c>
      <c r="T65" s="254">
        <f t="shared" si="27"/>
        <v>6353352.6191341486</v>
      </c>
      <c r="U65" s="254">
        <f t="shared" si="27"/>
        <v>6353352.6191341486</v>
      </c>
      <c r="V65" s="254">
        <f t="shared" si="27"/>
        <v>6353352.6191341486</v>
      </c>
      <c r="W65" s="254">
        <f t="shared" si="27"/>
        <v>6353352.6191341486</v>
      </c>
      <c r="X65" s="256">
        <f t="shared" si="27"/>
        <v>6353352.6191341486</v>
      </c>
      <c r="Y65" s="254"/>
    </row>
    <row r="66" spans="2:25" hidden="1" outlineLevel="1">
      <c r="B66" s="346"/>
      <c r="C66" s="258" t="s">
        <v>59</v>
      </c>
      <c r="D66" s="254"/>
      <c r="E66" s="254">
        <f t="shared" ref="E66:X66" si="28">E65-E64</f>
        <v>2177477.9568190761</v>
      </c>
      <c r="F66" s="254">
        <f t="shared" si="28"/>
        <v>2297239.2444441249</v>
      </c>
      <c r="G66" s="254">
        <f t="shared" si="28"/>
        <v>2423587.4028885523</v>
      </c>
      <c r="H66" s="254">
        <f t="shared" si="28"/>
        <v>2556884.7100474224</v>
      </c>
      <c r="I66" s="254">
        <f t="shared" si="28"/>
        <v>2697513.369100031</v>
      </c>
      <c r="J66" s="254">
        <f t="shared" si="28"/>
        <v>2845876.6044005328</v>
      </c>
      <c r="K66" s="254">
        <f t="shared" si="28"/>
        <v>3002399.8176425621</v>
      </c>
      <c r="L66" s="254">
        <f t="shared" si="28"/>
        <v>3167531.807612903</v>
      </c>
      <c r="M66" s="254">
        <f t="shared" si="28"/>
        <v>3341746.0570316124</v>
      </c>
      <c r="N66" s="254">
        <f t="shared" si="28"/>
        <v>3525542.0901683508</v>
      </c>
      <c r="O66" s="254">
        <f t="shared" si="28"/>
        <v>3719446.9051276101</v>
      </c>
      <c r="P66" s="254">
        <f t="shared" si="28"/>
        <v>3924016.4849096285</v>
      </c>
      <c r="Q66" s="254">
        <f t="shared" si="28"/>
        <v>4139837.3915796583</v>
      </c>
      <c r="R66" s="254">
        <f t="shared" si="28"/>
        <v>4367528.448116539</v>
      </c>
      <c r="S66" s="254">
        <f t="shared" si="28"/>
        <v>4607742.5127629489</v>
      </c>
      <c r="T66" s="254">
        <f t="shared" si="28"/>
        <v>4861168.3509649113</v>
      </c>
      <c r="U66" s="254">
        <f t="shared" si="28"/>
        <v>5128532.6102679819</v>
      </c>
      <c r="V66" s="254">
        <f t="shared" si="28"/>
        <v>5410601.9038327206</v>
      </c>
      <c r="W66" s="254">
        <f t="shared" si="28"/>
        <v>5708185.0085435202</v>
      </c>
      <c r="X66" s="256">
        <f t="shared" si="28"/>
        <v>6022135.1840134142</v>
      </c>
      <c r="Y66" s="254"/>
    </row>
    <row r="67" spans="2:25" hidden="1" outlineLevel="1">
      <c r="B67" s="346"/>
      <c r="C67" s="258" t="s">
        <v>60</v>
      </c>
      <c r="D67" s="254">
        <f>D77</f>
        <v>75924993.860274047</v>
      </c>
      <c r="E67" s="254">
        <f>D67-E66</f>
        <v>73747515.903454974</v>
      </c>
      <c r="F67" s="254">
        <f>E67-F66</f>
        <v>71450276.659010842</v>
      </c>
      <c r="G67" s="254">
        <f t="shared" ref="G67:X67" si="29">F67-G66</f>
        <v>69026689.256122291</v>
      </c>
      <c r="H67" s="254">
        <f t="shared" si="29"/>
        <v>66469804.546074867</v>
      </c>
      <c r="I67" s="254">
        <f t="shared" si="29"/>
        <v>63772291.176974833</v>
      </c>
      <c r="J67" s="254">
        <f t="shared" si="29"/>
        <v>60926414.572574303</v>
      </c>
      <c r="K67" s="254">
        <f t="shared" si="29"/>
        <v>57924014.75493174</v>
      </c>
      <c r="L67" s="254">
        <f t="shared" si="29"/>
        <v>54756482.947318837</v>
      </c>
      <c r="M67" s="254">
        <f t="shared" si="29"/>
        <v>51414736.890287228</v>
      </c>
      <c r="N67" s="254">
        <f t="shared" si="29"/>
        <v>47889194.800118878</v>
      </c>
      <c r="O67" s="254">
        <f t="shared" si="29"/>
        <v>44169747.894991271</v>
      </c>
      <c r="P67" s="254">
        <f t="shared" si="29"/>
        <v>40245731.41008164</v>
      </c>
      <c r="Q67" s="254">
        <f t="shared" si="29"/>
        <v>36105894.018501982</v>
      </c>
      <c r="R67" s="254">
        <f t="shared" si="29"/>
        <v>31738365.570385441</v>
      </c>
      <c r="S67" s="254">
        <f t="shared" si="29"/>
        <v>27130623.057622492</v>
      </c>
      <c r="T67" s="254">
        <f t="shared" si="29"/>
        <v>22269454.706657581</v>
      </c>
      <c r="U67" s="254">
        <f t="shared" si="29"/>
        <v>17140922.096389599</v>
      </c>
      <c r="V67" s="254">
        <f t="shared" si="29"/>
        <v>11730320.192556879</v>
      </c>
      <c r="W67" s="254">
        <f t="shared" si="29"/>
        <v>6022135.1840133583</v>
      </c>
      <c r="X67" s="256">
        <f t="shared" si="29"/>
        <v>-5.5879354476928711E-8</v>
      </c>
      <c r="Y67" s="254"/>
    </row>
    <row r="68" spans="2:25" hidden="1" outlineLevel="1">
      <c r="B68" s="346"/>
      <c r="C68" s="258"/>
      <c r="D68" s="254"/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6"/>
      <c r="Y68" s="254"/>
    </row>
    <row r="69" spans="2:25" hidden="1" outlineLevel="1">
      <c r="B69" s="346"/>
      <c r="C69" s="258" t="s">
        <v>114</v>
      </c>
      <c r="D69" s="254"/>
      <c r="E69" s="254">
        <f t="shared" ref="E69:X69" si="30">IF(E$2-1&lt;25,-$D61/25,0)</f>
        <v>4406786.6793023422</v>
      </c>
      <c r="F69" s="254">
        <f t="shared" si="30"/>
        <v>4406786.6793023422</v>
      </c>
      <c r="G69" s="254">
        <f t="shared" si="30"/>
        <v>4406786.6793023422</v>
      </c>
      <c r="H69" s="254">
        <f t="shared" si="30"/>
        <v>4406786.6793023422</v>
      </c>
      <c r="I69" s="254">
        <f t="shared" si="30"/>
        <v>4406786.6793023422</v>
      </c>
      <c r="J69" s="254">
        <f t="shared" si="30"/>
        <v>4406786.6793023422</v>
      </c>
      <c r="K69" s="254">
        <f t="shared" si="30"/>
        <v>4406786.6793023422</v>
      </c>
      <c r="L69" s="254">
        <f t="shared" si="30"/>
        <v>4406786.6793023422</v>
      </c>
      <c r="M69" s="254">
        <f t="shared" si="30"/>
        <v>4406786.6793023422</v>
      </c>
      <c r="N69" s="254">
        <f t="shared" si="30"/>
        <v>4406786.6793023422</v>
      </c>
      <c r="O69" s="254">
        <f t="shared" si="30"/>
        <v>4406786.6793023422</v>
      </c>
      <c r="P69" s="254">
        <f t="shared" si="30"/>
        <v>4406786.6793023422</v>
      </c>
      <c r="Q69" s="254">
        <f t="shared" si="30"/>
        <v>4406786.6793023422</v>
      </c>
      <c r="R69" s="254">
        <f t="shared" si="30"/>
        <v>4406786.6793023422</v>
      </c>
      <c r="S69" s="254">
        <f t="shared" si="30"/>
        <v>4406786.6793023422</v>
      </c>
      <c r="T69" s="254">
        <f t="shared" si="30"/>
        <v>4406786.6793023422</v>
      </c>
      <c r="U69" s="254">
        <f t="shared" si="30"/>
        <v>4406786.6793023422</v>
      </c>
      <c r="V69" s="254">
        <f t="shared" si="30"/>
        <v>4406786.6793023422</v>
      </c>
      <c r="W69" s="254">
        <f t="shared" si="30"/>
        <v>4406786.6793023422</v>
      </c>
      <c r="X69" s="256">
        <f t="shared" si="30"/>
        <v>4406786.6793023422</v>
      </c>
      <c r="Y69" s="254"/>
    </row>
    <row r="70" spans="2:25" hidden="1" outlineLevel="1">
      <c r="B70" s="346"/>
      <c r="C70" s="258" t="s">
        <v>62</v>
      </c>
      <c r="D70" s="254"/>
      <c r="E70" s="254">
        <f>SUM($E69:E69)</f>
        <v>4406786.6793023422</v>
      </c>
      <c r="F70" s="254">
        <f>SUM($E69:F69)</f>
        <v>8813573.3586046845</v>
      </c>
      <c r="G70" s="254">
        <f>SUM($E69:G69)</f>
        <v>13220360.037907027</v>
      </c>
      <c r="H70" s="254">
        <f>SUM($E69:H69)</f>
        <v>17627146.717209369</v>
      </c>
      <c r="I70" s="254">
        <f>SUM($E69:I69)</f>
        <v>22033933.396511711</v>
      </c>
      <c r="J70" s="254">
        <f>SUM($E69:J69)</f>
        <v>26440720.075814053</v>
      </c>
      <c r="K70" s="254">
        <f>SUM($E69:K69)</f>
        <v>30847506.755116396</v>
      </c>
      <c r="L70" s="254">
        <f>SUM($E69:L69)</f>
        <v>35254293.434418738</v>
      </c>
      <c r="M70" s="254">
        <f>SUM($E69:M69)</f>
        <v>39661080.11372108</v>
      </c>
      <c r="N70" s="254">
        <f>SUM($E69:N69)</f>
        <v>44067866.793023422</v>
      </c>
      <c r="O70" s="254">
        <f>SUM($E69:O69)</f>
        <v>48474653.472325765</v>
      </c>
      <c r="P70" s="254">
        <f>SUM($E69:P69)</f>
        <v>52881440.151628107</v>
      </c>
      <c r="Q70" s="254">
        <f>SUM($E69:Q69)</f>
        <v>57288226.830930449</v>
      </c>
      <c r="R70" s="254">
        <f>SUM($E69:R69)</f>
        <v>61695013.510232791</v>
      </c>
      <c r="S70" s="254">
        <f>SUM($E69:S69)</f>
        <v>66101800.189535134</v>
      </c>
      <c r="T70" s="254">
        <f>SUM($E69:T69)</f>
        <v>70508586.868837476</v>
      </c>
      <c r="U70" s="254">
        <f>SUM($E69:U69)</f>
        <v>74915373.548139811</v>
      </c>
      <c r="V70" s="254">
        <f>SUM($E69:V69)</f>
        <v>79322160.227442145</v>
      </c>
      <c r="W70" s="254">
        <f>SUM($E69:W69)</f>
        <v>83728946.90674448</v>
      </c>
      <c r="X70" s="256">
        <f>SUM($E69:X69)</f>
        <v>88135733.586046815</v>
      </c>
      <c r="Y70" s="254"/>
    </row>
    <row r="71" spans="2:25" hidden="1" outlineLevel="1">
      <c r="B71" s="346"/>
      <c r="C71" s="258" t="s">
        <v>63</v>
      </c>
      <c r="D71" s="254"/>
      <c r="E71" s="254">
        <f t="shared" ref="E71:X71" si="31">-$D61-E70</f>
        <v>105762880.30325621</v>
      </c>
      <c r="F71" s="254">
        <f t="shared" si="31"/>
        <v>101356093.62395386</v>
      </c>
      <c r="G71" s="254">
        <f t="shared" si="31"/>
        <v>96949306.944651514</v>
      </c>
      <c r="H71" s="254">
        <f t="shared" si="31"/>
        <v>92542520.26534918</v>
      </c>
      <c r="I71" s="254">
        <f t="shared" si="31"/>
        <v>88135733.586046845</v>
      </c>
      <c r="J71" s="254">
        <f t="shared" si="31"/>
        <v>83728946.906744495</v>
      </c>
      <c r="K71" s="254">
        <f t="shared" si="31"/>
        <v>79322160.227442145</v>
      </c>
      <c r="L71" s="254">
        <f t="shared" si="31"/>
        <v>74915373.548139811</v>
      </c>
      <c r="M71" s="254">
        <f t="shared" si="31"/>
        <v>70508586.868837476</v>
      </c>
      <c r="N71" s="254">
        <f t="shared" si="31"/>
        <v>66101800.189535126</v>
      </c>
      <c r="O71" s="254">
        <f t="shared" si="31"/>
        <v>61695013.510232784</v>
      </c>
      <c r="P71" s="254">
        <f t="shared" si="31"/>
        <v>57288226.830930442</v>
      </c>
      <c r="Q71" s="254">
        <f t="shared" si="31"/>
        <v>52881440.151628099</v>
      </c>
      <c r="R71" s="254">
        <f t="shared" si="31"/>
        <v>48474653.472325757</v>
      </c>
      <c r="S71" s="254">
        <f t="shared" si="31"/>
        <v>44067866.793023415</v>
      </c>
      <c r="T71" s="254">
        <f t="shared" si="31"/>
        <v>39661080.113721073</v>
      </c>
      <c r="U71" s="254">
        <f t="shared" si="31"/>
        <v>35254293.434418738</v>
      </c>
      <c r="V71" s="254">
        <f t="shared" si="31"/>
        <v>30847506.755116403</v>
      </c>
      <c r="W71" s="254">
        <f t="shared" si="31"/>
        <v>26440720.075814068</v>
      </c>
      <c r="X71" s="256">
        <f t="shared" si="31"/>
        <v>22033933.396511734</v>
      </c>
      <c r="Y71" s="254"/>
    </row>
    <row r="72" spans="2:25" hidden="1" outlineLevel="1">
      <c r="B72" s="346"/>
      <c r="C72" s="258" t="s">
        <v>64</v>
      </c>
      <c r="D72" s="254">
        <f>-D61</f>
        <v>110169666.98255855</v>
      </c>
      <c r="E72" s="254">
        <f>D72/(($D72/$Y72)^(1/21))</f>
        <v>106592653.83501974</v>
      </c>
      <c r="F72" s="254">
        <f>E72/(($D72/$Y72)^(1/21))</f>
        <v>103131779.94257817</v>
      </c>
      <c r="G72" s="254">
        <f>F72/(($D72/$Y72)^(1/21))</f>
        <v>99783274.470177263</v>
      </c>
      <c r="H72" s="254">
        <f t="shared" ref="H72:X72" si="32">G72/(($D72/$Y72)^(1/21))</f>
        <v>96543489.015068233</v>
      </c>
      <c r="I72" s="254">
        <f t="shared" si="32"/>
        <v>93408893.631650761</v>
      </c>
      <c r="J72" s="254">
        <f t="shared" si="32"/>
        <v>90376072.985380083</v>
      </c>
      <c r="K72" s="254">
        <f t="shared" si="32"/>
        <v>87441722.631549835</v>
      </c>
      <c r="L72" s="254">
        <f t="shared" si="32"/>
        <v>84602645.414896235</v>
      </c>
      <c r="M72" s="254">
        <f t="shared" si="32"/>
        <v>81855747.986100718</v>
      </c>
      <c r="N72" s="254">
        <f t="shared" si="32"/>
        <v>79198037.431395486</v>
      </c>
      <c r="O72" s="254">
        <f t="shared" si="32"/>
        <v>76626618.011599824</v>
      </c>
      <c r="P72" s="254">
        <f t="shared" si="32"/>
        <v>74138688.007034048</v>
      </c>
      <c r="Q72" s="254">
        <f t="shared" si="32"/>
        <v>71731536.66487357</v>
      </c>
      <c r="R72" s="254">
        <f t="shared" si="32"/>
        <v>69402541.245616868</v>
      </c>
      <c r="S72" s="254">
        <f t="shared" si="32"/>
        <v>67149164.16544944</v>
      </c>
      <c r="T72" s="254">
        <f t="shared" si="32"/>
        <v>64968950.231390066</v>
      </c>
      <c r="U72" s="254">
        <f t="shared" si="32"/>
        <v>62859523.966207035</v>
      </c>
      <c r="V72" s="254">
        <f t="shared" si="32"/>
        <v>60818587.020189486</v>
      </c>
      <c r="W72" s="254">
        <f t="shared" si="32"/>
        <v>58843915.666954003</v>
      </c>
      <c r="X72" s="256">
        <f t="shared" si="32"/>
        <v>56933358.380557895</v>
      </c>
      <c r="Y72" s="254">
        <f>Y61</f>
        <v>55084833.491279274</v>
      </c>
    </row>
    <row r="73" spans="2:25" hidden="1" outlineLevel="1">
      <c r="B73" s="346"/>
      <c r="C73" s="258" t="s">
        <v>65</v>
      </c>
      <c r="D73" s="254"/>
      <c r="E73" s="254">
        <f>-$D61*Assumptions!J$32</f>
        <v>22033933.396511711</v>
      </c>
      <c r="F73" s="254">
        <f>-$D61*Assumptions!K$32</f>
        <v>35254293.434418738</v>
      </c>
      <c r="G73" s="254">
        <f>-$D61*Assumptions!L$32</f>
        <v>21152576.060651243</v>
      </c>
      <c r="H73" s="254">
        <f>-$D61*Assumptions!M$32</f>
        <v>12691545.636390744</v>
      </c>
      <c r="I73" s="254">
        <f>-$D61*Assumptions!N$32</f>
        <v>12691545.636390744</v>
      </c>
      <c r="J73" s="254">
        <f>-$D61*Assumptions!O$32</f>
        <v>6345772.8181953719</v>
      </c>
      <c r="K73" s="254">
        <f>-$D61*Assumptions!P$32</f>
        <v>0</v>
      </c>
      <c r="L73" s="254">
        <f>-$D61*Assumptions!Q$32</f>
        <v>0</v>
      </c>
      <c r="M73" s="254">
        <f>-$D61*Assumptions!R$32</f>
        <v>0</v>
      </c>
      <c r="N73" s="254">
        <f>-$D61*Assumptions!S$32</f>
        <v>0</v>
      </c>
      <c r="O73" s="254">
        <f>-$D61*Assumptions!T$32</f>
        <v>0</v>
      </c>
      <c r="P73" s="254">
        <f>-$D61*Assumptions!U$32</f>
        <v>0</v>
      </c>
      <c r="Q73" s="254">
        <f>-$D61*Assumptions!V$32</f>
        <v>0</v>
      </c>
      <c r="R73" s="254">
        <f>-$D61*Assumptions!W$32</f>
        <v>0</v>
      </c>
      <c r="S73" s="254">
        <f>-$D61*Assumptions!X$32</f>
        <v>0</v>
      </c>
      <c r="T73" s="254">
        <f>-$D61*Assumptions!Y$32</f>
        <v>0</v>
      </c>
      <c r="U73" s="254">
        <f>-$D61*Assumptions!Z$32</f>
        <v>0</v>
      </c>
      <c r="V73" s="254">
        <f>-$D61*Assumptions!AA$32</f>
        <v>0</v>
      </c>
      <c r="W73" s="254">
        <f>-$D61*Assumptions!AB$32</f>
        <v>0</v>
      </c>
      <c r="X73" s="256">
        <f>-$D61*Assumptions!AC$32</f>
        <v>0</v>
      </c>
      <c r="Y73" s="254"/>
    </row>
    <row r="74" spans="2:25" ht="15.75" hidden="1" outlineLevel="1" thickBot="1">
      <c r="B74" s="346"/>
      <c r="C74" s="147" t="s">
        <v>66</v>
      </c>
      <c r="D74" s="103"/>
      <c r="E74" s="103">
        <f t="shared" ref="E74:X74" si="33">E73*Tax_Equity_Rate</f>
        <v>1762714.6717209369</v>
      </c>
      <c r="F74" s="103">
        <f t="shared" si="33"/>
        <v>2820343.474753499</v>
      </c>
      <c r="G74" s="103">
        <f t="shared" si="33"/>
        <v>1692206.0848520994</v>
      </c>
      <c r="H74" s="103">
        <f t="shared" si="33"/>
        <v>1015323.6509112596</v>
      </c>
      <c r="I74" s="103">
        <f t="shared" si="33"/>
        <v>1015323.6509112596</v>
      </c>
      <c r="J74" s="103">
        <f t="shared" si="33"/>
        <v>507661.82545562979</v>
      </c>
      <c r="K74" s="103">
        <f t="shared" si="33"/>
        <v>0</v>
      </c>
      <c r="L74" s="103">
        <f t="shared" si="33"/>
        <v>0</v>
      </c>
      <c r="M74" s="103">
        <f t="shared" si="33"/>
        <v>0</v>
      </c>
      <c r="N74" s="103">
        <f t="shared" si="33"/>
        <v>0</v>
      </c>
      <c r="O74" s="103">
        <f t="shared" si="33"/>
        <v>0</v>
      </c>
      <c r="P74" s="103">
        <f t="shared" si="33"/>
        <v>0</v>
      </c>
      <c r="Q74" s="103">
        <f t="shared" si="33"/>
        <v>0</v>
      </c>
      <c r="R74" s="103">
        <f t="shared" si="33"/>
        <v>0</v>
      </c>
      <c r="S74" s="103">
        <f t="shared" si="33"/>
        <v>0</v>
      </c>
      <c r="T74" s="103">
        <f t="shared" si="33"/>
        <v>0</v>
      </c>
      <c r="U74" s="103">
        <f t="shared" si="33"/>
        <v>0</v>
      </c>
      <c r="V74" s="103">
        <f t="shared" si="33"/>
        <v>0</v>
      </c>
      <c r="W74" s="103">
        <f t="shared" si="33"/>
        <v>0</v>
      </c>
      <c r="X74" s="64">
        <f t="shared" si="33"/>
        <v>0</v>
      </c>
      <c r="Y74" s="254"/>
    </row>
    <row r="75" spans="2:25" hidden="1" outlineLevel="1">
      <c r="C75" s="124" t="s">
        <v>67</v>
      </c>
      <c r="D75" s="116">
        <f>NPV(Tax_Equity_Rate,E74:X74)</f>
        <v>7150679.3838149263</v>
      </c>
      <c r="E75" s="65">
        <f>D75/D79</f>
        <v>6.4906063344522785E-2</v>
      </c>
      <c r="Y75" s="254"/>
    </row>
    <row r="76" spans="2:25" hidden="1" outlineLevel="1">
      <c r="C76" s="258" t="s">
        <v>79</v>
      </c>
      <c r="D76" s="106">
        <v>0</v>
      </c>
      <c r="E76" s="66">
        <f>D76/D79</f>
        <v>0</v>
      </c>
    </row>
    <row r="77" spans="2:25" hidden="1" outlineLevel="1">
      <c r="B77" s="22">
        <f>Assumptions!F32</f>
        <v>0.73699999999999999</v>
      </c>
      <c r="C77" s="258" t="s">
        <v>68</v>
      </c>
      <c r="D77" s="116">
        <f>(D79-D75-D76)*$B77</f>
        <v>75924993.860274047</v>
      </c>
      <c r="E77" s="66">
        <f>D77/D79</f>
        <v>0.68916423131508664</v>
      </c>
    </row>
    <row r="78" spans="2:25" hidden="1" outlineLevel="1">
      <c r="B78" s="22">
        <f>1-B77</f>
        <v>0.26300000000000001</v>
      </c>
      <c r="C78" s="258" t="s">
        <v>69</v>
      </c>
      <c r="D78" s="116">
        <f>(D79-D75-D76)*$B78</f>
        <v>27093993.738469571</v>
      </c>
      <c r="E78" s="66">
        <f>D78/D79</f>
        <v>0.24592970534039049</v>
      </c>
    </row>
    <row r="79" spans="2:25" hidden="1" outlineLevel="1">
      <c r="C79" s="258" t="s">
        <v>70</v>
      </c>
      <c r="D79" s="116">
        <f>-D61</f>
        <v>110169666.98255855</v>
      </c>
      <c r="E79" s="131"/>
    </row>
    <row r="80" spans="2:25" ht="15.75" hidden="1" outlineLevel="1" thickBot="1">
      <c r="C80" s="147" t="s">
        <v>71</v>
      </c>
      <c r="D80" s="109">
        <f>SUM(D75:D78)-D79</f>
        <v>0</v>
      </c>
      <c r="E80" s="64"/>
    </row>
    <row r="81" hidden="1" outlineLevel="1"/>
    <row r="82" collapsed="1"/>
  </sheetData>
  <mergeCells count="4">
    <mergeCell ref="A1:A2"/>
    <mergeCell ref="B1:B2"/>
    <mergeCell ref="C5:F5"/>
    <mergeCell ref="C44:F4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69850-CFFD-4FF2-8B70-B53E54BA7490}">
  <sheetPr codeName="Sheet9">
    <tabColor rgb="FFCC99FF"/>
  </sheetPr>
  <dimension ref="A1:X94"/>
  <sheetViews>
    <sheetView zoomScaleNormal="100" workbookViewId="0">
      <pane ySplit="2" topLeftCell="A3" activePane="bottomLeft" state="frozen"/>
      <selection activeCell="A2" sqref="A2"/>
      <selection pane="bottomLeft" sqref="A1:A2"/>
    </sheetView>
  </sheetViews>
  <sheetFormatPr defaultRowHeight="15" outlineLevelRow="1"/>
  <cols>
    <col min="1" max="1" width="12.85546875" bestFit="1" customWidth="1"/>
    <col min="2" max="2" width="7.140625" bestFit="1" customWidth="1"/>
    <col min="3" max="3" width="38.5703125" bestFit="1" customWidth="1"/>
    <col min="4" max="4" width="32" bestFit="1" customWidth="1"/>
    <col min="5" max="24" width="14.85546875" bestFit="1" customWidth="1"/>
  </cols>
  <sheetData>
    <row r="1" spans="1:24">
      <c r="A1" s="482" t="s">
        <v>72</v>
      </c>
      <c r="B1" s="495">
        <v>2025</v>
      </c>
      <c r="E1" s="23">
        <f>B1</f>
        <v>2025</v>
      </c>
      <c r="F1" s="23">
        <f>E1+1</f>
        <v>2026</v>
      </c>
      <c r="G1" s="23">
        <f t="shared" ref="G1:X1" si="0">F1+1</f>
        <v>2027</v>
      </c>
      <c r="H1" s="23">
        <f t="shared" si="0"/>
        <v>2028</v>
      </c>
      <c r="I1" s="23">
        <f t="shared" si="0"/>
        <v>2029</v>
      </c>
      <c r="J1" s="23">
        <f t="shared" si="0"/>
        <v>2030</v>
      </c>
      <c r="K1" s="23">
        <f t="shared" si="0"/>
        <v>2031</v>
      </c>
      <c r="L1" s="23">
        <f t="shared" si="0"/>
        <v>2032</v>
      </c>
      <c r="M1" s="23">
        <f t="shared" si="0"/>
        <v>2033</v>
      </c>
      <c r="N1" s="23">
        <f t="shared" si="0"/>
        <v>2034</v>
      </c>
      <c r="O1" s="23">
        <f t="shared" si="0"/>
        <v>2035</v>
      </c>
      <c r="P1" s="23">
        <f t="shared" si="0"/>
        <v>2036</v>
      </c>
      <c r="Q1" s="23">
        <f t="shared" si="0"/>
        <v>2037</v>
      </c>
      <c r="R1" s="23">
        <f t="shared" si="0"/>
        <v>2038</v>
      </c>
      <c r="S1" s="23">
        <f t="shared" si="0"/>
        <v>2039</v>
      </c>
      <c r="T1" s="23">
        <f t="shared" si="0"/>
        <v>2040</v>
      </c>
      <c r="U1" s="23">
        <f t="shared" si="0"/>
        <v>2041</v>
      </c>
      <c r="V1" s="23">
        <f t="shared" si="0"/>
        <v>2042</v>
      </c>
      <c r="W1" s="23">
        <f t="shared" si="0"/>
        <v>2043</v>
      </c>
      <c r="X1" s="23">
        <f t="shared" si="0"/>
        <v>2044</v>
      </c>
    </row>
    <row r="2" spans="1:24">
      <c r="A2" s="482"/>
      <c r="B2" s="495"/>
      <c r="D2" s="23">
        <v>0</v>
      </c>
      <c r="E2" s="23">
        <v>1</v>
      </c>
      <c r="F2" s="23">
        <v>2</v>
      </c>
      <c r="G2" s="23">
        <v>3</v>
      </c>
      <c r="H2" s="23">
        <v>4</v>
      </c>
      <c r="I2" s="23">
        <v>5</v>
      </c>
      <c r="J2" s="23">
        <v>6</v>
      </c>
      <c r="K2" s="23">
        <v>7</v>
      </c>
      <c r="L2" s="23">
        <v>8</v>
      </c>
      <c r="M2" s="23">
        <v>9</v>
      </c>
      <c r="N2" s="23">
        <v>10</v>
      </c>
      <c r="O2" s="23">
        <v>11</v>
      </c>
      <c r="P2" s="23">
        <v>12</v>
      </c>
      <c r="Q2" s="23">
        <v>13</v>
      </c>
      <c r="R2" s="23">
        <v>14</v>
      </c>
      <c r="S2" s="23">
        <v>15</v>
      </c>
      <c r="T2" s="23">
        <v>16</v>
      </c>
      <c r="U2" s="23">
        <v>17</v>
      </c>
      <c r="V2" s="23">
        <v>18</v>
      </c>
      <c r="W2" s="23">
        <v>19</v>
      </c>
      <c r="X2" s="23">
        <v>20</v>
      </c>
    </row>
    <row r="4" spans="1:24" ht="15.75" thickBot="1"/>
    <row r="5" spans="1:24" ht="18.75" thickBot="1">
      <c r="A5" s="265"/>
      <c r="C5" s="496" t="s">
        <v>26</v>
      </c>
      <c r="D5" s="497"/>
      <c r="E5" s="497"/>
      <c r="F5" s="498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</row>
    <row r="6" spans="1:24" hidden="1" outlineLevel="1">
      <c r="C6" s="31" t="s">
        <v>44</v>
      </c>
      <c r="D6" s="8"/>
      <c r="E6" s="2">
        <f>INDEX('DATA (Nominal)'!$B$8:$BX$8,1,MATCH($B$1,'DATA (Nominal)'!$B$1:$BX$1,0))*'Resource Options'!$E$39*8760</f>
        <v>252288</v>
      </c>
      <c r="F6" s="2">
        <f>INDEX('DATA (Nominal)'!$B$8:$BX$8,1,MATCH($B$1,'DATA (Nominal)'!$B$1:$BX$1,0))*'Resource Options'!$E$39*8760</f>
        <v>252288</v>
      </c>
      <c r="G6" s="2">
        <f>INDEX('DATA (Nominal)'!$B$8:$BX$8,1,MATCH($B$1,'DATA (Nominal)'!$B$1:$BX$1,0))*'Resource Options'!$E$39*8760</f>
        <v>252288</v>
      </c>
      <c r="H6" s="2">
        <f>INDEX('DATA (Nominal)'!$B$8:$BX$8,1,MATCH($B$1,'DATA (Nominal)'!$B$1:$BX$1,0))*'Resource Options'!$E$39*8760</f>
        <v>252288</v>
      </c>
      <c r="I6" s="2">
        <f>INDEX('DATA (Nominal)'!$B$8:$BX$8,1,MATCH($B$1,'DATA (Nominal)'!$B$1:$BX$1,0))*'Resource Options'!$E$39*8760</f>
        <v>252288</v>
      </c>
      <c r="J6" s="2">
        <f>INDEX('DATA (Nominal)'!$B$8:$BX$8,1,MATCH($B$1,'DATA (Nominal)'!$B$1:$BX$1,0))*'Resource Options'!$E$39*8760</f>
        <v>252288</v>
      </c>
      <c r="K6" s="2">
        <f>INDEX('DATA (Nominal)'!$B$8:$BX$8,1,MATCH($B$1,'DATA (Nominal)'!$B$1:$BX$1,0))*'Resource Options'!$E$39*8760</f>
        <v>252288</v>
      </c>
      <c r="L6" s="2">
        <f>INDEX('DATA (Nominal)'!$B$8:$BX$8,1,MATCH($B$1,'DATA (Nominal)'!$B$1:$BX$1,0))*'Resource Options'!$E$39*8760</f>
        <v>252288</v>
      </c>
      <c r="M6" s="2">
        <f>INDEX('DATA (Nominal)'!$B$8:$BX$8,1,MATCH($B$1,'DATA (Nominal)'!$B$1:$BX$1,0))*'Resource Options'!$E$39*8760</f>
        <v>252288</v>
      </c>
      <c r="N6" s="2">
        <f>INDEX('DATA (Nominal)'!$B$8:$BX$8,1,MATCH($B$1,'DATA (Nominal)'!$B$1:$BX$1,0))*'Resource Options'!$E$39*8760</f>
        <v>252288</v>
      </c>
      <c r="O6" s="2">
        <f>INDEX('DATA (Nominal)'!$B$8:$BX$8,1,MATCH($B$1,'DATA (Nominal)'!$B$1:$BX$1,0))*'Resource Options'!$E$39*8760</f>
        <v>252288</v>
      </c>
      <c r="P6" s="2">
        <f>INDEX('DATA (Nominal)'!$B$8:$BX$8,1,MATCH($B$1,'DATA (Nominal)'!$B$1:$BX$1,0))*'Resource Options'!$E$39*8760</f>
        <v>252288</v>
      </c>
      <c r="Q6" s="2">
        <f>INDEX('DATA (Nominal)'!$B$8:$BX$8,1,MATCH($B$1,'DATA (Nominal)'!$B$1:$BX$1,0))*'Resource Options'!$E$39*8760</f>
        <v>252288</v>
      </c>
      <c r="R6" s="2">
        <f>INDEX('DATA (Nominal)'!$B$8:$BX$8,1,MATCH($B$1,'DATA (Nominal)'!$B$1:$BX$1,0))*'Resource Options'!$E$39*8760</f>
        <v>252288</v>
      </c>
      <c r="S6" s="2">
        <f>INDEX('DATA (Nominal)'!$B$8:$BX$8,1,MATCH($B$1,'DATA (Nominal)'!$B$1:$BX$1,0))*'Resource Options'!$E$39*8760</f>
        <v>252288</v>
      </c>
      <c r="T6" s="2">
        <f>INDEX('DATA (Nominal)'!$B$8:$BX$8,1,MATCH($B$1,'DATA (Nominal)'!$B$1:$BX$1,0))*'Resource Options'!$E$39*8760</f>
        <v>252288</v>
      </c>
      <c r="U6" s="2">
        <f>INDEX('DATA (Nominal)'!$B$8:$BX$8,1,MATCH($B$1,'DATA (Nominal)'!$B$1:$BX$1,0))*'Resource Options'!$E$39*8760</f>
        <v>252288</v>
      </c>
      <c r="V6" s="2">
        <f>INDEX('DATA (Nominal)'!$B$8:$BX$8,1,MATCH($B$1,'DATA (Nominal)'!$B$1:$BX$1,0))*'Resource Options'!$E$39*8760</f>
        <v>252288</v>
      </c>
      <c r="W6" s="2">
        <f>INDEX('DATA (Nominal)'!$B$8:$BX$8,1,MATCH($B$1,'DATA (Nominal)'!$B$1:$BX$1,0))*'Resource Options'!$E$39*8760</f>
        <v>252288</v>
      </c>
      <c r="X6" s="16">
        <f>INDEX('DATA (Nominal)'!$B$8:$BX$8,1,MATCH($B$1,'DATA (Nominal)'!$B$1:$BX$1,0))*'Resource Options'!$E$39*8760</f>
        <v>252288</v>
      </c>
    </row>
    <row r="7" spans="1:24" hidden="1" outlineLevel="1">
      <c r="C7" s="32" t="s">
        <v>82</v>
      </c>
      <c r="D7" s="10"/>
      <c r="E7" s="3">
        <f t="shared" ref="E7:X7" si="1">E6*$E10/1000</f>
        <v>3411942.912</v>
      </c>
      <c r="F7" s="3">
        <f t="shared" si="1"/>
        <v>3411942.912</v>
      </c>
      <c r="G7" s="3">
        <f t="shared" si="1"/>
        <v>3411942.912</v>
      </c>
      <c r="H7" s="3">
        <f t="shared" si="1"/>
        <v>3411942.912</v>
      </c>
      <c r="I7" s="3">
        <f t="shared" si="1"/>
        <v>3411942.912</v>
      </c>
      <c r="J7" s="3">
        <f t="shared" si="1"/>
        <v>3411942.912</v>
      </c>
      <c r="K7" s="3">
        <f t="shared" si="1"/>
        <v>3411942.912</v>
      </c>
      <c r="L7" s="3">
        <f t="shared" si="1"/>
        <v>3411942.912</v>
      </c>
      <c r="M7" s="3">
        <f t="shared" si="1"/>
        <v>3411942.912</v>
      </c>
      <c r="N7" s="3">
        <f t="shared" si="1"/>
        <v>3411942.912</v>
      </c>
      <c r="O7" s="3">
        <f t="shared" si="1"/>
        <v>3411942.912</v>
      </c>
      <c r="P7" s="3">
        <f t="shared" si="1"/>
        <v>3411942.912</v>
      </c>
      <c r="Q7" s="3">
        <f t="shared" si="1"/>
        <v>3411942.912</v>
      </c>
      <c r="R7" s="3">
        <f t="shared" si="1"/>
        <v>3411942.912</v>
      </c>
      <c r="S7" s="3">
        <f t="shared" si="1"/>
        <v>3411942.912</v>
      </c>
      <c r="T7" s="3">
        <f t="shared" si="1"/>
        <v>3411942.912</v>
      </c>
      <c r="U7" s="3">
        <f t="shared" si="1"/>
        <v>3411942.912</v>
      </c>
      <c r="V7" s="3">
        <f t="shared" si="1"/>
        <v>3411942.912</v>
      </c>
      <c r="W7" s="3">
        <f t="shared" si="1"/>
        <v>3411942.912</v>
      </c>
      <c r="X7" s="5">
        <f t="shared" si="1"/>
        <v>3411942.912</v>
      </c>
    </row>
    <row r="8" spans="1:24" hidden="1" outlineLevel="1">
      <c r="C8" s="32"/>
      <c r="D8" s="10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5"/>
    </row>
    <row r="9" spans="1:24" hidden="1" outlineLevel="1">
      <c r="C9" s="32"/>
      <c r="D9" s="10"/>
      <c r="E9" s="40" t="s">
        <v>85</v>
      </c>
      <c r="F9" s="254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5"/>
    </row>
    <row r="10" spans="1:24" hidden="1" outlineLevel="1">
      <c r="C10" s="32" t="s">
        <v>86</v>
      </c>
      <c r="D10" s="10"/>
      <c r="E10" s="3">
        <f>INDEX('DATA (Nominal)'!$B$33:$BX$33,1,MATCH($B$1,'DATA (Nominal)'!$B$1:$BX$1,0))*1000</f>
        <v>13524</v>
      </c>
      <c r="F10" s="254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5"/>
    </row>
    <row r="11" spans="1:24" hidden="1" outlineLevel="1">
      <c r="C11" s="32" t="s">
        <v>87</v>
      </c>
      <c r="D11" s="10"/>
      <c r="E11" s="3">
        <f>'Resource Options'!$E$39</f>
        <v>57.6</v>
      </c>
      <c r="F11" s="254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5"/>
    </row>
    <row r="12" spans="1:24" hidden="1" outlineLevel="1">
      <c r="C12" s="32" t="s">
        <v>88</v>
      </c>
      <c r="D12" s="10"/>
      <c r="E12" s="130">
        <f>INDEX('DATA (Nominal)'!$B$55:$BX$55,1,MATCH($B$1,'DATA (Nominal)'!$B$1:$BX$1,0))*'Resource Options'!$E$39/1000</f>
        <v>295.74789428446803</v>
      </c>
      <c r="F12" s="254"/>
      <c r="X12" s="42"/>
    </row>
    <row r="13" spans="1:24" hidden="1" outlineLevel="1">
      <c r="C13" s="32" t="s">
        <v>81</v>
      </c>
      <c r="D13" s="10"/>
      <c r="E13" s="83">
        <f>E12*AFUDC!$C$39</f>
        <v>19.253187917918872</v>
      </c>
      <c r="F13" s="254"/>
      <c r="X13" s="42"/>
    </row>
    <row r="14" spans="1:24" hidden="1" outlineLevel="1">
      <c r="C14" s="32" t="s">
        <v>90</v>
      </c>
      <c r="D14" s="10"/>
      <c r="E14" s="83">
        <f>SUM(E12:E13)</f>
        <v>315.0010822023869</v>
      </c>
      <c r="F14" s="254"/>
      <c r="X14" s="42"/>
    </row>
    <row r="15" spans="1:24" hidden="1" outlineLevel="1">
      <c r="C15" s="32"/>
      <c r="D15" s="10"/>
      <c r="E15" s="10"/>
      <c r="F15" s="10"/>
      <c r="X15" s="42"/>
    </row>
    <row r="16" spans="1:24" hidden="1" outlineLevel="1">
      <c r="C16" s="88" t="s">
        <v>91</v>
      </c>
      <c r="D16" s="10"/>
      <c r="X16" s="42"/>
    </row>
    <row r="17" spans="3:24" hidden="1" outlineLevel="1">
      <c r="C17" s="87" t="s">
        <v>47</v>
      </c>
      <c r="D17" s="6">
        <f t="shared" ref="D17:D20" si="2">-PMT(Discount_Rate,20,NPV(Discount_Rate,E17:X17))</f>
        <v>2119591.1596072465</v>
      </c>
      <c r="E17" s="4">
        <f>$E11*1000*INDEX('DATA (Nominal)'!$B$174:$BX$174,1,MATCH(E$1,'DATA (Nominal)'!$B$1:$BX$1,0))</f>
        <v>1787772.5888215655</v>
      </c>
      <c r="F17" s="4">
        <f>$E11*1000*INDEX('DATA (Nominal)'!$B$174:$BX$174,1,MATCH(F$1,'DATA (Nominal)'!$B$1:$BX$1,0))</f>
        <v>1827699.5099719136</v>
      </c>
      <c r="G17" s="4">
        <f>$E11*1000*INDEX('DATA (Nominal)'!$B$174:$BX$174,1,MATCH(G$1,'DATA (Nominal)'!$B$1:$BX$1,0))</f>
        <v>1868518.1323612866</v>
      </c>
      <c r="H17" s="4">
        <f>$E11*1000*INDEX('DATA (Nominal)'!$B$174:$BX$174,1,MATCH(H$1,'DATA (Nominal)'!$B$1:$BX$1,0))</f>
        <v>1909625.5312732351</v>
      </c>
      <c r="I17" s="4">
        <f>$E11*1000*INDEX('DATA (Nominal)'!$B$174:$BX$174,1,MATCH(I$1,'DATA (Nominal)'!$B$1:$BX$1,0))</f>
        <v>1951637.2929612461</v>
      </c>
      <c r="J17" s="4">
        <f>$E11*1000*INDEX('DATA (Nominal)'!$B$174:$BX$174,1,MATCH(J$1,'DATA (Nominal)'!$B$1:$BX$1,0))</f>
        <v>1994573.3134063936</v>
      </c>
      <c r="K17" s="4">
        <f>$E11*1000*INDEX('DATA (Nominal)'!$B$174:$BX$174,1,MATCH(K$1,'DATA (Nominal)'!$B$1:$BX$1,0))</f>
        <v>2038453.9263013341</v>
      </c>
      <c r="L17" s="4">
        <f>$E11*1000*INDEX('DATA (Nominal)'!$B$174:$BX$174,1,MATCH(L$1,'DATA (Nominal)'!$B$1:$BX$1,0))</f>
        <v>2083299.9126799635</v>
      </c>
      <c r="M17" s="4">
        <f>$E11*1000*INDEX('DATA (Nominal)'!$B$174:$BX$174,1,MATCH(M$1,'DATA (Nominal)'!$B$1:$BX$1,0))</f>
        <v>2129132.5107589229</v>
      </c>
      <c r="N17" s="4">
        <f>$E11*1000*INDEX('DATA (Nominal)'!$B$174:$BX$174,1,MATCH(N$1,'DATA (Nominal)'!$B$1:$BX$1,0))</f>
        <v>2175973.425995619</v>
      </c>
      <c r="O17" s="4">
        <f>$E11*1000*INDEX('DATA (Nominal)'!$B$174:$BX$174,1,MATCH(O$1,'DATA (Nominal)'!$B$1:$BX$1,0))</f>
        <v>2223844.8413675223</v>
      </c>
      <c r="P17" s="4">
        <f>$E11*1000*INDEX('DATA (Nominal)'!$B$174:$BX$174,1,MATCH(P$1,'DATA (Nominal)'!$B$1:$BX$1,0))</f>
        <v>2272769.4278776078</v>
      </c>
      <c r="Q17" s="4">
        <f>$E11*1000*INDEX('DATA (Nominal)'!$B$174:$BX$174,1,MATCH(Q$1,'DATA (Nominal)'!$B$1:$BX$1,0))</f>
        <v>2322770.3552909154</v>
      </c>
      <c r="R17" s="4">
        <f>$E11*1000*INDEX('DATA (Nominal)'!$B$174:$BX$174,1,MATCH(R$1,'DATA (Nominal)'!$B$1:$BX$1,0))</f>
        <v>2373871.3031073157</v>
      </c>
      <c r="S17" s="4">
        <f>$E11*1000*INDEX('DATA (Nominal)'!$B$174:$BX$174,1,MATCH(S$1,'DATA (Nominal)'!$B$1:$BX$1,0))</f>
        <v>2426096.4717756766</v>
      </c>
      <c r="T17" s="4">
        <f>$E11*1000*INDEX('DATA (Nominal)'!$B$174:$BX$174,1,MATCH(T$1,'DATA (Nominal)'!$B$1:$BX$1,0))</f>
        <v>2479470.5941547416</v>
      </c>
      <c r="U17" s="4">
        <f>$E11*1000*INDEX('DATA (Nominal)'!$B$174:$BX$174,1,MATCH(U$1,'DATA (Nominal)'!$B$1:$BX$1,0))</f>
        <v>2534018.9472261458</v>
      </c>
      <c r="V17" s="4">
        <f>$E11*1000*INDEX('DATA (Nominal)'!$B$174:$BX$174,1,MATCH(V$1,'DATA (Nominal)'!$B$1:$BX$1,0))</f>
        <v>2589767.3640651214</v>
      </c>
      <c r="W17" s="4">
        <f>$E11*1000*INDEX('DATA (Nominal)'!$B$174:$BX$174,1,MATCH(W$1,'DATA (Nominal)'!$B$1:$BX$1,0))</f>
        <v>2646742.2460745536</v>
      </c>
      <c r="X17" s="43">
        <f>$E11*1000*INDEX('DATA (Nominal)'!$B$174:$BX$174,1,MATCH(X$1,'DATA (Nominal)'!$B$1:$BX$1,0))</f>
        <v>2704970.5754881939</v>
      </c>
    </row>
    <row r="18" spans="3:24" hidden="1" outlineLevel="1">
      <c r="C18" s="87" t="s">
        <v>92</v>
      </c>
      <c r="D18" s="6">
        <f t="shared" si="2"/>
        <v>36868370.290181085</v>
      </c>
      <c r="E18" s="6">
        <f>$E14*1000000*Assumptions!AG$39</f>
        <v>49625681.267514445</v>
      </c>
      <c r="F18" s="6">
        <f>$E14*1000000*Assumptions!AH$39</f>
        <v>47906977.965886086</v>
      </c>
      <c r="G18" s="6">
        <f>$E14*1000000*Assumptions!AI$39</f>
        <v>46099636.594596602</v>
      </c>
      <c r="H18" s="6">
        <f>$E14*1000000*Assumptions!AJ$39</f>
        <v>44323808.963237874</v>
      </c>
      <c r="I18" s="6">
        <f>$E14*1000000*Assumptions!AK$39</f>
        <v>42577133.81175743</v>
      </c>
      <c r="J18" s="6">
        <f>$E14*1000000*Assumptions!AL$39</f>
        <v>40857461.788056269</v>
      </c>
      <c r="K18" s="6">
        <f>$E14*1000000*Assumptions!AM$39</f>
        <v>39162764.630294457</v>
      </c>
      <c r="L18" s="6">
        <f>$E14*1000000*Assumptions!AN$39</f>
        <v>37491165.439455926</v>
      </c>
      <c r="M18" s="6">
        <f>$E14*1000000*Assumptions!AO$39</f>
        <v>35832553.178905874</v>
      </c>
      <c r="N18" s="6">
        <f>$E14*1000000*Assumptions!AP$39</f>
        <v>34175817.817371875</v>
      </c>
      <c r="O18" s="6">
        <f>$E14*1000000*Assumptions!AQ$39</f>
        <v>32519082.455837872</v>
      </c>
      <c r="P18" s="6">
        <f>$E14*1000000*Assumptions!AR$39</f>
        <v>30862347.094303861</v>
      </c>
      <c r="Q18" s="6">
        <f>$E14*1000000*Assumptions!AS$39</f>
        <v>29205611.732769854</v>
      </c>
      <c r="R18" s="6">
        <f>$E14*1000000*Assumptions!AT$39</f>
        <v>27548876.371235847</v>
      </c>
      <c r="S18" s="6">
        <f>$E14*1000000*Assumptions!AU$39</f>
        <v>25892141.009701844</v>
      </c>
      <c r="T18" s="6">
        <f>$E14*1000000*Assumptions!AV$39</f>
        <v>24235405.648167834</v>
      </c>
      <c r="U18" s="6">
        <f>$E14*1000000*Assumptions!AW$39</f>
        <v>22578670.286633827</v>
      </c>
      <c r="V18" s="6">
        <f>$E14*1000000*Assumptions!AX$39</f>
        <v>20921934.92509982</v>
      </c>
      <c r="W18" s="6">
        <f>$E14*1000000*Assumptions!AY$39</f>
        <v>19265199.563565806</v>
      </c>
      <c r="X18" s="44">
        <f>$E14*1000000*Assumptions!AZ$39</f>
        <v>17608464.202031802</v>
      </c>
    </row>
    <row r="19" spans="3:24" hidden="1" outlineLevel="1">
      <c r="C19" s="87" t="s">
        <v>93</v>
      </c>
      <c r="D19" s="6">
        <f t="shared" si="2"/>
        <v>61794.560667189689</v>
      </c>
      <c r="E19" s="6">
        <f t="shared" ref="E19:X19" si="3">E17*Misc_Fees</f>
        <v>52120.722054503916</v>
      </c>
      <c r="F19" s="6">
        <f t="shared" si="3"/>
        <v>53284.751513721167</v>
      </c>
      <c r="G19" s="6">
        <f t="shared" si="3"/>
        <v>54474.777630860946</v>
      </c>
      <c r="H19" s="6">
        <f t="shared" si="3"/>
        <v>55673.222738739896</v>
      </c>
      <c r="I19" s="6">
        <f t="shared" si="3"/>
        <v>56898.033638992165</v>
      </c>
      <c r="J19" s="6">
        <f t="shared" si="3"/>
        <v>58149.790379049999</v>
      </c>
      <c r="K19" s="6">
        <f t="shared" si="3"/>
        <v>59429.085767389093</v>
      </c>
      <c r="L19" s="6">
        <f t="shared" si="3"/>
        <v>60736.525654271652</v>
      </c>
      <c r="M19" s="6">
        <f t="shared" si="3"/>
        <v>62072.729218665634</v>
      </c>
      <c r="N19" s="6">
        <f t="shared" si="3"/>
        <v>63438.329261476276</v>
      </c>
      <c r="O19" s="6">
        <f t="shared" si="3"/>
        <v>64833.972505228739</v>
      </c>
      <c r="P19" s="6">
        <f t="shared" si="3"/>
        <v>66260.319900343777</v>
      </c>
      <c r="Q19" s="6">
        <f t="shared" si="3"/>
        <v>67718.046938151339</v>
      </c>
      <c r="R19" s="6">
        <f t="shared" si="3"/>
        <v>69207.84397079068</v>
      </c>
      <c r="S19" s="6">
        <f t="shared" si="3"/>
        <v>70730.416538148071</v>
      </c>
      <c r="T19" s="6">
        <f t="shared" si="3"/>
        <v>72286.485701987331</v>
      </c>
      <c r="U19" s="6">
        <f t="shared" si="3"/>
        <v>73876.78838743105</v>
      </c>
      <c r="V19" s="6">
        <f t="shared" si="3"/>
        <v>75502.077731954545</v>
      </c>
      <c r="W19" s="6">
        <f t="shared" si="3"/>
        <v>77163.123442057535</v>
      </c>
      <c r="X19" s="44">
        <f t="shared" si="3"/>
        <v>78860.712157782807</v>
      </c>
    </row>
    <row r="20" spans="3:24" hidden="1" outlineLevel="1">
      <c r="C20" s="89" t="s">
        <v>94</v>
      </c>
      <c r="D20" s="6">
        <f t="shared" si="2"/>
        <v>39049756.010455526</v>
      </c>
      <c r="E20" s="6">
        <f t="shared" ref="E20:X20" si="4">SUM(E17:E19)</f>
        <v>51465574.578390516</v>
      </c>
      <c r="F20" s="4">
        <f t="shared" si="4"/>
        <v>49787962.227371722</v>
      </c>
      <c r="G20" s="6">
        <f t="shared" si="4"/>
        <v>48022629.504588746</v>
      </c>
      <c r="H20" s="6">
        <f t="shared" si="4"/>
        <v>46289107.717249855</v>
      </c>
      <c r="I20" s="6">
        <f t="shared" si="4"/>
        <v>44585669.138357669</v>
      </c>
      <c r="J20" s="6">
        <f t="shared" si="4"/>
        <v>42910184.89184171</v>
      </c>
      <c r="K20" s="6">
        <f t="shared" si="4"/>
        <v>41260647.642363176</v>
      </c>
      <c r="L20" s="6">
        <f t="shared" si="4"/>
        <v>39635201.87779016</v>
      </c>
      <c r="M20" s="6">
        <f t="shared" si="4"/>
        <v>38023758.418883465</v>
      </c>
      <c r="N20" s="6">
        <f t="shared" si="4"/>
        <v>36415229.572628967</v>
      </c>
      <c r="O20" s="6">
        <f t="shared" si="4"/>
        <v>34807761.269710623</v>
      </c>
      <c r="P20" s="6">
        <f t="shared" si="4"/>
        <v>33201376.842081815</v>
      </c>
      <c r="Q20" s="6">
        <f t="shared" si="4"/>
        <v>31596100.134998921</v>
      </c>
      <c r="R20" s="6">
        <f t="shared" si="4"/>
        <v>29991955.518313952</v>
      </c>
      <c r="S20" s="6">
        <f t="shared" si="4"/>
        <v>28388967.89801567</v>
      </c>
      <c r="T20" s="6">
        <f t="shared" si="4"/>
        <v>26787162.728024561</v>
      </c>
      <c r="U20" s="6">
        <f t="shared" si="4"/>
        <v>25186566.022247404</v>
      </c>
      <c r="V20" s="6">
        <f t="shared" si="4"/>
        <v>23587204.366896898</v>
      </c>
      <c r="W20" s="6">
        <f t="shared" si="4"/>
        <v>21989104.933082417</v>
      </c>
      <c r="X20" s="44">
        <f t="shared" si="4"/>
        <v>20392295.489677779</v>
      </c>
    </row>
    <row r="21" spans="3:24" hidden="1" outlineLevel="1">
      <c r="C21" s="33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44"/>
    </row>
    <row r="22" spans="3:24" hidden="1" outlineLevel="1">
      <c r="C22" s="90" t="s">
        <v>95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44"/>
    </row>
    <row r="23" spans="3:24" hidden="1" outlineLevel="1">
      <c r="C23" s="87" t="s">
        <v>48</v>
      </c>
      <c r="D23" s="6">
        <f t="shared" ref="D23:D26" si="5">-PMT(Discount_Rate,20,NPV(Discount_Rate,E23:X23))</f>
        <v>1132624.7320477285</v>
      </c>
      <c r="E23" s="6">
        <f>E6*INDEX('DATA (Nominal)'!$B$103:$BX$103,1,MATCH(E$1,'DATA (Nominal)'!$B$1:$BX$1,0))</f>
        <v>955314.16056269174</v>
      </c>
      <c r="F23" s="6">
        <f>F6*INDEX('DATA (Nominal)'!$B$103:$BX$103,1,MATCH(F$1,'DATA (Nominal)'!$B$1:$BX$1,0))</f>
        <v>976649.51014859183</v>
      </c>
      <c r="G23" s="6">
        <f>G6*INDEX('DATA (Nominal)'!$B$103:$BX$103,1,MATCH(G$1,'DATA (Nominal)'!$B$1:$BX$1,0))</f>
        <v>998461.34920857707</v>
      </c>
      <c r="H23" s="6">
        <f>H6*INDEX('DATA (Nominal)'!$B$103:$BX$103,1,MATCH(H$1,'DATA (Nominal)'!$B$1:$BX$1,0))</f>
        <v>1020427.4988911657</v>
      </c>
      <c r="I23" s="6">
        <f>I6*INDEX('DATA (Nominal)'!$B$103:$BX$103,1,MATCH(I$1,'DATA (Nominal)'!$B$1:$BX$1,0))</f>
        <v>1042876.9038667714</v>
      </c>
      <c r="J23" s="6">
        <f>J6*INDEX('DATA (Nominal)'!$B$103:$BX$103,1,MATCH(J$1,'DATA (Nominal)'!$B$1:$BX$1,0))</f>
        <v>1065820.1957518402</v>
      </c>
      <c r="K23" s="6">
        <f>K6*INDEX('DATA (Nominal)'!$B$103:$BX$103,1,MATCH(K$1,'DATA (Nominal)'!$B$1:$BX$1,0))</f>
        <v>1089268.2400583809</v>
      </c>
      <c r="L23" s="6">
        <f>L6*INDEX('DATA (Nominal)'!$B$103:$BX$103,1,MATCH(L$1,'DATA (Nominal)'!$B$1:$BX$1,0))</f>
        <v>1113232.1413396653</v>
      </c>
      <c r="M23" s="6">
        <f>M6*INDEX('DATA (Nominal)'!$B$103:$BX$103,1,MATCH(M$1,'DATA (Nominal)'!$B$1:$BX$1,0))</f>
        <v>1137723.2484491379</v>
      </c>
      <c r="N23" s="6">
        <f>N6*INDEX('DATA (Nominal)'!$B$103:$BX$103,1,MATCH(N$1,'DATA (Nominal)'!$B$1:$BX$1,0))</f>
        <v>1162753.1599150188</v>
      </c>
      <c r="O23" s="6">
        <f>O6*INDEX('DATA (Nominal)'!$B$103:$BX$103,1,MATCH(O$1,'DATA (Nominal)'!$B$1:$BX$1,0))</f>
        <v>1188333.7294331496</v>
      </c>
      <c r="P23" s="6">
        <f>P6*INDEX('DATA (Nominal)'!$B$103:$BX$103,1,MATCH(P$1,'DATA (Nominal)'!$B$1:$BX$1,0))</f>
        <v>1214477.0714806786</v>
      </c>
      <c r="Q23" s="6">
        <f>Q6*INDEX('DATA (Nominal)'!$B$103:$BX$103,1,MATCH(Q$1,'DATA (Nominal)'!$B$1:$BX$1,0))</f>
        <v>1241195.5670532535</v>
      </c>
      <c r="R23" s="6">
        <f>R6*INDEX('DATA (Nominal)'!$B$103:$BX$103,1,MATCH(R$1,'DATA (Nominal)'!$B$1:$BX$1,0))</f>
        <v>1268501.8695284249</v>
      </c>
      <c r="S23" s="6">
        <f>S6*INDEX('DATA (Nominal)'!$B$103:$BX$103,1,MATCH(S$1,'DATA (Nominal)'!$B$1:$BX$1,0))</f>
        <v>1296408.9106580506</v>
      </c>
      <c r="T23" s="6">
        <f>T6*INDEX('DATA (Nominal)'!$B$103:$BX$103,1,MATCH(T$1,'DATA (Nominal)'!$B$1:$BX$1,0))</f>
        <v>1324929.9066925277</v>
      </c>
      <c r="U23" s="6">
        <f>U6*INDEX('DATA (Nominal)'!$B$103:$BX$103,1,MATCH(U$1,'DATA (Nominal)'!$B$1:$BX$1,0))</f>
        <v>1354078.3646397633</v>
      </c>
      <c r="V23" s="6">
        <f>V6*INDEX('DATA (Nominal)'!$B$103:$BX$103,1,MATCH(V$1,'DATA (Nominal)'!$B$1:$BX$1,0))</f>
        <v>1383868.0886618381</v>
      </c>
      <c r="W23" s="6">
        <f>W6*INDEX('DATA (Nominal)'!$B$103:$BX$103,1,MATCH(W$1,'DATA (Nominal)'!$B$1:$BX$1,0))</f>
        <v>1414313.1866123984</v>
      </c>
      <c r="X23" s="44">
        <f>X6*INDEX('DATA (Nominal)'!$B$103:$BX$103,1,MATCH(X$1,'DATA (Nominal)'!$B$1:$BX$1,0))</f>
        <v>1445428.0767178712</v>
      </c>
    </row>
    <row r="24" spans="3:24" hidden="1" outlineLevel="1">
      <c r="C24" s="87" t="s">
        <v>96</v>
      </c>
      <c r="D24" s="6">
        <f t="shared" si="5"/>
        <v>8711352.0785212796</v>
      </c>
      <c r="E24" s="6">
        <f>E7*INDEX('DATA (Nominal)'!$B$141:$BX$141,1,MATCH(E$1,'DATA (Nominal)'!$B$1:$BX$1,0))</f>
        <v>7178727.8868479999</v>
      </c>
      <c r="F24" s="6">
        <f>F7*INDEX('DATA (Nominal)'!$B$141:$BX$141,1,MATCH(F$1,'DATA (Nominal)'!$B$1:$BX$1,0))</f>
        <v>7356148.9182720007</v>
      </c>
      <c r="G24" s="6">
        <f>G7*INDEX('DATA (Nominal)'!$B$141:$BX$141,1,MATCH(G$1,'DATA (Nominal)'!$B$1:$BX$1,0))</f>
        <v>7540393.8355200002</v>
      </c>
      <c r="H24" s="6">
        <f>H7*INDEX('DATA (Nominal)'!$B$141:$BX$141,1,MATCH(H$1,'DATA (Nominal)'!$B$1:$BX$1,0))</f>
        <v>7728050.6956800008</v>
      </c>
      <c r="I24" s="6">
        <f>I7*INDEX('DATA (Nominal)'!$B$141:$BX$141,1,MATCH(I$1,'DATA (Nominal)'!$B$1:$BX$1,0))</f>
        <v>7922531.441664</v>
      </c>
      <c r="J24" s="6">
        <f>J7*INDEX('DATA (Nominal)'!$B$141:$BX$141,1,MATCH(J$1,'DATA (Nominal)'!$B$1:$BX$1,0))</f>
        <v>8120424.1305599995</v>
      </c>
      <c r="K24" s="6">
        <f>K7*INDEX('DATA (Nominal)'!$B$141:$BX$141,1,MATCH(K$1,'DATA (Nominal)'!$B$1:$BX$1,0))</f>
        <v>8325140.7052799994</v>
      </c>
      <c r="L24" s="6">
        <f>L7*INDEX('DATA (Nominal)'!$B$141:$BX$141,1,MATCH(L$1,'DATA (Nominal)'!$B$1:$BX$1,0))</f>
        <v>8533269.2229120005</v>
      </c>
      <c r="M24" s="6">
        <f>M7*INDEX('DATA (Nominal)'!$B$141:$BX$141,1,MATCH(M$1,'DATA (Nominal)'!$B$1:$BX$1,0))</f>
        <v>8744809.6834559999</v>
      </c>
      <c r="N24" s="6">
        <f>N7*INDEX('DATA (Nominal)'!$B$141:$BX$141,1,MATCH(N$1,'DATA (Nominal)'!$B$1:$BX$1,0))</f>
        <v>8963174.0298239999</v>
      </c>
      <c r="O24" s="6">
        <f>O7*INDEX('DATA (Nominal)'!$B$141:$BX$141,1,MATCH(O$1,'DATA (Nominal)'!$B$1:$BX$1,0))</f>
        <v>9188362.2620160002</v>
      </c>
      <c r="P24" s="6">
        <f>P7*INDEX('DATA (Nominal)'!$B$141:$BX$141,1,MATCH(P$1,'DATA (Nominal)'!$B$1:$BX$1,0))</f>
        <v>9416962.4371199999</v>
      </c>
      <c r="Q24" s="6">
        <f>Q7*INDEX('DATA (Nominal)'!$B$141:$BX$141,1,MATCH(Q$1,'DATA (Nominal)'!$B$1:$BX$1,0))</f>
        <v>9652386.498048</v>
      </c>
      <c r="R24" s="6">
        <f>R7*INDEX('DATA (Nominal)'!$B$141:$BX$141,1,MATCH(R$1,'DATA (Nominal)'!$B$1:$BX$1,0))</f>
        <v>9894634.4448000006</v>
      </c>
      <c r="S24" s="6">
        <f>S7*INDEX('DATA (Nominal)'!$B$141:$BX$141,1,MATCH(S$1,'DATA (Nominal)'!$B$1:$BX$1,0))</f>
        <v>10140294.334464001</v>
      </c>
      <c r="T24" s="6">
        <f>T7*INDEX('DATA (Nominal)'!$B$141:$BX$141,1,MATCH(T$1,'DATA (Nominal)'!$B$1:$BX$1,0))</f>
        <v>10396190.052864</v>
      </c>
      <c r="U24" s="6">
        <f>U7*INDEX('DATA (Nominal)'!$B$141:$BX$141,1,MATCH(U$1,'DATA (Nominal)'!$B$1:$BX$1,0))</f>
        <v>10655497.714176001</v>
      </c>
      <c r="V24" s="6">
        <f>V7*INDEX('DATA (Nominal)'!$B$141:$BX$141,1,MATCH(V$1,'DATA (Nominal)'!$B$1:$BX$1,0))</f>
        <v>10921629.261312</v>
      </c>
      <c r="W24" s="6">
        <f>W7*INDEX('DATA (Nominal)'!$B$141:$BX$141,1,MATCH(W$1,'DATA (Nominal)'!$B$1:$BX$1,0))</f>
        <v>11194584.694272</v>
      </c>
      <c r="X24" s="44">
        <f>X7*INDEX('DATA (Nominal)'!$B$141:$BX$141,1,MATCH(X$1,'DATA (Nominal)'!$B$1:$BX$1,0))</f>
        <v>11474364.013056001</v>
      </c>
    </row>
    <row r="25" spans="3:24" hidden="1" outlineLevel="1">
      <c r="C25" s="87" t="s">
        <v>93</v>
      </c>
      <c r="D25" s="6">
        <f t="shared" si="5"/>
        <v>286991.29993532877</v>
      </c>
      <c r="E25" s="6">
        <f t="shared" ref="E25:X25" si="6">SUM(E23:E24)*Misc_Fees</f>
        <v>237139.86185021128</v>
      </c>
      <c r="F25" s="6">
        <f t="shared" si="6"/>
        <v>242934.40538217395</v>
      </c>
      <c r="G25" s="6">
        <f t="shared" si="6"/>
        <v>248941.78405557695</v>
      </c>
      <c r="H25" s="6">
        <f t="shared" si="6"/>
        <v>255053.13328452781</v>
      </c>
      <c r="I25" s="6">
        <f t="shared" si="6"/>
        <v>261377.5149056041</v>
      </c>
      <c r="J25" s="6">
        <f t="shared" si="6"/>
        <v>267815.76708929538</v>
      </c>
      <c r="K25" s="6">
        <f t="shared" si="6"/>
        <v>274467.67839239509</v>
      </c>
      <c r="L25" s="6">
        <f t="shared" si="6"/>
        <v>281234.10077339306</v>
      </c>
      <c r="M25" s="6">
        <f t="shared" si="6"/>
        <v>288115.36509676237</v>
      </c>
      <c r="N25" s="6">
        <f t="shared" si="6"/>
        <v>295211.28128965135</v>
      </c>
      <c r="O25" s="6">
        <f t="shared" si="6"/>
        <v>302522.19493470847</v>
      </c>
      <c r="P25" s="6">
        <f t="shared" si="6"/>
        <v>309948.98743374419</v>
      </c>
      <c r="Q25" s="6">
        <f t="shared" si="6"/>
        <v>317591.4915259619</v>
      </c>
      <c r="R25" s="6">
        <f t="shared" si="6"/>
        <v>325450.07610793086</v>
      </c>
      <c r="S25" s="6">
        <f t="shared" si="6"/>
        <v>333425.64640828827</v>
      </c>
      <c r="T25" s="6">
        <f t="shared" si="6"/>
        <v>341717.53130091098</v>
      </c>
      <c r="U25" s="6">
        <f t="shared" si="6"/>
        <v>350127.18100179476</v>
      </c>
      <c r="V25" s="6">
        <f t="shared" si="6"/>
        <v>358754.46974113729</v>
      </c>
      <c r="W25" s="6">
        <f t="shared" si="6"/>
        <v>367599.8088193037</v>
      </c>
      <c r="X25" s="44">
        <f t="shared" si="6"/>
        <v>376663.61858526745</v>
      </c>
    </row>
    <row r="26" spans="3:24" hidden="1" outlineLevel="1">
      <c r="C26" s="89" t="s">
        <v>99</v>
      </c>
      <c r="D26" s="6">
        <f t="shared" si="5"/>
        <v>10130968.110504335</v>
      </c>
      <c r="E26" s="6">
        <f t="shared" ref="E26:X26" si="7">SUM(E23:E25)</f>
        <v>8371181.9092609026</v>
      </c>
      <c r="F26" s="4">
        <f t="shared" si="7"/>
        <v>8575732.8338027652</v>
      </c>
      <c r="G26" s="6">
        <f t="shared" si="7"/>
        <v>8787796.9687841553</v>
      </c>
      <c r="H26" s="6">
        <f t="shared" si="7"/>
        <v>9003531.327855695</v>
      </c>
      <c r="I26" s="6">
        <f t="shared" si="7"/>
        <v>9226785.8604363743</v>
      </c>
      <c r="J26" s="6">
        <f t="shared" si="7"/>
        <v>9454060.0934011359</v>
      </c>
      <c r="K26" s="6">
        <f t="shared" si="7"/>
        <v>9688876.623730775</v>
      </c>
      <c r="L26" s="6">
        <f t="shared" si="7"/>
        <v>9927735.465025058</v>
      </c>
      <c r="M26" s="6">
        <f t="shared" si="7"/>
        <v>10170648.2970019</v>
      </c>
      <c r="N26" s="6">
        <f t="shared" si="7"/>
        <v>10421138.471028671</v>
      </c>
      <c r="O26" s="6">
        <f t="shared" si="7"/>
        <v>10679218.186383858</v>
      </c>
      <c r="P26" s="6">
        <f t="shared" si="7"/>
        <v>10941388.496034423</v>
      </c>
      <c r="Q26" s="6">
        <f t="shared" si="7"/>
        <v>11211173.556627214</v>
      </c>
      <c r="R26" s="6">
        <f t="shared" si="7"/>
        <v>11488586.390436355</v>
      </c>
      <c r="S26" s="6">
        <f t="shared" si="7"/>
        <v>11770128.891530339</v>
      </c>
      <c r="T26" s="6">
        <f t="shared" si="7"/>
        <v>12062837.490857439</v>
      </c>
      <c r="U26" s="6">
        <f t="shared" si="7"/>
        <v>12359703.259817559</v>
      </c>
      <c r="V26" s="6">
        <f t="shared" si="7"/>
        <v>12664251.819714976</v>
      </c>
      <c r="W26" s="6">
        <f t="shared" si="7"/>
        <v>12976497.689703701</v>
      </c>
      <c r="X26" s="44">
        <f t="shared" si="7"/>
        <v>13296455.708359139</v>
      </c>
    </row>
    <row r="27" spans="3:24" hidden="1" outlineLevel="1">
      <c r="C27" s="33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44"/>
    </row>
    <row r="28" spans="3:24" ht="15.75" hidden="1" outlineLevel="1" thickBot="1">
      <c r="C28" s="91" t="s">
        <v>100</v>
      </c>
      <c r="D28" s="84">
        <f>-PMT(Discount_Rate,20,NPV(Discount_Rate,E28:X28))</f>
        <v>49180724.120959848</v>
      </c>
      <c r="E28" s="84">
        <f t="shared" ref="E28:X28" si="8">E20+E26</f>
        <v>59836756.487651423</v>
      </c>
      <c r="F28" s="84">
        <f t="shared" si="8"/>
        <v>58363695.06117449</v>
      </c>
      <c r="G28" s="84">
        <f t="shared" si="8"/>
        <v>56810426.473372899</v>
      </c>
      <c r="H28" s="84">
        <f t="shared" si="8"/>
        <v>55292639.045105547</v>
      </c>
      <c r="I28" s="84">
        <f t="shared" si="8"/>
        <v>53812454.998794042</v>
      </c>
      <c r="J28" s="84">
        <f t="shared" si="8"/>
        <v>52364244.985242844</v>
      </c>
      <c r="K28" s="84">
        <f t="shared" si="8"/>
        <v>50949524.266093954</v>
      </c>
      <c r="L28" s="84">
        <f t="shared" si="8"/>
        <v>49562937.34281522</v>
      </c>
      <c r="M28" s="84">
        <f t="shared" si="8"/>
        <v>48194406.715885364</v>
      </c>
      <c r="N28" s="84">
        <f t="shared" si="8"/>
        <v>46836368.043657638</v>
      </c>
      <c r="O28" s="84">
        <f t="shared" si="8"/>
        <v>45486979.456094481</v>
      </c>
      <c r="P28" s="84">
        <f t="shared" si="8"/>
        <v>44142765.338116236</v>
      </c>
      <c r="Q28" s="84">
        <f t="shared" si="8"/>
        <v>42807273.691626132</v>
      </c>
      <c r="R28" s="84">
        <f t="shared" si="8"/>
        <v>41480541.908750311</v>
      </c>
      <c r="S28" s="84">
        <f t="shared" si="8"/>
        <v>40159096.789546013</v>
      </c>
      <c r="T28" s="84">
        <f t="shared" si="8"/>
        <v>38850000.218882002</v>
      </c>
      <c r="U28" s="84">
        <f t="shared" si="8"/>
        <v>37546269.282064959</v>
      </c>
      <c r="V28" s="84">
        <f t="shared" si="8"/>
        <v>36251456.186611876</v>
      </c>
      <c r="W28" s="84">
        <f t="shared" si="8"/>
        <v>34965602.62278612</v>
      </c>
      <c r="X28" s="85">
        <f t="shared" si="8"/>
        <v>33688751.198036917</v>
      </c>
    </row>
    <row r="29" spans="3:24" hidden="1" outlineLevel="1">
      <c r="C29" s="32" t="s">
        <v>101</v>
      </c>
      <c r="D29" s="50">
        <f>D28/AVERAGE(E6:X6)</f>
        <v>194.93881643581878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3:24" hidden="1" outlineLevel="1">
      <c r="C30" s="32" t="s">
        <v>102</v>
      </c>
      <c r="D30" s="50">
        <f>D20/E11/1000</f>
        <v>677.94715295929734</v>
      </c>
      <c r="E30" s="24"/>
      <c r="F30" s="86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</row>
    <row r="31" spans="3:24" ht="15.75" hidden="1" outlineLevel="1" thickBot="1">
      <c r="C31" s="34" t="s">
        <v>103</v>
      </c>
      <c r="D31" s="51">
        <f>D26/AVERAGE(E6:X6)</f>
        <v>40.156361422280625</v>
      </c>
    </row>
    <row r="32" spans="3:24" hidden="1" outlineLevel="1"/>
    <row r="33" spans="1:24" ht="15.75" collapsed="1" thickBot="1"/>
    <row r="34" spans="1:24" ht="18.75" thickBot="1">
      <c r="A34" s="265"/>
      <c r="C34" s="496" t="s">
        <v>27</v>
      </c>
      <c r="D34" s="497"/>
      <c r="E34" s="497"/>
      <c r="F34" s="498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</row>
    <row r="35" spans="1:24" hidden="1" outlineLevel="1">
      <c r="C35" s="31" t="s">
        <v>44</v>
      </c>
      <c r="D35" s="8"/>
      <c r="E35" s="2">
        <f>INDEX('DATA (Nominal)'!$B$9:$BX$9,1,MATCH($B$1,'DATA (Nominal)'!$B$1:$BX$1,0))*'Resource Options'!$E$40*8760</f>
        <v>39999.999999999993</v>
      </c>
      <c r="F35" s="2">
        <f>INDEX('DATA (Nominal)'!$B$9:$BX$9,1,MATCH($B$1,'DATA (Nominal)'!$B$1:$BX$1,0))*'Resource Options'!$E$40*8760</f>
        <v>39999.999999999993</v>
      </c>
      <c r="G35" s="2">
        <f>INDEX('DATA (Nominal)'!$B$9:$BX$9,1,MATCH($B$1,'DATA (Nominal)'!$B$1:$BX$1,0))*'Resource Options'!$E$40*8760</f>
        <v>39999.999999999993</v>
      </c>
      <c r="H35" s="2">
        <f>INDEX('DATA (Nominal)'!$B$9:$BX$9,1,MATCH($B$1,'DATA (Nominal)'!$B$1:$BX$1,0))*'Resource Options'!$E$40*8760</f>
        <v>39999.999999999993</v>
      </c>
      <c r="I35" s="2">
        <f>INDEX('DATA (Nominal)'!$B$9:$BX$9,1,MATCH($B$1,'DATA (Nominal)'!$B$1:$BX$1,0))*'Resource Options'!$E$40*8760</f>
        <v>39999.999999999993</v>
      </c>
      <c r="J35" s="2">
        <f>INDEX('DATA (Nominal)'!$B$9:$BX$9,1,MATCH($B$1,'DATA (Nominal)'!$B$1:$BX$1,0))*'Resource Options'!$E$40*8760</f>
        <v>39999.999999999993</v>
      </c>
      <c r="K35" s="2">
        <f>INDEX('DATA (Nominal)'!$B$9:$BX$9,1,MATCH($B$1,'DATA (Nominal)'!$B$1:$BX$1,0))*'Resource Options'!$E$40*8760</f>
        <v>39999.999999999993</v>
      </c>
      <c r="L35" s="2">
        <f>INDEX('DATA (Nominal)'!$B$9:$BX$9,1,MATCH($B$1,'DATA (Nominal)'!$B$1:$BX$1,0))*'Resource Options'!$E$40*8760</f>
        <v>39999.999999999993</v>
      </c>
      <c r="M35" s="2">
        <f>INDEX('DATA (Nominal)'!$B$9:$BX$9,1,MATCH($B$1,'DATA (Nominal)'!$B$1:$BX$1,0))*'Resource Options'!$E$40*8760</f>
        <v>39999.999999999993</v>
      </c>
      <c r="N35" s="2">
        <f>INDEX('DATA (Nominal)'!$B$9:$BX$9,1,MATCH($B$1,'DATA (Nominal)'!$B$1:$BX$1,0))*'Resource Options'!$E$40*8760</f>
        <v>39999.999999999993</v>
      </c>
      <c r="O35" s="2">
        <f>INDEX('DATA (Nominal)'!$B$9:$BX$9,1,MATCH($B$1,'DATA (Nominal)'!$B$1:$BX$1,0))*'Resource Options'!$E$40*8760</f>
        <v>39999.999999999993</v>
      </c>
      <c r="P35" s="2">
        <f>INDEX('DATA (Nominal)'!$B$9:$BX$9,1,MATCH($B$1,'DATA (Nominal)'!$B$1:$BX$1,0))*'Resource Options'!$E$40*8760</f>
        <v>39999.999999999993</v>
      </c>
      <c r="Q35" s="2">
        <f>INDEX('DATA (Nominal)'!$B$9:$BX$9,1,MATCH($B$1,'DATA (Nominal)'!$B$1:$BX$1,0))*'Resource Options'!$E$40*8760</f>
        <v>39999.999999999993</v>
      </c>
      <c r="R35" s="2">
        <f>INDEX('DATA (Nominal)'!$B$9:$BX$9,1,MATCH($B$1,'DATA (Nominal)'!$B$1:$BX$1,0))*'Resource Options'!$E$40*8760</f>
        <v>39999.999999999993</v>
      </c>
      <c r="S35" s="2">
        <f>INDEX('DATA (Nominal)'!$B$9:$BX$9,1,MATCH($B$1,'DATA (Nominal)'!$B$1:$BX$1,0))*'Resource Options'!$E$40*8760</f>
        <v>39999.999999999993</v>
      </c>
      <c r="T35" s="2">
        <f>INDEX('DATA (Nominal)'!$B$9:$BX$9,1,MATCH($B$1,'DATA (Nominal)'!$B$1:$BX$1,0))*'Resource Options'!$E$40*8760</f>
        <v>39999.999999999993</v>
      </c>
      <c r="U35" s="2">
        <f>INDEX('DATA (Nominal)'!$B$9:$BX$9,1,MATCH($B$1,'DATA (Nominal)'!$B$1:$BX$1,0))*'Resource Options'!$E$40*8760</f>
        <v>39999.999999999993</v>
      </c>
      <c r="V35" s="2">
        <f>INDEX('DATA (Nominal)'!$B$9:$BX$9,1,MATCH($B$1,'DATA (Nominal)'!$B$1:$BX$1,0))*'Resource Options'!$E$40*8760</f>
        <v>39999.999999999993</v>
      </c>
      <c r="W35" s="2">
        <f>INDEX('DATA (Nominal)'!$B$9:$BX$9,1,MATCH($B$1,'DATA (Nominal)'!$B$1:$BX$1,0))*'Resource Options'!$E$40*8760</f>
        <v>39999.999999999993</v>
      </c>
      <c r="X35" s="16">
        <f>INDEX('DATA (Nominal)'!$B$9:$BX$9,1,MATCH($B$1,'DATA (Nominal)'!$B$1:$BX$1,0))*'Resource Options'!$E$40*8760</f>
        <v>39999.999999999993</v>
      </c>
    </row>
    <row r="36" spans="1:24" hidden="1" outlineLevel="1">
      <c r="C36" s="32" t="s">
        <v>82</v>
      </c>
      <c r="D36" s="10"/>
      <c r="E36" s="3">
        <f t="shared" ref="E36:X36" si="9">E35*$E40/1000</f>
        <v>447999.99999999994</v>
      </c>
      <c r="F36" s="3">
        <f t="shared" si="9"/>
        <v>447999.99999999994</v>
      </c>
      <c r="G36" s="3">
        <f t="shared" si="9"/>
        <v>447999.99999999994</v>
      </c>
      <c r="H36" s="3">
        <f t="shared" si="9"/>
        <v>447999.99999999994</v>
      </c>
      <c r="I36" s="3">
        <f t="shared" si="9"/>
        <v>447999.99999999994</v>
      </c>
      <c r="J36" s="3">
        <f t="shared" si="9"/>
        <v>447999.99999999994</v>
      </c>
      <c r="K36" s="3">
        <f t="shared" si="9"/>
        <v>447999.99999999994</v>
      </c>
      <c r="L36" s="3">
        <f t="shared" si="9"/>
        <v>447999.99999999994</v>
      </c>
      <c r="M36" s="3">
        <f t="shared" si="9"/>
        <v>447999.99999999994</v>
      </c>
      <c r="N36" s="3">
        <f t="shared" si="9"/>
        <v>447999.99999999994</v>
      </c>
      <c r="O36" s="3">
        <f t="shared" si="9"/>
        <v>447999.99999999994</v>
      </c>
      <c r="P36" s="3">
        <f t="shared" si="9"/>
        <v>447999.99999999994</v>
      </c>
      <c r="Q36" s="3">
        <f t="shared" si="9"/>
        <v>447999.99999999994</v>
      </c>
      <c r="R36" s="3">
        <f t="shared" si="9"/>
        <v>447999.99999999994</v>
      </c>
      <c r="S36" s="3">
        <f t="shared" si="9"/>
        <v>447999.99999999994</v>
      </c>
      <c r="T36" s="3">
        <f t="shared" si="9"/>
        <v>447999.99999999994</v>
      </c>
      <c r="U36" s="3">
        <f t="shared" si="9"/>
        <v>447999.99999999994</v>
      </c>
      <c r="V36" s="3">
        <f t="shared" si="9"/>
        <v>447999.99999999994</v>
      </c>
      <c r="W36" s="3">
        <f t="shared" si="9"/>
        <v>447999.99999999994</v>
      </c>
      <c r="X36" s="5">
        <f t="shared" si="9"/>
        <v>447999.99999999994</v>
      </c>
    </row>
    <row r="37" spans="1:24" hidden="1" outlineLevel="1">
      <c r="C37" s="32" t="s">
        <v>124</v>
      </c>
      <c r="D37" s="10"/>
      <c r="E37" s="254">
        <f>-(INDEX('DATA (Nominal)'!$B$9:$BX$9,1,MATCH($B$1,'DATA (Nominal)'!$B$1:$BX$1,0))*154*8760)*((11950-$E40)/1000)</f>
        <v>-924000</v>
      </c>
      <c r="F37" s="3">
        <f>-(INDEX('DATA (Nominal)'!$B$9:$BX$9,1,MATCH($B$1,'DATA (Nominal)'!$B$1:$BX$1,0))*154*8760)*((11950-$E40)/1000)</f>
        <v>-924000</v>
      </c>
      <c r="G37" s="3">
        <f>-(INDEX('DATA (Nominal)'!$B$9:$BX$9,1,MATCH($B$1,'DATA (Nominal)'!$B$1:$BX$1,0))*154*8760)*((11950-$E40)/1000)</f>
        <v>-924000</v>
      </c>
      <c r="H37" s="3">
        <f>-(INDEX('DATA (Nominal)'!$B$9:$BX$9,1,MATCH($B$1,'DATA (Nominal)'!$B$1:$BX$1,0))*154*8760)*((11950-$E40)/1000)</f>
        <v>-924000</v>
      </c>
      <c r="I37" s="3">
        <f>-(INDEX('DATA (Nominal)'!$B$9:$BX$9,1,MATCH($B$1,'DATA (Nominal)'!$B$1:$BX$1,0))*154*8760)*((11950-$E40)/1000)</f>
        <v>-924000</v>
      </c>
      <c r="J37" s="3">
        <f>-(INDEX('DATA (Nominal)'!$B$9:$BX$9,1,MATCH($B$1,'DATA (Nominal)'!$B$1:$BX$1,0))*154*8760)*((11950-$E40)/1000)</f>
        <v>-924000</v>
      </c>
      <c r="K37" s="3">
        <f>-(INDEX('DATA (Nominal)'!$B$9:$BX$9,1,MATCH($B$1,'DATA (Nominal)'!$B$1:$BX$1,0))*154*8760)*((11950-$E40)/1000)</f>
        <v>-924000</v>
      </c>
      <c r="L37" s="3">
        <f>-(INDEX('DATA (Nominal)'!$B$9:$BX$9,1,MATCH($B$1,'DATA (Nominal)'!$B$1:$BX$1,0))*154*8760)*((11950-$E40)/1000)</f>
        <v>-924000</v>
      </c>
      <c r="M37" s="3">
        <f>-(INDEX('DATA (Nominal)'!$B$9:$BX$9,1,MATCH($B$1,'DATA (Nominal)'!$B$1:$BX$1,0))*154*8760)*((11950-$E40)/1000)</f>
        <v>-924000</v>
      </c>
      <c r="N37" s="3">
        <f>-(INDEX('DATA (Nominal)'!$B$9:$BX$9,1,MATCH($B$1,'DATA (Nominal)'!$B$1:$BX$1,0))*154*8760)*((11950-$E40)/1000)</f>
        <v>-924000</v>
      </c>
      <c r="O37" s="3">
        <f>-(INDEX('DATA (Nominal)'!$B$9:$BX$9,1,MATCH($B$1,'DATA (Nominal)'!$B$1:$BX$1,0))*154*8760)*((11950-$E40)/1000)</f>
        <v>-924000</v>
      </c>
      <c r="P37" s="3">
        <f>-(INDEX('DATA (Nominal)'!$B$9:$BX$9,1,MATCH($B$1,'DATA (Nominal)'!$B$1:$BX$1,0))*154*8760)*((11950-$E40)/1000)</f>
        <v>-924000</v>
      </c>
      <c r="Q37" s="3">
        <f>-(INDEX('DATA (Nominal)'!$B$9:$BX$9,1,MATCH($B$1,'DATA (Nominal)'!$B$1:$BX$1,0))*154*8760)*((11950-$E40)/1000)</f>
        <v>-924000</v>
      </c>
      <c r="R37" s="3">
        <f>-(INDEX('DATA (Nominal)'!$B$9:$BX$9,1,MATCH($B$1,'DATA (Nominal)'!$B$1:$BX$1,0))*154*8760)*((11950-$E40)/1000)</f>
        <v>-924000</v>
      </c>
      <c r="S37" s="3">
        <f>-(INDEX('DATA (Nominal)'!$B$9:$BX$9,1,MATCH($B$1,'DATA (Nominal)'!$B$1:$BX$1,0))*154*8760)*((11950-$E40)/1000)</f>
        <v>-924000</v>
      </c>
      <c r="T37" s="3">
        <f>-(INDEX('DATA (Nominal)'!$B$9:$BX$9,1,MATCH($B$1,'DATA (Nominal)'!$B$1:$BX$1,0))*154*8760)*((11950-$E40)/1000)</f>
        <v>-924000</v>
      </c>
      <c r="U37" s="3">
        <f>-(INDEX('DATA (Nominal)'!$B$9:$BX$9,1,MATCH($B$1,'DATA (Nominal)'!$B$1:$BX$1,0))*154*8760)*((11950-$E40)/1000)</f>
        <v>-924000</v>
      </c>
      <c r="V37" s="3">
        <f>-(INDEX('DATA (Nominal)'!$B$9:$BX$9,1,MATCH($B$1,'DATA (Nominal)'!$B$1:$BX$1,0))*154*8760)*((11950-$E40)/1000)</f>
        <v>-924000</v>
      </c>
      <c r="W37" s="3">
        <f>-(INDEX('DATA (Nominal)'!$B$9:$BX$9,1,MATCH($B$1,'DATA (Nominal)'!$B$1:$BX$1,0))*154*8760)*((11950-$E40)/1000)</f>
        <v>-924000</v>
      </c>
      <c r="X37" s="5">
        <f>-(INDEX('DATA (Nominal)'!$B$9:$BX$9,1,MATCH($B$1,'DATA (Nominal)'!$B$1:$BX$1,0))*154*8760)*((11950-$E40)/1000)</f>
        <v>-924000</v>
      </c>
    </row>
    <row r="38" spans="1:24" hidden="1" outlineLevel="1">
      <c r="C38" s="32"/>
      <c r="D38" s="10"/>
      <c r="E38" s="40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5"/>
    </row>
    <row r="39" spans="1:24" hidden="1" outlineLevel="1">
      <c r="C39" s="32"/>
      <c r="D39" s="10"/>
      <c r="E39" s="40" t="s">
        <v>85</v>
      </c>
      <c r="F39" s="254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5"/>
    </row>
    <row r="40" spans="1:24" hidden="1" outlineLevel="1">
      <c r="C40" s="32" t="s">
        <v>86</v>
      </c>
      <c r="D40" s="10"/>
      <c r="E40" s="3">
        <f>INDEX('DATA (Nominal)'!$B$34:$BX$34,1,MATCH($B$1,'DATA (Nominal)'!$B$1:$BX$1,0))*1000</f>
        <v>11200</v>
      </c>
      <c r="F40" s="254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5"/>
    </row>
    <row r="41" spans="1:24" hidden="1" outlineLevel="1">
      <c r="C41" s="32" t="s">
        <v>87</v>
      </c>
      <c r="D41" s="10"/>
      <c r="E41" s="3">
        <f>'Resource Options'!$E$40</f>
        <v>5</v>
      </c>
      <c r="F41" s="25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5"/>
    </row>
    <row r="42" spans="1:24" hidden="1" outlineLevel="1">
      <c r="C42" s="32" t="s">
        <v>88</v>
      </c>
      <c r="D42" s="10"/>
      <c r="E42" s="130">
        <f>INDEX('DATA (Nominal)'!$B$56:$BX$56,1,MATCH($B$1,'DATA (Nominal)'!$B$1:$BX$1,0))*'Resource Options'!$E$40/1000</f>
        <v>4.4756390157650996</v>
      </c>
      <c r="F42" s="254"/>
      <c r="X42" s="42"/>
    </row>
    <row r="43" spans="1:24" hidden="1" outlineLevel="1">
      <c r="C43" s="32" t="s">
        <v>81</v>
      </c>
      <c r="D43" s="10"/>
      <c r="E43" s="83">
        <f>E42*AFUDC!$C$40</f>
        <v>0.18938666495210021</v>
      </c>
      <c r="F43" s="254"/>
      <c r="X43" s="42"/>
    </row>
    <row r="44" spans="1:24" hidden="1" outlineLevel="1">
      <c r="C44" s="32" t="s">
        <v>90</v>
      </c>
      <c r="D44" s="10"/>
      <c r="E44" s="83">
        <f>SUM(E42:E43)</f>
        <v>4.6650256807171999</v>
      </c>
      <c r="F44" s="254"/>
      <c r="X44" s="42"/>
    </row>
    <row r="45" spans="1:24" hidden="1" outlineLevel="1">
      <c r="C45" s="32"/>
      <c r="D45" s="10"/>
      <c r="E45" s="10"/>
      <c r="F45" s="10"/>
      <c r="X45" s="42"/>
    </row>
    <row r="46" spans="1:24" hidden="1" outlineLevel="1">
      <c r="C46" s="88" t="s">
        <v>91</v>
      </c>
      <c r="D46" s="10"/>
      <c r="E46">
        <f>IFERROR(INDEX(Assumptions!$AG$44:$CD$54,MATCH($B$1,Assumptions!$AE$44:$AE$54,0),MATCH(E$1,Assumptions!$AG$2:$CD$2,0)),Assumptions!AG$40)</f>
        <v>0.15754130405060052</v>
      </c>
      <c r="X46" s="42"/>
    </row>
    <row r="47" spans="1:24" hidden="1" outlineLevel="1">
      <c r="C47" s="87" t="s">
        <v>47</v>
      </c>
      <c r="D47" s="6">
        <f t="shared" ref="D47:D50" si="10">-PMT(Discount_Rate,20,NPV(Discount_Rate,E47:X47))</f>
        <v>35105.728580995034</v>
      </c>
      <c r="E47" s="4">
        <f>$E41*1000*INDEX('DATA (Nominal)'!$B$175:$BX$175,1,MATCH(E$1,'DATA (Nominal)'!$B$1:$BX$1,0))</f>
        <v>29609.98350235718</v>
      </c>
      <c r="F47" s="4">
        <f>$E41*1000*INDEX('DATA (Nominal)'!$B$175:$BX$175,1,MATCH(F$1,'DATA (Nominal)'!$B$1:$BX$1,0))</f>
        <v>30271.273133909821</v>
      </c>
      <c r="G47" s="4">
        <f>$E41*1000*INDEX('DATA (Nominal)'!$B$175:$BX$175,1,MATCH(G$1,'DATA (Nominal)'!$B$1:$BX$1,0))</f>
        <v>30947.331567233807</v>
      </c>
      <c r="H47" s="4">
        <f>$E41*1000*INDEX('DATA (Nominal)'!$B$175:$BX$175,1,MATCH(H$1,'DATA (Nominal)'!$B$1:$BX$1,0))</f>
        <v>31628.172861712952</v>
      </c>
      <c r="I47" s="4">
        <f>$E41*1000*INDEX('DATA (Nominal)'!$B$175:$BX$175,1,MATCH(I$1,'DATA (Nominal)'!$B$1:$BX$1,0))</f>
        <v>32323.992664670637</v>
      </c>
      <c r="J47" s="4">
        <f>$E41*1000*INDEX('DATA (Nominal)'!$B$175:$BX$175,1,MATCH(J$1,'DATA (Nominal)'!$B$1:$BX$1,0))</f>
        <v>33035.120503293394</v>
      </c>
      <c r="K47" s="4">
        <f>$E41*1000*INDEX('DATA (Nominal)'!$B$175:$BX$175,1,MATCH(K$1,'DATA (Nominal)'!$B$1:$BX$1,0))</f>
        <v>33761.893154365847</v>
      </c>
      <c r="L47" s="4">
        <f>$E41*1000*INDEX('DATA (Nominal)'!$B$175:$BX$175,1,MATCH(L$1,'DATA (Nominal)'!$B$1:$BX$1,0))</f>
        <v>34504.6548037619</v>
      </c>
      <c r="M47" s="4">
        <f>$E41*1000*INDEX('DATA (Nominal)'!$B$175:$BX$175,1,MATCH(M$1,'DATA (Nominal)'!$B$1:$BX$1,0))</f>
        <v>35263.757209444659</v>
      </c>
      <c r="N47" s="4">
        <f>$E41*1000*INDEX('DATA (Nominal)'!$B$175:$BX$175,1,MATCH(N$1,'DATA (Nominal)'!$B$1:$BX$1,0))</f>
        <v>36039.559868052442</v>
      </c>
      <c r="O47" s="4">
        <f>$E41*1000*INDEX('DATA (Nominal)'!$B$175:$BX$175,1,MATCH(O$1,'DATA (Nominal)'!$B$1:$BX$1,0))</f>
        <v>36832.430185149591</v>
      </c>
      <c r="P47" s="4">
        <f>$E41*1000*INDEX('DATA (Nominal)'!$B$175:$BX$175,1,MATCH(P$1,'DATA (Nominal)'!$B$1:$BX$1,0))</f>
        <v>37642.743649222888</v>
      </c>
      <c r="Q47" s="4">
        <f>$E41*1000*INDEX('DATA (Nominal)'!$B$175:$BX$175,1,MATCH(Q$1,'DATA (Nominal)'!$B$1:$BX$1,0))</f>
        <v>38470.884009505782</v>
      </c>
      <c r="R47" s="4">
        <f>$E41*1000*INDEX('DATA (Nominal)'!$B$175:$BX$175,1,MATCH(R$1,'DATA (Nominal)'!$B$1:$BX$1,0))</f>
        <v>39317.243457714918</v>
      </c>
      <c r="S47" s="4">
        <f>$E41*1000*INDEX('DATA (Nominal)'!$B$175:$BX$175,1,MATCH(S$1,'DATA (Nominal)'!$B$1:$BX$1,0))</f>
        <v>40182.222813784654</v>
      </c>
      <c r="T47" s="4">
        <f>$E41*1000*INDEX('DATA (Nominal)'!$B$175:$BX$175,1,MATCH(T$1,'DATA (Nominal)'!$B$1:$BX$1,0))</f>
        <v>41066.231715687914</v>
      </c>
      <c r="U47" s="4">
        <f>$E41*1000*INDEX('DATA (Nominal)'!$B$175:$BX$175,1,MATCH(U$1,'DATA (Nominal)'!$B$1:$BX$1,0))</f>
        <v>41969.688813433044</v>
      </c>
      <c r="V47" s="4">
        <f>$E41*1000*INDEX('DATA (Nominal)'!$B$175:$BX$175,1,MATCH(V$1,'DATA (Nominal)'!$B$1:$BX$1,0))</f>
        <v>42893.021967328568</v>
      </c>
      <c r="W47" s="4">
        <f>$E41*1000*INDEX('DATA (Nominal)'!$B$175:$BX$175,1,MATCH(W$1,'DATA (Nominal)'!$B$1:$BX$1,0))</f>
        <v>43836.668450609795</v>
      </c>
      <c r="X47" s="43">
        <f>$E41*1000*INDEX('DATA (Nominal)'!$B$175:$BX$175,1,MATCH(X$1,'DATA (Nominal)'!$B$1:$BX$1,0))</f>
        <v>44801.075156523213</v>
      </c>
    </row>
    <row r="48" spans="1:24" hidden="1" outlineLevel="1">
      <c r="C48" s="87" t="s">
        <v>92</v>
      </c>
      <c r="D48" s="6">
        <f t="shared" si="10"/>
        <v>546004.13753303152</v>
      </c>
      <c r="E48" s="6">
        <f>$E44*1000000*IFERROR(INDEX(Assumptions!$AG$44:$CD$54,MATCH($B$1,Assumptions!$AE$44:$AE$54,0),MATCH(E$2,Assumptions!$AG$2:$CD$2,0)),Assumptions!AG$40)</f>
        <v>734934.22916972812</v>
      </c>
      <c r="F48" s="6">
        <f>$E44*1000000*IFERROR(INDEX(Assumptions!$AG$44:$CD$54,MATCH($B$1,Assumptions!$AE$44:$AE$54,0),MATCH(F$2,Assumptions!$AG$2:$CD$2,0)),Assumptions!AH$40)</f>
        <v>709480.99902978097</v>
      </c>
      <c r="G48" s="6">
        <f>$E44*1000000*IFERROR(INDEX(Assumptions!$AG$44:$CD$54,MATCH($B$1,Assumptions!$AE$44:$AE$54,0),MATCH(G$2,Assumptions!$AG$2:$CD$2,0)),Assumptions!AI$40)</f>
        <v>682715.07857027289</v>
      </c>
      <c r="H48" s="6">
        <f>$E44*1000000*IFERROR(INDEX(Assumptions!$AG$44:$CD$54,MATCH($B$1,Assumptions!$AE$44:$AE$54,0),MATCH(H$2,Assumptions!$AG$2:$CD$2,0)),Assumptions!AJ$40)</f>
        <v>656415.8625583956</v>
      </c>
      <c r="I48" s="6">
        <f>$E44*1000000*IFERROR(INDEX(Assumptions!$AG$44:$CD$54,MATCH($B$1,Assumptions!$AE$44:$AE$54,0),MATCH(I$2,Assumptions!$AG$2:$CD$2,0)),Assumptions!AK$40)</f>
        <v>630548.38178481639</v>
      </c>
      <c r="J48" s="6">
        <f>$E44*1000000*IFERROR(INDEX(Assumptions!$AG$44:$CD$54,MATCH($B$1,Assumptions!$AE$44:$AE$54,0),MATCH(J$2,Assumptions!$AG$2:$CD$2,0)),Assumptions!AL$40)</f>
        <v>605080.80530257907</v>
      </c>
      <c r="K48" s="6">
        <f>$E44*1000000*IFERROR(INDEX(Assumptions!$AG$44:$CD$54,MATCH($B$1,Assumptions!$AE$44:$AE$54,0),MATCH(K$2,Assumptions!$AG$2:$CD$2,0)),Assumptions!AM$40)</f>
        <v>579983.09545751312</v>
      </c>
      <c r="L48" s="6">
        <f>$E44*1000000*IFERROR(INDEX(Assumptions!$AG$44:$CD$54,MATCH($B$1,Assumptions!$AE$44:$AE$54,0),MATCH(L$2,Assumptions!$AG$2:$CD$2,0)),Assumptions!AN$40)</f>
        <v>555227.45621143072</v>
      </c>
      <c r="M48" s="6">
        <f>$E44*1000000*IFERROR(INDEX(Assumptions!$AG$44:$CD$54,MATCH($B$1,Assumptions!$AE$44:$AE$54,0),MATCH(M$2,Assumptions!$AG$2:$CD$2,0)),Assumptions!AO$40)</f>
        <v>530664.14761667757</v>
      </c>
      <c r="N48" s="6">
        <f>$E44*1000000*IFERROR(INDEX(Assumptions!$AG$44:$CD$54,MATCH($B$1,Assumptions!$AE$44:$AE$54,0),MATCH(N$2,Assumptions!$AG$2:$CD$2,0)),Assumptions!AP$40)</f>
        <v>506128.63506011211</v>
      </c>
      <c r="O48" s="6">
        <f>$E44*1000000*IFERROR(INDEX(Assumptions!$AG$44:$CD$54,MATCH($B$1,Assumptions!$AE$44:$AE$54,0),MATCH(O$2,Assumptions!$AG$2:$CD$2,0)),Assumptions!AQ$40)</f>
        <v>481593.12250354642</v>
      </c>
      <c r="P48" s="6">
        <f>$E44*1000000*IFERROR(INDEX(Assumptions!$AG$44:$CD$54,MATCH($B$1,Assumptions!$AE$44:$AE$54,0),MATCH(P$2,Assumptions!$AG$2:$CD$2,0)),Assumptions!AR$40)</f>
        <v>457057.60994698072</v>
      </c>
      <c r="Q48" s="6">
        <f>$E44*1000000*IFERROR(INDEX(Assumptions!$AG$44:$CD$54,MATCH($B$1,Assumptions!$AE$44:$AE$54,0),MATCH(Q$2,Assumptions!$AG$2:$CD$2,0)),Assumptions!AS$40)</f>
        <v>432522.09739041503</v>
      </c>
      <c r="R48" s="6">
        <f>$E44*1000000*IFERROR(INDEX(Assumptions!$AG$44:$CD$54,MATCH($B$1,Assumptions!$AE$44:$AE$54,0),MATCH(R$2,Assumptions!$AG$2:$CD$2,0)),Assumptions!AT$40)</f>
        <v>407986.5848338494</v>
      </c>
      <c r="S48" s="6">
        <f>$E44*1000000*IFERROR(INDEX(Assumptions!$AG$44:$CD$54,MATCH($B$1,Assumptions!$AE$44:$AE$54,0),MATCH(S$2,Assumptions!$AG$2:$CD$2,0)),Assumptions!AU$40)</f>
        <v>383451.07227728376</v>
      </c>
      <c r="T48" s="6">
        <f>$E44*1000000*IFERROR(INDEX(Assumptions!$AG$44:$CD$54,MATCH($B$1,Assumptions!$AE$44:$AE$54,0),MATCH(T$2,Assumptions!$AG$2:$CD$2,0)),Assumptions!AV$40)</f>
        <v>358915.55972071807</v>
      </c>
      <c r="U48" s="6">
        <f>$E44*1000000*IFERROR(INDEX(Assumptions!$AG$44:$CD$54,MATCH($B$1,Assumptions!$AE$44:$AE$54,0),MATCH(U$2,Assumptions!$AG$2:$CD$2,0)),Assumptions!AW$40)</f>
        <v>334380.04716415238</v>
      </c>
      <c r="V48" s="6">
        <f>$E44*1000000*IFERROR(INDEX(Assumptions!$AG$44:$CD$54,MATCH($B$1,Assumptions!$AE$44:$AE$54,0),MATCH(V$2,Assumptions!$AG$2:$CD$2,0)),Assumptions!AX$40)</f>
        <v>309844.53460758674</v>
      </c>
      <c r="W48" s="6">
        <f>$E44*1000000*IFERROR(INDEX(Assumptions!$AG$44:$CD$54,MATCH($B$1,Assumptions!$AE$44:$AE$54,0),MATCH(W$2,Assumptions!$AG$2:$CD$2,0)),Assumptions!AY$40)</f>
        <v>285309.02205102099</v>
      </c>
      <c r="X48" s="44">
        <f>$E44*1000000*IFERROR(INDEX(Assumptions!$AG$44:$CD$54,MATCH($B$1,Assumptions!$AE$44:$AE$54,0),MATCH(X$2,Assumptions!$AG$2:$CD$2,0)),Assumptions!AZ$40)</f>
        <v>260773.50949445536</v>
      </c>
    </row>
    <row r="49" spans="3:24" hidden="1" outlineLevel="1">
      <c r="C49" s="87" t="s">
        <v>93</v>
      </c>
      <c r="D49" s="6">
        <f t="shared" si="10"/>
        <v>1023.4724110503295</v>
      </c>
      <c r="E49" s="6">
        <f t="shared" ref="E49:X49" si="11">E47*Misc_Fees</f>
        <v>863.24945902772117</v>
      </c>
      <c r="F49" s="6">
        <f t="shared" si="11"/>
        <v>882.5286969460069</v>
      </c>
      <c r="G49" s="6">
        <f t="shared" si="11"/>
        <v>902.23850451113435</v>
      </c>
      <c r="H49" s="6">
        <f t="shared" si="11"/>
        <v>922.08775161037943</v>
      </c>
      <c r="I49" s="6">
        <f t="shared" si="11"/>
        <v>942.37368214580772</v>
      </c>
      <c r="J49" s="6">
        <f t="shared" si="11"/>
        <v>963.10590315301556</v>
      </c>
      <c r="K49" s="6">
        <f t="shared" si="11"/>
        <v>984.29423302238195</v>
      </c>
      <c r="L49" s="6">
        <f t="shared" si="11"/>
        <v>1005.9487061488744</v>
      </c>
      <c r="M49" s="6">
        <f t="shared" si="11"/>
        <v>1028.0795776841496</v>
      </c>
      <c r="N49" s="6">
        <f t="shared" si="11"/>
        <v>1050.6973283932009</v>
      </c>
      <c r="O49" s="6">
        <f t="shared" si="11"/>
        <v>1073.812669617851</v>
      </c>
      <c r="P49" s="6">
        <f t="shared" si="11"/>
        <v>1097.4365483494441</v>
      </c>
      <c r="Q49" s="6">
        <f t="shared" si="11"/>
        <v>1121.5801524131316</v>
      </c>
      <c r="R49" s="6">
        <f t="shared" si="11"/>
        <v>1146.2549157662206</v>
      </c>
      <c r="S49" s="6">
        <f t="shared" si="11"/>
        <v>1171.4725239130778</v>
      </c>
      <c r="T49" s="6">
        <f t="shared" si="11"/>
        <v>1197.2449194391654</v>
      </c>
      <c r="U49" s="6">
        <f t="shared" si="11"/>
        <v>1223.584307666827</v>
      </c>
      <c r="V49" s="6">
        <f t="shared" si="11"/>
        <v>1250.503162435497</v>
      </c>
      <c r="W49" s="6">
        <f t="shared" si="11"/>
        <v>1278.0142320090779</v>
      </c>
      <c r="X49" s="44">
        <f t="shared" si="11"/>
        <v>1306.1305451132778</v>
      </c>
    </row>
    <row r="50" spans="3:24" hidden="1" outlineLevel="1">
      <c r="C50" s="89" t="s">
        <v>94</v>
      </c>
      <c r="D50" s="6">
        <f t="shared" si="10"/>
        <v>582133.33852507686</v>
      </c>
      <c r="E50" s="6">
        <f t="shared" ref="E50:X50" si="12">SUM(E47:E49)</f>
        <v>765407.46213111305</v>
      </c>
      <c r="F50" s="4">
        <f t="shared" si="12"/>
        <v>740634.80086063675</v>
      </c>
      <c r="G50" s="6">
        <f t="shared" si="12"/>
        <v>714564.64864201786</v>
      </c>
      <c r="H50" s="6">
        <f t="shared" si="12"/>
        <v>688966.12317171902</v>
      </c>
      <c r="I50" s="6">
        <f t="shared" si="12"/>
        <v>663814.74813163292</v>
      </c>
      <c r="J50" s="6">
        <f t="shared" si="12"/>
        <v>639079.03170902538</v>
      </c>
      <c r="K50" s="6">
        <f t="shared" si="12"/>
        <v>614729.28284490132</v>
      </c>
      <c r="L50" s="6">
        <f t="shared" si="12"/>
        <v>590738.05972134147</v>
      </c>
      <c r="M50" s="6">
        <f t="shared" si="12"/>
        <v>566955.98440380639</v>
      </c>
      <c r="N50" s="6">
        <f t="shared" si="12"/>
        <v>543218.89225655783</v>
      </c>
      <c r="O50" s="6">
        <f t="shared" si="12"/>
        <v>519499.36535831384</v>
      </c>
      <c r="P50" s="6">
        <f t="shared" si="12"/>
        <v>495797.79014455306</v>
      </c>
      <c r="Q50" s="6">
        <f t="shared" si="12"/>
        <v>472114.56155233394</v>
      </c>
      <c r="R50" s="6">
        <f t="shared" si="12"/>
        <v>448450.08320733055</v>
      </c>
      <c r="S50" s="6">
        <f t="shared" si="12"/>
        <v>424804.76761498151</v>
      </c>
      <c r="T50" s="6">
        <f t="shared" si="12"/>
        <v>401179.03635584511</v>
      </c>
      <c r="U50" s="6">
        <f t="shared" si="12"/>
        <v>377573.32028525224</v>
      </c>
      <c r="V50" s="6">
        <f t="shared" si="12"/>
        <v>353988.05973735079</v>
      </c>
      <c r="W50" s="6">
        <f t="shared" si="12"/>
        <v>330423.70473363984</v>
      </c>
      <c r="X50" s="44">
        <f t="shared" si="12"/>
        <v>306880.71519609186</v>
      </c>
    </row>
    <row r="51" spans="3:24" hidden="1" outlineLevel="1">
      <c r="C51" s="33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44"/>
    </row>
    <row r="52" spans="3:24" hidden="1" outlineLevel="1">
      <c r="C52" s="90" t="s">
        <v>95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44"/>
    </row>
    <row r="53" spans="3:24" hidden="1" outlineLevel="1">
      <c r="C53" s="87" t="s">
        <v>48</v>
      </c>
      <c r="D53" s="6">
        <f t="shared" ref="D53:D58" si="13">-PMT(Discount_Rate,20,NPV(Discount_Rate,E53:X53))</f>
        <v>235510.12884524974</v>
      </c>
      <c r="E53" s="6">
        <f>E35*INDEX('DATA (Nominal)'!$B$104:$BX$104,1,MATCH(E$1,'DATA (Nominal)'!$B$1:$BX$1,0))</f>
        <v>198641.39875795168</v>
      </c>
      <c r="F53" s="6">
        <f>F35*INDEX('DATA (Nominal)'!$B$104:$BX$104,1,MATCH(F$1,'DATA (Nominal)'!$B$1:$BX$1,0))</f>
        <v>203077.72333021258</v>
      </c>
      <c r="G53" s="6">
        <f>G35*INDEX('DATA (Nominal)'!$B$104:$BX$104,1,MATCH(G$1,'DATA (Nominal)'!$B$1:$BX$1,0))</f>
        <v>207613.12581792072</v>
      </c>
      <c r="H53" s="6">
        <f>H35*INDEX('DATA (Nominal)'!$B$104:$BX$104,1,MATCH(H$1,'DATA (Nominal)'!$B$1:$BX$1,0))</f>
        <v>212180.61458591497</v>
      </c>
      <c r="I53" s="6">
        <f>I35*INDEX('DATA (Nominal)'!$B$104:$BX$104,1,MATCH(I$1,'DATA (Nominal)'!$B$1:$BX$1,0))</f>
        <v>216848.58810680508</v>
      </c>
      <c r="J53" s="6">
        <f>J35*INDEX('DATA (Nominal)'!$B$104:$BX$104,1,MATCH(J$1,'DATA (Nominal)'!$B$1:$BX$1,0))</f>
        <v>221619.25704515481</v>
      </c>
      <c r="K53" s="6">
        <f>K35*INDEX('DATA (Nominal)'!$B$104:$BX$104,1,MATCH(K$1,'DATA (Nominal)'!$B$1:$BX$1,0))</f>
        <v>226494.88070014821</v>
      </c>
      <c r="L53" s="6">
        <f>L35*INDEX('DATA (Nominal)'!$B$104:$BX$104,1,MATCH(L$1,'DATA (Nominal)'!$B$1:$BX$1,0))</f>
        <v>231477.76807555149</v>
      </c>
      <c r="M53" s="6">
        <f>M35*INDEX('DATA (Nominal)'!$B$104:$BX$104,1,MATCH(M$1,'DATA (Nominal)'!$B$1:$BX$1,0))</f>
        <v>236570.27897321363</v>
      </c>
      <c r="N53" s="6">
        <f>N35*INDEX('DATA (Nominal)'!$B$104:$BX$104,1,MATCH(N$1,'DATA (Nominal)'!$B$1:$BX$1,0))</f>
        <v>241774.82511062431</v>
      </c>
      <c r="O53" s="6">
        <f>O35*INDEX('DATA (Nominal)'!$B$104:$BX$104,1,MATCH(O$1,'DATA (Nominal)'!$B$1:$BX$1,0))</f>
        <v>247093.87126305804</v>
      </c>
      <c r="P53" s="6">
        <f>P35*INDEX('DATA (Nominal)'!$B$104:$BX$104,1,MATCH(P$1,'DATA (Nominal)'!$B$1:$BX$1,0))</f>
        <v>252529.93643084532</v>
      </c>
      <c r="Q53" s="6">
        <f>Q35*INDEX('DATA (Nominal)'!$B$104:$BX$104,1,MATCH(Q$1,'DATA (Nominal)'!$B$1:$BX$1,0))</f>
        <v>258085.59503232388</v>
      </c>
      <c r="R53" s="6">
        <f>R35*INDEX('DATA (Nominal)'!$B$104:$BX$104,1,MATCH(R$1,'DATA (Nominal)'!$B$1:$BX$1,0))</f>
        <v>263763.47812303505</v>
      </c>
      <c r="S53" s="6">
        <f>S35*INDEX('DATA (Nominal)'!$B$104:$BX$104,1,MATCH(S$1,'DATA (Nominal)'!$B$1:$BX$1,0))</f>
        <v>269566.27464174182</v>
      </c>
      <c r="T53" s="6">
        <f>T35*INDEX('DATA (Nominal)'!$B$104:$BX$104,1,MATCH(T$1,'DATA (Nominal)'!$B$1:$BX$1,0))</f>
        <v>275496.73268386017</v>
      </c>
      <c r="U53" s="6">
        <f>U35*INDEX('DATA (Nominal)'!$B$104:$BX$104,1,MATCH(U$1,'DATA (Nominal)'!$B$1:$BX$1,0))</f>
        <v>281557.66080290504</v>
      </c>
      <c r="V53" s="6">
        <f>V35*INDEX('DATA (Nominal)'!$B$104:$BX$104,1,MATCH(V$1,'DATA (Nominal)'!$B$1:$BX$1,0))</f>
        <v>287751.92934056901</v>
      </c>
      <c r="W53" s="6">
        <f>W35*INDEX('DATA (Nominal)'!$B$104:$BX$104,1,MATCH(W$1,'DATA (Nominal)'!$B$1:$BX$1,0))</f>
        <v>294082.47178606153</v>
      </c>
      <c r="X53" s="44">
        <f>X35*INDEX('DATA (Nominal)'!$B$104:$BX$104,1,MATCH(X$1,'DATA (Nominal)'!$B$1:$BX$1,0))</f>
        <v>300552.28616535483</v>
      </c>
    </row>
    <row r="54" spans="3:24" hidden="1" outlineLevel="1">
      <c r="C54" s="87" t="s">
        <v>96</v>
      </c>
      <c r="D54" s="6">
        <f t="shared" si="13"/>
        <v>1880218.9262610038</v>
      </c>
      <c r="E54" s="6">
        <f>E36*INDEX('DATA (Nominal)'!$B$142:$BX$142,1,MATCH(E$1,'DATA (Nominal)'!$B$1:$BX$1,0))</f>
        <v>1816111.4830325516</v>
      </c>
      <c r="F54" s="6">
        <f>F36*INDEX('DATA (Nominal)'!$B$142:$BX$142,1,MATCH(F$1,'DATA (Nominal)'!$B$1:$BX$1,0))</f>
        <v>1667098.8837474186</v>
      </c>
      <c r="G54" s="6">
        <f>G36*INDEX('DATA (Nominal)'!$B$142:$BX$142,1,MATCH(G$1,'DATA (Nominal)'!$B$1:$BX$1,0))</f>
        <v>1593851.0405212811</v>
      </c>
      <c r="H54" s="6">
        <f>H36*INDEX('DATA (Nominal)'!$B$142:$BX$142,1,MATCH(H$1,'DATA (Nominal)'!$B$1:$BX$1,0))</f>
        <v>1590633.5392529366</v>
      </c>
      <c r="I54" s="6">
        <f>I36*INDEX('DATA (Nominal)'!$B$142:$BX$142,1,MATCH(I$1,'DATA (Nominal)'!$B$1:$BX$1,0))</f>
        <v>1626863.3053801483</v>
      </c>
      <c r="J54" s="6">
        <f>J36*INDEX('DATA (Nominal)'!$B$142:$BX$142,1,MATCH(J$1,'DATA (Nominal)'!$B$1:$BX$1,0))</f>
        <v>1699584.1094981523</v>
      </c>
      <c r="K54" s="6">
        <f>K36*INDEX('DATA (Nominal)'!$B$142:$BX$142,1,MATCH(K$1,'DATA (Nominal)'!$B$1:$BX$1,0))</f>
        <v>1775046.3963243915</v>
      </c>
      <c r="L54" s="6">
        <f>L36*INDEX('DATA (Nominal)'!$B$142:$BX$142,1,MATCH(L$1,'DATA (Nominal)'!$B$1:$BX$1,0))</f>
        <v>1820470.7171546735</v>
      </c>
      <c r="M54" s="6">
        <f>M36*INDEX('DATA (Nominal)'!$B$142:$BX$142,1,MATCH(M$1,'DATA (Nominal)'!$B$1:$BX$1,0))</f>
        <v>1888375.4718680601</v>
      </c>
      <c r="N54" s="6">
        <f>N36*INDEX('DATA (Nominal)'!$B$142:$BX$142,1,MATCH(N$1,'DATA (Nominal)'!$B$1:$BX$1,0))</f>
        <v>1910502.067699156</v>
      </c>
      <c r="O54" s="6">
        <f>O36*INDEX('DATA (Nominal)'!$B$142:$BX$142,1,MATCH(O$1,'DATA (Nominal)'!$B$1:$BX$1,0))</f>
        <v>1962243.0331613163</v>
      </c>
      <c r="P54" s="6">
        <f>P36*INDEX('DATA (Nominal)'!$B$142:$BX$142,1,MATCH(P$1,'DATA (Nominal)'!$B$1:$BX$1,0))</f>
        <v>1999429.0960851924</v>
      </c>
      <c r="Q54" s="6">
        <f>Q36*INDEX('DATA (Nominal)'!$B$142:$BX$142,1,MATCH(Q$1,'DATA (Nominal)'!$B$1:$BX$1,0))</f>
        <v>2043238.6898444016</v>
      </c>
      <c r="R54" s="6">
        <f>R36*INDEX('DATA (Nominal)'!$B$142:$BX$142,1,MATCH(R$1,'DATA (Nominal)'!$B$1:$BX$1,0))</f>
        <v>2072467.7025118046</v>
      </c>
      <c r="S54" s="6">
        <f>S36*INDEX('DATA (Nominal)'!$B$142:$BX$142,1,MATCH(S$1,'DATA (Nominal)'!$B$1:$BX$1,0))</f>
        <v>2138243.4979672064</v>
      </c>
      <c r="T54" s="6">
        <f>T36*INDEX('DATA (Nominal)'!$B$142:$BX$142,1,MATCH(T$1,'DATA (Nominal)'!$B$1:$BX$1,0))</f>
        <v>2241797.8406267962</v>
      </c>
      <c r="U54" s="6">
        <f>U36*INDEX('DATA (Nominal)'!$B$142:$BX$142,1,MATCH(U$1,'DATA (Nominal)'!$B$1:$BX$1,0))</f>
        <v>2294644.9436794808</v>
      </c>
      <c r="V54" s="6">
        <f>V36*INDEX('DATA (Nominal)'!$B$142:$BX$142,1,MATCH(V$1,'DATA (Nominal)'!$B$1:$BX$1,0))</f>
        <v>2337564.605771027</v>
      </c>
      <c r="W54" s="6">
        <f>W36*INDEX('DATA (Nominal)'!$B$142:$BX$142,1,MATCH(W$1,'DATA (Nominal)'!$B$1:$BX$1,0))</f>
        <v>2424169.7795800259</v>
      </c>
      <c r="X54" s="44">
        <f>X36*INDEX('DATA (Nominal)'!$B$142:$BX$142,1,MATCH(X$1,'DATA (Nominal)'!$B$1:$BX$1,0))</f>
        <v>2474893.7036321638</v>
      </c>
    </row>
    <row r="55" spans="3:24" hidden="1" outlineLevel="1">
      <c r="C55" s="87" t="s">
        <v>125</v>
      </c>
      <c r="D55" s="6">
        <f t="shared" si="13"/>
        <v>-3877951.535413322</v>
      </c>
      <c r="E55" s="6">
        <f>E37*INDEX('DATA (Nominal)'!$B$143:$BX$143,1,MATCH(E$1,'DATA (Nominal)'!$B$1:$BX$1,0))</f>
        <v>-3745729.9337546383</v>
      </c>
      <c r="F55" s="6">
        <f>F37*INDEX('DATA (Nominal)'!$B$143:$BX$143,1,MATCH(F$1,'DATA (Nominal)'!$B$1:$BX$1,0))</f>
        <v>-3438391.4477290511</v>
      </c>
      <c r="G55" s="6">
        <f>G37*INDEX('DATA (Nominal)'!$B$143:$BX$143,1,MATCH(G$1,'DATA (Nominal)'!$B$1:$BX$1,0))</f>
        <v>-3287317.7710751425</v>
      </c>
      <c r="H55" s="6">
        <f>H37*INDEX('DATA (Nominal)'!$B$143:$BX$143,1,MATCH(H$1,'DATA (Nominal)'!$B$1:$BX$1,0))</f>
        <v>-3280681.6747091822</v>
      </c>
      <c r="I55" s="6">
        <f>I37*INDEX('DATA (Nominal)'!$B$143:$BX$143,1,MATCH(I$1,'DATA (Nominal)'!$B$1:$BX$1,0))</f>
        <v>-3355405.5673465566</v>
      </c>
      <c r="J55" s="6">
        <f>J37*INDEX('DATA (Nominal)'!$B$143:$BX$143,1,MATCH(J$1,'DATA (Nominal)'!$B$1:$BX$1,0))</f>
        <v>-3505392.2258399394</v>
      </c>
      <c r="K55" s="6">
        <f>K37*INDEX('DATA (Nominal)'!$B$143:$BX$143,1,MATCH(K$1,'DATA (Nominal)'!$B$1:$BX$1,0))</f>
        <v>-3661033.1924190577</v>
      </c>
      <c r="L55" s="6">
        <f>L37*INDEX('DATA (Nominal)'!$B$143:$BX$143,1,MATCH(L$1,'DATA (Nominal)'!$B$1:$BX$1,0))</f>
        <v>-3754720.8541315147</v>
      </c>
      <c r="M55" s="6">
        <f>M37*INDEX('DATA (Nominal)'!$B$143:$BX$143,1,MATCH(M$1,'DATA (Nominal)'!$B$1:$BX$1,0))</f>
        <v>-3894774.4107278744</v>
      </c>
      <c r="N55" s="6">
        <f>N37*INDEX('DATA (Nominal)'!$B$143:$BX$143,1,MATCH(N$1,'DATA (Nominal)'!$B$1:$BX$1,0))</f>
        <v>-3940410.5146295098</v>
      </c>
      <c r="O55" s="6">
        <f>O37*INDEX('DATA (Nominal)'!$B$143:$BX$143,1,MATCH(O$1,'DATA (Nominal)'!$B$1:$BX$1,0))</f>
        <v>-4047126.2558952156</v>
      </c>
      <c r="P55" s="6">
        <f>P37*INDEX('DATA (Nominal)'!$B$143:$BX$143,1,MATCH(P$1,'DATA (Nominal)'!$B$1:$BX$1,0))</f>
        <v>-4123822.5106757102</v>
      </c>
      <c r="Q55" s="6">
        <f>Q37*INDEX('DATA (Nominal)'!$B$143:$BX$143,1,MATCH(Q$1,'DATA (Nominal)'!$B$1:$BX$1,0))</f>
        <v>-4214179.797804079</v>
      </c>
      <c r="R55" s="6">
        <f>R37*INDEX('DATA (Nominal)'!$B$143:$BX$143,1,MATCH(R$1,'DATA (Nominal)'!$B$1:$BX$1,0))</f>
        <v>-4274464.6364305979</v>
      </c>
      <c r="S55" s="6">
        <f>S37*INDEX('DATA (Nominal)'!$B$143:$BX$143,1,MATCH(S$1,'DATA (Nominal)'!$B$1:$BX$1,0))</f>
        <v>-4410127.2145573637</v>
      </c>
      <c r="T55" s="6">
        <f>T37*INDEX('DATA (Nominal)'!$B$143:$BX$143,1,MATCH(T$1,'DATA (Nominal)'!$B$1:$BX$1,0))</f>
        <v>-4623708.0462927679</v>
      </c>
      <c r="U55" s="6">
        <f>U37*INDEX('DATA (Nominal)'!$B$143:$BX$143,1,MATCH(U$1,'DATA (Nominal)'!$B$1:$BX$1,0))</f>
        <v>-4732705.1963389302</v>
      </c>
      <c r="V55" s="6">
        <f>V37*INDEX('DATA (Nominal)'!$B$143:$BX$143,1,MATCH(V$1,'DATA (Nominal)'!$B$1:$BX$1,0))</f>
        <v>-4821226.9994027438</v>
      </c>
      <c r="W55" s="6">
        <f>W37*INDEX('DATA (Nominal)'!$B$143:$BX$143,1,MATCH(W$1,'DATA (Nominal)'!$B$1:$BX$1,0))</f>
        <v>-4999850.1703838045</v>
      </c>
      <c r="X55" s="44">
        <f>X37*INDEX('DATA (Nominal)'!$B$143:$BX$143,1,MATCH(X$1,'DATA (Nominal)'!$B$1:$BX$1,0))</f>
        <v>-5104468.2637413386</v>
      </c>
    </row>
    <row r="56" spans="3:24" hidden="1" outlineLevel="1">
      <c r="C56" s="87" t="s">
        <v>98</v>
      </c>
      <c r="D56" s="6">
        <f t="shared" si="13"/>
        <v>-99.886630457615894</v>
      </c>
      <c r="E56" s="6">
        <f>(E54+E55)*INDEX('DATA (Nominal)'!$B$144:$BX$144,1,MATCH(E$1,'DATA (Nominal)'!$B$1:$BX$1,0))</f>
        <v>-96.480922536104345</v>
      </c>
      <c r="F56" s="6">
        <f>(F54+F55)*INDEX('DATA (Nominal)'!$B$144:$BX$144,1,MATCH(F$1,'DATA (Nominal)'!$B$1:$BX$1,0))</f>
        <v>-88.564628199081625</v>
      </c>
      <c r="G56" s="6">
        <f>(G54+G55)*INDEX('DATA (Nominal)'!$B$144:$BX$144,1,MATCH(G$1,'DATA (Nominal)'!$B$1:$BX$1,0))</f>
        <v>-84.673336527693081</v>
      </c>
      <c r="H56" s="6">
        <f>(H54+H55)*INDEX('DATA (Nominal)'!$B$144:$BX$144,1,MATCH(H$1,'DATA (Nominal)'!$B$1:$BX$1,0))</f>
        <v>-84.502406772812279</v>
      </c>
      <c r="I56" s="6">
        <f>(I54+I55)*INDEX('DATA (Nominal)'!$B$144:$BX$144,1,MATCH(I$1,'DATA (Nominal)'!$B$1:$BX$1,0))</f>
        <v>-86.427113098320419</v>
      </c>
      <c r="J56" s="6">
        <f>(J54+J55)*INDEX('DATA (Nominal)'!$B$144:$BX$144,1,MATCH(J$1,'DATA (Nominal)'!$B$1:$BX$1,0))</f>
        <v>-90.290405817089365</v>
      </c>
      <c r="K56" s="6">
        <f>(K54+K55)*INDEX('DATA (Nominal)'!$B$144:$BX$144,1,MATCH(K$1,'DATA (Nominal)'!$B$1:$BX$1,0))</f>
        <v>-94.299339804733322</v>
      </c>
      <c r="L56" s="6">
        <f>(L54+L55)*INDEX('DATA (Nominal)'!$B$144:$BX$144,1,MATCH(L$1,'DATA (Nominal)'!$B$1:$BX$1,0))</f>
        <v>-96.712506848842068</v>
      </c>
      <c r="M56" s="6">
        <f>(M54+M55)*INDEX('DATA (Nominal)'!$B$144:$BX$144,1,MATCH(M$1,'DATA (Nominal)'!$B$1:$BX$1,0))</f>
        <v>-100.31994694299073</v>
      </c>
      <c r="N56" s="6">
        <f>(N54+N55)*INDEX('DATA (Nominal)'!$B$144:$BX$144,1,MATCH(N$1,'DATA (Nominal)'!$B$1:$BX$1,0))</f>
        <v>-101.4954223465177</v>
      </c>
      <c r="O56" s="6">
        <f>(O54+O55)*INDEX('DATA (Nominal)'!$B$144:$BX$144,1,MATCH(O$1,'DATA (Nominal)'!$B$1:$BX$1,0))</f>
        <v>-104.24416113669497</v>
      </c>
      <c r="P56" s="6">
        <f>(P54+P55)*INDEX('DATA (Nominal)'!$B$144:$BX$144,1,MATCH(P$1,'DATA (Nominal)'!$B$1:$BX$1,0))</f>
        <v>-106.2196707295259</v>
      </c>
      <c r="Q56" s="6">
        <f>(Q54+Q55)*INDEX('DATA (Nominal)'!$B$144:$BX$144,1,MATCH(Q$1,'DATA (Nominal)'!$B$1:$BX$1,0))</f>
        <v>-108.54705539798388</v>
      </c>
      <c r="R56" s="6">
        <f>(R54+R55)*INDEX('DATA (Nominal)'!$B$144:$BX$144,1,MATCH(R$1,'DATA (Nominal)'!$B$1:$BX$1,0))</f>
        <v>-110.09984669593966</v>
      </c>
      <c r="S56" s="6">
        <f>(S54+S55)*INDEX('DATA (Nominal)'!$B$144:$BX$144,1,MATCH(S$1,'DATA (Nominal)'!$B$1:$BX$1,0))</f>
        <v>-113.59418582950786</v>
      </c>
      <c r="T56" s="6">
        <f>(T54+T55)*INDEX('DATA (Nominal)'!$B$144:$BX$144,1,MATCH(T$1,'DATA (Nominal)'!$B$1:$BX$1,0))</f>
        <v>-119.09551028329858</v>
      </c>
      <c r="U56" s="6">
        <f>(U54+U55)*INDEX('DATA (Nominal)'!$B$144:$BX$144,1,MATCH(U$1,'DATA (Nominal)'!$B$1:$BX$1,0))</f>
        <v>-121.90301263297248</v>
      </c>
      <c r="V56" s="6">
        <f>(V54+V55)*INDEX('DATA (Nominal)'!$B$144:$BX$144,1,MATCH(V$1,'DATA (Nominal)'!$B$1:$BX$1,0))</f>
        <v>-124.18311968158584</v>
      </c>
      <c r="W56" s="6">
        <f>(W54+W55)*INDEX('DATA (Nominal)'!$B$144:$BX$144,1,MATCH(W$1,'DATA (Nominal)'!$B$1:$BX$1,0))</f>
        <v>-128.78401954018892</v>
      </c>
      <c r="X56" s="44">
        <f>(X54+X55)*INDEX('DATA (Nominal)'!$B$144:$BX$144,1,MATCH(X$1,'DATA (Nominal)'!$B$1:$BX$1,0))</f>
        <v>-131.47872800545875</v>
      </c>
    </row>
    <row r="57" spans="3:24" hidden="1" outlineLevel="1">
      <c r="C57" s="87" t="s">
        <v>93</v>
      </c>
      <c r="D57" s="6">
        <f t="shared" si="13"/>
        <v>-51378.746285696616</v>
      </c>
      <c r="E57" s="6">
        <f t="shared" ref="E57:X57" si="14">SUM(E53:E56)*Misc_Fees</f>
        <v>-50467.717777778002</v>
      </c>
      <c r="F57" s="6">
        <f t="shared" si="14"/>
        <v>-45722.31747752201</v>
      </c>
      <c r="G57" s="6">
        <f t="shared" si="14"/>
        <v>-43321.044558924747</v>
      </c>
      <c r="H57" s="6">
        <f t="shared" si="14"/>
        <v>-43088.213286620681</v>
      </c>
      <c r="I57" s="6">
        <f t="shared" si="14"/>
        <v>-44074.437063758138</v>
      </c>
      <c r="J57" s="6">
        <f t="shared" si="14"/>
        <v>-46188.07433042521</v>
      </c>
      <c r="K57" s="6">
        <f t="shared" si="14"/>
        <v>-48383.57650436445</v>
      </c>
      <c r="L57" s="6">
        <f t="shared" si="14"/>
        <v>-49645.445199372865</v>
      </c>
      <c r="M57" s="6">
        <f t="shared" si="14"/>
        <v>-51600.509478067128</v>
      </c>
      <c r="N57" s="6">
        <f t="shared" si="14"/>
        <v>-52134.206608075481</v>
      </c>
      <c r="O57" s="6">
        <f t="shared" si="14"/>
        <v>-53581.949887054681</v>
      </c>
      <c r="P57" s="6">
        <f t="shared" si="14"/>
        <v>-54575.404570547544</v>
      </c>
      <c r="Q57" s="6">
        <f t="shared" si="14"/>
        <v>-55770.554204737127</v>
      </c>
      <c r="R57" s="6">
        <f t="shared" si="14"/>
        <v>-56510.468021200119</v>
      </c>
      <c r="S57" s="6">
        <f t="shared" si="14"/>
        <v>-58378.874427457769</v>
      </c>
      <c r="T57" s="6">
        <f t="shared" si="14"/>
        <v>-61413.850501827277</v>
      </c>
      <c r="U57" s="6">
        <f t="shared" si="14"/>
        <v>-62874.230523415994</v>
      </c>
      <c r="V57" s="6">
        <f t="shared" si="14"/>
        <v>-64023.194110615324</v>
      </c>
      <c r="W57" s="6">
        <f t="shared" si="14"/>
        <v>-66521.460300348204</v>
      </c>
      <c r="X57" s="44">
        <f t="shared" si="14"/>
        <v>-67904.148505394405</v>
      </c>
    </row>
    <row r="58" spans="3:24" hidden="1" outlineLevel="1">
      <c r="C58" s="89" t="s">
        <v>99</v>
      </c>
      <c r="D58" s="6">
        <f t="shared" si="13"/>
        <v>-1813701.1132232219</v>
      </c>
      <c r="E58" s="6">
        <f t="shared" ref="E58:X58" si="15">SUM(E53:E57)</f>
        <v>-1781541.2506644488</v>
      </c>
      <c r="F58" s="4">
        <f t="shared" si="15"/>
        <v>-1614025.7227571409</v>
      </c>
      <c r="G58" s="6">
        <f t="shared" si="15"/>
        <v>-1529259.3226313933</v>
      </c>
      <c r="H58" s="6">
        <f t="shared" si="15"/>
        <v>-1521040.2365637245</v>
      </c>
      <c r="I58" s="6">
        <f t="shared" si="15"/>
        <v>-1555854.5380364596</v>
      </c>
      <c r="J58" s="6">
        <f t="shared" si="15"/>
        <v>-1630467.2240328747</v>
      </c>
      <c r="K58" s="6">
        <f t="shared" si="15"/>
        <v>-1707969.7912386872</v>
      </c>
      <c r="L58" s="6">
        <f t="shared" si="15"/>
        <v>-1752514.5266075113</v>
      </c>
      <c r="M58" s="6">
        <f t="shared" si="15"/>
        <v>-1821529.4893116106</v>
      </c>
      <c r="N58" s="6">
        <f t="shared" si="15"/>
        <v>-1840369.3238501514</v>
      </c>
      <c r="O58" s="6">
        <f t="shared" si="15"/>
        <v>-1891475.5455190325</v>
      </c>
      <c r="P58" s="6">
        <f t="shared" si="15"/>
        <v>-1926545.1024009497</v>
      </c>
      <c r="Q58" s="6">
        <f t="shared" si="15"/>
        <v>-1968734.6141874883</v>
      </c>
      <c r="R58" s="6">
        <f t="shared" si="15"/>
        <v>-1994854.0236636545</v>
      </c>
      <c r="S58" s="6">
        <f t="shared" si="15"/>
        <v>-2060809.9105617024</v>
      </c>
      <c r="T58" s="6">
        <f t="shared" si="15"/>
        <v>-2167946.4189942223</v>
      </c>
      <c r="U58" s="6">
        <f t="shared" si="15"/>
        <v>-2219498.7253925931</v>
      </c>
      <c r="V58" s="6">
        <f t="shared" si="15"/>
        <v>-2260057.8415214447</v>
      </c>
      <c r="W58" s="6">
        <f t="shared" si="15"/>
        <v>-2348248.1633376055</v>
      </c>
      <c r="X58" s="44">
        <f t="shared" si="15"/>
        <v>-2397057.90117722</v>
      </c>
    </row>
    <row r="59" spans="3:24" hidden="1" outlineLevel="1">
      <c r="C59" s="33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44"/>
    </row>
    <row r="60" spans="3:24" ht="15.75" hidden="1" outlineLevel="1" thickBot="1">
      <c r="C60" s="91" t="s">
        <v>100</v>
      </c>
      <c r="D60" s="84">
        <f>-PMT(Discount_Rate,20,NPV(Discount_Rate,E60:X60))</f>
        <v>-1231567.774698145</v>
      </c>
      <c r="E60" s="84">
        <f t="shared" ref="E60:X60" si="16">E50+E58</f>
        <v>-1016133.7885333358</v>
      </c>
      <c r="F60" s="84">
        <f t="shared" si="16"/>
        <v>-873390.92189650412</v>
      </c>
      <c r="G60" s="84">
        <f t="shared" si="16"/>
        <v>-814694.67398937547</v>
      </c>
      <c r="H60" s="84">
        <f t="shared" si="16"/>
        <v>-832074.11339200544</v>
      </c>
      <c r="I60" s="84">
        <f t="shared" si="16"/>
        <v>-892039.78990482667</v>
      </c>
      <c r="J60" s="84">
        <f t="shared" si="16"/>
        <v>-991388.1923238493</v>
      </c>
      <c r="K60" s="84">
        <f t="shared" si="16"/>
        <v>-1093240.5083937859</v>
      </c>
      <c r="L60" s="84">
        <f t="shared" si="16"/>
        <v>-1161776.4668861697</v>
      </c>
      <c r="M60" s="84">
        <f t="shared" si="16"/>
        <v>-1254573.5049078041</v>
      </c>
      <c r="N60" s="84">
        <f t="shared" si="16"/>
        <v>-1297150.4315935937</v>
      </c>
      <c r="O60" s="84">
        <f t="shared" si="16"/>
        <v>-1371976.1801607187</v>
      </c>
      <c r="P60" s="84">
        <f t="shared" si="16"/>
        <v>-1430747.3122563967</v>
      </c>
      <c r="Q60" s="84">
        <f t="shared" si="16"/>
        <v>-1496620.0526351545</v>
      </c>
      <c r="R60" s="84">
        <f t="shared" si="16"/>
        <v>-1546403.9404563238</v>
      </c>
      <c r="S60" s="84">
        <f t="shared" si="16"/>
        <v>-1636005.1429467211</v>
      </c>
      <c r="T60" s="84">
        <f t="shared" si="16"/>
        <v>-1766767.3826383771</v>
      </c>
      <c r="U60" s="84">
        <f t="shared" si="16"/>
        <v>-1841925.4051073408</v>
      </c>
      <c r="V60" s="84">
        <f t="shared" si="16"/>
        <v>-1906069.7817840939</v>
      </c>
      <c r="W60" s="84">
        <f t="shared" si="16"/>
        <v>-2017824.4586039656</v>
      </c>
      <c r="X60" s="85">
        <f t="shared" si="16"/>
        <v>-2090177.1859811281</v>
      </c>
    </row>
    <row r="61" spans="3:24" hidden="1" outlineLevel="1">
      <c r="C61" s="32" t="s">
        <v>101</v>
      </c>
      <c r="D61" s="50">
        <f>D60/AVERAGE(E35:X35)</f>
        <v>-30.789194367453629</v>
      </c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3:24" hidden="1" outlineLevel="1">
      <c r="C62" s="32" t="s">
        <v>102</v>
      </c>
      <c r="D62" s="50">
        <f>D50/E41/1000</f>
        <v>116.42666770501536</v>
      </c>
      <c r="E62" s="24"/>
      <c r="F62" s="86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3:24" ht="15.75" hidden="1" outlineLevel="1" thickBot="1">
      <c r="C63" s="34" t="s">
        <v>103</v>
      </c>
      <c r="D63" s="51">
        <f>D58/AVERAGE(E35:X35)</f>
        <v>-45.342527830580558</v>
      </c>
    </row>
    <row r="64" spans="3:24" hidden="1" outlineLevel="1"/>
    <row r="65" spans="1:24" ht="15.75" collapsed="1" thickBot="1"/>
    <row r="66" spans="1:24" ht="18.75" thickBot="1">
      <c r="A66" s="265"/>
      <c r="C66" s="496" t="s">
        <v>28</v>
      </c>
      <c r="D66" s="497"/>
      <c r="E66" s="497"/>
      <c r="F66" s="498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</row>
    <row r="67" spans="1:24" hidden="1" outlineLevel="1">
      <c r="C67" s="31" t="s">
        <v>44</v>
      </c>
      <c r="D67" s="8"/>
      <c r="E67" s="2">
        <f>INDEX('DATA (Nominal)'!$B$10:$BX$10,1,MATCH($B$1,'DATA (Nominal)'!$B$1:$BX$1,0))*'Resource Options'!$E$41*8760</f>
        <v>79999.999999999985</v>
      </c>
      <c r="F67" s="2">
        <f>INDEX('DATA (Nominal)'!$B$10:$BX$10,1,MATCH($B$1,'DATA (Nominal)'!$B$1:$BX$1,0))*'Resource Options'!$E$41*8760</f>
        <v>79999.999999999985</v>
      </c>
      <c r="G67" s="2">
        <f>INDEX('DATA (Nominal)'!$B$10:$BX$10,1,MATCH($B$1,'DATA (Nominal)'!$B$1:$BX$1,0))*'Resource Options'!$E$41*8760</f>
        <v>79999.999999999985</v>
      </c>
      <c r="H67" s="2">
        <f>INDEX('DATA (Nominal)'!$B$10:$BX$10,1,MATCH($B$1,'DATA (Nominal)'!$B$1:$BX$1,0))*'Resource Options'!$E$41*8760</f>
        <v>79999.999999999985</v>
      </c>
      <c r="I67" s="2">
        <f>INDEX('DATA (Nominal)'!$B$10:$BX$10,1,MATCH($B$1,'DATA (Nominal)'!$B$1:$BX$1,0))*'Resource Options'!$E$41*8760</f>
        <v>79999.999999999985</v>
      </c>
      <c r="J67" s="2">
        <f>INDEX('DATA (Nominal)'!$B$10:$BX$10,1,MATCH($B$1,'DATA (Nominal)'!$B$1:$BX$1,0))*'Resource Options'!$E$41*8760</f>
        <v>79999.999999999985</v>
      </c>
      <c r="K67" s="2">
        <f>INDEX('DATA (Nominal)'!$B$10:$BX$10,1,MATCH($B$1,'DATA (Nominal)'!$B$1:$BX$1,0))*'Resource Options'!$E$41*8760</f>
        <v>79999.999999999985</v>
      </c>
      <c r="L67" s="2">
        <f>INDEX('DATA (Nominal)'!$B$10:$BX$10,1,MATCH($B$1,'DATA (Nominal)'!$B$1:$BX$1,0))*'Resource Options'!$E$41*8760</f>
        <v>79999.999999999985</v>
      </c>
      <c r="M67" s="2">
        <f>INDEX('DATA (Nominal)'!$B$10:$BX$10,1,MATCH($B$1,'DATA (Nominal)'!$B$1:$BX$1,0))*'Resource Options'!$E$41*8760</f>
        <v>79999.999999999985</v>
      </c>
      <c r="N67" s="2">
        <f>INDEX('DATA (Nominal)'!$B$10:$BX$10,1,MATCH($B$1,'DATA (Nominal)'!$B$1:$BX$1,0))*'Resource Options'!$E$41*8760</f>
        <v>79999.999999999985</v>
      </c>
      <c r="O67" s="2">
        <f>INDEX('DATA (Nominal)'!$B$10:$BX$10,1,MATCH($B$1,'DATA (Nominal)'!$B$1:$BX$1,0))*'Resource Options'!$E$41*8760</f>
        <v>79999.999999999985</v>
      </c>
      <c r="P67" s="2">
        <f>INDEX('DATA (Nominal)'!$B$10:$BX$10,1,MATCH($B$1,'DATA (Nominal)'!$B$1:$BX$1,0))*'Resource Options'!$E$41*8760</f>
        <v>79999.999999999985</v>
      </c>
      <c r="Q67" s="2">
        <f>INDEX('DATA (Nominal)'!$B$10:$BX$10,1,MATCH($B$1,'DATA (Nominal)'!$B$1:$BX$1,0))*'Resource Options'!$E$41*8760</f>
        <v>79999.999999999985</v>
      </c>
      <c r="R67" s="2">
        <f>INDEX('DATA (Nominal)'!$B$10:$BX$10,1,MATCH($B$1,'DATA (Nominal)'!$B$1:$BX$1,0))*'Resource Options'!$E$41*8760</f>
        <v>79999.999999999985</v>
      </c>
      <c r="S67" s="2">
        <f>INDEX('DATA (Nominal)'!$B$10:$BX$10,1,MATCH($B$1,'DATA (Nominal)'!$B$1:$BX$1,0))*'Resource Options'!$E$41*8760</f>
        <v>79999.999999999985</v>
      </c>
      <c r="T67" s="2">
        <f>INDEX('DATA (Nominal)'!$B$10:$BX$10,1,MATCH($B$1,'DATA (Nominal)'!$B$1:$BX$1,0))*'Resource Options'!$E$41*8760</f>
        <v>79999.999999999985</v>
      </c>
      <c r="U67" s="2">
        <f>INDEX('DATA (Nominal)'!$B$10:$BX$10,1,MATCH($B$1,'DATA (Nominal)'!$B$1:$BX$1,0))*'Resource Options'!$E$41*8760</f>
        <v>79999.999999999985</v>
      </c>
      <c r="V67" s="2">
        <f>INDEX('DATA (Nominal)'!$B$10:$BX$10,1,MATCH($B$1,'DATA (Nominal)'!$B$1:$BX$1,0))*'Resource Options'!$E$41*8760</f>
        <v>79999.999999999985</v>
      </c>
      <c r="W67" s="2">
        <f>INDEX('DATA (Nominal)'!$B$10:$BX$10,1,MATCH($B$1,'DATA (Nominal)'!$B$1:$BX$1,0))*'Resource Options'!$E$41*8760</f>
        <v>79999.999999999985</v>
      </c>
      <c r="X67" s="16">
        <f>INDEX('DATA (Nominal)'!$B$10:$BX$10,1,MATCH($B$1,'DATA (Nominal)'!$B$1:$BX$1,0))*'Resource Options'!$E$41*8760</f>
        <v>79999.999999999985</v>
      </c>
    </row>
    <row r="68" spans="1:24" hidden="1" outlineLevel="1">
      <c r="C68" s="32" t="s">
        <v>82</v>
      </c>
      <c r="D68" s="10"/>
      <c r="E68" s="3">
        <f t="shared" ref="E68:X68" si="17">E67*$E71/1000</f>
        <v>905599.99999999988</v>
      </c>
      <c r="F68" s="3">
        <f t="shared" si="17"/>
        <v>905599.99999999988</v>
      </c>
      <c r="G68" s="3">
        <f t="shared" si="17"/>
        <v>905599.99999999988</v>
      </c>
      <c r="H68" s="3">
        <f t="shared" si="17"/>
        <v>905599.99999999988</v>
      </c>
      <c r="I68" s="3">
        <f t="shared" si="17"/>
        <v>905599.99999999988</v>
      </c>
      <c r="J68" s="3">
        <f t="shared" si="17"/>
        <v>905599.99999999988</v>
      </c>
      <c r="K68" s="3">
        <f t="shared" si="17"/>
        <v>905599.99999999988</v>
      </c>
      <c r="L68" s="3">
        <f t="shared" si="17"/>
        <v>905599.99999999988</v>
      </c>
      <c r="M68" s="3">
        <f t="shared" si="17"/>
        <v>905599.99999999988</v>
      </c>
      <c r="N68" s="3">
        <f t="shared" si="17"/>
        <v>905599.99999999988</v>
      </c>
      <c r="O68" s="3">
        <f t="shared" si="17"/>
        <v>905599.99999999988</v>
      </c>
      <c r="P68" s="3">
        <f t="shared" si="17"/>
        <v>905599.99999999988</v>
      </c>
      <c r="Q68" s="3">
        <f t="shared" si="17"/>
        <v>905599.99999999988</v>
      </c>
      <c r="R68" s="3">
        <f t="shared" si="17"/>
        <v>905599.99999999988</v>
      </c>
      <c r="S68" s="3">
        <f t="shared" si="17"/>
        <v>905599.99999999988</v>
      </c>
      <c r="T68" s="3">
        <f t="shared" si="17"/>
        <v>905599.99999999988</v>
      </c>
      <c r="U68" s="3">
        <f t="shared" si="17"/>
        <v>905599.99999999988</v>
      </c>
      <c r="V68" s="3">
        <f t="shared" si="17"/>
        <v>905599.99999999988</v>
      </c>
      <c r="W68" s="3">
        <f t="shared" si="17"/>
        <v>905599.99999999988</v>
      </c>
      <c r="X68" s="5">
        <f t="shared" si="17"/>
        <v>905599.99999999988</v>
      </c>
    </row>
    <row r="69" spans="1:24" hidden="1" outlineLevel="1">
      <c r="C69" s="32"/>
      <c r="D69" s="10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5"/>
    </row>
    <row r="70" spans="1:24" hidden="1" outlineLevel="1">
      <c r="C70" s="32"/>
      <c r="D70" s="10"/>
      <c r="E70" s="40" t="s">
        <v>85</v>
      </c>
      <c r="F70" s="25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5"/>
    </row>
    <row r="71" spans="1:24" hidden="1" outlineLevel="1">
      <c r="C71" s="32" t="s">
        <v>86</v>
      </c>
      <c r="D71" s="10"/>
      <c r="E71" s="3">
        <f>INDEX('DATA (Nominal)'!$B$35:$BX$35,1,MATCH($B$1,'DATA (Nominal)'!$B$1:$BX$1,0))*1000</f>
        <v>11320</v>
      </c>
      <c r="F71" s="25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5"/>
    </row>
    <row r="72" spans="1:24" hidden="1" outlineLevel="1">
      <c r="C72" s="32" t="s">
        <v>87</v>
      </c>
      <c r="D72" s="10"/>
      <c r="E72" s="3">
        <f>'Resource Options'!$E$41</f>
        <v>10</v>
      </c>
      <c r="F72" s="25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5"/>
    </row>
    <row r="73" spans="1:24" hidden="1" outlineLevel="1">
      <c r="C73" s="32" t="s">
        <v>88</v>
      </c>
      <c r="D73" s="10"/>
      <c r="E73" s="130">
        <f>INDEX('DATA (Nominal)'!$B$57:$BX$57,1,MATCH($B$1,'DATA (Nominal)'!$B$1:$BX$1,0))*'Resource Options'!$E$41/1000</f>
        <v>1.6193592290050414</v>
      </c>
      <c r="F73" s="254"/>
      <c r="X73" s="42"/>
    </row>
    <row r="74" spans="1:24" hidden="1" outlineLevel="1">
      <c r="C74" s="32" t="s">
        <v>81</v>
      </c>
      <c r="D74" s="10"/>
      <c r="E74" s="83">
        <f>E73*AFUDC!$C$41</f>
        <v>6.8523185775348328E-2</v>
      </c>
      <c r="F74" s="254"/>
      <c r="X74" s="42"/>
    </row>
    <row r="75" spans="1:24" hidden="1" outlineLevel="1">
      <c r="C75" s="32" t="s">
        <v>90</v>
      </c>
      <c r="D75" s="10"/>
      <c r="E75" s="83">
        <f>SUM(E73:E74)</f>
        <v>1.6878824147803897</v>
      </c>
      <c r="F75" s="254"/>
      <c r="X75" s="42"/>
    </row>
    <row r="76" spans="1:24" hidden="1" outlineLevel="1">
      <c r="C76" s="32"/>
      <c r="D76" s="10"/>
      <c r="E76" s="10"/>
      <c r="F76" s="10"/>
      <c r="X76" s="42"/>
    </row>
    <row r="77" spans="1:24" hidden="1" outlineLevel="1">
      <c r="C77" s="88" t="s">
        <v>91</v>
      </c>
      <c r="D77" s="10"/>
      <c r="X77" s="42"/>
    </row>
    <row r="78" spans="1:24" hidden="1" outlineLevel="1">
      <c r="C78" s="87" t="s">
        <v>47</v>
      </c>
      <c r="D78" s="6">
        <f t="shared" ref="D78:D81" si="18">-PMT(Discount_Rate,20,NPV(Discount_Rate,E78:X78))</f>
        <v>70211.457161990067</v>
      </c>
      <c r="E78" s="4">
        <f>$E72*1000*INDEX('DATA (Nominal)'!$B$176:$BX$176,1,MATCH(E$1,'DATA (Nominal)'!$B$1:$BX$1,0))</f>
        <v>59219.967004714359</v>
      </c>
      <c r="F78" s="4">
        <f>$E72*1000*INDEX('DATA (Nominal)'!$B$176:$BX$176,1,MATCH(F$1,'DATA (Nominal)'!$B$1:$BX$1,0))</f>
        <v>60542.546267819642</v>
      </c>
      <c r="G78" s="4">
        <f>$E72*1000*INDEX('DATA (Nominal)'!$B$176:$BX$176,1,MATCH(G$1,'DATA (Nominal)'!$B$1:$BX$1,0))</f>
        <v>61894.663134467613</v>
      </c>
      <c r="H78" s="4">
        <f>$E72*1000*INDEX('DATA (Nominal)'!$B$176:$BX$176,1,MATCH(H$1,'DATA (Nominal)'!$B$1:$BX$1,0))</f>
        <v>63256.345723425904</v>
      </c>
      <c r="I78" s="4">
        <f>$E72*1000*INDEX('DATA (Nominal)'!$B$176:$BX$176,1,MATCH(I$1,'DATA (Nominal)'!$B$1:$BX$1,0))</f>
        <v>64647.985329341274</v>
      </c>
      <c r="J78" s="4">
        <f>$E72*1000*INDEX('DATA (Nominal)'!$B$176:$BX$176,1,MATCH(J$1,'DATA (Nominal)'!$B$1:$BX$1,0))</f>
        <v>66070.241006586788</v>
      </c>
      <c r="K78" s="4">
        <f>$E72*1000*INDEX('DATA (Nominal)'!$B$176:$BX$176,1,MATCH(K$1,'DATA (Nominal)'!$B$1:$BX$1,0))</f>
        <v>67523.786308731695</v>
      </c>
      <c r="L78" s="4">
        <f>$E72*1000*INDEX('DATA (Nominal)'!$B$176:$BX$176,1,MATCH(L$1,'DATA (Nominal)'!$B$1:$BX$1,0))</f>
        <v>69009.309607523799</v>
      </c>
      <c r="M78" s="4">
        <f>$E72*1000*INDEX('DATA (Nominal)'!$B$176:$BX$176,1,MATCH(M$1,'DATA (Nominal)'!$B$1:$BX$1,0))</f>
        <v>70527.514418889317</v>
      </c>
      <c r="N78" s="4">
        <f>$E72*1000*INDEX('DATA (Nominal)'!$B$176:$BX$176,1,MATCH(N$1,'DATA (Nominal)'!$B$1:$BX$1,0))</f>
        <v>72079.119736104883</v>
      </c>
      <c r="O78" s="4">
        <f>$E72*1000*INDEX('DATA (Nominal)'!$B$176:$BX$176,1,MATCH(O$1,'DATA (Nominal)'!$B$1:$BX$1,0))</f>
        <v>73664.860370299182</v>
      </c>
      <c r="P78" s="4">
        <f>$E72*1000*INDEX('DATA (Nominal)'!$B$176:$BX$176,1,MATCH(P$1,'DATA (Nominal)'!$B$1:$BX$1,0))</f>
        <v>75285.487298445776</v>
      </c>
      <c r="Q78" s="4">
        <f>$E72*1000*INDEX('DATA (Nominal)'!$B$176:$BX$176,1,MATCH(Q$1,'DATA (Nominal)'!$B$1:$BX$1,0))</f>
        <v>76941.768019011564</v>
      </c>
      <c r="R78" s="4">
        <f>$E72*1000*INDEX('DATA (Nominal)'!$B$176:$BX$176,1,MATCH(R$1,'DATA (Nominal)'!$B$1:$BX$1,0))</f>
        <v>78634.486915429836</v>
      </c>
      <c r="S78" s="4">
        <f>$E72*1000*INDEX('DATA (Nominal)'!$B$176:$BX$176,1,MATCH(S$1,'DATA (Nominal)'!$B$1:$BX$1,0))</f>
        <v>80364.445627569308</v>
      </c>
      <c r="T78" s="4">
        <f>$E72*1000*INDEX('DATA (Nominal)'!$B$176:$BX$176,1,MATCH(T$1,'DATA (Nominal)'!$B$1:$BX$1,0))</f>
        <v>82132.463431375829</v>
      </c>
      <c r="U78" s="4">
        <f>$E72*1000*INDEX('DATA (Nominal)'!$B$176:$BX$176,1,MATCH(U$1,'DATA (Nominal)'!$B$1:$BX$1,0))</f>
        <v>83939.377626866088</v>
      </c>
      <c r="V78" s="4">
        <f>$E72*1000*INDEX('DATA (Nominal)'!$B$176:$BX$176,1,MATCH(V$1,'DATA (Nominal)'!$B$1:$BX$1,0))</f>
        <v>85786.043934657137</v>
      </c>
      <c r="W78" s="4">
        <f>$E72*1000*INDEX('DATA (Nominal)'!$B$176:$BX$176,1,MATCH(W$1,'DATA (Nominal)'!$B$1:$BX$1,0))</f>
        <v>87673.336901219591</v>
      </c>
      <c r="X78" s="43">
        <f>$E72*1000*INDEX('DATA (Nominal)'!$B$176:$BX$176,1,MATCH(X$1,'DATA (Nominal)'!$B$1:$BX$1,0))</f>
        <v>89602.150313046426</v>
      </c>
    </row>
    <row r="79" spans="1:24" hidden="1" outlineLevel="1">
      <c r="C79" s="87" t="s">
        <v>92</v>
      </c>
      <c r="D79" s="6">
        <f t="shared" si="18"/>
        <v>197553.20660906887</v>
      </c>
      <c r="E79" s="6">
        <f>$E75*1000000*IFERROR(INDEX(Assumptions!$AG$44:$CD$54,MATCH($B$1,Assumptions!$AE$44:$AE$54,0),MATCH(E$2,Assumptions!$AG$2:$CD$2,0)),Assumptions!AG$41)</f>
        <v>265911.1967085792</v>
      </c>
      <c r="F79" s="6">
        <f>$E75*1000000*IFERROR(INDEX(Assumptions!$AG$44:$CD$54,MATCH($B$1,Assumptions!$AE$44:$AE$54,0),MATCH(F$2,Assumptions!$AG$2:$CD$2,0)),Assumptions!AH$41)</f>
        <v>256701.80270027657</v>
      </c>
      <c r="G79" s="6">
        <f>$E75*1000000*IFERROR(INDEX(Assumptions!$AG$44:$CD$54,MATCH($B$1,Assumptions!$AE$44:$AE$54,0),MATCH(G$2,Assumptions!$AG$2:$CD$2,0)),Assumptions!AI$41)</f>
        <v>247017.45591398649</v>
      </c>
      <c r="H79" s="6">
        <f>$E75*1000000*IFERROR(INDEX(Assumptions!$AG$44:$CD$54,MATCH($B$1,Assumptions!$AE$44:$AE$54,0),MATCH(H$2,Assumptions!$AG$2:$CD$2,0)),Assumptions!AJ$41)</f>
        <v>237501.97041249316</v>
      </c>
      <c r="I79" s="6">
        <f>$E75*1000000*IFERROR(INDEX(Assumptions!$AG$44:$CD$54,MATCH($B$1,Assumptions!$AE$44:$AE$54,0),MATCH(I$2,Assumptions!$AG$2:$CD$2,0)),Assumptions!AK$41)</f>
        <v>228142.69376523542</v>
      </c>
      <c r="J79" s="6">
        <f>$E75*1000000*IFERROR(INDEX(Assumptions!$AG$44:$CD$54,MATCH($B$1,Assumptions!$AE$44:$AE$54,0),MATCH(J$2,Assumptions!$AG$2:$CD$2,0)),Assumptions!AL$41)</f>
        <v>218928.10901618976</v>
      </c>
      <c r="K79" s="6">
        <f>$E75*1000000*IFERROR(INDEX(Assumptions!$AG$44:$CD$54,MATCH($B$1,Assumptions!$AE$44:$AE$54,0),MATCH(K$2,Assumptions!$AG$2:$CD$2,0)),Assumptions!AM$41)</f>
        <v>209847.34805192539</v>
      </c>
      <c r="L79" s="6">
        <f>$E75*1000000*IFERROR(INDEX(Assumptions!$AG$44:$CD$54,MATCH($B$1,Assumptions!$AE$44:$AE$54,0),MATCH(L$2,Assumptions!$AG$2:$CD$2,0)),Assumptions!AN$41)</f>
        <v>200890.35381225258</v>
      </c>
      <c r="M79" s="6">
        <f>$E75*1000000*IFERROR(INDEX(Assumptions!$AG$44:$CD$54,MATCH($B$1,Assumptions!$AE$44:$AE$54,0),MATCH(M$2,Assumptions!$AG$2:$CD$2,0)),Assumptions!AO$41)</f>
        <v>192002.94794066611</v>
      </c>
      <c r="N79" s="6">
        <f>$E75*1000000*IFERROR(INDEX(Assumptions!$AG$44:$CD$54,MATCH($B$1,Assumptions!$AE$44:$AE$54,0),MATCH(N$2,Assumptions!$AG$2:$CD$2,0)),Assumptions!AP$41)</f>
        <v>183125.59912926931</v>
      </c>
      <c r="O79" s="6">
        <f>$E75*1000000*IFERROR(INDEX(Assumptions!$AG$44:$CD$54,MATCH($B$1,Assumptions!$AE$44:$AE$54,0),MATCH(O$2,Assumptions!$AG$2:$CD$2,0)),Assumptions!AQ$41)</f>
        <v>174248.25031787244</v>
      </c>
      <c r="P79" s="6">
        <f>$E75*1000000*IFERROR(INDEX(Assumptions!$AG$44:$CD$54,MATCH($B$1,Assumptions!$AE$44:$AE$54,0),MATCH(P$2,Assumptions!$AG$2:$CD$2,0)),Assumptions!AR$41)</f>
        <v>165370.90150647558</v>
      </c>
      <c r="Q79" s="6">
        <f>$E75*1000000*IFERROR(INDEX(Assumptions!$AG$44:$CD$54,MATCH($B$1,Assumptions!$AE$44:$AE$54,0),MATCH(Q$2,Assumptions!$AG$2:$CD$2,0)),Assumptions!AS$41)</f>
        <v>156493.55269507872</v>
      </c>
      <c r="R79" s="6">
        <f>$E75*1000000*IFERROR(INDEX(Assumptions!$AG$44:$CD$54,MATCH($B$1,Assumptions!$AE$44:$AE$54,0),MATCH(R$2,Assumptions!$AG$2:$CD$2,0)),Assumptions!AT$41)</f>
        <v>147616.20388368188</v>
      </c>
      <c r="S79" s="6">
        <f>$E75*1000000*IFERROR(INDEX(Assumptions!$AG$44:$CD$54,MATCH($B$1,Assumptions!$AE$44:$AE$54,0),MATCH(S$2,Assumptions!$AG$2:$CD$2,0)),Assumptions!AU$41)</f>
        <v>138738.85507228505</v>
      </c>
      <c r="T79" s="6">
        <f>$E75*1000000*IFERROR(INDEX(Assumptions!$AG$44:$CD$54,MATCH($B$1,Assumptions!$AE$44:$AE$54,0),MATCH(T$2,Assumptions!$AG$2:$CD$2,0)),Assumptions!AV$41)</f>
        <v>129861.50626088817</v>
      </c>
      <c r="U79" s="6">
        <f>$E75*1000000*IFERROR(INDEX(Assumptions!$AG$44:$CD$54,MATCH($B$1,Assumptions!$AE$44:$AE$54,0),MATCH(U$2,Assumptions!$AG$2:$CD$2,0)),Assumptions!AW$41)</f>
        <v>120984.15744949132</v>
      </c>
      <c r="V79" s="6">
        <f>$E75*1000000*IFERROR(INDEX(Assumptions!$AG$44:$CD$54,MATCH($B$1,Assumptions!$AE$44:$AE$54,0),MATCH(V$2,Assumptions!$AG$2:$CD$2,0)),Assumptions!AX$41)</f>
        <v>112106.80863809447</v>
      </c>
      <c r="W79" s="6">
        <f>$E75*1000000*IFERROR(INDEX(Assumptions!$AG$44:$CD$54,MATCH($B$1,Assumptions!$AE$44:$AE$54,0),MATCH(W$2,Assumptions!$AG$2:$CD$2,0)),Assumptions!AY$41)</f>
        <v>103229.4598266976</v>
      </c>
      <c r="X79" s="44">
        <f>$E75*1000000*IFERROR(INDEX(Assumptions!$AG$44:$CD$54,MATCH($B$1,Assumptions!$AE$44:$AE$54,0),MATCH(X$2,Assumptions!$AG$2:$CD$2,0)),Assumptions!AZ$41)</f>
        <v>94352.111015300747</v>
      </c>
    </row>
    <row r="80" spans="1:24" hidden="1" outlineLevel="1">
      <c r="C80" s="87" t="s">
        <v>93</v>
      </c>
      <c r="D80" s="6">
        <f t="shared" si="18"/>
        <v>2046.9448221006589</v>
      </c>
      <c r="E80" s="6">
        <f t="shared" ref="E80:X80" si="19">E78*Misc_Fees</f>
        <v>1726.4989180554423</v>
      </c>
      <c r="F80" s="6">
        <f t="shared" si="19"/>
        <v>1765.0573938920138</v>
      </c>
      <c r="G80" s="6">
        <f t="shared" si="19"/>
        <v>1804.4770090222687</v>
      </c>
      <c r="H80" s="6">
        <f t="shared" si="19"/>
        <v>1844.1755032207589</v>
      </c>
      <c r="I80" s="6">
        <f t="shared" si="19"/>
        <v>1884.7473642916154</v>
      </c>
      <c r="J80" s="6">
        <f t="shared" si="19"/>
        <v>1926.2118063060311</v>
      </c>
      <c r="K80" s="6">
        <f t="shared" si="19"/>
        <v>1968.5884660447639</v>
      </c>
      <c r="L80" s="6">
        <f t="shared" si="19"/>
        <v>2011.8974122977488</v>
      </c>
      <c r="M80" s="6">
        <f t="shared" si="19"/>
        <v>2056.1591553682993</v>
      </c>
      <c r="N80" s="6">
        <f t="shared" si="19"/>
        <v>2101.3946567864018</v>
      </c>
      <c r="O80" s="6">
        <f t="shared" si="19"/>
        <v>2147.6253392357021</v>
      </c>
      <c r="P80" s="6">
        <f t="shared" si="19"/>
        <v>2194.8730966988883</v>
      </c>
      <c r="Q80" s="6">
        <f t="shared" si="19"/>
        <v>2243.1603048262632</v>
      </c>
      <c r="R80" s="6">
        <f t="shared" si="19"/>
        <v>2292.5098315324412</v>
      </c>
      <c r="S80" s="6">
        <f t="shared" si="19"/>
        <v>2342.9450478261556</v>
      </c>
      <c r="T80" s="6">
        <f t="shared" si="19"/>
        <v>2394.4898388783308</v>
      </c>
      <c r="U80" s="6">
        <f t="shared" si="19"/>
        <v>2447.1686153336541</v>
      </c>
      <c r="V80" s="6">
        <f t="shared" si="19"/>
        <v>2501.0063248709939</v>
      </c>
      <c r="W80" s="6">
        <f t="shared" si="19"/>
        <v>2556.0284640181558</v>
      </c>
      <c r="X80" s="44">
        <f t="shared" si="19"/>
        <v>2612.2610902265556</v>
      </c>
    </row>
    <row r="81" spans="3:24" hidden="1" outlineLevel="1">
      <c r="C81" s="89" t="s">
        <v>94</v>
      </c>
      <c r="D81" s="6">
        <f t="shared" si="18"/>
        <v>269811.60859315959</v>
      </c>
      <c r="E81" s="6">
        <f t="shared" ref="E81:X81" si="20">SUM(E78:E80)</f>
        <v>326857.662631349</v>
      </c>
      <c r="F81" s="4">
        <f t="shared" si="20"/>
        <v>319009.40636198822</v>
      </c>
      <c r="G81" s="6">
        <f t="shared" si="20"/>
        <v>310716.59605747636</v>
      </c>
      <c r="H81" s="6">
        <f t="shared" si="20"/>
        <v>302602.49163913983</v>
      </c>
      <c r="I81" s="6">
        <f t="shared" si="20"/>
        <v>294675.42645886831</v>
      </c>
      <c r="J81" s="6">
        <f t="shared" si="20"/>
        <v>286924.56182908255</v>
      </c>
      <c r="K81" s="6">
        <f t="shared" si="20"/>
        <v>279339.72282670182</v>
      </c>
      <c r="L81" s="6">
        <f t="shared" si="20"/>
        <v>271911.56083207409</v>
      </c>
      <c r="M81" s="6">
        <f t="shared" si="20"/>
        <v>264586.6215149237</v>
      </c>
      <c r="N81" s="6">
        <f t="shared" si="20"/>
        <v>257306.11352216059</v>
      </c>
      <c r="O81" s="6">
        <f t="shared" si="20"/>
        <v>250060.73602740734</v>
      </c>
      <c r="P81" s="6">
        <f t="shared" si="20"/>
        <v>242851.26190162025</v>
      </c>
      <c r="Q81" s="6">
        <f t="shared" si="20"/>
        <v>235678.48101891656</v>
      </c>
      <c r="R81" s="6">
        <f t="shared" si="20"/>
        <v>228543.20063064416</v>
      </c>
      <c r="S81" s="6">
        <f t="shared" si="20"/>
        <v>221446.24574768051</v>
      </c>
      <c r="T81" s="6">
        <f t="shared" si="20"/>
        <v>214388.45953114232</v>
      </c>
      <c r="U81" s="6">
        <f t="shared" si="20"/>
        <v>207370.70369169107</v>
      </c>
      <c r="V81" s="6">
        <f t="shared" si="20"/>
        <v>200393.85889762262</v>
      </c>
      <c r="W81" s="6">
        <f t="shared" si="20"/>
        <v>193458.82519193535</v>
      </c>
      <c r="X81" s="44">
        <f t="shared" si="20"/>
        <v>186566.52241857373</v>
      </c>
    </row>
    <row r="82" spans="3:24" hidden="1" outlineLevel="1">
      <c r="C82" s="33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44"/>
    </row>
    <row r="83" spans="3:24" hidden="1" outlineLevel="1">
      <c r="C83" s="90" t="s">
        <v>95</v>
      </c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44"/>
    </row>
    <row r="84" spans="3:24" hidden="1" outlineLevel="1">
      <c r="C84" s="87" t="s">
        <v>48</v>
      </c>
      <c r="D84" s="6">
        <f t="shared" ref="D84:D87" si="21">-PMT(Discount_Rate,20,NPV(Discount_Rate,E84:X84))</f>
        <v>588775.3221131243</v>
      </c>
      <c r="E84" s="6">
        <f>E67*INDEX('DATA (Nominal)'!$B$105:$BX$105,1,MATCH(E$1,'DATA (Nominal)'!$B$1:$BX$1,0))</f>
        <v>496603.49689487927</v>
      </c>
      <c r="F84" s="6">
        <f>F67*INDEX('DATA (Nominal)'!$B$105:$BX$105,1,MATCH(F$1,'DATA (Nominal)'!$B$1:$BX$1,0))</f>
        <v>507694.3083255316</v>
      </c>
      <c r="G84" s="6">
        <f>G67*INDEX('DATA (Nominal)'!$B$105:$BX$105,1,MATCH(G$1,'DATA (Nominal)'!$B$1:$BX$1,0))</f>
        <v>519032.81454480183</v>
      </c>
      <c r="H84" s="6">
        <f>H67*INDEX('DATA (Nominal)'!$B$105:$BX$105,1,MATCH(H$1,'DATA (Nominal)'!$B$1:$BX$1,0))</f>
        <v>530451.53646478744</v>
      </c>
      <c r="I84" s="6">
        <f>I67*INDEX('DATA (Nominal)'!$B$105:$BX$105,1,MATCH(I$1,'DATA (Nominal)'!$B$1:$BX$1,0))</f>
        <v>542121.47026701283</v>
      </c>
      <c r="J84" s="6">
        <f>J67*INDEX('DATA (Nominal)'!$B$105:$BX$105,1,MATCH(J$1,'DATA (Nominal)'!$B$1:$BX$1,0))</f>
        <v>554048.14261288708</v>
      </c>
      <c r="K84" s="6">
        <f>K67*INDEX('DATA (Nominal)'!$B$105:$BX$105,1,MATCH(K$1,'DATA (Nominal)'!$B$1:$BX$1,0))</f>
        <v>566237.20175037056</v>
      </c>
      <c r="L84" s="6">
        <f>L67*INDEX('DATA (Nominal)'!$B$105:$BX$105,1,MATCH(L$1,'DATA (Nominal)'!$B$1:$BX$1,0))</f>
        <v>578694.42018887878</v>
      </c>
      <c r="M84" s="6">
        <f>M67*INDEX('DATA (Nominal)'!$B$105:$BX$105,1,MATCH(M$1,'DATA (Nominal)'!$B$1:$BX$1,0))</f>
        <v>591425.69743303419</v>
      </c>
      <c r="N84" s="6">
        <f>N67*INDEX('DATA (Nominal)'!$B$105:$BX$105,1,MATCH(N$1,'DATA (Nominal)'!$B$1:$BX$1,0))</f>
        <v>604437.0627765609</v>
      </c>
      <c r="O84" s="6">
        <f>O67*INDEX('DATA (Nominal)'!$B$105:$BX$105,1,MATCH(O$1,'DATA (Nominal)'!$B$1:$BX$1,0))</f>
        <v>617734.67815764516</v>
      </c>
      <c r="P84" s="6">
        <f>P67*INDEX('DATA (Nominal)'!$B$105:$BX$105,1,MATCH(P$1,'DATA (Nominal)'!$B$1:$BX$1,0))</f>
        <v>631324.84107711341</v>
      </c>
      <c r="Q84" s="6">
        <f>Q67*INDEX('DATA (Nominal)'!$B$105:$BX$105,1,MATCH(Q$1,'DATA (Nominal)'!$B$1:$BX$1,0))</f>
        <v>645213.98758080974</v>
      </c>
      <c r="R84" s="6">
        <f>R67*INDEX('DATA (Nominal)'!$B$105:$BX$105,1,MATCH(R$1,'DATA (Nominal)'!$B$1:$BX$1,0))</f>
        <v>659408.69530758762</v>
      </c>
      <c r="S84" s="6">
        <f>S67*INDEX('DATA (Nominal)'!$B$105:$BX$105,1,MATCH(S$1,'DATA (Nominal)'!$B$1:$BX$1,0))</f>
        <v>673915.68660435465</v>
      </c>
      <c r="T84" s="6">
        <f>T67*INDEX('DATA (Nominal)'!$B$105:$BX$105,1,MATCH(T$1,'DATA (Nominal)'!$B$1:$BX$1,0))</f>
        <v>688741.83170965046</v>
      </c>
      <c r="U84" s="6">
        <f>U67*INDEX('DATA (Nominal)'!$B$105:$BX$105,1,MATCH(U$1,'DATA (Nominal)'!$B$1:$BX$1,0))</f>
        <v>703894.15200726269</v>
      </c>
      <c r="V84" s="6">
        <f>V67*INDEX('DATA (Nominal)'!$B$105:$BX$105,1,MATCH(V$1,'DATA (Nominal)'!$B$1:$BX$1,0))</f>
        <v>719379.82335142256</v>
      </c>
      <c r="W84" s="6">
        <f>W67*INDEX('DATA (Nominal)'!$B$105:$BX$105,1,MATCH(W$1,'DATA (Nominal)'!$B$1:$BX$1,0))</f>
        <v>735206.17946515384</v>
      </c>
      <c r="X84" s="44">
        <f>X67*INDEX('DATA (Nominal)'!$B$105:$BX$105,1,MATCH(X$1,'DATA (Nominal)'!$B$1:$BX$1,0))</f>
        <v>751380.71541338717</v>
      </c>
    </row>
    <row r="85" spans="3:24" hidden="1" outlineLevel="1">
      <c r="C85" s="87" t="s">
        <v>96</v>
      </c>
      <c r="D85" s="6">
        <f t="shared" si="21"/>
        <v>3800728.2580847437</v>
      </c>
      <c r="E85" s="6">
        <f>E68*INDEX('DATA (Nominal)'!$B$145:$BX$145,1,MATCH(E$1,'DATA (Nominal)'!$B$1:$BX$1,0))</f>
        <v>3671139.6407015151</v>
      </c>
      <c r="F85" s="6">
        <f>F68*INDEX('DATA (Nominal)'!$B$145:$BX$145,1,MATCH(F$1,'DATA (Nominal)'!$B$1:$BX$1,0))</f>
        <v>3369921.3150037103</v>
      </c>
      <c r="G85" s="6">
        <f>G68*INDEX('DATA (Nominal)'!$B$145:$BX$145,1,MATCH(G$1,'DATA (Nominal)'!$B$1:$BX$1,0))</f>
        <v>3221856.0319108753</v>
      </c>
      <c r="H85" s="6">
        <f>H68*INDEX('DATA (Nominal)'!$B$145:$BX$145,1,MATCH(H$1,'DATA (Nominal)'!$B$1:$BX$1,0))</f>
        <v>3215352.0829184363</v>
      </c>
      <c r="I85" s="6">
        <f>I68*INDEX('DATA (Nominal)'!$B$145:$BX$145,1,MATCH(I$1,'DATA (Nominal)'!$B$1:$BX$1,0))</f>
        <v>3288587.9673041571</v>
      </c>
      <c r="J85" s="6">
        <f>J68*INDEX('DATA (Nominal)'!$B$145:$BX$145,1,MATCH(J$1,'DATA (Nominal)'!$B$1:$BX$1,0))</f>
        <v>3435587.8784855506</v>
      </c>
      <c r="K85" s="6">
        <f>K68*INDEX('DATA (Nominal)'!$B$145:$BX$145,1,MATCH(K$1,'DATA (Nominal)'!$B$1:$BX$1,0))</f>
        <v>3588129.5011414485</v>
      </c>
      <c r="L85" s="6">
        <f>L68*INDEX('DATA (Nominal)'!$B$145:$BX$145,1,MATCH(L$1,'DATA (Nominal)'!$B$1:$BX$1,0))</f>
        <v>3679951.5211055186</v>
      </c>
      <c r="M85" s="6">
        <f>M68*INDEX('DATA (Nominal)'!$B$145:$BX$145,1,MATCH(M$1,'DATA (Nominal)'!$B$1:$BX$1,0))</f>
        <v>3817216.1324190069</v>
      </c>
      <c r="N85" s="6">
        <f>N68*INDEX('DATA (Nominal)'!$B$145:$BX$145,1,MATCH(N$1,'DATA (Nominal)'!$B$1:$BX$1,0))</f>
        <v>3861943.465420437</v>
      </c>
      <c r="O85" s="6">
        <f>O68*INDEX('DATA (Nominal)'!$B$145:$BX$145,1,MATCH(O$1,'DATA (Nominal)'!$B$1:$BX$1,0))</f>
        <v>3966534.1313189464</v>
      </c>
      <c r="P85" s="6">
        <f>P68*INDEX('DATA (Nominal)'!$B$145:$BX$145,1,MATCH(P$1,'DATA (Nominal)'!$B$1:$BX$1,0))</f>
        <v>4041703.1013722103</v>
      </c>
      <c r="Q85" s="6">
        <f>Q68*INDEX('DATA (Nominal)'!$B$145:$BX$145,1,MATCH(Q$1,'DATA (Nominal)'!$B$1:$BX$1,0))</f>
        <v>4130261.0658997544</v>
      </c>
      <c r="R85" s="6">
        <f>R68*INDEX('DATA (Nominal)'!$B$145:$BX$145,1,MATCH(R$1,'DATA (Nominal)'!$B$1:$BX$1,0))</f>
        <v>4189345.427220291</v>
      </c>
      <c r="S85" s="6">
        <f>S68*INDEX('DATA (Nominal)'!$B$145:$BX$145,1,MATCH(S$1,'DATA (Nominal)'!$B$1:$BX$1,0))</f>
        <v>4322306.4994622814</v>
      </c>
      <c r="T85" s="6">
        <f>T68*INDEX('DATA (Nominal)'!$B$145:$BX$145,1,MATCH(T$1,'DATA (Nominal)'!$B$1:$BX$1,0))</f>
        <v>4531634.2064098809</v>
      </c>
      <c r="U85" s="6">
        <f>U68*INDEX('DATA (Nominal)'!$B$145:$BX$145,1,MATCH(U$1,'DATA (Nominal)'!$B$1:$BX$1,0))</f>
        <v>4638460.8504378079</v>
      </c>
      <c r="V85" s="6">
        <f>V68*INDEX('DATA (Nominal)'!$B$145:$BX$145,1,MATCH(V$1,'DATA (Nominal)'!$B$1:$BX$1,0))</f>
        <v>4725219.8816657187</v>
      </c>
      <c r="W85" s="6">
        <f>W68*INDEX('DATA (Nominal)'!$B$145:$BX$145,1,MATCH(W$1,'DATA (Nominal)'!$B$1:$BX$1,0))</f>
        <v>4900286.0544367665</v>
      </c>
      <c r="X85" s="44">
        <f>X68*INDEX('DATA (Nominal)'!$B$145:$BX$145,1,MATCH(X$1,'DATA (Nominal)'!$B$1:$BX$1,0))</f>
        <v>5002820.8437707312</v>
      </c>
    </row>
    <row r="86" spans="3:24" hidden="1" outlineLevel="1">
      <c r="C86" s="87" t="s">
        <v>93</v>
      </c>
      <c r="D86" s="6">
        <f t="shared" si="21"/>
        <v>127971.58737708864</v>
      </c>
      <c r="E86" s="6">
        <f t="shared" ref="E86:X86" si="22">SUM(E84:E85)*Misc_Fees</f>
        <v>121506.38343348527</v>
      </c>
      <c r="F86" s="6">
        <f t="shared" si="22"/>
        <v>113048.00588254072</v>
      </c>
      <c r="G86" s="6">
        <f t="shared" si="22"/>
        <v>109061.87342956882</v>
      </c>
      <c r="H86" s="6">
        <f t="shared" si="22"/>
        <v>109205.1587194985</v>
      </c>
      <c r="I86" s="6">
        <f t="shared" si="22"/>
        <v>111680.50294294988</v>
      </c>
      <c r="J86" s="6">
        <f t="shared" si="22"/>
        <v>116313.84855910385</v>
      </c>
      <c r="K86" s="6">
        <f t="shared" si="22"/>
        <v>121116.40685610809</v>
      </c>
      <c r="L86" s="6">
        <f t="shared" si="22"/>
        <v>124156.56377249685</v>
      </c>
      <c r="M86" s="6">
        <f t="shared" si="22"/>
        <v>128529.54390750639</v>
      </c>
      <c r="N86" s="6">
        <f t="shared" si="22"/>
        <v>130212.85791905527</v>
      </c>
      <c r="O86" s="6">
        <f t="shared" si="22"/>
        <v>133649.77287148056</v>
      </c>
      <c r="P86" s="6">
        <f t="shared" si="22"/>
        <v>136237.45663416758</v>
      </c>
      <c r="Q86" s="6">
        <f t="shared" si="22"/>
        <v>139224.19970917236</v>
      </c>
      <c r="R86" s="6">
        <f t="shared" si="22"/>
        <v>141360.57768817779</v>
      </c>
      <c r="S86" s="6">
        <f t="shared" si="22"/>
        <v>145659.86161258671</v>
      </c>
      <c r="T86" s="6">
        <f t="shared" si="22"/>
        <v>152194.84301533681</v>
      </c>
      <c r="U86" s="6">
        <f t="shared" si="22"/>
        <v>155751.01774128358</v>
      </c>
      <c r="V86" s="6">
        <f t="shared" si="22"/>
        <v>158731.85980006974</v>
      </c>
      <c r="W86" s="6">
        <f t="shared" si="22"/>
        <v>164297.1405871766</v>
      </c>
      <c r="X86" s="44">
        <f t="shared" si="22"/>
        <v>167757.99225645378</v>
      </c>
    </row>
    <row r="87" spans="3:24" hidden="1" outlineLevel="1">
      <c r="C87" s="89" t="s">
        <v>99</v>
      </c>
      <c r="D87" s="6">
        <f t="shared" si="21"/>
        <v>4517475.1675749579</v>
      </c>
      <c r="E87" s="6">
        <f t="shared" ref="E87:X87" si="23">SUM(E84:E86)</f>
        <v>4289249.5210298793</v>
      </c>
      <c r="F87" s="4">
        <f t="shared" si="23"/>
        <v>3990663.6292117825</v>
      </c>
      <c r="G87" s="6">
        <f t="shared" si="23"/>
        <v>3849950.7198852464</v>
      </c>
      <c r="H87" s="6">
        <f t="shared" si="23"/>
        <v>3855008.7781027225</v>
      </c>
      <c r="I87" s="6">
        <f t="shared" si="23"/>
        <v>3942389.9405141198</v>
      </c>
      <c r="J87" s="6">
        <f t="shared" si="23"/>
        <v>4105949.8696575416</v>
      </c>
      <c r="K87" s="6">
        <f t="shared" si="23"/>
        <v>4275483.1097479276</v>
      </c>
      <c r="L87" s="6">
        <f t="shared" si="23"/>
        <v>4382802.505066894</v>
      </c>
      <c r="M87" s="6">
        <f t="shared" si="23"/>
        <v>4537171.3737595472</v>
      </c>
      <c r="N87" s="6">
        <f t="shared" si="23"/>
        <v>4596593.386116053</v>
      </c>
      <c r="O87" s="6">
        <f t="shared" si="23"/>
        <v>4717918.582348072</v>
      </c>
      <c r="P87" s="6">
        <f t="shared" si="23"/>
        <v>4809265.3990834914</v>
      </c>
      <c r="Q87" s="6">
        <f t="shared" si="23"/>
        <v>4914699.253189736</v>
      </c>
      <c r="R87" s="6">
        <f t="shared" si="23"/>
        <v>4990114.7002160568</v>
      </c>
      <c r="S87" s="6">
        <f t="shared" si="23"/>
        <v>5141882.0476792222</v>
      </c>
      <c r="T87" s="6">
        <f t="shared" si="23"/>
        <v>5372570.8811348677</v>
      </c>
      <c r="U87" s="6">
        <f t="shared" si="23"/>
        <v>5498106.0201863535</v>
      </c>
      <c r="V87" s="6">
        <f t="shared" si="23"/>
        <v>5603331.5648172107</v>
      </c>
      <c r="W87" s="6">
        <f t="shared" si="23"/>
        <v>5799789.3744890969</v>
      </c>
      <c r="X87" s="44">
        <f t="shared" si="23"/>
        <v>5921959.5514405724</v>
      </c>
    </row>
    <row r="88" spans="3:24" hidden="1" outlineLevel="1">
      <c r="C88" s="33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44"/>
    </row>
    <row r="89" spans="3:24" ht="15.75" hidden="1" outlineLevel="1" thickBot="1">
      <c r="C89" s="91" t="s">
        <v>100</v>
      </c>
      <c r="D89" s="84">
        <f>-PMT(Discount_Rate,20,NPV(Discount_Rate,E89:X89))</f>
        <v>4787286.7761681173</v>
      </c>
      <c r="E89" s="84">
        <f t="shared" ref="E89:X89" si="24">E81+E87</f>
        <v>4616107.183661228</v>
      </c>
      <c r="F89" s="84">
        <f t="shared" si="24"/>
        <v>4309673.0355737703</v>
      </c>
      <c r="G89" s="84">
        <f t="shared" si="24"/>
        <v>4160667.3159427228</v>
      </c>
      <c r="H89" s="84">
        <f t="shared" si="24"/>
        <v>4157611.2697418621</v>
      </c>
      <c r="I89" s="84">
        <f t="shared" si="24"/>
        <v>4237065.3669729885</v>
      </c>
      <c r="J89" s="84">
        <f t="shared" si="24"/>
        <v>4392874.4314866243</v>
      </c>
      <c r="K89" s="84">
        <f t="shared" si="24"/>
        <v>4554822.8325746292</v>
      </c>
      <c r="L89" s="84">
        <f t="shared" si="24"/>
        <v>4654714.0658989679</v>
      </c>
      <c r="M89" s="84">
        <f t="shared" si="24"/>
        <v>4801757.9952744711</v>
      </c>
      <c r="N89" s="84">
        <f t="shared" si="24"/>
        <v>4853899.4996382138</v>
      </c>
      <c r="O89" s="84">
        <f t="shared" si="24"/>
        <v>4967979.3183754794</v>
      </c>
      <c r="P89" s="84">
        <f t="shared" si="24"/>
        <v>5052116.6609851113</v>
      </c>
      <c r="Q89" s="84">
        <f t="shared" si="24"/>
        <v>5150377.7342086527</v>
      </c>
      <c r="R89" s="84">
        <f t="shared" si="24"/>
        <v>5218657.9008467011</v>
      </c>
      <c r="S89" s="84">
        <f t="shared" si="24"/>
        <v>5363328.293426903</v>
      </c>
      <c r="T89" s="84">
        <f t="shared" si="24"/>
        <v>5586959.34066601</v>
      </c>
      <c r="U89" s="84">
        <f t="shared" si="24"/>
        <v>5705476.7238780446</v>
      </c>
      <c r="V89" s="84">
        <f t="shared" si="24"/>
        <v>5803725.4237148333</v>
      </c>
      <c r="W89" s="84">
        <f t="shared" si="24"/>
        <v>5993248.1996810324</v>
      </c>
      <c r="X89" s="85">
        <f t="shared" si="24"/>
        <v>6108526.0738591459</v>
      </c>
    </row>
    <row r="90" spans="3:24" hidden="1" outlineLevel="1">
      <c r="C90" s="32" t="s">
        <v>101</v>
      </c>
      <c r="D90" s="50">
        <f>D89/AVERAGE(E67:X67)</f>
        <v>59.841084702101476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3:24" hidden="1" outlineLevel="1">
      <c r="C91" s="32" t="s">
        <v>102</v>
      </c>
      <c r="D91" s="50">
        <f>D81/E72/1000</f>
        <v>26.98116085931596</v>
      </c>
      <c r="E91" s="24"/>
      <c r="F91" s="86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3:24" ht="15.75" hidden="1" outlineLevel="1" thickBot="1">
      <c r="C92" s="34" t="s">
        <v>103</v>
      </c>
      <c r="D92" s="51">
        <f>D87/AVERAGE(E67:X67)</f>
        <v>56.468439594686984</v>
      </c>
    </row>
    <row r="93" spans="3:24" hidden="1" outlineLevel="1"/>
    <row r="94" spans="3:24" collapsed="1"/>
  </sheetData>
  <mergeCells count="5">
    <mergeCell ref="A1:A2"/>
    <mergeCell ref="B1:B2"/>
    <mergeCell ref="C5:F5"/>
    <mergeCell ref="C34:F34"/>
    <mergeCell ref="C66:F6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146FC-4075-4930-8A9E-1605C5FB7CD1}">
  <sheetPr codeName="Sheet10">
    <tabColor theme="0" tint="-0.249977111117893"/>
  </sheetPr>
  <dimension ref="A1:X256"/>
  <sheetViews>
    <sheetView topLeftCell="B1" zoomScaleNormal="100" workbookViewId="0">
      <pane ySplit="2" topLeftCell="A3" activePane="bottomLeft" state="frozen"/>
      <selection activeCell="A2" sqref="A2"/>
      <selection pane="bottomLeft" activeCell="D52" sqref="D52"/>
    </sheetView>
  </sheetViews>
  <sheetFormatPr defaultRowHeight="15" outlineLevelRow="1"/>
  <cols>
    <col min="1" max="1" width="12.7109375" bestFit="1" customWidth="1"/>
    <col min="2" max="2" width="7" bestFit="1" customWidth="1"/>
    <col min="3" max="3" width="27.5703125" bestFit="1" customWidth="1"/>
    <col min="4" max="15" width="11.140625" bestFit="1" customWidth="1"/>
    <col min="16" max="16" width="11.140625" customWidth="1"/>
    <col min="17" max="24" width="11.140625" bestFit="1" customWidth="1"/>
  </cols>
  <sheetData>
    <row r="1" spans="1:24">
      <c r="A1" s="482" t="s">
        <v>72</v>
      </c>
      <c r="B1" s="502">
        <v>2025</v>
      </c>
      <c r="C1" s="263"/>
      <c r="E1" s="23">
        <f>B1</f>
        <v>2025</v>
      </c>
      <c r="F1" s="23">
        <f>E1+1</f>
        <v>2026</v>
      </c>
      <c r="G1" s="23">
        <f t="shared" ref="G1:X1" si="0">F1+1</f>
        <v>2027</v>
      </c>
      <c r="H1" s="23">
        <f t="shared" si="0"/>
        <v>2028</v>
      </c>
      <c r="I1" s="23">
        <f t="shared" si="0"/>
        <v>2029</v>
      </c>
      <c r="J1" s="23">
        <f t="shared" si="0"/>
        <v>2030</v>
      </c>
      <c r="K1" s="23">
        <f t="shared" si="0"/>
        <v>2031</v>
      </c>
      <c r="L1" s="23">
        <f t="shared" si="0"/>
        <v>2032</v>
      </c>
      <c r="M1" s="23">
        <f t="shared" si="0"/>
        <v>2033</v>
      </c>
      <c r="N1" s="23">
        <f t="shared" si="0"/>
        <v>2034</v>
      </c>
      <c r="O1" s="23">
        <f t="shared" si="0"/>
        <v>2035</v>
      </c>
      <c r="P1" s="23">
        <f t="shared" si="0"/>
        <v>2036</v>
      </c>
      <c r="Q1" s="23">
        <f t="shared" si="0"/>
        <v>2037</v>
      </c>
      <c r="R1" s="23">
        <f t="shared" si="0"/>
        <v>2038</v>
      </c>
      <c r="S1" s="23">
        <f t="shared" si="0"/>
        <v>2039</v>
      </c>
      <c r="T1" s="23">
        <f t="shared" si="0"/>
        <v>2040</v>
      </c>
      <c r="U1" s="23">
        <f t="shared" si="0"/>
        <v>2041</v>
      </c>
      <c r="V1" s="23">
        <f t="shared" si="0"/>
        <v>2042</v>
      </c>
      <c r="W1" s="23">
        <f t="shared" si="0"/>
        <v>2043</v>
      </c>
      <c r="X1" s="23">
        <f t="shared" si="0"/>
        <v>2044</v>
      </c>
    </row>
    <row r="2" spans="1:24">
      <c r="A2" s="482"/>
      <c r="B2" s="502"/>
      <c r="D2" s="23">
        <v>0</v>
      </c>
      <c r="E2" s="23">
        <v>1</v>
      </c>
      <c r="F2" s="23">
        <v>2</v>
      </c>
      <c r="G2" s="23">
        <v>3</v>
      </c>
      <c r="H2" s="23">
        <v>4</v>
      </c>
      <c r="I2" s="23">
        <v>5</v>
      </c>
      <c r="J2" s="23">
        <v>6</v>
      </c>
      <c r="K2" s="23">
        <v>7</v>
      </c>
      <c r="L2" s="23">
        <v>8</v>
      </c>
      <c r="M2" s="23">
        <v>9</v>
      </c>
      <c r="N2" s="23">
        <v>10</v>
      </c>
      <c r="O2" s="23">
        <v>11</v>
      </c>
      <c r="P2" s="23">
        <v>12</v>
      </c>
      <c r="Q2" s="23">
        <v>13</v>
      </c>
      <c r="R2" s="23">
        <v>14</v>
      </c>
      <c r="S2" s="23">
        <v>15</v>
      </c>
      <c r="T2" s="23">
        <v>16</v>
      </c>
      <c r="U2" s="23">
        <v>17</v>
      </c>
      <c r="V2" s="23">
        <v>18</v>
      </c>
      <c r="W2" s="23">
        <v>19</v>
      </c>
      <c r="X2" s="23">
        <v>20</v>
      </c>
    </row>
    <row r="4" spans="1:24" ht="15.75" thickBot="1"/>
    <row r="5" spans="1:24" ht="18.75" thickBot="1">
      <c r="A5" s="95"/>
      <c r="B5" s="95"/>
      <c r="C5" s="499" t="s">
        <v>11</v>
      </c>
      <c r="D5" s="500"/>
      <c r="E5" s="500"/>
      <c r="F5" s="501"/>
    </row>
    <row r="6" spans="1:24" hidden="1" outlineLevel="1">
      <c r="C6" s="78" t="s">
        <v>44</v>
      </c>
      <c r="D6" s="67"/>
      <c r="E6" s="67">
        <f>'Resource Options'!$D$24*365</f>
        <v>7300</v>
      </c>
      <c r="F6" s="67">
        <f>E6</f>
        <v>7300</v>
      </c>
      <c r="G6" s="67">
        <f t="shared" ref="G6:X6" si="1">F6</f>
        <v>7300</v>
      </c>
      <c r="H6" s="67">
        <f t="shared" si="1"/>
        <v>7300</v>
      </c>
      <c r="I6" s="67">
        <f t="shared" si="1"/>
        <v>7300</v>
      </c>
      <c r="J6" s="67">
        <f t="shared" si="1"/>
        <v>7300</v>
      </c>
      <c r="K6" s="67">
        <f t="shared" si="1"/>
        <v>7300</v>
      </c>
      <c r="L6" s="67">
        <f t="shared" si="1"/>
        <v>7300</v>
      </c>
      <c r="M6" s="67">
        <f t="shared" si="1"/>
        <v>7300</v>
      </c>
      <c r="N6" s="67">
        <f t="shared" si="1"/>
        <v>7300</v>
      </c>
      <c r="O6" s="67">
        <f t="shared" si="1"/>
        <v>7300</v>
      </c>
      <c r="P6" s="67">
        <f t="shared" si="1"/>
        <v>7300</v>
      </c>
      <c r="Q6" s="67">
        <f t="shared" si="1"/>
        <v>7300</v>
      </c>
      <c r="R6" s="67">
        <f t="shared" si="1"/>
        <v>7300</v>
      </c>
      <c r="S6" s="67">
        <f t="shared" si="1"/>
        <v>7300</v>
      </c>
      <c r="T6" s="67">
        <f t="shared" si="1"/>
        <v>7300</v>
      </c>
      <c r="U6" s="67">
        <f t="shared" si="1"/>
        <v>7300</v>
      </c>
      <c r="V6" s="67">
        <f t="shared" si="1"/>
        <v>7300</v>
      </c>
      <c r="W6" s="67">
        <f t="shared" si="1"/>
        <v>7300</v>
      </c>
      <c r="X6" s="68">
        <f t="shared" si="1"/>
        <v>7300</v>
      </c>
    </row>
    <row r="7" spans="1:24" hidden="1" outlineLevel="1">
      <c r="C7" s="79" t="s">
        <v>115</v>
      </c>
      <c r="D7" s="69"/>
      <c r="E7" s="69">
        <f>E6*(1-INDEX('DATA (Nominal)'!$B$210:$BX$210,1,MATCH($B$1,'DATA (Nominal)'!$B$1:$BX$1,0)))</f>
        <v>1022.0000000000001</v>
      </c>
      <c r="F7" s="69">
        <f>E7</f>
        <v>1022.0000000000001</v>
      </c>
      <c r="G7" s="69">
        <f t="shared" ref="G7:X7" si="2">F7</f>
        <v>1022.0000000000001</v>
      </c>
      <c r="H7" s="69">
        <f t="shared" si="2"/>
        <v>1022.0000000000001</v>
      </c>
      <c r="I7" s="69">
        <f t="shared" si="2"/>
        <v>1022.0000000000001</v>
      </c>
      <c r="J7" s="69">
        <f t="shared" si="2"/>
        <v>1022.0000000000001</v>
      </c>
      <c r="K7" s="69">
        <f t="shared" si="2"/>
        <v>1022.0000000000001</v>
      </c>
      <c r="L7" s="69">
        <f t="shared" si="2"/>
        <v>1022.0000000000001</v>
      </c>
      <c r="M7" s="69">
        <f t="shared" si="2"/>
        <v>1022.0000000000001</v>
      </c>
      <c r="N7" s="69">
        <f t="shared" si="2"/>
        <v>1022.0000000000001</v>
      </c>
      <c r="O7" s="69">
        <f t="shared" si="2"/>
        <v>1022.0000000000001</v>
      </c>
      <c r="P7" s="69">
        <f t="shared" si="2"/>
        <v>1022.0000000000001</v>
      </c>
      <c r="Q7" s="69">
        <f t="shared" si="2"/>
        <v>1022.0000000000001</v>
      </c>
      <c r="R7" s="69">
        <f t="shared" si="2"/>
        <v>1022.0000000000001</v>
      </c>
      <c r="S7" s="69">
        <f t="shared" si="2"/>
        <v>1022.0000000000001</v>
      </c>
      <c r="T7" s="69">
        <f t="shared" si="2"/>
        <v>1022.0000000000001</v>
      </c>
      <c r="U7" s="69">
        <f t="shared" si="2"/>
        <v>1022.0000000000001</v>
      </c>
      <c r="V7" s="69">
        <f t="shared" si="2"/>
        <v>1022.0000000000001</v>
      </c>
      <c r="W7" s="69">
        <f t="shared" si="2"/>
        <v>1022.0000000000001</v>
      </c>
      <c r="X7" s="70">
        <f t="shared" si="2"/>
        <v>1022.0000000000001</v>
      </c>
    </row>
    <row r="8" spans="1:24" hidden="1" outlineLevel="1">
      <c r="C8" s="7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70"/>
    </row>
    <row r="9" spans="1:24" hidden="1" outlineLevel="1">
      <c r="C9" s="79" t="s">
        <v>47</v>
      </c>
      <c r="D9" s="71">
        <f>-PMT(Discount_Rate,20,NPV(Discount_Rate,E9:X9))</f>
        <v>206451.14908539809</v>
      </c>
      <c r="E9" s="73">
        <f>INDEX('DATA (Nominal)'!$B$162:$BX$162,1,MATCH(E$1,'DATA (Nominal)'!$B$1:$BX$1,0))*'Resource Options'!$E$24*1000</f>
        <v>216118.74886748698</v>
      </c>
      <c r="F9" s="73">
        <f>INDEX('DATA (Nominal)'!$B$162:$BX$162,1,MATCH(F$1,'DATA (Nominal)'!$B$1:$BX$1,0))*'Resource Options'!$E$24*1000</f>
        <v>211521.18951164241</v>
      </c>
      <c r="G9" s="73">
        <f>INDEX('DATA (Nominal)'!$B$162:$BX$162,1,MATCH(G$1,'DATA (Nominal)'!$B$1:$BX$1,0))*'Resource Options'!$E$24*1000</f>
        <v>207680.99788291776</v>
      </c>
      <c r="H9" s="73">
        <f>INDEX('DATA (Nominal)'!$B$162:$BX$162,1,MATCH(H$1,'DATA (Nominal)'!$B$1:$BX$1,0))*'Resource Options'!$E$24*1000</f>
        <v>202403.33128723342</v>
      </c>
      <c r="I9" s="73">
        <f>INDEX('DATA (Nominal)'!$B$162:$BX$162,1,MATCH(I$1,'DATA (Nominal)'!$B$1:$BX$1,0))*'Resource Options'!$E$24*1000</f>
        <v>199029.21305107215</v>
      </c>
      <c r="J9" s="73">
        <f>INDEX('DATA (Nominal)'!$B$162:$BX$162,1,MATCH(J$1,'DATA (Nominal)'!$B$1:$BX$1,0))*'Resource Options'!$E$24*1000</f>
        <v>195408.67040017678</v>
      </c>
      <c r="K9" s="73">
        <f>INDEX('DATA (Nominal)'!$B$162:$BX$162,1,MATCH(K$1,'DATA (Nominal)'!$B$1:$BX$1,0))*'Resource Options'!$E$24*1000</f>
        <v>197310.58527466338</v>
      </c>
      <c r="L9" s="73">
        <f>INDEX('DATA (Nominal)'!$B$162:$BX$162,1,MATCH(L$1,'DATA (Nominal)'!$B$1:$BX$1,0))*'Resource Options'!$E$24*1000</f>
        <v>199100.15277952742</v>
      </c>
      <c r="M9" s="73">
        <f>INDEX('DATA (Nominal)'!$B$162:$BX$162,1,MATCH(M$1,'DATA (Nominal)'!$B$1:$BX$1,0))*'Resource Options'!$E$24*1000</f>
        <v>200872.96293133317</v>
      </c>
      <c r="N9" s="73">
        <f>INDEX('DATA (Nominal)'!$B$162:$BX$162,1,MATCH(N$1,'DATA (Nominal)'!$B$1:$BX$1,0))*'Resource Options'!$E$24*1000</f>
        <v>202627.41225587309</v>
      </c>
      <c r="O9" s="73">
        <f>INDEX('DATA (Nominal)'!$B$162:$BX$162,1,MATCH(O$1,'DATA (Nominal)'!$B$1:$BX$1,0))*'Resource Options'!$E$24*1000</f>
        <v>204361.83483663326</v>
      </c>
      <c r="P9" s="73">
        <f>INDEX('DATA (Nominal)'!$B$162:$BX$162,1,MATCH(P$1,'DATA (Nominal)'!$B$1:$BX$1,0))*'Resource Options'!$E$24*1000</f>
        <v>206074.5003434156</v>
      </c>
      <c r="Q9" s="73">
        <f>INDEX('DATA (Nominal)'!$B$162:$BX$162,1,MATCH(Q$1,'DATA (Nominal)'!$B$1:$BX$1,0))*'Resource Options'!$E$24*1000</f>
        <v>207763.61200443489</v>
      </c>
      <c r="R9" s="73">
        <f>INDEX('DATA (Nominal)'!$B$162:$BX$162,1,MATCH(R$1,'DATA (Nominal)'!$B$1:$BX$1,0))*'Resource Options'!$E$24*1000</f>
        <v>209427.30452037358</v>
      </c>
      <c r="S9" s="73">
        <f>INDEX('DATA (Nominal)'!$B$162:$BX$162,1,MATCH(S$1,'DATA (Nominal)'!$B$1:$BX$1,0))*'Resource Options'!$E$24*1000</f>
        <v>211063.64191880348</v>
      </c>
      <c r="T9" s="73">
        <f>INDEX('DATA (Nominal)'!$B$162:$BX$162,1,MATCH(T$1,'DATA (Nominal)'!$B$1:$BX$1,0))*'Resource Options'!$E$24*1000</f>
        <v>212670.6153473756</v>
      </c>
      <c r="U9" s="73">
        <f>INDEX('DATA (Nominal)'!$B$162:$BX$162,1,MATCH(U$1,'DATA (Nominal)'!$B$1:$BX$1,0))*'Resource Options'!$E$24*1000</f>
        <v>214246.14080411673</v>
      </c>
      <c r="V9" s="73">
        <f>INDEX('DATA (Nominal)'!$B$162:$BX$162,1,MATCH(V$1,'DATA (Nominal)'!$B$1:$BX$1,0))*'Resource Options'!$E$24*1000</f>
        <v>215788.05680312574</v>
      </c>
      <c r="W9" s="73">
        <f>INDEX('DATA (Nominal)'!$B$162:$BX$162,1,MATCH(W$1,'DATA (Nominal)'!$B$1:$BX$1,0))*'Resource Options'!$E$24*1000</f>
        <v>217294.12197394285</v>
      </c>
      <c r="X9" s="74">
        <f>INDEX('DATA (Nominal)'!$B$162:$BX$162,1,MATCH(X$1,'DATA (Nominal)'!$B$1:$BX$1,0))*'Resource Options'!$E$24*1000</f>
        <v>218762.01259278317</v>
      </c>
    </row>
    <row r="10" spans="1:24" hidden="1" outlineLevel="1">
      <c r="C10" s="80" t="s">
        <v>92</v>
      </c>
      <c r="D10" s="71">
        <f>-PMT(Discount_Rate,20,NPV(Discount_Rate,E10:X10))</f>
        <v>695683.46370379964</v>
      </c>
      <c r="E10" s="71">
        <f>INDEX('DATA (Nominal)'!$B$43:$BX$43,1,MATCH($B$1,'DATA (Nominal)'!$B$1:$BX$1,0))*Assumptions!AG$24*(1+AFUDC!$C$24)*1000000*'Resource Options'!$E$24/1000*(1-INDEX('DATA (Nominal)'!$B$224:$BX$224,1,MATCH($B$1,'DATA (Nominal)'!$B$1:$BX$1,0)))</f>
        <v>1109093.3777385743</v>
      </c>
      <c r="F10" s="73">
        <f>INDEX('DATA (Nominal)'!$B$43:$BX$43,1,MATCH($B$1,'DATA (Nominal)'!$B$1:$BX$1,0))*Assumptions!AH$24*(1+AFUDC!$C$24)*1000000*'Resource Options'!$E$24/1000*(1-INDEX('DATA (Nominal)'!$B$224:$BX$224,1,MATCH($B$1,'DATA (Nominal)'!$B$1:$BX$1,0)))</f>
        <v>1044068.437185041</v>
      </c>
      <c r="G10" s="71">
        <f>INDEX('DATA (Nominal)'!$B$43:$BX$43,1,MATCH($B$1,'DATA (Nominal)'!$B$1:$BX$1,0))*Assumptions!AI$24*(1+AFUDC!$C$24)*1000000*'Resource Options'!$E$24/1000*(1-INDEX('DATA (Nominal)'!$B$224:$BX$224,1,MATCH($B$1,'DATA (Nominal)'!$B$1:$BX$1,0)))</f>
        <v>979455.6848249092</v>
      </c>
      <c r="H10" s="71">
        <f>INDEX('DATA (Nominal)'!$B$43:$BX$43,1,MATCH($B$1,'DATA (Nominal)'!$B$1:$BX$1,0))*Assumptions!AJ$24*(1+AFUDC!$C$24)*1000000*'Resource Options'!$E$24/1000*(1-INDEX('DATA (Nominal)'!$B$224:$BX$224,1,MATCH($B$1,'DATA (Nominal)'!$B$1:$BX$1,0)))</f>
        <v>925394.95021586656</v>
      </c>
      <c r="I10" s="71">
        <f>INDEX('DATA (Nominal)'!$B$43:$BX$43,1,MATCH($B$1,'DATA (Nominal)'!$B$1:$BX$1,0))*Assumptions!AK$24*(1+AFUDC!$C$24)*1000000*'Resource Options'!$E$24/1000*(1-INDEX('DATA (Nominal)'!$B$224:$BX$224,1,MATCH($B$1,'DATA (Nominal)'!$B$1:$BX$1,0)))</f>
        <v>875291.2222634824</v>
      </c>
      <c r="J10" s="71">
        <f>INDEX('DATA (Nominal)'!$B$43:$BX$43,1,MATCH($B$1,'DATA (Nominal)'!$B$1:$BX$1,0))*Assumptions!AL$24*(1+AFUDC!$C$24)*1000000*'Resource Options'!$E$24/1000*(1-INDEX('DATA (Nominal)'!$B$224:$BX$224,1,MATCH($B$1,'DATA (Nominal)'!$B$1:$BX$1,0)))</f>
        <v>828155.24930359167</v>
      </c>
      <c r="K10" s="71">
        <f>INDEX('DATA (Nominal)'!$B$43:$BX$43,1,MATCH($B$1,'DATA (Nominal)'!$B$1:$BX$1,0))*Assumptions!AM$24*(1+AFUDC!$C$24)*1000000*'Resource Options'!$E$24/1000*(1-INDEX('DATA (Nominal)'!$B$224:$BX$224,1,MATCH($B$1,'DATA (Nominal)'!$B$1:$BX$1,0)))</f>
        <v>786954.78632868826</v>
      </c>
      <c r="L10" s="71">
        <f>INDEX('DATA (Nominal)'!$B$43:$BX$43,1,MATCH($B$1,'DATA (Nominal)'!$B$1:$BX$1,0))*Assumptions!AN$24*(1+AFUDC!$C$24)*1000000*'Resource Options'!$E$24/1000*(1-INDEX('DATA (Nominal)'!$B$224:$BX$224,1,MATCH($B$1,'DATA (Nominal)'!$B$1:$BX$1,0)))</f>
        <v>748722.07834627875</v>
      </c>
      <c r="M10" s="71">
        <f>INDEX('DATA (Nominal)'!$B$43:$BX$43,1,MATCH($B$1,'DATA (Nominal)'!$B$1:$BX$1,0))*Assumptions!AO$24*(1+AFUDC!$C$24)*1000000*'Resource Options'!$E$24/1000*(1-INDEX('DATA (Nominal)'!$B$224:$BX$224,1,MATCH($B$1,'DATA (Nominal)'!$B$1:$BX$1,0)))</f>
        <v>710489.37036386912</v>
      </c>
      <c r="N10" s="71">
        <f>INDEX('DATA (Nominal)'!$B$43:$BX$43,1,MATCH($B$1,'DATA (Nominal)'!$B$1:$BX$1,0))*Assumptions!AP$24*(1+AFUDC!$C$24)*1000000*'Resource Options'!$E$24/1000*(1-INDEX('DATA (Nominal)'!$B$224:$BX$224,1,MATCH($B$1,'DATA (Nominal)'!$B$1:$BX$1,0)))</f>
        <v>672256.66238145973</v>
      </c>
      <c r="O10" s="71">
        <f>INDEX('DATA (Nominal)'!$B$43:$BX$43,1,MATCH($B$1,'DATA (Nominal)'!$B$1:$BX$1,0))*Assumptions!AQ$24*(1+AFUDC!$C$24)*1000000*'Resource Options'!$E$24/1000*(1-INDEX('DATA (Nominal)'!$B$224:$BX$224,1,MATCH($B$1,'DATA (Nominal)'!$B$1:$BX$1,0)))</f>
        <v>634023.9543990501</v>
      </c>
      <c r="P10" s="71">
        <f>INDEX('DATA (Nominal)'!$B$43:$BX$43,1,MATCH($B$1,'DATA (Nominal)'!$B$1:$BX$1,0))*Assumptions!AR$24*(1+AFUDC!$C$24)*1000000*'Resource Options'!$E$24/1000*(1-INDEX('DATA (Nominal)'!$B$224:$BX$224,1,MATCH($B$1,'DATA (Nominal)'!$B$1:$BX$1,0)))</f>
        <v>595791.2464166407</v>
      </c>
      <c r="Q10" s="71">
        <f>INDEX('DATA (Nominal)'!$B$43:$BX$43,1,MATCH($B$1,'DATA (Nominal)'!$B$1:$BX$1,0))*Assumptions!AS$24*(1+AFUDC!$C$24)*1000000*'Resource Options'!$E$24/1000*(1-INDEX('DATA (Nominal)'!$B$224:$BX$224,1,MATCH($B$1,'DATA (Nominal)'!$B$1:$BX$1,0)))</f>
        <v>557558.53843423142</v>
      </c>
      <c r="R10" s="71">
        <f>INDEX('DATA (Nominal)'!$B$43:$BX$43,1,MATCH($B$1,'DATA (Nominal)'!$B$1:$BX$1,0))*Assumptions!AT$24*(1+AFUDC!$C$24)*1000000*'Resource Options'!$E$24/1000*(1-INDEX('DATA (Nominal)'!$B$224:$BX$224,1,MATCH($B$1,'DATA (Nominal)'!$B$1:$BX$1,0)))</f>
        <v>519325.83045182179</v>
      </c>
      <c r="S10" s="71">
        <f>INDEX('DATA (Nominal)'!$B$43:$BX$43,1,MATCH($B$1,'DATA (Nominal)'!$B$1:$BX$1,0))*Assumptions!AU$24*(1+AFUDC!$C$24)*1000000*'Resource Options'!$E$24/1000*(1-INDEX('DATA (Nominal)'!$B$224:$BX$224,1,MATCH($B$1,'DATA (Nominal)'!$B$1:$BX$1,0)))</f>
        <v>481093.12246941216</v>
      </c>
      <c r="T10" s="71">
        <f>INDEX('DATA (Nominal)'!$B$43:$BX$43,1,MATCH($B$1,'DATA (Nominal)'!$B$1:$BX$1,0))*Assumptions!AV$24*(1+AFUDC!$C$24)*1000000*'Resource Options'!$E$24/1000*(1-INDEX('DATA (Nominal)'!$B$224:$BX$224,1,MATCH($B$1,'DATA (Nominal)'!$B$1:$BX$1,0)))</f>
        <v>0</v>
      </c>
      <c r="U10" s="71">
        <f>INDEX('DATA (Nominal)'!$B$43:$BX$43,1,MATCH($B$1,'DATA (Nominal)'!$B$1:$BX$1,0))*Assumptions!AW$24*(1+AFUDC!$C$24)*1000000*'Resource Options'!$E$24/1000*(1-INDEX('DATA (Nominal)'!$B$224:$BX$224,1,MATCH($B$1,'DATA (Nominal)'!$B$1:$BX$1,0)))</f>
        <v>0</v>
      </c>
      <c r="V10" s="71">
        <f>INDEX('DATA (Nominal)'!$B$43:$BX$43,1,MATCH($B$1,'DATA (Nominal)'!$B$1:$BX$1,0))*Assumptions!AX$24*(1+AFUDC!$C$24)*1000000*'Resource Options'!$E$24/1000*(1-INDEX('DATA (Nominal)'!$B$224:$BX$224,1,MATCH($B$1,'DATA (Nominal)'!$B$1:$BX$1,0)))</f>
        <v>0</v>
      </c>
      <c r="W10" s="71">
        <f>INDEX('DATA (Nominal)'!$B$43:$BX$43,1,MATCH($B$1,'DATA (Nominal)'!$B$1:$BX$1,0))*Assumptions!AY$24*(1+AFUDC!$C$24)*1000000*'Resource Options'!$E$24/1000*(1-INDEX('DATA (Nominal)'!$B$224:$BX$224,1,MATCH($B$1,'DATA (Nominal)'!$B$1:$BX$1,0)))</f>
        <v>0</v>
      </c>
      <c r="X10" s="72">
        <f>INDEX('DATA (Nominal)'!$B$43:$BX$43,1,MATCH($B$1,'DATA (Nominal)'!$B$1:$BX$1,0))*Assumptions!AZ$24*(1+AFUDC!$C$24)*1000000*'Resource Options'!$E$24/1000*(1-INDEX('DATA (Nominal)'!$B$224:$BX$224,1,MATCH($B$1,'DATA (Nominal)'!$B$1:$BX$1,0)))</f>
        <v>0</v>
      </c>
    </row>
    <row r="11" spans="1:24" hidden="1" outlineLevel="1">
      <c r="C11" s="79" t="s">
        <v>93</v>
      </c>
      <c r="D11" s="71">
        <f>-PMT(Discount_Rate,20,NPV(Discount_Rate,E11:X11))</f>
        <v>6018.8768004356962</v>
      </c>
      <c r="E11" s="71">
        <f t="shared" ref="E11:X11" si="3">E9*Misc_Fees</f>
        <v>6300.7260044827153</v>
      </c>
      <c r="F11" s="71">
        <f t="shared" si="3"/>
        <v>6166.6887590224223</v>
      </c>
      <c r="G11" s="71">
        <f t="shared" si="3"/>
        <v>6054.7318122785846</v>
      </c>
      <c r="H11" s="71">
        <f t="shared" si="3"/>
        <v>5900.8667203480027</v>
      </c>
      <c r="I11" s="71">
        <f t="shared" si="3"/>
        <v>5802.4976772909577</v>
      </c>
      <c r="J11" s="71">
        <f t="shared" si="3"/>
        <v>5696.9443768467536</v>
      </c>
      <c r="K11" s="71">
        <f t="shared" si="3"/>
        <v>5752.3928030975358</v>
      </c>
      <c r="L11" s="71">
        <f t="shared" si="3"/>
        <v>5804.5658541343419</v>
      </c>
      <c r="M11" s="71">
        <f t="shared" si="3"/>
        <v>5856.2503613000872</v>
      </c>
      <c r="N11" s="71">
        <f t="shared" si="3"/>
        <v>5907.3995769077237</v>
      </c>
      <c r="O11" s="71">
        <f t="shared" si="3"/>
        <v>5957.9649328272062</v>
      </c>
      <c r="P11" s="71">
        <f t="shared" si="3"/>
        <v>6007.8959830119384</v>
      </c>
      <c r="Q11" s="71">
        <f t="shared" si="3"/>
        <v>6057.1403443772952</v>
      </c>
      <c r="R11" s="71">
        <f t="shared" si="3"/>
        <v>6105.6436359869713</v>
      </c>
      <c r="S11" s="71">
        <f t="shared" si="3"/>
        <v>6153.3494165007969</v>
      </c>
      <c r="T11" s="71">
        <f t="shared" si="3"/>
        <v>6200.199119837388</v>
      </c>
      <c r="U11" s="71">
        <f t="shared" si="3"/>
        <v>6246.1319890032191</v>
      </c>
      <c r="V11" s="71">
        <f t="shared" si="3"/>
        <v>6291.0850080383279</v>
      </c>
      <c r="W11" s="71">
        <f t="shared" si="3"/>
        <v>6334.9928320283298</v>
      </c>
      <c r="X11" s="72">
        <f t="shared" si="3"/>
        <v>6377.7877151299999</v>
      </c>
    </row>
    <row r="12" spans="1:24" hidden="1" outlineLevel="1">
      <c r="C12" s="79" t="s">
        <v>94</v>
      </c>
      <c r="D12" s="71">
        <f>-PMT(Discount_Rate,20,NPV(Discount_Rate,E12:X12))</f>
        <v>908153.48958963295</v>
      </c>
      <c r="E12" s="71">
        <f t="shared" ref="E12:X12" si="4">SUM(E9:E11)</f>
        <v>1331512.8526105441</v>
      </c>
      <c r="F12" s="71">
        <f t="shared" si="4"/>
        <v>1261756.3154557059</v>
      </c>
      <c r="G12" s="71">
        <f t="shared" si="4"/>
        <v>1193191.4145201056</v>
      </c>
      <c r="H12" s="71">
        <f t="shared" si="4"/>
        <v>1133699.1482234478</v>
      </c>
      <c r="I12" s="71">
        <f t="shared" si="4"/>
        <v>1080122.9329918455</v>
      </c>
      <c r="J12" s="71">
        <f t="shared" si="4"/>
        <v>1029260.8640806152</v>
      </c>
      <c r="K12" s="71">
        <f t="shared" si="4"/>
        <v>990017.76440644916</v>
      </c>
      <c r="L12" s="71">
        <f t="shared" si="4"/>
        <v>953626.79697994061</v>
      </c>
      <c r="M12" s="71">
        <f t="shared" si="4"/>
        <v>917218.58365650242</v>
      </c>
      <c r="N12" s="71">
        <f t="shared" si="4"/>
        <v>880791.47421424056</v>
      </c>
      <c r="O12" s="71">
        <f t="shared" si="4"/>
        <v>844343.75416851055</v>
      </c>
      <c r="P12" s="71">
        <f t="shared" si="4"/>
        <v>807873.64274306828</v>
      </c>
      <c r="Q12" s="71">
        <f t="shared" si="4"/>
        <v>771379.2907830436</v>
      </c>
      <c r="R12" s="71">
        <f t="shared" si="4"/>
        <v>734858.77860818233</v>
      </c>
      <c r="S12" s="71">
        <f t="shared" si="4"/>
        <v>698310.11380471638</v>
      </c>
      <c r="T12" s="71">
        <f t="shared" si="4"/>
        <v>218870.814467213</v>
      </c>
      <c r="U12" s="71">
        <f t="shared" si="4"/>
        <v>220492.27279311995</v>
      </c>
      <c r="V12" s="71">
        <f t="shared" si="4"/>
        <v>222079.14181116407</v>
      </c>
      <c r="W12" s="71">
        <f t="shared" si="4"/>
        <v>223629.11480597118</v>
      </c>
      <c r="X12" s="72">
        <f t="shared" si="4"/>
        <v>225139.80030791316</v>
      </c>
    </row>
    <row r="13" spans="1:24" hidden="1" outlineLevel="1">
      <c r="C13" s="79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2"/>
    </row>
    <row r="14" spans="1:24" hidden="1" outlineLevel="1">
      <c r="C14" s="79" t="s">
        <v>116</v>
      </c>
      <c r="D14" s="71">
        <f>-PMT(Discount_Rate,20,NPV(Discount_Rate,E14:X14))</f>
        <v>0</v>
      </c>
      <c r="E14" s="71">
        <f>E6*INDEX('DATA (Nominal)'!$B$91:$BX$91,1,MATCH(E$1,'DATA (Nominal)'!$B$1:$BX$1,0))</f>
        <v>0</v>
      </c>
      <c r="F14" s="71">
        <f>F6*INDEX('DATA (Nominal)'!$B$91:$BX$91,1,MATCH(F$1,'DATA (Nominal)'!$B$1:$BX$1,0))</f>
        <v>0</v>
      </c>
      <c r="G14" s="71">
        <f>G6*INDEX('DATA (Nominal)'!$B$91:$BX$91,1,MATCH(G$1,'DATA (Nominal)'!$B$1:$BX$1,0))</f>
        <v>0</v>
      </c>
      <c r="H14" s="71">
        <f>H6*INDEX('DATA (Nominal)'!$B$91:$BX$91,1,MATCH(H$1,'DATA (Nominal)'!$B$1:$BX$1,0))</f>
        <v>0</v>
      </c>
      <c r="I14" s="71">
        <f>I6*INDEX('DATA (Nominal)'!$B$91:$BX$91,1,MATCH(I$1,'DATA (Nominal)'!$B$1:$BX$1,0))</f>
        <v>0</v>
      </c>
      <c r="J14" s="71">
        <f>J6*INDEX('DATA (Nominal)'!$B$91:$BX$91,1,MATCH(J$1,'DATA (Nominal)'!$B$1:$BX$1,0))</f>
        <v>0</v>
      </c>
      <c r="K14" s="71">
        <f>K6*INDEX('DATA (Nominal)'!$B$91:$BX$91,1,MATCH(K$1,'DATA (Nominal)'!$B$1:$BX$1,0))</f>
        <v>0</v>
      </c>
      <c r="L14" s="71">
        <f>L6*INDEX('DATA (Nominal)'!$B$91:$BX$91,1,MATCH(L$1,'DATA (Nominal)'!$B$1:$BX$1,0))</f>
        <v>0</v>
      </c>
      <c r="M14" s="71">
        <f>M6*INDEX('DATA (Nominal)'!$B$91:$BX$91,1,MATCH(M$1,'DATA (Nominal)'!$B$1:$BX$1,0))</f>
        <v>0</v>
      </c>
      <c r="N14" s="71">
        <f>N6*INDEX('DATA (Nominal)'!$B$91:$BX$91,1,MATCH(N$1,'DATA (Nominal)'!$B$1:$BX$1,0))</f>
        <v>0</v>
      </c>
      <c r="O14" s="71">
        <f>O6*INDEX('DATA (Nominal)'!$B$91:$BX$91,1,MATCH(O$1,'DATA (Nominal)'!$B$1:$BX$1,0))</f>
        <v>0</v>
      </c>
      <c r="P14" s="71">
        <f>P6*INDEX('DATA (Nominal)'!$B$91:$BX$91,1,MATCH(P$1,'DATA (Nominal)'!$B$1:$BX$1,0))</f>
        <v>0</v>
      </c>
      <c r="Q14" s="71">
        <f>Q6*INDEX('DATA (Nominal)'!$B$91:$BX$91,1,MATCH(Q$1,'DATA (Nominal)'!$B$1:$BX$1,0))</f>
        <v>0</v>
      </c>
      <c r="R14" s="71">
        <f>R6*INDEX('DATA (Nominal)'!$B$91:$BX$91,1,MATCH(R$1,'DATA (Nominal)'!$B$1:$BX$1,0))</f>
        <v>0</v>
      </c>
      <c r="S14" s="71">
        <f>S6*INDEX('DATA (Nominal)'!$B$91:$BX$91,1,MATCH(S$1,'DATA (Nominal)'!$B$1:$BX$1,0))</f>
        <v>0</v>
      </c>
      <c r="T14" s="71">
        <f>T6*INDEX('DATA (Nominal)'!$B$91:$BX$91,1,MATCH(T$1,'DATA (Nominal)'!$B$1:$BX$1,0))</f>
        <v>0</v>
      </c>
      <c r="U14" s="71">
        <f>U6*INDEX('DATA (Nominal)'!$B$91:$BX$91,1,MATCH(U$1,'DATA (Nominal)'!$B$1:$BX$1,0))</f>
        <v>0</v>
      </c>
      <c r="V14" s="71">
        <f>V6*INDEX('DATA (Nominal)'!$B$91:$BX$91,1,MATCH(V$1,'DATA (Nominal)'!$B$1:$BX$1,0))</f>
        <v>0</v>
      </c>
      <c r="W14" s="71">
        <f>W6*INDEX('DATA (Nominal)'!$B$91:$BX$91,1,MATCH(W$1,'DATA (Nominal)'!$B$1:$BX$1,0))</f>
        <v>0</v>
      </c>
      <c r="X14" s="72">
        <f>X6*INDEX('DATA (Nominal)'!$B$91:$BX$91,1,MATCH(X$1,'DATA (Nominal)'!$B$1:$BX$1,0))</f>
        <v>0</v>
      </c>
    </row>
    <row r="15" spans="1:24" hidden="1" outlineLevel="1">
      <c r="C15" s="79" t="s">
        <v>117</v>
      </c>
      <c r="D15" s="71">
        <f>-PMT(Discount_Rate,20,NPV(Discount_Rate,E15:X15))</f>
        <v>286404.94363570091</v>
      </c>
      <c r="E15" s="71">
        <f>(E6+E7)*INDEX('DATA (Nominal)'!$B$148:$BX$148,1,MATCH(E$1,'DATA (Nominal)'!$B$1:$BX$1,0))</f>
        <v>297408.59531318664</v>
      </c>
      <c r="F15" s="71">
        <f>(F6+F7)*INDEX('DATA (Nominal)'!$B$148:$BX$148,1,MATCH(F$1,'DATA (Nominal)'!$B$1:$BX$1,0))</f>
        <v>277113.07675590517</v>
      </c>
      <c r="G15" s="71">
        <f>(G6+G7)*INDEX('DATA (Nominal)'!$B$148:$BX$148,1,MATCH(G$1,'DATA (Nominal)'!$B$1:$BX$1,0))</f>
        <v>249177.26162986757</v>
      </c>
      <c r="H15" s="71">
        <f>(H6+H7)*INDEX('DATA (Nominal)'!$B$148:$BX$148,1,MATCH(H$1,'DATA (Nominal)'!$B$1:$BX$1,0))</f>
        <v>248610.44688734054</v>
      </c>
      <c r="I15" s="71">
        <f>(I6+I7)*INDEX('DATA (Nominal)'!$B$148:$BX$148,1,MATCH(I$1,'DATA (Nominal)'!$B$1:$BX$1,0))</f>
        <v>249402.25622131347</v>
      </c>
      <c r="J15" s="71">
        <f>(J6+J7)*INDEX('DATA (Nominal)'!$B$148:$BX$148,1,MATCH(J$1,'DATA (Nominal)'!$B$1:$BX$1,0))</f>
        <v>286167.98575901031</v>
      </c>
      <c r="K15" s="71">
        <f>(K6+K7)*INDEX('DATA (Nominal)'!$B$148:$BX$148,1,MATCH(K$1,'DATA (Nominal)'!$B$1:$BX$1,0))</f>
        <v>269136.37186727527</v>
      </c>
      <c r="L15" s="71">
        <f>(L6+L7)*INDEX('DATA (Nominal)'!$B$148:$BX$148,1,MATCH(L$1,'DATA (Nominal)'!$B$1:$BX$1,0))</f>
        <v>261699.03785760881</v>
      </c>
      <c r="M15" s="71">
        <f>(M6+M7)*INDEX('DATA (Nominal)'!$B$148:$BX$148,1,MATCH(M$1,'DATA (Nominal)'!$B$1:$BX$1,0))</f>
        <v>270179.71423643111</v>
      </c>
      <c r="N15" s="71">
        <f>(N6+N7)*INDEX('DATA (Nominal)'!$B$148:$BX$148,1,MATCH(N$1,'DATA (Nominal)'!$B$1:$BX$1,0))</f>
        <v>274594.26379831316</v>
      </c>
      <c r="O15" s="71">
        <f>(O6+O7)*INDEX('DATA (Nominal)'!$B$148:$BX$148,1,MATCH(O$1,'DATA (Nominal)'!$B$1:$BX$1,0))</f>
        <v>285577.84507371904</v>
      </c>
      <c r="P15" s="71">
        <f>(P6+P7)*INDEX('DATA (Nominal)'!$B$148:$BX$148,1,MATCH(P$1,'DATA (Nominal)'!$B$1:$BX$1,0))</f>
        <v>290460.35118381499</v>
      </c>
      <c r="Q15" s="71">
        <f>(Q6+Q7)*INDEX('DATA (Nominal)'!$B$148:$BX$148,1,MATCH(Q$1,'DATA (Nominal)'!$B$1:$BX$1,0))</f>
        <v>304499.21815868374</v>
      </c>
      <c r="R15" s="71">
        <f>(R6+R7)*INDEX('DATA (Nominal)'!$B$148:$BX$148,1,MATCH(R$1,'DATA (Nominal)'!$B$1:$BX$1,0))</f>
        <v>302265.79136110307</v>
      </c>
      <c r="S15" s="71">
        <f>(S6+S7)*INDEX('DATA (Nominal)'!$B$148:$BX$148,1,MATCH(S$1,'DATA (Nominal)'!$B$1:$BX$1,0))</f>
        <v>311537.74559444428</v>
      </c>
      <c r="T15" s="71">
        <f>(T6+T7)*INDEX('DATA (Nominal)'!$B$148:$BX$148,1,MATCH(T$1,'DATA (Nominal)'!$B$1:$BX$1,0))</f>
        <v>329478.28810882568</v>
      </c>
      <c r="U15" s="71">
        <f>(U6+U7)*INDEX('DATA (Nominal)'!$B$148:$BX$148,1,MATCH(U$1,'DATA (Nominal)'!$B$1:$BX$1,0))</f>
        <v>331195.62526138307</v>
      </c>
      <c r="V15" s="71">
        <f>(V6+V7)*INDEX('DATA (Nominal)'!$B$148:$BX$148,1,MATCH(V$1,'DATA (Nominal)'!$B$1:$BX$1,0))</f>
        <v>344700.32967075345</v>
      </c>
      <c r="W15" s="71">
        <f>(W6+W7)*INDEX('DATA (Nominal)'!$B$148:$BX$148,1,MATCH(W$1,'DATA (Nominal)'!$B$1:$BX$1,0))</f>
        <v>352629.70725315093</v>
      </c>
      <c r="X15" s="72">
        <f>(X6+X7)*INDEX('DATA (Nominal)'!$B$148:$BX$148,1,MATCH(X$1,'DATA (Nominal)'!$B$1:$BX$1,0))</f>
        <v>396467.60356918338</v>
      </c>
    </row>
    <row r="16" spans="1:24" hidden="1" outlineLevel="1">
      <c r="C16" s="79" t="s">
        <v>93</v>
      </c>
      <c r="D16" s="71">
        <f>-PMT(Discount_Rate,20,NPV(Discount_Rate,E16:X16))</f>
        <v>8349.8497267552229</v>
      </c>
      <c r="E16" s="73">
        <f t="shared" ref="E16:X16" si="5">SUM(E14:E15)*Misc_Fees</f>
        <v>8670.6501877606424</v>
      </c>
      <c r="F16" s="73">
        <f t="shared" si="5"/>
        <v>8078.9546397416589</v>
      </c>
      <c r="G16" s="73">
        <f t="shared" si="5"/>
        <v>7264.5138855571586</v>
      </c>
      <c r="H16" s="73">
        <f t="shared" si="5"/>
        <v>7247.9889685535263</v>
      </c>
      <c r="I16" s="73">
        <f t="shared" si="5"/>
        <v>7271.0733778761723</v>
      </c>
      <c r="J16" s="73">
        <f t="shared" si="5"/>
        <v>8342.9414568181855</v>
      </c>
      <c r="K16" s="73">
        <f t="shared" si="5"/>
        <v>7846.4017854185431</v>
      </c>
      <c r="L16" s="73">
        <f t="shared" si="5"/>
        <v>7629.5737497007267</v>
      </c>
      <c r="M16" s="73">
        <f t="shared" si="5"/>
        <v>7876.8193888489122</v>
      </c>
      <c r="N16" s="73">
        <f t="shared" si="5"/>
        <v>8005.5211667760213</v>
      </c>
      <c r="O16" s="73">
        <f t="shared" si="5"/>
        <v>8325.736495279205</v>
      </c>
      <c r="P16" s="73">
        <f t="shared" si="5"/>
        <v>8468.0810784129426</v>
      </c>
      <c r="Q16" s="73">
        <f t="shared" si="5"/>
        <v>8877.3702061982658</v>
      </c>
      <c r="R16" s="73">
        <f t="shared" si="5"/>
        <v>8812.2568813415983</v>
      </c>
      <c r="S16" s="73">
        <f t="shared" si="5"/>
        <v>9082.5714350604285</v>
      </c>
      <c r="T16" s="73">
        <f t="shared" si="5"/>
        <v>9605.6100115247045</v>
      </c>
      <c r="U16" s="73">
        <f t="shared" si="5"/>
        <v>9655.6772588703625</v>
      </c>
      <c r="V16" s="73">
        <f t="shared" si="5"/>
        <v>10049.393411221146</v>
      </c>
      <c r="W16" s="73">
        <f t="shared" si="5"/>
        <v>10280.566485258361</v>
      </c>
      <c r="X16" s="74">
        <f t="shared" si="5"/>
        <v>11558.616514455973</v>
      </c>
    </row>
    <row r="17" spans="1:24" hidden="1" outlineLevel="1">
      <c r="C17" s="79" t="s">
        <v>99</v>
      </c>
      <c r="D17" s="71">
        <f>-PMT(Discount_Rate,20,NPV(Discount_Rate,E17:X17))</f>
        <v>294754.79336245608</v>
      </c>
      <c r="E17" s="71">
        <f>SUM(E14:E16)</f>
        <v>306079.24550094729</v>
      </c>
      <c r="F17" s="71">
        <f t="shared" ref="F17:X17" si="6">SUM(F14:F16)</f>
        <v>285192.03139564686</v>
      </c>
      <c r="G17" s="71">
        <f t="shared" si="6"/>
        <v>256441.77551542473</v>
      </c>
      <c r="H17" s="71">
        <f t="shared" si="6"/>
        <v>255858.43585589406</v>
      </c>
      <c r="I17" s="71">
        <f t="shared" si="6"/>
        <v>256673.32959918963</v>
      </c>
      <c r="J17" s="71">
        <f t="shared" si="6"/>
        <v>294510.9272158285</v>
      </c>
      <c r="K17" s="71">
        <f t="shared" si="6"/>
        <v>276982.77365269384</v>
      </c>
      <c r="L17" s="71">
        <f t="shared" si="6"/>
        <v>269328.61160730955</v>
      </c>
      <c r="M17" s="71">
        <f t="shared" si="6"/>
        <v>278056.53362528002</v>
      </c>
      <c r="N17" s="71">
        <f t="shared" si="6"/>
        <v>282599.78496508917</v>
      </c>
      <c r="O17" s="71">
        <f t="shared" si="6"/>
        <v>293903.58156899823</v>
      </c>
      <c r="P17" s="71">
        <f t="shared" si="6"/>
        <v>298928.43226222793</v>
      </c>
      <c r="Q17" s="71">
        <f t="shared" si="6"/>
        <v>313376.58836488199</v>
      </c>
      <c r="R17" s="71">
        <f t="shared" si="6"/>
        <v>311078.04824244464</v>
      </c>
      <c r="S17" s="71">
        <f t="shared" si="6"/>
        <v>320620.31702950469</v>
      </c>
      <c r="T17" s="71">
        <f t="shared" si="6"/>
        <v>339083.89812035038</v>
      </c>
      <c r="U17" s="71">
        <f t="shared" si="6"/>
        <v>340851.30252025346</v>
      </c>
      <c r="V17" s="71">
        <f t="shared" si="6"/>
        <v>354749.7230819746</v>
      </c>
      <c r="W17" s="71">
        <f t="shared" si="6"/>
        <v>362910.27373840928</v>
      </c>
      <c r="X17" s="72">
        <f t="shared" si="6"/>
        <v>408026.22008363937</v>
      </c>
    </row>
    <row r="18" spans="1:24" hidden="1" outlineLevel="1">
      <c r="A18" s="95"/>
      <c r="C18" s="79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2"/>
    </row>
    <row r="19" spans="1:24" ht="15.75" hidden="1" outlineLevel="1" thickBot="1">
      <c r="B19" s="95"/>
      <c r="C19" s="81" t="s">
        <v>100</v>
      </c>
      <c r="D19" s="71">
        <f>-PMT(Discount_Rate,20,NPV(Discount_Rate,E19:X19))</f>
        <v>1202908.2829520893</v>
      </c>
      <c r="E19" s="75">
        <f>E12+E17</f>
        <v>1637592.0981114914</v>
      </c>
      <c r="F19" s="75">
        <f t="shared" ref="F19:X19" si="7">F12+F17</f>
        <v>1546948.3468513526</v>
      </c>
      <c r="G19" s="75">
        <f t="shared" si="7"/>
        <v>1449633.1900355304</v>
      </c>
      <c r="H19" s="75">
        <f t="shared" si="7"/>
        <v>1389557.584079342</v>
      </c>
      <c r="I19" s="75">
        <f>I12+I17</f>
        <v>1336796.2625910351</v>
      </c>
      <c r="J19" s="75">
        <f t="shared" si="7"/>
        <v>1323771.7912964437</v>
      </c>
      <c r="K19" s="75">
        <f t="shared" si="7"/>
        <v>1267000.5380591429</v>
      </c>
      <c r="L19" s="75">
        <f t="shared" si="7"/>
        <v>1222955.4085872502</v>
      </c>
      <c r="M19" s="75">
        <f t="shared" si="7"/>
        <v>1195275.1172817824</v>
      </c>
      <c r="N19" s="75">
        <f t="shared" si="7"/>
        <v>1163391.2591793297</v>
      </c>
      <c r="O19" s="75">
        <f t="shared" si="7"/>
        <v>1138247.3357375087</v>
      </c>
      <c r="P19" s="75">
        <f t="shared" si="7"/>
        <v>1106802.0750052962</v>
      </c>
      <c r="Q19" s="75">
        <f t="shared" si="7"/>
        <v>1084755.8791479256</v>
      </c>
      <c r="R19" s="75">
        <f t="shared" si="7"/>
        <v>1045936.826850627</v>
      </c>
      <c r="S19" s="75">
        <f t="shared" si="7"/>
        <v>1018930.4308342211</v>
      </c>
      <c r="T19" s="75">
        <f t="shared" si="7"/>
        <v>557954.71258756332</v>
      </c>
      <c r="U19" s="75">
        <f t="shared" si="7"/>
        <v>561343.57531337347</v>
      </c>
      <c r="V19" s="75">
        <f t="shared" si="7"/>
        <v>576828.86489313864</v>
      </c>
      <c r="W19" s="75">
        <f t="shared" si="7"/>
        <v>586539.38854438043</v>
      </c>
      <c r="X19" s="76">
        <f t="shared" si="7"/>
        <v>633166.02039155248</v>
      </c>
    </row>
    <row r="20" spans="1:24" hidden="1" outlineLevel="1">
      <c r="C20" s="35" t="s">
        <v>118</v>
      </c>
      <c r="D20" s="77">
        <f>D12/'Resource Options'!$E$24/1000</f>
        <v>181.6306979179266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</row>
    <row r="21" spans="1:24" hidden="1" outlineLevel="1">
      <c r="C21" s="32" t="s">
        <v>119</v>
      </c>
      <c r="D21" s="44">
        <f>D12/'Resource Options'!$D$24/1000</f>
        <v>45.407674479481649</v>
      </c>
      <c r="E21" s="24"/>
    </row>
    <row r="22" spans="1:24" hidden="1" outlineLevel="1">
      <c r="C22" s="32" t="s">
        <v>120</v>
      </c>
      <c r="D22" s="5">
        <f>D17/E6</f>
        <v>40.377368953761106</v>
      </c>
    </row>
    <row r="23" spans="1:24" ht="15.75" hidden="1" outlineLevel="1" thickBot="1">
      <c r="C23" s="34" t="s">
        <v>121</v>
      </c>
      <c r="D23" s="20">
        <f>D19/(E6-E7)</f>
        <v>191.60692624276669</v>
      </c>
      <c r="E23" s="24"/>
    </row>
    <row r="24" spans="1:24" hidden="1" outlineLevel="1"/>
    <row r="25" spans="1:24" ht="15.75" collapsed="1" thickBot="1"/>
    <row r="26" spans="1:24" ht="18.75" thickBot="1">
      <c r="A26" s="95"/>
      <c r="B26" s="95"/>
      <c r="C26" s="499" t="s">
        <v>12</v>
      </c>
      <c r="D26" s="500"/>
      <c r="E26" s="500"/>
      <c r="F26" s="501"/>
    </row>
    <row r="27" spans="1:24" ht="15" hidden="1" customHeight="1" outlineLevel="1">
      <c r="C27" s="78" t="s">
        <v>44</v>
      </c>
      <c r="D27" s="67"/>
      <c r="E27" s="67">
        <f>'Resource Options'!$D$25*365</f>
        <v>14600</v>
      </c>
      <c r="F27" s="67">
        <f>E27</f>
        <v>14600</v>
      </c>
      <c r="G27" s="67">
        <f t="shared" ref="G27:X28" si="8">F27</f>
        <v>14600</v>
      </c>
      <c r="H27" s="67">
        <f t="shared" si="8"/>
        <v>14600</v>
      </c>
      <c r="I27" s="67">
        <f t="shared" si="8"/>
        <v>14600</v>
      </c>
      <c r="J27" s="67">
        <f t="shared" si="8"/>
        <v>14600</v>
      </c>
      <c r="K27" s="67">
        <f t="shared" si="8"/>
        <v>14600</v>
      </c>
      <c r="L27" s="67">
        <f t="shared" si="8"/>
        <v>14600</v>
      </c>
      <c r="M27" s="67">
        <f t="shared" si="8"/>
        <v>14600</v>
      </c>
      <c r="N27" s="67">
        <f t="shared" si="8"/>
        <v>14600</v>
      </c>
      <c r="O27" s="67">
        <f t="shared" si="8"/>
        <v>14600</v>
      </c>
      <c r="P27" s="67">
        <f t="shared" si="8"/>
        <v>14600</v>
      </c>
      <c r="Q27" s="67">
        <f t="shared" si="8"/>
        <v>14600</v>
      </c>
      <c r="R27" s="67">
        <f t="shared" si="8"/>
        <v>14600</v>
      </c>
      <c r="S27" s="67">
        <f t="shared" si="8"/>
        <v>14600</v>
      </c>
      <c r="T27" s="67">
        <f t="shared" si="8"/>
        <v>14600</v>
      </c>
      <c r="U27" s="67">
        <f t="shared" si="8"/>
        <v>14600</v>
      </c>
      <c r="V27" s="67">
        <f t="shared" si="8"/>
        <v>14600</v>
      </c>
      <c r="W27" s="67">
        <f t="shared" si="8"/>
        <v>14600</v>
      </c>
      <c r="X27" s="68">
        <f t="shared" si="8"/>
        <v>14600</v>
      </c>
    </row>
    <row r="28" spans="1:24" ht="15" hidden="1" customHeight="1" outlineLevel="1">
      <c r="C28" s="79" t="s">
        <v>115</v>
      </c>
      <c r="D28" s="69"/>
      <c r="E28" s="69">
        <f>E27*(1-INDEX('DATA (Nominal)'!$B$211:$BX$211,1,MATCH($B$1,'DATA (Nominal)'!$B$1:$BX$1,0)))</f>
        <v>2044.0000000000002</v>
      </c>
      <c r="F28" s="69">
        <f>E28</f>
        <v>2044.0000000000002</v>
      </c>
      <c r="G28" s="69">
        <f t="shared" si="8"/>
        <v>2044.0000000000002</v>
      </c>
      <c r="H28" s="69">
        <f t="shared" si="8"/>
        <v>2044.0000000000002</v>
      </c>
      <c r="I28" s="69">
        <f t="shared" si="8"/>
        <v>2044.0000000000002</v>
      </c>
      <c r="J28" s="69">
        <f t="shared" si="8"/>
        <v>2044.0000000000002</v>
      </c>
      <c r="K28" s="69">
        <f t="shared" si="8"/>
        <v>2044.0000000000002</v>
      </c>
      <c r="L28" s="69">
        <f t="shared" si="8"/>
        <v>2044.0000000000002</v>
      </c>
      <c r="M28" s="69">
        <f t="shared" si="8"/>
        <v>2044.0000000000002</v>
      </c>
      <c r="N28" s="69">
        <f t="shared" si="8"/>
        <v>2044.0000000000002</v>
      </c>
      <c r="O28" s="69">
        <f t="shared" si="8"/>
        <v>2044.0000000000002</v>
      </c>
      <c r="P28" s="69">
        <f t="shared" si="8"/>
        <v>2044.0000000000002</v>
      </c>
      <c r="Q28" s="69">
        <f t="shared" si="8"/>
        <v>2044.0000000000002</v>
      </c>
      <c r="R28" s="69">
        <f t="shared" si="8"/>
        <v>2044.0000000000002</v>
      </c>
      <c r="S28" s="69">
        <f t="shared" si="8"/>
        <v>2044.0000000000002</v>
      </c>
      <c r="T28" s="69">
        <f t="shared" si="8"/>
        <v>2044.0000000000002</v>
      </c>
      <c r="U28" s="69">
        <f t="shared" si="8"/>
        <v>2044.0000000000002</v>
      </c>
      <c r="V28" s="69">
        <f t="shared" si="8"/>
        <v>2044.0000000000002</v>
      </c>
      <c r="W28" s="69">
        <f t="shared" si="8"/>
        <v>2044.0000000000002</v>
      </c>
      <c r="X28" s="70">
        <f t="shared" si="8"/>
        <v>2044.0000000000002</v>
      </c>
    </row>
    <row r="29" spans="1:24" ht="15" hidden="1" customHeight="1" outlineLevel="1">
      <c r="C29" s="7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70"/>
    </row>
    <row r="30" spans="1:24" ht="15" hidden="1" customHeight="1" outlineLevel="1">
      <c r="C30" s="79" t="s">
        <v>47</v>
      </c>
      <c r="D30" s="71">
        <f>-PMT(Discount_Rate,20,NPV(Discount_Rate,E30:X30))</f>
        <v>355762.83196870791</v>
      </c>
      <c r="E30" s="73">
        <f>INDEX('DATA (Nominal)'!$B$163:$BX$163,1,MATCH(E$1,'DATA (Nominal)'!$B$1:$BX$1,0))*'Resource Options'!$E$25*1000</f>
        <v>385203.55083207169</v>
      </c>
      <c r="F30" s="73">
        <f>INDEX('DATA (Nominal)'!$B$163:$BX$163,1,MATCH(F$1,'DATA (Nominal)'!$B$1:$BX$1,0))*'Resource Options'!$E$25*1000</f>
        <v>373481.07273398386</v>
      </c>
      <c r="G30" s="73">
        <f>INDEX('DATA (Nominal)'!$B$163:$BX$163,1,MATCH(G$1,'DATA (Nominal)'!$B$1:$BX$1,0))*'Resource Options'!$E$25*1000</f>
        <v>363705.46666691237</v>
      </c>
      <c r="H30" s="73">
        <f>INDEX('DATA (Nominal)'!$B$163:$BX$163,1,MATCH(H$1,'DATA (Nominal)'!$B$1:$BX$1,0))*'Resource Options'!$E$25*1000</f>
        <v>352097.66448056285</v>
      </c>
      <c r="I30" s="73">
        <f>INDEX('DATA (Nominal)'!$B$163:$BX$163,1,MATCH(I$1,'DATA (Nominal)'!$B$1:$BX$1,0))*'Resource Options'!$E$25*1000</f>
        <v>342039.3688448561</v>
      </c>
      <c r="J30" s="73">
        <f>INDEX('DATA (Nominal)'!$B$163:$BX$163,1,MATCH(J$1,'DATA (Nominal)'!$B$1:$BX$1,0))*'Resource Options'!$E$25*1000</f>
        <v>333067.58571321191</v>
      </c>
      <c r="K30" s="73">
        <f>INDEX('DATA (Nominal)'!$B$163:$BX$163,1,MATCH(K$1,'DATA (Nominal)'!$B$1:$BX$1,0))*'Resource Options'!$E$25*1000</f>
        <v>336282.82612203271</v>
      </c>
      <c r="L30" s="73">
        <f>INDEX('DATA (Nominal)'!$B$163:$BX$163,1,MATCH(L$1,'DATA (Nominal)'!$B$1:$BX$1,0))*'Resource Options'!$E$25*1000</f>
        <v>339332.50124426559</v>
      </c>
      <c r="M30" s="73">
        <f>INDEX('DATA (Nominal)'!$B$163:$BX$163,1,MATCH(M$1,'DATA (Nominal)'!$B$1:$BX$1,0))*'Resource Options'!$E$25*1000</f>
        <v>342353.60118403519</v>
      </c>
      <c r="N30" s="73">
        <f>INDEX('DATA (Nominal)'!$B$163:$BX$163,1,MATCH(N$1,'DATA (Nominal)'!$B$1:$BX$1,0))*'Resource Options'!$E$25*1000</f>
        <v>345343.39259055239</v>
      </c>
      <c r="O30" s="73">
        <f>INDEX('DATA (Nominal)'!$B$163:$BX$163,1,MATCH(O$1,'DATA (Nominal)'!$B$1:$BX$1,0))*'Resource Options'!$E$25*1000</f>
        <v>348299.03567598172</v>
      </c>
      <c r="P30" s="73">
        <f>INDEX('DATA (Nominal)'!$B$163:$BX$163,1,MATCH(P$1,'DATA (Nominal)'!$B$1:$BX$1,0))*'Resource Options'!$E$25*1000</f>
        <v>351217.58085515752</v>
      </c>
      <c r="Q30" s="73">
        <f>INDEX('DATA (Nominal)'!$B$163:$BX$163,1,MATCH(Q$1,'DATA (Nominal)'!$B$1:$BX$1,0))*'Resource Options'!$E$25*1000</f>
        <v>354095.96528894844</v>
      </c>
      <c r="R30" s="73">
        <f>INDEX('DATA (Nominal)'!$B$163:$BX$163,1,MATCH(R$1,'DATA (Nominal)'!$B$1:$BX$1,0))*'Resource Options'!$E$25*1000</f>
        <v>356931.00932869391</v>
      </c>
      <c r="S30" s="73">
        <f>INDEX('DATA (Nominal)'!$B$163:$BX$163,1,MATCH(S$1,'DATA (Nominal)'!$B$1:$BX$1,0))*'Resource Options'!$E$25*1000</f>
        <v>359719.41285898851</v>
      </c>
      <c r="T30" s="73">
        <f>INDEX('DATA (Nominal)'!$B$163:$BX$163,1,MATCH(T$1,'DATA (Nominal)'!$B$1:$BX$1,0))*'Resource Options'!$E$25*1000</f>
        <v>362457.75153609907</v>
      </c>
      <c r="U30" s="73">
        <f>INDEX('DATA (Nominal)'!$B$163:$BX$163,1,MATCH(U$1,'DATA (Nominal)'!$B$1:$BX$1,0))*'Resource Options'!$E$25*1000</f>
        <v>365142.47291918012</v>
      </c>
      <c r="V30" s="73">
        <f>INDEX('DATA (Nominal)'!$B$163:$BX$163,1,MATCH(V$1,'DATA (Nominal)'!$B$1:$BX$1,0))*'Resource Options'!$E$25*1000</f>
        <v>367769.89249137207</v>
      </c>
      <c r="W30" s="73">
        <f>INDEX('DATA (Nominal)'!$B$163:$BX$163,1,MATCH(W$1,'DATA (Nominal)'!$B$1:$BX$1,0))*'Resource Options'!$E$25*1000</f>
        <v>370336.18956784921</v>
      </c>
      <c r="X30" s="74">
        <f>INDEX('DATA (Nominal)'!$B$163:$BX$163,1,MATCH(X$1,'DATA (Nominal)'!$B$1:$BX$1,0))*'Resource Options'!$E$25*1000</f>
        <v>372837.40308772551</v>
      </c>
    </row>
    <row r="31" spans="1:24" ht="15" hidden="1" customHeight="1" outlineLevel="1">
      <c r="C31" s="80" t="s">
        <v>92</v>
      </c>
      <c r="D31" s="71">
        <f>-PMT(Discount_Rate,20,NPV(Discount_Rate,E31:X31))</f>
        <v>1239965.2592759079</v>
      </c>
      <c r="E31" s="71">
        <f>INDEX('DATA (Nominal)'!$B$44:$BX$44,1,MATCH($B$1,'DATA (Nominal)'!$B$1:$BX$1,0))*Assumptions!AG$25*(1+AFUDC!$C$25)*1000000*'Resource Options'!$E$25/1000*(1-INDEX('DATA (Nominal)'!$B$225:$BX$225,1,MATCH($B$1,'DATA (Nominal)'!$B$1:$BX$1,0)))</f>
        <v>1976814.6426351406</v>
      </c>
      <c r="F31" s="73">
        <f>INDEX('DATA (Nominal)'!$B$44:$BX$44,1,MATCH($B$1,'DATA (Nominal)'!$B$1:$BX$1,0))*Assumptions!AH$25*(1+AFUDC!$C$25)*1000000*'Resource Options'!$E$25/1000*(1-INDEX('DATA (Nominal)'!$B$225:$BX$225,1,MATCH($B$1,'DATA (Nominal)'!$B$1:$BX$1,0)))</f>
        <v>1860916.1464374631</v>
      </c>
      <c r="G31" s="71">
        <f>INDEX('DATA (Nominal)'!$B$44:$BX$44,1,MATCH($B$1,'DATA (Nominal)'!$B$1:$BX$1,0))*Assumptions!AI$25*(1+AFUDC!$C$25)*1000000*'Resource Options'!$E$25/1000*(1-INDEX('DATA (Nominal)'!$B$225:$BX$225,1,MATCH($B$1,'DATA (Nominal)'!$B$1:$BX$1,0)))</f>
        <v>1745752.3220650721</v>
      </c>
      <c r="H31" s="71">
        <f>INDEX('DATA (Nominal)'!$B$44:$BX$44,1,MATCH($B$1,'DATA (Nominal)'!$B$1:$BX$1,0))*Assumptions!AJ$25*(1+AFUDC!$C$25)*1000000*'Resource Options'!$E$25/1000*(1-INDEX('DATA (Nominal)'!$B$225:$BX$225,1,MATCH($B$1,'DATA (Nominal)'!$B$1:$BX$1,0)))</f>
        <v>1649396.0964200587</v>
      </c>
      <c r="I31" s="71">
        <f>INDEX('DATA (Nominal)'!$B$44:$BX$44,1,MATCH($B$1,'DATA (Nominal)'!$B$1:$BX$1,0))*Assumptions!AK$25*(1+AFUDC!$C$25)*1000000*'Resource Options'!$E$25/1000*(1-INDEX('DATA (Nominal)'!$B$225:$BX$225,1,MATCH($B$1,'DATA (Nominal)'!$B$1:$BX$1,0)))</f>
        <v>1560092.7202978123</v>
      </c>
      <c r="J31" s="71">
        <f>INDEX('DATA (Nominal)'!$B$44:$BX$44,1,MATCH($B$1,'DATA (Nominal)'!$B$1:$BX$1,0))*Assumptions!AL$25*(1+AFUDC!$C$25)*1000000*'Resource Options'!$E$25/1000*(1-INDEX('DATA (Nominal)'!$B$225:$BX$225,1,MATCH($B$1,'DATA (Nominal)'!$B$1:$BX$1,0)))</f>
        <v>1476078.9813176405</v>
      </c>
      <c r="K31" s="71">
        <f>INDEX('DATA (Nominal)'!$B$44:$BX$44,1,MATCH($B$1,'DATA (Nominal)'!$B$1:$BX$1,0))*Assumptions!AM$25*(1+AFUDC!$C$25)*1000000*'Resource Options'!$E$25/1000*(1-INDEX('DATA (Nominal)'!$B$225:$BX$225,1,MATCH($B$1,'DATA (Nominal)'!$B$1:$BX$1,0)))</f>
        <v>1402644.5166216178</v>
      </c>
      <c r="L31" s="71">
        <f>INDEX('DATA (Nominal)'!$B$44:$BX$44,1,MATCH($B$1,'DATA (Nominal)'!$B$1:$BX$1,0))*Assumptions!AN$25*(1+AFUDC!$C$25)*1000000*'Resource Options'!$E$25/1000*(1-INDEX('DATA (Nominal)'!$B$225:$BX$225,1,MATCH($B$1,'DATA (Nominal)'!$B$1:$BX$1,0)))</f>
        <v>1334499.6890676699</v>
      </c>
      <c r="M31" s="71">
        <f>INDEX('DATA (Nominal)'!$B$44:$BX$44,1,MATCH($B$1,'DATA (Nominal)'!$B$1:$BX$1,0))*Assumptions!AO$25*(1+AFUDC!$C$25)*1000000*'Resource Options'!$E$25/1000*(1-INDEX('DATA (Nominal)'!$B$225:$BX$225,1,MATCH($B$1,'DATA (Nominal)'!$B$1:$BX$1,0)))</f>
        <v>1266354.8615137222</v>
      </c>
      <c r="N31" s="71">
        <f>INDEX('DATA (Nominal)'!$B$44:$BX$44,1,MATCH($B$1,'DATA (Nominal)'!$B$1:$BX$1,0))*Assumptions!AP$25*(1+AFUDC!$C$25)*1000000*'Resource Options'!$E$25/1000*(1-INDEX('DATA (Nominal)'!$B$225:$BX$225,1,MATCH($B$1,'DATA (Nominal)'!$B$1:$BX$1,0)))</f>
        <v>1198210.0339597748</v>
      </c>
      <c r="O31" s="71">
        <f>INDEX('DATA (Nominal)'!$B$44:$BX$44,1,MATCH($B$1,'DATA (Nominal)'!$B$1:$BX$1,0))*Assumptions!AQ$25*(1+AFUDC!$C$25)*1000000*'Resource Options'!$E$25/1000*(1-INDEX('DATA (Nominal)'!$B$225:$BX$225,1,MATCH($B$1,'DATA (Nominal)'!$B$1:$BX$1,0)))</f>
        <v>1130065.2064058266</v>
      </c>
      <c r="P31" s="71">
        <f>INDEX('DATA (Nominal)'!$B$44:$BX$44,1,MATCH($B$1,'DATA (Nominal)'!$B$1:$BX$1,0))*Assumptions!AR$25*(1+AFUDC!$C$25)*1000000*'Resource Options'!$E$25/1000*(1-INDEX('DATA (Nominal)'!$B$225:$BX$225,1,MATCH($B$1,'DATA (Nominal)'!$B$1:$BX$1,0)))</f>
        <v>1061920.3788518792</v>
      </c>
      <c r="Q31" s="71">
        <f>INDEX('DATA (Nominal)'!$B$44:$BX$44,1,MATCH($B$1,'DATA (Nominal)'!$B$1:$BX$1,0))*Assumptions!AS$25*(1+AFUDC!$C$25)*1000000*'Resource Options'!$E$25/1000*(1-INDEX('DATA (Nominal)'!$B$225:$BX$225,1,MATCH($B$1,'DATA (Nominal)'!$B$1:$BX$1,0)))</f>
        <v>993775.55129793147</v>
      </c>
      <c r="R31" s="71">
        <f>INDEX('DATA (Nominal)'!$B$44:$BX$44,1,MATCH($B$1,'DATA (Nominal)'!$B$1:$BX$1,0))*Assumptions!AT$25*(1+AFUDC!$C$25)*1000000*'Resource Options'!$E$25/1000*(1-INDEX('DATA (Nominal)'!$B$225:$BX$225,1,MATCH($B$1,'DATA (Nominal)'!$B$1:$BX$1,0)))</f>
        <v>925630.72374398366</v>
      </c>
      <c r="S31" s="71">
        <f>INDEX('DATA (Nominal)'!$B$44:$BX$44,1,MATCH($B$1,'DATA (Nominal)'!$B$1:$BX$1,0))*Assumptions!AU$25*(1+AFUDC!$C$25)*1000000*'Resource Options'!$E$25/1000*(1-INDEX('DATA (Nominal)'!$B$225:$BX$225,1,MATCH($B$1,'DATA (Nominal)'!$B$1:$BX$1,0)))</f>
        <v>857485.89619003586</v>
      </c>
      <c r="T31" s="71">
        <f>INDEX('DATA (Nominal)'!$B$44:$BX$44,1,MATCH($B$1,'DATA (Nominal)'!$B$1:$BX$1,0))*Assumptions!AV$25*(1+AFUDC!$C$25)*1000000*'Resource Options'!$E$25/1000*(1-INDEX('DATA (Nominal)'!$B$225:$BX$225,1,MATCH($B$1,'DATA (Nominal)'!$B$1:$BX$1,0)))</f>
        <v>0</v>
      </c>
      <c r="U31" s="71">
        <f>INDEX('DATA (Nominal)'!$B$44:$BX$44,1,MATCH($B$1,'DATA (Nominal)'!$B$1:$BX$1,0))*Assumptions!AW$25*(1+AFUDC!$C$25)*1000000*'Resource Options'!$E$25/1000*(1-INDEX('DATA (Nominal)'!$B$225:$BX$225,1,MATCH($B$1,'DATA (Nominal)'!$B$1:$BX$1,0)))</f>
        <v>0</v>
      </c>
      <c r="V31" s="71">
        <f>INDEX('DATA (Nominal)'!$B$44:$BX$44,1,MATCH($B$1,'DATA (Nominal)'!$B$1:$BX$1,0))*Assumptions!AX$25*(1+AFUDC!$C$25)*1000000*'Resource Options'!$E$25/1000*(1-INDEX('DATA (Nominal)'!$B$225:$BX$225,1,MATCH($B$1,'DATA (Nominal)'!$B$1:$BX$1,0)))</f>
        <v>0</v>
      </c>
      <c r="W31" s="71">
        <f>INDEX('DATA (Nominal)'!$B$44:$BX$44,1,MATCH($B$1,'DATA (Nominal)'!$B$1:$BX$1,0))*Assumptions!AY$25*(1+AFUDC!$C$25)*1000000*'Resource Options'!$E$25/1000*(1-INDEX('DATA (Nominal)'!$B$225:$BX$225,1,MATCH($B$1,'DATA (Nominal)'!$B$1:$BX$1,0)))</f>
        <v>0</v>
      </c>
      <c r="X31" s="72">
        <f>INDEX('DATA (Nominal)'!$B$44:$BX$44,1,MATCH($B$1,'DATA (Nominal)'!$B$1:$BX$1,0))*Assumptions!AZ$25*(1+AFUDC!$C$25)*1000000*'Resource Options'!$E$25/1000*(1-INDEX('DATA (Nominal)'!$B$225:$BX$225,1,MATCH($B$1,'DATA (Nominal)'!$B$1:$BX$1,0)))</f>
        <v>0</v>
      </c>
    </row>
    <row r="32" spans="1:24" ht="15" hidden="1" customHeight="1" outlineLevel="1">
      <c r="C32" s="79" t="s">
        <v>93</v>
      </c>
      <c r="D32" s="71">
        <f>-PMT(Discount_Rate,20,NPV(Discount_Rate,E32:X32))</f>
        <v>10371.90960321571</v>
      </c>
      <c r="E32" s="71">
        <f t="shared" ref="E32:X32" si="9">E30*Misc_Fees</f>
        <v>11230.224320958218</v>
      </c>
      <c r="F32" s="71">
        <f t="shared" si="9"/>
        <v>10888.467194486566</v>
      </c>
      <c r="G32" s="71">
        <f t="shared" si="9"/>
        <v>10603.469175207163</v>
      </c>
      <c r="H32" s="71">
        <f t="shared" si="9"/>
        <v>10265.055310266329</v>
      </c>
      <c r="I32" s="71">
        <f t="shared" si="9"/>
        <v>9971.8157593029337</v>
      </c>
      <c r="J32" s="71">
        <f t="shared" si="9"/>
        <v>9710.25239388298</v>
      </c>
      <c r="K32" s="71">
        <f t="shared" si="9"/>
        <v>9803.9895127617419</v>
      </c>
      <c r="L32" s="71">
        <f t="shared" si="9"/>
        <v>9892.8997412753179</v>
      </c>
      <c r="M32" s="71">
        <f t="shared" si="9"/>
        <v>9980.976888919362</v>
      </c>
      <c r="N32" s="71">
        <f t="shared" si="9"/>
        <v>10068.141267584964</v>
      </c>
      <c r="O32" s="71">
        <f t="shared" si="9"/>
        <v>10154.31008609757</v>
      </c>
      <c r="P32" s="71">
        <f t="shared" si="9"/>
        <v>10239.397352251262</v>
      </c>
      <c r="Q32" s="71">
        <f t="shared" si="9"/>
        <v>10323.313772034002</v>
      </c>
      <c r="R32" s="71">
        <f t="shared" si="9"/>
        <v>10405.966645968741</v>
      </c>
      <c r="S32" s="71">
        <f t="shared" si="9"/>
        <v>10487.25976249095</v>
      </c>
      <c r="T32" s="71">
        <f t="shared" si="9"/>
        <v>10567.093288283431</v>
      </c>
      <c r="U32" s="71">
        <f t="shared" si="9"/>
        <v>10645.363655485777</v>
      </c>
      <c r="V32" s="71">
        <f t="shared" si="9"/>
        <v>10721.963445693462</v>
      </c>
      <c r="W32" s="71">
        <f t="shared" si="9"/>
        <v>10796.781270661077</v>
      </c>
      <c r="X32" s="72">
        <f t="shared" si="9"/>
        <v>10869.70164961955</v>
      </c>
    </row>
    <row r="33" spans="1:24" ht="15" hidden="1" customHeight="1" outlineLevel="1">
      <c r="C33" s="79" t="s">
        <v>94</v>
      </c>
      <c r="D33" s="71">
        <f>-PMT(Discount_Rate,20,NPV(Discount_Rate,E33:X33))</f>
        <v>1606100.0008478311</v>
      </c>
      <c r="E33" s="71">
        <f t="shared" ref="E33:X33" si="10">SUM(E30:E32)</f>
        <v>2373248.4177881707</v>
      </c>
      <c r="F33" s="71">
        <f t="shared" si="10"/>
        <v>2245285.6863659332</v>
      </c>
      <c r="G33" s="71">
        <f t="shared" si="10"/>
        <v>2120061.2579071913</v>
      </c>
      <c r="H33" s="71">
        <f t="shared" si="10"/>
        <v>2011758.8162108879</v>
      </c>
      <c r="I33" s="71">
        <f t="shared" si="10"/>
        <v>1912103.9049019713</v>
      </c>
      <c r="J33" s="71">
        <f t="shared" si="10"/>
        <v>1818856.8194247354</v>
      </c>
      <c r="K33" s="71">
        <f t="shared" si="10"/>
        <v>1748731.3322564124</v>
      </c>
      <c r="L33" s="71">
        <f t="shared" si="10"/>
        <v>1683725.0900532107</v>
      </c>
      <c r="M33" s="71">
        <f t="shared" si="10"/>
        <v>1618689.4395866767</v>
      </c>
      <c r="N33" s="71">
        <f t="shared" si="10"/>
        <v>1553621.567817912</v>
      </c>
      <c r="O33" s="71">
        <f t="shared" si="10"/>
        <v>1488518.552167906</v>
      </c>
      <c r="P33" s="71">
        <f t="shared" si="10"/>
        <v>1423377.3570592878</v>
      </c>
      <c r="Q33" s="71">
        <f t="shared" si="10"/>
        <v>1358194.8303589139</v>
      </c>
      <c r="R33" s="71">
        <f t="shared" si="10"/>
        <v>1292967.6997186465</v>
      </c>
      <c r="S33" s="71">
        <f t="shared" si="10"/>
        <v>1227692.5688115151</v>
      </c>
      <c r="T33" s="71">
        <f t="shared" si="10"/>
        <v>373024.84482438251</v>
      </c>
      <c r="U33" s="71">
        <f t="shared" si="10"/>
        <v>375787.83657466591</v>
      </c>
      <c r="V33" s="71">
        <f t="shared" si="10"/>
        <v>378491.85593706556</v>
      </c>
      <c r="W33" s="71">
        <f t="shared" si="10"/>
        <v>381132.97083851031</v>
      </c>
      <c r="X33" s="72">
        <f t="shared" si="10"/>
        <v>383707.10473734507</v>
      </c>
    </row>
    <row r="34" spans="1:24" ht="15" hidden="1" customHeight="1" outlineLevel="1">
      <c r="C34" s="79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2"/>
    </row>
    <row r="35" spans="1:24" ht="15" hidden="1" customHeight="1" outlineLevel="1">
      <c r="C35" s="79" t="s">
        <v>116</v>
      </c>
      <c r="D35" s="71">
        <f>-PMT(Discount_Rate,20,NPV(Discount_Rate,E35:X35))</f>
        <v>0</v>
      </c>
      <c r="E35" s="71">
        <f>E27*INDEX('DATA (Nominal)'!$B$92:$BX$92,1,MATCH(E$1,'DATA (Nominal)'!$B$1:$BX$1,0))</f>
        <v>0</v>
      </c>
      <c r="F35" s="71">
        <f>F27*INDEX('DATA (Nominal)'!$B$92:$BX$92,1,MATCH(F$1,'DATA (Nominal)'!$B$1:$BX$1,0))</f>
        <v>0</v>
      </c>
      <c r="G35" s="71">
        <f>G27*INDEX('DATA (Nominal)'!$B$92:$BX$92,1,MATCH(G$1,'DATA (Nominal)'!$B$1:$BX$1,0))</f>
        <v>0</v>
      </c>
      <c r="H35" s="71">
        <f>H27*INDEX('DATA (Nominal)'!$B$92:$BX$92,1,MATCH(H$1,'DATA (Nominal)'!$B$1:$BX$1,0))</f>
        <v>0</v>
      </c>
      <c r="I35" s="71">
        <f>I27*INDEX('DATA (Nominal)'!$B$92:$BX$92,1,MATCH(I$1,'DATA (Nominal)'!$B$1:$BX$1,0))</f>
        <v>0</v>
      </c>
      <c r="J35" s="71">
        <f>J27*INDEX('DATA (Nominal)'!$B$92:$BX$92,1,MATCH(J$1,'DATA (Nominal)'!$B$1:$BX$1,0))</f>
        <v>0</v>
      </c>
      <c r="K35" s="71">
        <f>K27*INDEX('DATA (Nominal)'!$B$92:$BX$92,1,MATCH(K$1,'DATA (Nominal)'!$B$1:$BX$1,0))</f>
        <v>0</v>
      </c>
      <c r="L35" s="71">
        <f>L27*INDEX('DATA (Nominal)'!$B$92:$BX$92,1,MATCH(L$1,'DATA (Nominal)'!$B$1:$BX$1,0))</f>
        <v>0</v>
      </c>
      <c r="M35" s="71">
        <f>M27*INDEX('DATA (Nominal)'!$B$92:$BX$92,1,MATCH(M$1,'DATA (Nominal)'!$B$1:$BX$1,0))</f>
        <v>0</v>
      </c>
      <c r="N35" s="71">
        <f>N27*INDEX('DATA (Nominal)'!$B$92:$BX$92,1,MATCH(N$1,'DATA (Nominal)'!$B$1:$BX$1,0))</f>
        <v>0</v>
      </c>
      <c r="O35" s="71">
        <f>O27*INDEX('DATA (Nominal)'!$B$92:$BX$92,1,MATCH(O$1,'DATA (Nominal)'!$B$1:$BX$1,0))</f>
        <v>0</v>
      </c>
      <c r="P35" s="71">
        <f>P27*INDEX('DATA (Nominal)'!$B$92:$BX$92,1,MATCH(P$1,'DATA (Nominal)'!$B$1:$BX$1,0))</f>
        <v>0</v>
      </c>
      <c r="Q35" s="71">
        <f>Q27*INDEX('DATA (Nominal)'!$B$92:$BX$92,1,MATCH(Q$1,'DATA (Nominal)'!$B$1:$BX$1,0))</f>
        <v>0</v>
      </c>
      <c r="R35" s="71">
        <f>R27*INDEX('DATA (Nominal)'!$B$92:$BX$92,1,MATCH(R$1,'DATA (Nominal)'!$B$1:$BX$1,0))</f>
        <v>0</v>
      </c>
      <c r="S35" s="71">
        <f>S27*INDEX('DATA (Nominal)'!$B$92:$BX$92,1,MATCH(S$1,'DATA (Nominal)'!$B$1:$BX$1,0))</f>
        <v>0</v>
      </c>
      <c r="T35" s="71">
        <f>T27*INDEX('DATA (Nominal)'!$B$92:$BX$92,1,MATCH(T$1,'DATA (Nominal)'!$B$1:$BX$1,0))</f>
        <v>0</v>
      </c>
      <c r="U35" s="71">
        <f>U27*INDEX('DATA (Nominal)'!$B$92:$BX$92,1,MATCH(U$1,'DATA (Nominal)'!$B$1:$BX$1,0))</f>
        <v>0</v>
      </c>
      <c r="V35" s="71">
        <f>V27*INDEX('DATA (Nominal)'!$B$92:$BX$92,1,MATCH(V$1,'DATA (Nominal)'!$B$1:$BX$1,0))</f>
        <v>0</v>
      </c>
      <c r="W35" s="71">
        <f>W27*INDEX('DATA (Nominal)'!$B$92:$BX$92,1,MATCH(W$1,'DATA (Nominal)'!$B$1:$BX$1,0))</f>
        <v>0</v>
      </c>
      <c r="X35" s="72">
        <f>X27*INDEX('DATA (Nominal)'!$B$92:$BX$92,1,MATCH(X$1,'DATA (Nominal)'!$B$1:$BX$1,0))</f>
        <v>0</v>
      </c>
    </row>
    <row r="36" spans="1:24" ht="15" hidden="1" customHeight="1" outlineLevel="1">
      <c r="C36" s="79" t="s">
        <v>117</v>
      </c>
      <c r="D36" s="71">
        <f>-PMT(Discount_Rate,20,NPV(Discount_Rate,E36:X36))</f>
        <v>572809.88727140182</v>
      </c>
      <c r="E36" s="71">
        <f>(E27+E28)*INDEX('DATA (Nominal)'!$B$149:$BX$149,1,MATCH(E$1,'DATA (Nominal)'!$B$1:$BX$1,0))</f>
        <v>594817.19062637328</v>
      </c>
      <c r="F36" s="71">
        <f>(F27+F28)*INDEX('DATA (Nominal)'!$B$149:$BX$149,1,MATCH(F$1,'DATA (Nominal)'!$B$1:$BX$1,0))</f>
        <v>554226.15351181035</v>
      </c>
      <c r="G36" s="71">
        <f>(G27+G28)*INDEX('DATA (Nominal)'!$B$149:$BX$149,1,MATCH(G$1,'DATA (Nominal)'!$B$1:$BX$1,0))</f>
        <v>498354.52325973514</v>
      </c>
      <c r="H36" s="71">
        <f>(H27+H28)*INDEX('DATA (Nominal)'!$B$149:$BX$149,1,MATCH(H$1,'DATA (Nominal)'!$B$1:$BX$1,0))</f>
        <v>497220.89377468108</v>
      </c>
      <c r="I36" s="71">
        <f>(I27+I28)*INDEX('DATA (Nominal)'!$B$149:$BX$149,1,MATCH(I$1,'DATA (Nominal)'!$B$1:$BX$1,0))</f>
        <v>498804.51244262693</v>
      </c>
      <c r="J36" s="71">
        <f>(J27+J28)*INDEX('DATA (Nominal)'!$B$149:$BX$149,1,MATCH(J$1,'DATA (Nominal)'!$B$1:$BX$1,0))</f>
        <v>572335.97151802061</v>
      </c>
      <c r="K36" s="71">
        <f>(K27+K28)*INDEX('DATA (Nominal)'!$B$149:$BX$149,1,MATCH(K$1,'DATA (Nominal)'!$B$1:$BX$1,0))</f>
        <v>538272.74373455055</v>
      </c>
      <c r="L36" s="71">
        <f>(L27+L28)*INDEX('DATA (Nominal)'!$B$149:$BX$149,1,MATCH(L$1,'DATA (Nominal)'!$B$1:$BX$1,0))</f>
        <v>523398.07571521762</v>
      </c>
      <c r="M36" s="71">
        <f>(M27+M28)*INDEX('DATA (Nominal)'!$B$149:$BX$149,1,MATCH(M$1,'DATA (Nominal)'!$B$1:$BX$1,0))</f>
        <v>540359.42847286223</v>
      </c>
      <c r="N36" s="71">
        <f>(N27+N28)*INDEX('DATA (Nominal)'!$B$149:$BX$149,1,MATCH(N$1,'DATA (Nominal)'!$B$1:$BX$1,0))</f>
        <v>549188.52759662631</v>
      </c>
      <c r="O36" s="71">
        <f>(O27+O28)*INDEX('DATA (Nominal)'!$B$149:$BX$149,1,MATCH(O$1,'DATA (Nominal)'!$B$1:$BX$1,0))</f>
        <v>571155.69014743809</v>
      </c>
      <c r="P36" s="71">
        <f>(P27+P28)*INDEX('DATA (Nominal)'!$B$149:$BX$149,1,MATCH(P$1,'DATA (Nominal)'!$B$1:$BX$1,0))</f>
        <v>580920.70236762997</v>
      </c>
      <c r="Q36" s="71">
        <f>(Q27+Q28)*INDEX('DATA (Nominal)'!$B$149:$BX$149,1,MATCH(Q$1,'DATA (Nominal)'!$B$1:$BX$1,0))</f>
        <v>608998.43631736748</v>
      </c>
      <c r="R36" s="71">
        <f>(R27+R28)*INDEX('DATA (Nominal)'!$B$149:$BX$149,1,MATCH(R$1,'DATA (Nominal)'!$B$1:$BX$1,0))</f>
        <v>604531.58272220613</v>
      </c>
      <c r="S36" s="71">
        <f>(S27+S28)*INDEX('DATA (Nominal)'!$B$149:$BX$149,1,MATCH(S$1,'DATA (Nominal)'!$B$1:$BX$1,0))</f>
        <v>623075.49118888855</v>
      </c>
      <c r="T36" s="71">
        <f>(T27+T28)*INDEX('DATA (Nominal)'!$B$149:$BX$149,1,MATCH(T$1,'DATA (Nominal)'!$B$1:$BX$1,0))</f>
        <v>658956.57621765137</v>
      </c>
      <c r="U36" s="71">
        <f>(U27+U28)*INDEX('DATA (Nominal)'!$B$149:$BX$149,1,MATCH(U$1,'DATA (Nominal)'!$B$1:$BX$1,0))</f>
        <v>662391.25052276615</v>
      </c>
      <c r="V36" s="71">
        <f>(V27+V28)*INDEX('DATA (Nominal)'!$B$149:$BX$149,1,MATCH(V$1,'DATA (Nominal)'!$B$1:$BX$1,0))</f>
        <v>689400.65934150689</v>
      </c>
      <c r="W36" s="71">
        <f>(W27+W28)*INDEX('DATA (Nominal)'!$B$149:$BX$149,1,MATCH(W$1,'DATA (Nominal)'!$B$1:$BX$1,0))</f>
        <v>705259.41450630187</v>
      </c>
      <c r="X36" s="72">
        <f>(X27+X28)*INDEX('DATA (Nominal)'!$B$149:$BX$149,1,MATCH(X$1,'DATA (Nominal)'!$B$1:$BX$1,0))</f>
        <v>792935.20713836676</v>
      </c>
    </row>
    <row r="37" spans="1:24" ht="15" hidden="1" customHeight="1" outlineLevel="1">
      <c r="C37" s="79" t="s">
        <v>93</v>
      </c>
      <c r="D37" s="71">
        <f>-PMT(Discount_Rate,20,NPV(Discount_Rate,E37:X37))</f>
        <v>16699.699453510446</v>
      </c>
      <c r="E37" s="73">
        <f t="shared" ref="E37:X37" si="11">SUM(E35:E36)*Misc_Fees</f>
        <v>17341.300375521285</v>
      </c>
      <c r="F37" s="73">
        <f t="shared" si="11"/>
        <v>16157.909279483318</v>
      </c>
      <c r="G37" s="73">
        <f t="shared" si="11"/>
        <v>14529.027771114317</v>
      </c>
      <c r="H37" s="73">
        <f t="shared" si="11"/>
        <v>14495.977937107053</v>
      </c>
      <c r="I37" s="73">
        <f t="shared" si="11"/>
        <v>14542.146755752345</v>
      </c>
      <c r="J37" s="73">
        <f t="shared" si="11"/>
        <v>16685.882913636371</v>
      </c>
      <c r="K37" s="73">
        <f t="shared" si="11"/>
        <v>15692.803570837086</v>
      </c>
      <c r="L37" s="73">
        <f t="shared" si="11"/>
        <v>15259.147499401453</v>
      </c>
      <c r="M37" s="73">
        <f t="shared" si="11"/>
        <v>15753.638777697824</v>
      </c>
      <c r="N37" s="73">
        <f t="shared" si="11"/>
        <v>16011.042333552043</v>
      </c>
      <c r="O37" s="73">
        <f t="shared" si="11"/>
        <v>16651.47299055841</v>
      </c>
      <c r="P37" s="73">
        <f t="shared" si="11"/>
        <v>16936.162156825885</v>
      </c>
      <c r="Q37" s="73">
        <f t="shared" si="11"/>
        <v>17754.740412396532</v>
      </c>
      <c r="R37" s="73">
        <f t="shared" si="11"/>
        <v>17624.513762683197</v>
      </c>
      <c r="S37" s="73">
        <f t="shared" si="11"/>
        <v>18165.142870120857</v>
      </c>
      <c r="T37" s="73">
        <f t="shared" si="11"/>
        <v>19211.220023049409</v>
      </c>
      <c r="U37" s="73">
        <f t="shared" si="11"/>
        <v>19311.354517740725</v>
      </c>
      <c r="V37" s="73">
        <f t="shared" si="11"/>
        <v>20098.786822442293</v>
      </c>
      <c r="W37" s="73">
        <f t="shared" si="11"/>
        <v>20561.132970516723</v>
      </c>
      <c r="X37" s="74">
        <f t="shared" si="11"/>
        <v>23117.233028911945</v>
      </c>
    </row>
    <row r="38" spans="1:24" ht="15" hidden="1" customHeight="1" outlineLevel="1">
      <c r="C38" s="79" t="s">
        <v>99</v>
      </c>
      <c r="D38" s="71">
        <f>-PMT(Discount_Rate,20,NPV(Discount_Rate,E38:X38))</f>
        <v>589509.58672491217</v>
      </c>
      <c r="E38" s="71">
        <f>SUM(E35:E37)</f>
        <v>612158.49100189458</v>
      </c>
      <c r="F38" s="71">
        <f t="shared" ref="F38" si="12">SUM(F35:F37)</f>
        <v>570384.06279129372</v>
      </c>
      <c r="G38" s="71">
        <f t="shared" ref="G38" si="13">SUM(G35:G37)</f>
        <v>512883.55103084946</v>
      </c>
      <c r="H38" s="71">
        <f t="shared" ref="H38" si="14">SUM(H35:H37)</f>
        <v>511716.87171178812</v>
      </c>
      <c r="I38" s="71">
        <f t="shared" ref="I38" si="15">SUM(I35:I37)</f>
        <v>513346.65919837926</v>
      </c>
      <c r="J38" s="71">
        <f t="shared" ref="J38" si="16">SUM(J35:J37)</f>
        <v>589021.854431657</v>
      </c>
      <c r="K38" s="71">
        <f t="shared" ref="K38" si="17">SUM(K35:K37)</f>
        <v>553965.54730538768</v>
      </c>
      <c r="L38" s="71">
        <f t="shared" ref="L38" si="18">SUM(L35:L37)</f>
        <v>538657.22321461909</v>
      </c>
      <c r="M38" s="71">
        <f t="shared" ref="M38" si="19">SUM(M35:M37)</f>
        <v>556113.06725056004</v>
      </c>
      <c r="N38" s="71">
        <f t="shared" ref="N38" si="20">SUM(N35:N37)</f>
        <v>565199.56993017835</v>
      </c>
      <c r="O38" s="71">
        <f t="shared" ref="O38" si="21">SUM(O35:O37)</f>
        <v>587807.16313799645</v>
      </c>
      <c r="P38" s="71">
        <f t="shared" ref="P38" si="22">SUM(P35:P37)</f>
        <v>597856.86452445586</v>
      </c>
      <c r="Q38" s="71">
        <f t="shared" ref="Q38" si="23">SUM(Q35:Q37)</f>
        <v>626753.17672976397</v>
      </c>
      <c r="R38" s="71">
        <f t="shared" ref="R38" si="24">SUM(R35:R37)</f>
        <v>622156.09648488928</v>
      </c>
      <c r="S38" s="71">
        <f t="shared" ref="S38" si="25">SUM(S35:S37)</f>
        <v>641240.63405900938</v>
      </c>
      <c r="T38" s="71">
        <f t="shared" ref="T38" si="26">SUM(T35:T37)</f>
        <v>678167.79624070076</v>
      </c>
      <c r="U38" s="71">
        <f t="shared" ref="U38" si="27">SUM(U35:U37)</f>
        <v>681702.60504050693</v>
      </c>
      <c r="V38" s="71">
        <f t="shared" ref="V38" si="28">SUM(V35:V37)</f>
        <v>709499.44616394921</v>
      </c>
      <c r="W38" s="71">
        <f t="shared" ref="W38" si="29">SUM(W35:W37)</f>
        <v>725820.54747681855</v>
      </c>
      <c r="X38" s="72">
        <f t="shared" ref="X38" si="30">SUM(X35:X37)</f>
        <v>816052.44016727875</v>
      </c>
    </row>
    <row r="39" spans="1:24" ht="15" hidden="1" customHeight="1" outlineLevel="1">
      <c r="C39" s="79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2"/>
    </row>
    <row r="40" spans="1:24" ht="15.75" hidden="1" customHeight="1" outlineLevel="1" thickBot="1">
      <c r="C40" s="81" t="s">
        <v>100</v>
      </c>
      <c r="D40" s="71">
        <f>-PMT(Discount_Rate,20,NPV(Discount_Rate,E40:X40))</f>
        <v>2195609.5875727441</v>
      </c>
      <c r="E40" s="75">
        <f>E33+E38</f>
        <v>2985406.9087900654</v>
      </c>
      <c r="F40" s="75">
        <f t="shared" ref="F40:H40" si="31">F33+F38</f>
        <v>2815669.7491572266</v>
      </c>
      <c r="G40" s="75">
        <f t="shared" si="31"/>
        <v>2632944.8089380409</v>
      </c>
      <c r="H40" s="75">
        <f t="shared" si="31"/>
        <v>2523475.6879226761</v>
      </c>
      <c r="I40" s="75">
        <f>I33+I38</f>
        <v>2425450.5641003507</v>
      </c>
      <c r="J40" s="75">
        <f t="shared" ref="J40:X40" si="32">J33+J38</f>
        <v>2407878.6738563925</v>
      </c>
      <c r="K40" s="75">
        <f t="shared" si="32"/>
        <v>2302696.8795618</v>
      </c>
      <c r="L40" s="75">
        <f t="shared" si="32"/>
        <v>2222382.3132678298</v>
      </c>
      <c r="M40" s="75">
        <f t="shared" si="32"/>
        <v>2174802.5068372367</v>
      </c>
      <c r="N40" s="75">
        <f t="shared" si="32"/>
        <v>2118821.1377480906</v>
      </c>
      <c r="O40" s="75">
        <f t="shared" si="32"/>
        <v>2076325.7153059025</v>
      </c>
      <c r="P40" s="75">
        <f t="shared" si="32"/>
        <v>2021234.2215837436</v>
      </c>
      <c r="Q40" s="75">
        <f t="shared" si="32"/>
        <v>1984948.007088678</v>
      </c>
      <c r="R40" s="75">
        <f t="shared" si="32"/>
        <v>1915123.7962035357</v>
      </c>
      <c r="S40" s="75">
        <f t="shared" si="32"/>
        <v>1868933.2028705245</v>
      </c>
      <c r="T40" s="75">
        <f t="shared" si="32"/>
        <v>1051192.6410650832</v>
      </c>
      <c r="U40" s="75">
        <f t="shared" si="32"/>
        <v>1057490.4416151729</v>
      </c>
      <c r="V40" s="75">
        <f t="shared" si="32"/>
        <v>1087991.3021010146</v>
      </c>
      <c r="W40" s="75">
        <f t="shared" si="32"/>
        <v>1106953.5183153288</v>
      </c>
      <c r="X40" s="76">
        <f t="shared" si="32"/>
        <v>1199759.5449046239</v>
      </c>
    </row>
    <row r="41" spans="1:24" ht="15" hidden="1" customHeight="1" outlineLevel="1">
      <c r="A41" s="95"/>
      <c r="C41" s="35" t="s">
        <v>118</v>
      </c>
      <c r="D41" s="77">
        <f>D33/'Resource Options'!$E$25/1000</f>
        <v>321.22000016956628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</row>
    <row r="42" spans="1:24" ht="15" hidden="1" customHeight="1" outlineLevel="1">
      <c r="C42" s="32" t="s">
        <v>119</v>
      </c>
      <c r="D42" s="44">
        <f>D33/'Resource Options'!$D$25/1000</f>
        <v>40.152500021195785</v>
      </c>
      <c r="E42" s="24"/>
    </row>
    <row r="43" spans="1:24" ht="15" hidden="1" customHeight="1" outlineLevel="1">
      <c r="C43" s="32" t="s">
        <v>120</v>
      </c>
      <c r="D43" s="5">
        <f>D38/E27</f>
        <v>40.377368953761106</v>
      </c>
    </row>
    <row r="44" spans="1:24" ht="15.75" hidden="1" customHeight="1" outlineLevel="1" thickBot="1">
      <c r="C44" s="34" t="s">
        <v>121</v>
      </c>
      <c r="D44" s="20">
        <f>D40/(E27-E28)</f>
        <v>174.86537014755848</v>
      </c>
      <c r="E44" s="24"/>
    </row>
    <row r="45" spans="1:24" ht="15" hidden="1" customHeight="1" outlineLevel="1"/>
    <row r="46" spans="1:24" ht="15.75" collapsed="1" thickBot="1"/>
    <row r="47" spans="1:24" ht="18.75" thickBot="1">
      <c r="A47" s="95"/>
      <c r="B47" s="95"/>
      <c r="C47" s="499" t="s">
        <v>13</v>
      </c>
      <c r="D47" s="500"/>
      <c r="E47" s="500"/>
      <c r="F47" s="501"/>
    </row>
    <row r="48" spans="1:24" ht="15" hidden="1" customHeight="1" outlineLevel="1">
      <c r="C48" s="78" t="s">
        <v>44</v>
      </c>
      <c r="D48" s="67"/>
      <c r="E48" s="67">
        <f>'Resource Options'!$D$26*365</f>
        <v>36500</v>
      </c>
      <c r="F48" s="67">
        <f>E48</f>
        <v>36500</v>
      </c>
      <c r="G48" s="67">
        <f t="shared" ref="G48:X49" si="33">F48</f>
        <v>36500</v>
      </c>
      <c r="H48" s="67">
        <f t="shared" si="33"/>
        <v>36500</v>
      </c>
      <c r="I48" s="67">
        <f t="shared" si="33"/>
        <v>36500</v>
      </c>
      <c r="J48" s="67">
        <f t="shared" si="33"/>
        <v>36500</v>
      </c>
      <c r="K48" s="67">
        <f t="shared" si="33"/>
        <v>36500</v>
      </c>
      <c r="L48" s="67">
        <f t="shared" si="33"/>
        <v>36500</v>
      </c>
      <c r="M48" s="67">
        <f t="shared" si="33"/>
        <v>36500</v>
      </c>
      <c r="N48" s="67">
        <f t="shared" si="33"/>
        <v>36500</v>
      </c>
      <c r="O48" s="67">
        <f t="shared" si="33"/>
        <v>36500</v>
      </c>
      <c r="P48" s="67">
        <f t="shared" si="33"/>
        <v>36500</v>
      </c>
      <c r="Q48" s="67">
        <f t="shared" si="33"/>
        <v>36500</v>
      </c>
      <c r="R48" s="67">
        <f t="shared" si="33"/>
        <v>36500</v>
      </c>
      <c r="S48" s="67">
        <f t="shared" si="33"/>
        <v>36500</v>
      </c>
      <c r="T48" s="67">
        <f t="shared" si="33"/>
        <v>36500</v>
      </c>
      <c r="U48" s="67">
        <f t="shared" si="33"/>
        <v>36500</v>
      </c>
      <c r="V48" s="67">
        <f t="shared" si="33"/>
        <v>36500</v>
      </c>
      <c r="W48" s="67">
        <f t="shared" si="33"/>
        <v>36500</v>
      </c>
      <c r="X48" s="68">
        <f t="shared" si="33"/>
        <v>36500</v>
      </c>
    </row>
    <row r="49" spans="1:24" ht="15" hidden="1" customHeight="1" outlineLevel="1">
      <c r="C49" s="79" t="s">
        <v>115</v>
      </c>
      <c r="D49" s="69"/>
      <c r="E49" s="69">
        <f>E48*(1-INDEX('DATA (Nominal)'!$B$212:$BX$212,1,MATCH($B$1,'DATA (Nominal)'!$B$1:$BX$1,0)))</f>
        <v>5110.0000000000009</v>
      </c>
      <c r="F49" s="69">
        <f>E49</f>
        <v>5110.0000000000009</v>
      </c>
      <c r="G49" s="69">
        <f t="shared" si="33"/>
        <v>5110.0000000000009</v>
      </c>
      <c r="H49" s="69">
        <f t="shared" si="33"/>
        <v>5110.0000000000009</v>
      </c>
      <c r="I49" s="69">
        <f t="shared" si="33"/>
        <v>5110.0000000000009</v>
      </c>
      <c r="J49" s="69">
        <f t="shared" si="33"/>
        <v>5110.0000000000009</v>
      </c>
      <c r="K49" s="69">
        <f t="shared" si="33"/>
        <v>5110.0000000000009</v>
      </c>
      <c r="L49" s="69">
        <f t="shared" si="33"/>
        <v>5110.0000000000009</v>
      </c>
      <c r="M49" s="69">
        <f t="shared" si="33"/>
        <v>5110.0000000000009</v>
      </c>
      <c r="N49" s="69">
        <f t="shared" si="33"/>
        <v>5110.0000000000009</v>
      </c>
      <c r="O49" s="69">
        <f t="shared" si="33"/>
        <v>5110.0000000000009</v>
      </c>
      <c r="P49" s="69">
        <f t="shared" si="33"/>
        <v>5110.0000000000009</v>
      </c>
      <c r="Q49" s="69">
        <f t="shared" si="33"/>
        <v>5110.0000000000009</v>
      </c>
      <c r="R49" s="69">
        <f t="shared" si="33"/>
        <v>5110.0000000000009</v>
      </c>
      <c r="S49" s="69">
        <f t="shared" si="33"/>
        <v>5110.0000000000009</v>
      </c>
      <c r="T49" s="69">
        <f t="shared" si="33"/>
        <v>5110.0000000000009</v>
      </c>
      <c r="U49" s="69">
        <f t="shared" si="33"/>
        <v>5110.0000000000009</v>
      </c>
      <c r="V49" s="69">
        <f t="shared" si="33"/>
        <v>5110.0000000000009</v>
      </c>
      <c r="W49" s="69">
        <f t="shared" si="33"/>
        <v>5110.0000000000009</v>
      </c>
      <c r="X49" s="70">
        <f t="shared" si="33"/>
        <v>5110.0000000000009</v>
      </c>
    </row>
    <row r="50" spans="1:24" ht="15" hidden="1" customHeight="1" outlineLevel="1">
      <c r="C50" s="7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70"/>
    </row>
    <row r="51" spans="1:24" ht="15" hidden="1" customHeight="1" outlineLevel="1">
      <c r="C51" s="79" t="s">
        <v>47</v>
      </c>
      <c r="D51" s="71">
        <f>-PMT(Discount_Rate,20,NPV(Discount_Rate,E51:X51))</f>
        <v>781806.81047093391</v>
      </c>
      <c r="E51" s="73">
        <f>INDEX('DATA (Nominal)'!$B$164:$BX$164,1,MATCH(E$1,'DATA (Nominal)'!$B$1:$BX$1,0))*'Resource Options'!$E$26*1000</f>
        <v>818416.90144900791</v>
      </c>
      <c r="F51" s="73">
        <f>INDEX('DATA (Nominal)'!$B$164:$BX$164,1,MATCH(F$1,'DATA (Nominal)'!$B$1:$BX$1,0))*'Resource Options'!$E$26*1000</f>
        <v>801006.47175720311</v>
      </c>
      <c r="G51" s="73">
        <f>INDEX('DATA (Nominal)'!$B$164:$BX$164,1,MATCH(G$1,'DATA (Nominal)'!$B$1:$BX$1,0))*'Resource Options'!$E$26*1000</f>
        <v>786464.10673695104</v>
      </c>
      <c r="H51" s="73">
        <f>INDEX('DATA (Nominal)'!$B$164:$BX$164,1,MATCH(H$1,'DATA (Nominal)'!$B$1:$BX$1,0))*'Resource Options'!$E$26*1000</f>
        <v>766478.18897296581</v>
      </c>
      <c r="I51" s="73">
        <f>INDEX('DATA (Nominal)'!$B$164:$BX$164,1,MATCH(I$1,'DATA (Nominal)'!$B$1:$BX$1,0))*'Resource Options'!$E$26*1000</f>
        <v>753700.79040651908</v>
      </c>
      <c r="J51" s="73">
        <f>INDEX('DATA (Nominal)'!$B$164:$BX$164,1,MATCH(J$1,'DATA (Nominal)'!$B$1:$BX$1,0))*'Resource Options'!$E$26*1000</f>
        <v>739990.2108596859</v>
      </c>
      <c r="K51" s="73">
        <f>INDEX('DATA (Nominal)'!$B$164:$BX$164,1,MATCH(K$1,'DATA (Nominal)'!$B$1:$BX$1,0))*'Resource Options'!$E$26*1000</f>
        <v>747192.54423683987</v>
      </c>
      <c r="L51" s="73">
        <f>INDEX('DATA (Nominal)'!$B$164:$BX$164,1,MATCH(L$1,'DATA (Nominal)'!$B$1:$BX$1,0))*'Resource Options'!$E$26*1000</f>
        <v>753969.4310175546</v>
      </c>
      <c r="M51" s="73">
        <f>INDEX('DATA (Nominal)'!$B$164:$BX$164,1,MATCH(M$1,'DATA (Nominal)'!$B$1:$BX$1,0))*'Resource Options'!$E$26*1000</f>
        <v>760682.85962521262</v>
      </c>
      <c r="N51" s="73">
        <f>INDEX('DATA (Nominal)'!$B$164:$BX$164,1,MATCH(N$1,'DATA (Nominal)'!$B$1:$BX$1,0))*'Resource Options'!$E$26*1000</f>
        <v>767326.75788699486</v>
      </c>
      <c r="O51" s="73">
        <f>INDEX('DATA (Nominal)'!$B$164:$BX$164,1,MATCH(O$1,'DATA (Nominal)'!$B$1:$BX$1,0))*'Resource Options'!$E$26*1000</f>
        <v>773894.81716823438</v>
      </c>
      <c r="P51" s="73">
        <f>INDEX('DATA (Nominal)'!$B$164:$BX$164,1,MATCH(P$1,'DATA (Nominal)'!$B$1:$BX$1,0))*'Resource Options'!$E$26*1000</f>
        <v>780380.48490703281</v>
      </c>
      <c r="Q51" s="73">
        <f>INDEX('DATA (Nominal)'!$B$164:$BX$164,1,MATCH(Q$1,'DATA (Nominal)'!$B$1:$BX$1,0))*'Resource Options'!$E$26*1000</f>
        <v>786776.95693482715</v>
      </c>
      <c r="R51" s="73">
        <f>INDEX('DATA (Nominal)'!$B$164:$BX$164,1,MATCH(R$1,'DATA (Nominal)'!$B$1:$BX$1,0))*'Resource Options'!$E$26*1000</f>
        <v>793077.16957715247</v>
      </c>
      <c r="S51" s="73">
        <f>INDEX('DATA (Nominal)'!$B$164:$BX$164,1,MATCH(S$1,'DATA (Nominal)'!$B$1:$BX$1,0))*'Resource Options'!$E$26*1000</f>
        <v>799273.79152858362</v>
      </c>
      <c r="T51" s="73">
        <f>INDEX('DATA (Nominal)'!$B$164:$BX$164,1,MATCH(T$1,'DATA (Nominal)'!$B$1:$BX$1,0))*'Resource Options'!$E$26*1000</f>
        <v>805359.21549579932</v>
      </c>
      <c r="U51" s="73">
        <f>INDEX('DATA (Nominal)'!$B$164:$BX$164,1,MATCH(U$1,'DATA (Nominal)'!$B$1:$BX$1,0))*'Resource Options'!$E$26*1000</f>
        <v>811325.54960247467</v>
      </c>
      <c r="V51" s="73">
        <f>INDEX('DATA (Nominal)'!$B$164:$BX$164,1,MATCH(V$1,'DATA (Nominal)'!$B$1:$BX$1,0))*'Resource Options'!$E$26*1000</f>
        <v>817164.60854954179</v>
      </c>
      <c r="W51" s="73">
        <f>INDEX('DATA (Nominal)'!$B$164:$BX$164,1,MATCH(W$1,'DATA (Nominal)'!$B$1:$BX$1,0))*'Resource Options'!$E$26*1000</f>
        <v>822867.90452427533</v>
      </c>
      <c r="X51" s="74">
        <f>INDEX('DATA (Nominal)'!$B$164:$BX$164,1,MATCH(X$1,'DATA (Nominal)'!$B$1:$BX$1,0))*'Resource Options'!$E$26*1000</f>
        <v>828426.63785135921</v>
      </c>
    </row>
    <row r="52" spans="1:24" ht="15" hidden="1" customHeight="1" outlineLevel="1">
      <c r="C52" s="80" t="s">
        <v>92</v>
      </c>
      <c r="D52" s="71">
        <f>-PMT(Discount_Rate,20,NPV(Discount_Rate,E52:X52))</f>
        <v>2667381.7728518257</v>
      </c>
      <c r="E52" s="71">
        <f>INDEX('DATA (Nominal)'!$B$45:$BX$45,1,MATCH($B$1,'DATA (Nominal)'!$B$1:$BX$1,0))*Assumptions!AG$26*(1+AFUDC!$C$26)*1000000*'Resource Options'!$E$26/1000*(1-INDEX('DATA (Nominal)'!$B$226:$BX$226,1,MATCH($B$1,'DATA (Nominal)'!$B$1:$BX$1,0)))</f>
        <v>4252473.4516761824</v>
      </c>
      <c r="F52" s="73">
        <f>INDEX('DATA (Nominal)'!$B$45:$BX$45,1,MATCH($B$1,'DATA (Nominal)'!$B$1:$BX$1,0))*Assumptions!AH$26*(1+AFUDC!$C$26)*1000000*'Resource Options'!$E$26/1000*(1-INDEX('DATA (Nominal)'!$B$226:$BX$226,1,MATCH($B$1,'DATA (Nominal)'!$B$1:$BX$1,0)))</f>
        <v>4003155.5502704987</v>
      </c>
      <c r="G52" s="71">
        <f>INDEX('DATA (Nominal)'!$B$45:$BX$45,1,MATCH($B$1,'DATA (Nominal)'!$B$1:$BX$1,0))*Assumptions!AI$26*(1+AFUDC!$C$26)*1000000*'Resource Options'!$E$26/1000*(1-INDEX('DATA (Nominal)'!$B$226:$BX$226,1,MATCH($B$1,'DATA (Nominal)'!$B$1:$BX$1,0)))</f>
        <v>3755418.0562360217</v>
      </c>
      <c r="H52" s="71">
        <f>INDEX('DATA (Nominal)'!$B$45:$BX$45,1,MATCH($B$1,'DATA (Nominal)'!$B$1:$BX$1,0))*Assumptions!AJ$26*(1+AFUDC!$C$26)*1000000*'Resource Options'!$E$26/1000*(1-INDEX('DATA (Nominal)'!$B$226:$BX$226,1,MATCH($B$1,'DATA (Nominal)'!$B$1:$BX$1,0)))</f>
        <v>3548138.99090447</v>
      </c>
      <c r="I52" s="71">
        <f>INDEX('DATA (Nominal)'!$B$45:$BX$45,1,MATCH($B$1,'DATA (Nominal)'!$B$1:$BX$1,0))*Assumptions!AK$26*(1+AFUDC!$C$26)*1000000*'Resource Options'!$E$26/1000*(1-INDEX('DATA (Nominal)'!$B$226:$BX$226,1,MATCH($B$1,'DATA (Nominal)'!$B$1:$BX$1,0)))</f>
        <v>3356031.8363365144</v>
      </c>
      <c r="J52" s="71">
        <f>INDEX('DATA (Nominal)'!$B$45:$BX$45,1,MATCH($B$1,'DATA (Nominal)'!$B$1:$BX$1,0))*Assumptions!AL$26*(1+AFUDC!$C$26)*1000000*'Resource Options'!$E$26/1000*(1-INDEX('DATA (Nominal)'!$B$226:$BX$226,1,MATCH($B$1,'DATA (Nominal)'!$B$1:$BX$1,0)))</f>
        <v>3175303.6148412568</v>
      </c>
      <c r="K52" s="71">
        <f>INDEX('DATA (Nominal)'!$B$45:$BX$45,1,MATCH($B$1,'DATA (Nominal)'!$B$1:$BX$1,0))*Assumptions!AM$26*(1+AFUDC!$C$26)*1000000*'Resource Options'!$E$26/1000*(1-INDEX('DATA (Nominal)'!$B$226:$BX$226,1,MATCH($B$1,'DATA (Nominal)'!$B$1:$BX$1,0)))</f>
        <v>3017333.2594913919</v>
      </c>
      <c r="L52" s="71">
        <f>INDEX('DATA (Nominal)'!$B$45:$BX$45,1,MATCH($B$1,'DATA (Nominal)'!$B$1:$BX$1,0))*Assumptions!AN$26*(1+AFUDC!$C$26)*1000000*'Resource Options'!$E$26/1000*(1-INDEX('DATA (Nominal)'!$B$226:$BX$226,1,MATCH($B$1,'DATA (Nominal)'!$B$1:$BX$1,0)))</f>
        <v>2870741.837214225</v>
      </c>
      <c r="M52" s="71">
        <f>INDEX('DATA (Nominal)'!$B$45:$BX$45,1,MATCH($B$1,'DATA (Nominal)'!$B$1:$BX$1,0))*Assumptions!AO$26*(1+AFUDC!$C$26)*1000000*'Resource Options'!$E$26/1000*(1-INDEX('DATA (Nominal)'!$B$226:$BX$226,1,MATCH($B$1,'DATA (Nominal)'!$B$1:$BX$1,0)))</f>
        <v>2724150.414937058</v>
      </c>
      <c r="N52" s="71">
        <f>INDEX('DATA (Nominal)'!$B$45:$BX$45,1,MATCH($B$1,'DATA (Nominal)'!$B$1:$BX$1,0))*Assumptions!AP$26*(1+AFUDC!$C$26)*1000000*'Resource Options'!$E$26/1000*(1-INDEX('DATA (Nominal)'!$B$226:$BX$226,1,MATCH($B$1,'DATA (Nominal)'!$B$1:$BX$1,0)))</f>
        <v>2577558.992659892</v>
      </c>
      <c r="O52" s="71">
        <f>INDEX('DATA (Nominal)'!$B$45:$BX$45,1,MATCH($B$1,'DATA (Nominal)'!$B$1:$BX$1,0))*Assumptions!AQ$26*(1+AFUDC!$C$26)*1000000*'Resource Options'!$E$26/1000*(1-INDEX('DATA (Nominal)'!$B$226:$BX$226,1,MATCH($B$1,'DATA (Nominal)'!$B$1:$BX$1,0)))</f>
        <v>2430967.5703827245</v>
      </c>
      <c r="P52" s="71">
        <f>INDEX('DATA (Nominal)'!$B$45:$BX$45,1,MATCH($B$1,'DATA (Nominal)'!$B$1:$BX$1,0))*Assumptions!AR$26*(1+AFUDC!$C$26)*1000000*'Resource Options'!$E$26/1000*(1-INDEX('DATA (Nominal)'!$B$226:$BX$226,1,MATCH($B$1,'DATA (Nominal)'!$B$1:$BX$1,0)))</f>
        <v>2284376.148105558</v>
      </c>
      <c r="Q52" s="71">
        <f>INDEX('DATA (Nominal)'!$B$45:$BX$45,1,MATCH($B$1,'DATA (Nominal)'!$B$1:$BX$1,0))*Assumptions!AS$26*(1+AFUDC!$C$26)*1000000*'Resource Options'!$E$26/1000*(1-INDEX('DATA (Nominal)'!$B$226:$BX$226,1,MATCH($B$1,'DATA (Nominal)'!$B$1:$BX$1,0)))</f>
        <v>2137784.725828392</v>
      </c>
      <c r="R52" s="71">
        <f>INDEX('DATA (Nominal)'!$B$45:$BX$45,1,MATCH($B$1,'DATA (Nominal)'!$B$1:$BX$1,0))*Assumptions!AT$26*(1+AFUDC!$C$26)*1000000*'Resource Options'!$E$26/1000*(1-INDEX('DATA (Nominal)'!$B$226:$BX$226,1,MATCH($B$1,'DATA (Nominal)'!$B$1:$BX$1,0)))</f>
        <v>1991193.303551225</v>
      </c>
      <c r="S52" s="71">
        <f>INDEX('DATA (Nominal)'!$B$45:$BX$45,1,MATCH($B$1,'DATA (Nominal)'!$B$1:$BX$1,0))*Assumptions!AU$26*(1+AFUDC!$C$26)*1000000*'Resource Options'!$E$26/1000*(1-INDEX('DATA (Nominal)'!$B$226:$BX$226,1,MATCH($B$1,'DATA (Nominal)'!$B$1:$BX$1,0)))</f>
        <v>1844601.881274058</v>
      </c>
      <c r="T52" s="71">
        <f>INDEX('DATA (Nominal)'!$B$45:$BX$45,1,MATCH($B$1,'DATA (Nominal)'!$B$1:$BX$1,0))*Assumptions!AV$26*(1+AFUDC!$C$26)*1000000*'Resource Options'!$E$26/1000*(1-INDEX('DATA (Nominal)'!$B$226:$BX$226,1,MATCH($B$1,'DATA (Nominal)'!$B$1:$BX$1,0)))</f>
        <v>0</v>
      </c>
      <c r="U52" s="71">
        <f>INDEX('DATA (Nominal)'!$B$45:$BX$45,1,MATCH($B$1,'DATA (Nominal)'!$B$1:$BX$1,0))*Assumptions!AW$26*(1+AFUDC!$C$26)*1000000*'Resource Options'!$E$26/1000*(1-INDEX('DATA (Nominal)'!$B$226:$BX$226,1,MATCH($B$1,'DATA (Nominal)'!$B$1:$BX$1,0)))</f>
        <v>0</v>
      </c>
      <c r="V52" s="71">
        <f>INDEX('DATA (Nominal)'!$B$45:$BX$45,1,MATCH($B$1,'DATA (Nominal)'!$B$1:$BX$1,0))*Assumptions!AX$26*(1+AFUDC!$C$26)*1000000*'Resource Options'!$E$26/1000*(1-INDEX('DATA (Nominal)'!$B$226:$BX$226,1,MATCH($B$1,'DATA (Nominal)'!$B$1:$BX$1,0)))</f>
        <v>0</v>
      </c>
      <c r="W52" s="71">
        <f>INDEX('DATA (Nominal)'!$B$45:$BX$45,1,MATCH($B$1,'DATA (Nominal)'!$B$1:$BX$1,0))*Assumptions!AY$26*(1+AFUDC!$C$26)*1000000*'Resource Options'!$E$26/1000*(1-INDEX('DATA (Nominal)'!$B$226:$BX$226,1,MATCH($B$1,'DATA (Nominal)'!$B$1:$BX$1,0)))</f>
        <v>0</v>
      </c>
      <c r="X52" s="72">
        <f>INDEX('DATA (Nominal)'!$B$45:$BX$45,1,MATCH($B$1,'DATA (Nominal)'!$B$1:$BX$1,0))*Assumptions!AZ$26*(1+AFUDC!$C$26)*1000000*'Resource Options'!$E$26/1000*(1-INDEX('DATA (Nominal)'!$B$226:$BX$226,1,MATCH($B$1,'DATA (Nominal)'!$B$1:$BX$1,0)))</f>
        <v>0</v>
      </c>
    </row>
    <row r="53" spans="1:24" ht="15" hidden="1" customHeight="1" outlineLevel="1">
      <c r="C53" s="79" t="s">
        <v>93</v>
      </c>
      <c r="D53" s="71">
        <f>-PMT(Discount_Rate,20,NPV(Discount_Rate,E53:X53))</f>
        <v>22792.795752469607</v>
      </c>
      <c r="E53" s="71">
        <f t="shared" ref="E53:X53" si="34">E51*Misc_Fees</f>
        <v>23860.126344844375</v>
      </c>
      <c r="F53" s="71">
        <f t="shared" si="34"/>
        <v>23352.542677609497</v>
      </c>
      <c r="G53" s="71">
        <f t="shared" si="34"/>
        <v>22928.574567809072</v>
      </c>
      <c r="H53" s="71">
        <f t="shared" si="34"/>
        <v>22345.905121317846</v>
      </c>
      <c r="I53" s="71">
        <f t="shared" si="34"/>
        <v>21973.392843511658</v>
      </c>
      <c r="J53" s="71">
        <f t="shared" si="34"/>
        <v>21573.674607403282</v>
      </c>
      <c r="K53" s="71">
        <f t="shared" si="34"/>
        <v>21783.651434680829</v>
      </c>
      <c r="L53" s="71">
        <f t="shared" si="34"/>
        <v>21981.224791885787</v>
      </c>
      <c r="M53" s="71">
        <f t="shared" si="34"/>
        <v>22176.948089513447</v>
      </c>
      <c r="N53" s="71">
        <f t="shared" si="34"/>
        <v>22370.644299437448</v>
      </c>
      <c r="O53" s="71">
        <f t="shared" si="34"/>
        <v>22562.129499722705</v>
      </c>
      <c r="P53" s="71">
        <f t="shared" si="34"/>
        <v>22751.212656979635</v>
      </c>
      <c r="Q53" s="71">
        <f t="shared" si="34"/>
        <v>22937.695402477952</v>
      </c>
      <c r="R53" s="71">
        <f t="shared" si="34"/>
        <v>23121.371801852303</v>
      </c>
      <c r="S53" s="71">
        <f t="shared" si="34"/>
        <v>23302.028118224327</v>
      </c>
      <c r="T53" s="71">
        <f t="shared" si="34"/>
        <v>23479.442568564533</v>
      </c>
      <c r="U53" s="71">
        <f t="shared" si="34"/>
        <v>23653.385073110545</v>
      </c>
      <c r="V53" s="71">
        <f t="shared" si="34"/>
        <v>23823.616997653342</v>
      </c>
      <c r="W53" s="71">
        <f t="shared" si="34"/>
        <v>23989.890888500722</v>
      </c>
      <c r="X53" s="72">
        <f t="shared" si="34"/>
        <v>24151.950199918527</v>
      </c>
    </row>
    <row r="54" spans="1:24" ht="15" hidden="1" customHeight="1" outlineLevel="1">
      <c r="C54" s="79" t="s">
        <v>94</v>
      </c>
      <c r="D54" s="71">
        <f>-PMT(Discount_Rate,20,NPV(Discount_Rate,E54:X54))</f>
        <v>3471981.3790752292</v>
      </c>
      <c r="E54" s="71">
        <f t="shared" ref="E54:X54" si="35">SUM(E51:E53)</f>
        <v>5094750.4794700351</v>
      </c>
      <c r="F54" s="71">
        <f t="shared" si="35"/>
        <v>4827514.5647053113</v>
      </c>
      <c r="G54" s="71">
        <f t="shared" si="35"/>
        <v>4564810.7375407815</v>
      </c>
      <c r="H54" s="71">
        <f t="shared" si="35"/>
        <v>4336963.0849987539</v>
      </c>
      <c r="I54" s="71">
        <f t="shared" si="35"/>
        <v>4131706.0195865454</v>
      </c>
      <c r="J54" s="71">
        <f t="shared" si="35"/>
        <v>3936867.5003083455</v>
      </c>
      <c r="K54" s="71">
        <f t="shared" si="35"/>
        <v>3786309.4551629126</v>
      </c>
      <c r="L54" s="71">
        <f t="shared" si="35"/>
        <v>3646692.4930236652</v>
      </c>
      <c r="M54" s="71">
        <f t="shared" si="35"/>
        <v>3507010.2226517838</v>
      </c>
      <c r="N54" s="71">
        <f t="shared" si="35"/>
        <v>3367256.3948463239</v>
      </c>
      <c r="O54" s="71">
        <f t="shared" si="35"/>
        <v>3227424.5170506816</v>
      </c>
      <c r="P54" s="71">
        <f t="shared" si="35"/>
        <v>3087507.8456695704</v>
      </c>
      <c r="Q54" s="71">
        <f t="shared" si="35"/>
        <v>2947499.3781656967</v>
      </c>
      <c r="R54" s="71">
        <f t="shared" si="35"/>
        <v>2807391.8449302297</v>
      </c>
      <c r="S54" s="71">
        <f t="shared" si="35"/>
        <v>2667177.7009208659</v>
      </c>
      <c r="T54" s="71">
        <f t="shared" si="35"/>
        <v>828838.65806436387</v>
      </c>
      <c r="U54" s="71">
        <f t="shared" si="35"/>
        <v>834978.93467558525</v>
      </c>
      <c r="V54" s="71">
        <f t="shared" si="35"/>
        <v>840988.22554719518</v>
      </c>
      <c r="W54" s="71">
        <f t="shared" si="35"/>
        <v>846857.79541277606</v>
      </c>
      <c r="X54" s="72">
        <f t="shared" si="35"/>
        <v>852578.58805127768</v>
      </c>
    </row>
    <row r="55" spans="1:24" ht="15" hidden="1" customHeight="1" outlineLevel="1">
      <c r="C55" s="79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2"/>
    </row>
    <row r="56" spans="1:24" ht="15" hidden="1" customHeight="1" outlineLevel="1">
      <c r="C56" s="79" t="s">
        <v>116</v>
      </c>
      <c r="D56" s="71">
        <f>-PMT(Discount_Rate,20,NPV(Discount_Rate,E56:X56))</f>
        <v>0</v>
      </c>
      <c r="E56" s="71">
        <f>E48*INDEX('DATA (Nominal)'!$B$93:$BX$93,1,MATCH(E$1,'DATA (Nominal)'!$B$1:$BX$1,0))</f>
        <v>0</v>
      </c>
      <c r="F56" s="71">
        <f>F48*INDEX('DATA (Nominal)'!$B$93:$BX$93,1,MATCH(F$1,'DATA (Nominal)'!$B$1:$BX$1,0))</f>
        <v>0</v>
      </c>
      <c r="G56" s="71">
        <f>G48*INDEX('DATA (Nominal)'!$B$93:$BX$93,1,MATCH(G$1,'DATA (Nominal)'!$B$1:$BX$1,0))</f>
        <v>0</v>
      </c>
      <c r="H56" s="71">
        <f>H48*INDEX('DATA (Nominal)'!$B$93:$BX$93,1,MATCH(H$1,'DATA (Nominal)'!$B$1:$BX$1,0))</f>
        <v>0</v>
      </c>
      <c r="I56" s="71">
        <f>I48*INDEX('DATA (Nominal)'!$B$93:$BX$93,1,MATCH(I$1,'DATA (Nominal)'!$B$1:$BX$1,0))</f>
        <v>0</v>
      </c>
      <c r="J56" s="71">
        <f>J48*INDEX('DATA (Nominal)'!$B$93:$BX$93,1,MATCH(J$1,'DATA (Nominal)'!$B$1:$BX$1,0))</f>
        <v>0</v>
      </c>
      <c r="K56" s="71">
        <f>K48*INDEX('DATA (Nominal)'!$B$93:$BX$93,1,MATCH(K$1,'DATA (Nominal)'!$B$1:$BX$1,0))</f>
        <v>0</v>
      </c>
      <c r="L56" s="71">
        <f>L48*INDEX('DATA (Nominal)'!$B$93:$BX$93,1,MATCH(L$1,'DATA (Nominal)'!$B$1:$BX$1,0))</f>
        <v>0</v>
      </c>
      <c r="M56" s="71">
        <f>M48*INDEX('DATA (Nominal)'!$B$93:$BX$93,1,MATCH(M$1,'DATA (Nominal)'!$B$1:$BX$1,0))</f>
        <v>0</v>
      </c>
      <c r="N56" s="71">
        <f>N48*INDEX('DATA (Nominal)'!$B$93:$BX$93,1,MATCH(N$1,'DATA (Nominal)'!$B$1:$BX$1,0))</f>
        <v>0</v>
      </c>
      <c r="O56" s="71">
        <f>O48*INDEX('DATA (Nominal)'!$B$93:$BX$93,1,MATCH(O$1,'DATA (Nominal)'!$B$1:$BX$1,0))</f>
        <v>0</v>
      </c>
      <c r="P56" s="71">
        <f>P48*INDEX('DATA (Nominal)'!$B$93:$BX$93,1,MATCH(P$1,'DATA (Nominal)'!$B$1:$BX$1,0))</f>
        <v>0</v>
      </c>
      <c r="Q56" s="71">
        <f>Q48*INDEX('DATA (Nominal)'!$B$93:$BX$93,1,MATCH(Q$1,'DATA (Nominal)'!$B$1:$BX$1,0))</f>
        <v>0</v>
      </c>
      <c r="R56" s="71">
        <f>R48*INDEX('DATA (Nominal)'!$B$93:$BX$93,1,MATCH(R$1,'DATA (Nominal)'!$B$1:$BX$1,0))</f>
        <v>0</v>
      </c>
      <c r="S56" s="71">
        <f>S48*INDEX('DATA (Nominal)'!$B$93:$BX$93,1,MATCH(S$1,'DATA (Nominal)'!$B$1:$BX$1,0))</f>
        <v>0</v>
      </c>
      <c r="T56" s="71">
        <f>T48*INDEX('DATA (Nominal)'!$B$93:$BX$93,1,MATCH(T$1,'DATA (Nominal)'!$B$1:$BX$1,0))</f>
        <v>0</v>
      </c>
      <c r="U56" s="71">
        <f>U48*INDEX('DATA (Nominal)'!$B$93:$BX$93,1,MATCH(U$1,'DATA (Nominal)'!$B$1:$BX$1,0))</f>
        <v>0</v>
      </c>
      <c r="V56" s="71">
        <f>V48*INDEX('DATA (Nominal)'!$B$93:$BX$93,1,MATCH(V$1,'DATA (Nominal)'!$B$1:$BX$1,0))</f>
        <v>0</v>
      </c>
      <c r="W56" s="71">
        <f>W48*INDEX('DATA (Nominal)'!$B$93:$BX$93,1,MATCH(W$1,'DATA (Nominal)'!$B$1:$BX$1,0))</f>
        <v>0</v>
      </c>
      <c r="X56" s="72">
        <f>X48*INDEX('DATA (Nominal)'!$B$93:$BX$93,1,MATCH(X$1,'DATA (Nominal)'!$B$1:$BX$1,0))</f>
        <v>0</v>
      </c>
    </row>
    <row r="57" spans="1:24" ht="15" hidden="1" customHeight="1" outlineLevel="1">
      <c r="C57" s="79" t="s">
        <v>117</v>
      </c>
      <c r="D57" s="71">
        <f>-PMT(Discount_Rate,20,NPV(Discount_Rate,E57:X57))</f>
        <v>1432024.7181785046</v>
      </c>
      <c r="E57" s="71">
        <f>(E48+E49)*INDEX('DATA (Nominal)'!$B$150:$BX$150,1,MATCH(E$1,'DATA (Nominal)'!$B$1:$BX$1,0))</f>
        <v>1487042.9765659333</v>
      </c>
      <c r="F57" s="71">
        <f>(F48+F49)*INDEX('DATA (Nominal)'!$B$150:$BX$150,1,MATCH(F$1,'DATA (Nominal)'!$B$1:$BX$1,0))</f>
        <v>1385565.3837795258</v>
      </c>
      <c r="G57" s="71">
        <f>(G48+G49)*INDEX('DATA (Nominal)'!$B$150:$BX$150,1,MATCH(G$1,'DATA (Nominal)'!$B$1:$BX$1,0))</f>
        <v>1245886.3081493378</v>
      </c>
      <c r="H57" s="71">
        <f>(H48+H49)*INDEX('DATA (Nominal)'!$B$150:$BX$150,1,MATCH(H$1,'DATA (Nominal)'!$B$1:$BX$1,0))</f>
        <v>1243052.2344367027</v>
      </c>
      <c r="I57" s="71">
        <f>(I48+I49)*INDEX('DATA (Nominal)'!$B$150:$BX$150,1,MATCH(I$1,'DATA (Nominal)'!$B$1:$BX$1,0))</f>
        <v>1247011.2811065675</v>
      </c>
      <c r="J57" s="71">
        <f>(J48+J49)*INDEX('DATA (Nominal)'!$B$150:$BX$150,1,MATCH(J$1,'DATA (Nominal)'!$B$1:$BX$1,0))</f>
        <v>1430839.9287950515</v>
      </c>
      <c r="K57" s="71">
        <f>(K48+K49)*INDEX('DATA (Nominal)'!$B$150:$BX$150,1,MATCH(K$1,'DATA (Nominal)'!$B$1:$BX$1,0))</f>
        <v>1345681.8593363762</v>
      </c>
      <c r="L57" s="71">
        <f>(L48+L49)*INDEX('DATA (Nominal)'!$B$150:$BX$150,1,MATCH(L$1,'DATA (Nominal)'!$B$1:$BX$1,0))</f>
        <v>1308495.1892880441</v>
      </c>
      <c r="M57" s="71">
        <f>(M48+M49)*INDEX('DATA (Nominal)'!$B$150:$BX$150,1,MATCH(M$1,'DATA (Nominal)'!$B$1:$BX$1,0))</f>
        <v>1350898.5711821557</v>
      </c>
      <c r="N57" s="71">
        <f>(N48+N49)*INDEX('DATA (Nominal)'!$B$150:$BX$150,1,MATCH(N$1,'DATA (Nominal)'!$B$1:$BX$1,0))</f>
        <v>1372971.3189915658</v>
      </c>
      <c r="O57" s="71">
        <f>(O48+O49)*INDEX('DATA (Nominal)'!$B$150:$BX$150,1,MATCH(O$1,'DATA (Nominal)'!$B$1:$BX$1,0))</f>
        <v>1427889.225368595</v>
      </c>
      <c r="P57" s="71">
        <f>(P48+P49)*INDEX('DATA (Nominal)'!$B$150:$BX$150,1,MATCH(P$1,'DATA (Nominal)'!$B$1:$BX$1,0))</f>
        <v>1452301.7559190749</v>
      </c>
      <c r="Q57" s="71">
        <f>(Q48+Q49)*INDEX('DATA (Nominal)'!$B$150:$BX$150,1,MATCH(Q$1,'DATA (Nominal)'!$B$1:$BX$1,0))</f>
        <v>1522496.0907934187</v>
      </c>
      <c r="R57" s="71">
        <f>(R48+R49)*INDEX('DATA (Nominal)'!$B$150:$BX$150,1,MATCH(R$1,'DATA (Nominal)'!$B$1:$BX$1,0))</f>
        <v>1511328.9568055153</v>
      </c>
      <c r="S57" s="71">
        <f>(S48+S49)*INDEX('DATA (Nominal)'!$B$150:$BX$150,1,MATCH(S$1,'DATA (Nominal)'!$B$1:$BX$1,0))</f>
        <v>1557688.7279722213</v>
      </c>
      <c r="T57" s="71">
        <f>(T48+T49)*INDEX('DATA (Nominal)'!$B$150:$BX$150,1,MATCH(T$1,'DATA (Nominal)'!$B$1:$BX$1,0))</f>
        <v>1647391.4405441284</v>
      </c>
      <c r="U57" s="71">
        <f>(U48+U49)*INDEX('DATA (Nominal)'!$B$150:$BX$150,1,MATCH(U$1,'DATA (Nominal)'!$B$1:$BX$1,0))</f>
        <v>1655978.1263069154</v>
      </c>
      <c r="V57" s="71">
        <f>(V48+V49)*INDEX('DATA (Nominal)'!$B$150:$BX$150,1,MATCH(V$1,'DATA (Nominal)'!$B$1:$BX$1,0))</f>
        <v>1723501.6483537673</v>
      </c>
      <c r="W57" s="71">
        <f>(W48+W49)*INDEX('DATA (Nominal)'!$B$150:$BX$150,1,MATCH(W$1,'DATA (Nominal)'!$B$1:$BX$1,0))</f>
        <v>1763148.5362657548</v>
      </c>
      <c r="X57" s="72">
        <f>(X48+X49)*INDEX('DATA (Nominal)'!$B$150:$BX$150,1,MATCH(X$1,'DATA (Nominal)'!$B$1:$BX$1,0))</f>
        <v>1982338.0178459168</v>
      </c>
    </row>
    <row r="58" spans="1:24" ht="15" hidden="1" customHeight="1" outlineLevel="1">
      <c r="C58" s="79" t="s">
        <v>93</v>
      </c>
      <c r="D58" s="71">
        <f>-PMT(Discount_Rate,20,NPV(Discount_Rate,E58:X58))</f>
        <v>41749.248633776115</v>
      </c>
      <c r="E58" s="73">
        <f t="shared" ref="E58:X58" si="36">SUM(E56:E57)*Misc_Fees</f>
        <v>43353.250938803219</v>
      </c>
      <c r="F58" s="73">
        <f t="shared" si="36"/>
        <v>40394.773198708295</v>
      </c>
      <c r="G58" s="73">
        <f t="shared" si="36"/>
        <v>36322.569427785791</v>
      </c>
      <c r="H58" s="73">
        <f t="shared" si="36"/>
        <v>36239.944842767633</v>
      </c>
      <c r="I58" s="73">
        <f t="shared" si="36"/>
        <v>36355.366889380864</v>
      </c>
      <c r="J58" s="73">
        <f t="shared" si="36"/>
        <v>41714.707284090931</v>
      </c>
      <c r="K58" s="73">
        <f t="shared" si="36"/>
        <v>39232.008927092713</v>
      </c>
      <c r="L58" s="73">
        <f t="shared" si="36"/>
        <v>38147.868748503635</v>
      </c>
      <c r="M58" s="73">
        <f t="shared" si="36"/>
        <v>39384.096944244571</v>
      </c>
      <c r="N58" s="73">
        <f t="shared" si="36"/>
        <v>40027.605833880109</v>
      </c>
      <c r="O58" s="73">
        <f t="shared" si="36"/>
        <v>41628.682476396018</v>
      </c>
      <c r="P58" s="73">
        <f t="shared" si="36"/>
        <v>42340.405392064706</v>
      </c>
      <c r="Q58" s="73">
        <f t="shared" si="36"/>
        <v>44386.851030991325</v>
      </c>
      <c r="R58" s="73">
        <f t="shared" si="36"/>
        <v>44061.284406707993</v>
      </c>
      <c r="S58" s="73">
        <f t="shared" si="36"/>
        <v>45412.857175302139</v>
      </c>
      <c r="T58" s="73">
        <f t="shared" si="36"/>
        <v>48028.050057623521</v>
      </c>
      <c r="U58" s="73">
        <f t="shared" si="36"/>
        <v>48278.386294351811</v>
      </c>
      <c r="V58" s="73">
        <f t="shared" si="36"/>
        <v>50246.967056105736</v>
      </c>
      <c r="W58" s="73">
        <f t="shared" si="36"/>
        <v>51402.832426291818</v>
      </c>
      <c r="X58" s="74">
        <f t="shared" si="36"/>
        <v>57793.082572279855</v>
      </c>
    </row>
    <row r="59" spans="1:24" ht="15" hidden="1" customHeight="1" outlineLevel="1">
      <c r="C59" s="79" t="s">
        <v>99</v>
      </c>
      <c r="D59" s="71">
        <f>-PMT(Discount_Rate,20,NPV(Discount_Rate,E59:X59))</f>
        <v>1473773.9668122807</v>
      </c>
      <c r="E59" s="71">
        <f>SUM(E56:E58)</f>
        <v>1530396.2275047365</v>
      </c>
      <c r="F59" s="71">
        <f t="shared" ref="F59" si="37">SUM(F56:F58)</f>
        <v>1425960.156978234</v>
      </c>
      <c r="G59" s="71">
        <f t="shared" ref="G59" si="38">SUM(G56:G58)</f>
        <v>1282208.8775771235</v>
      </c>
      <c r="H59" s="71">
        <f t="shared" ref="H59" si="39">SUM(H56:H58)</f>
        <v>1279292.1792794704</v>
      </c>
      <c r="I59" s="71">
        <f t="shared" ref="I59" si="40">SUM(I56:I58)</f>
        <v>1283366.6479959483</v>
      </c>
      <c r="J59" s="71">
        <f t="shared" ref="J59" si="41">SUM(J56:J58)</f>
        <v>1472554.6360791426</v>
      </c>
      <c r="K59" s="71">
        <f t="shared" ref="K59" si="42">SUM(K56:K58)</f>
        <v>1384913.8682634688</v>
      </c>
      <c r="L59" s="71">
        <f t="shared" ref="L59" si="43">SUM(L56:L58)</f>
        <v>1346643.0580365479</v>
      </c>
      <c r="M59" s="71">
        <f t="shared" ref="M59" si="44">SUM(M56:M58)</f>
        <v>1390282.6681264003</v>
      </c>
      <c r="N59" s="71">
        <f t="shared" ref="N59" si="45">SUM(N56:N58)</f>
        <v>1412998.924825446</v>
      </c>
      <c r="O59" s="71">
        <f t="shared" ref="O59" si="46">SUM(O56:O58)</f>
        <v>1469517.907844991</v>
      </c>
      <c r="P59" s="71">
        <f t="shared" ref="P59" si="47">SUM(P56:P58)</f>
        <v>1494642.1613111396</v>
      </c>
      <c r="Q59" s="71">
        <f t="shared" ref="Q59" si="48">SUM(Q56:Q58)</f>
        <v>1566882.9418244101</v>
      </c>
      <c r="R59" s="71">
        <f t="shared" ref="R59" si="49">SUM(R56:R58)</f>
        <v>1555390.2412122234</v>
      </c>
      <c r="S59" s="71">
        <f t="shared" ref="S59" si="50">SUM(S56:S58)</f>
        <v>1603101.5851475236</v>
      </c>
      <c r="T59" s="71">
        <f t="shared" ref="T59" si="51">SUM(T56:T58)</f>
        <v>1695419.490601752</v>
      </c>
      <c r="U59" s="71">
        <f t="shared" ref="U59" si="52">SUM(U56:U58)</f>
        <v>1704256.5126012673</v>
      </c>
      <c r="V59" s="71">
        <f t="shared" ref="V59" si="53">SUM(V56:V58)</f>
        <v>1773748.6154098732</v>
      </c>
      <c r="W59" s="71">
        <f t="shared" ref="W59" si="54">SUM(W56:W58)</f>
        <v>1814551.3686920467</v>
      </c>
      <c r="X59" s="72">
        <f t="shared" ref="X59" si="55">SUM(X56:X58)</f>
        <v>2040131.1004181968</v>
      </c>
    </row>
    <row r="60" spans="1:24" ht="15" hidden="1" customHeight="1" outlineLevel="1">
      <c r="C60" s="79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2"/>
    </row>
    <row r="61" spans="1:24" ht="15.75" hidden="1" customHeight="1" outlineLevel="1" thickBot="1">
      <c r="C61" s="81" t="s">
        <v>100</v>
      </c>
      <c r="D61" s="71">
        <f>-PMT(Discount_Rate,20,NPV(Discount_Rate,E61:X61))</f>
        <v>4945755.3458875101</v>
      </c>
      <c r="E61" s="75">
        <f>E54+E59</f>
        <v>6625146.7069747718</v>
      </c>
      <c r="F61" s="75">
        <f t="shared" ref="F61:H61" si="56">F54+F59</f>
        <v>6253474.721683545</v>
      </c>
      <c r="G61" s="75">
        <f t="shared" si="56"/>
        <v>5847019.6151179047</v>
      </c>
      <c r="H61" s="75">
        <f t="shared" si="56"/>
        <v>5616255.2642782237</v>
      </c>
      <c r="I61" s="75">
        <f>I54+I59</f>
        <v>5415072.6675824933</v>
      </c>
      <c r="J61" s="75">
        <f t="shared" ref="J61:X61" si="57">J54+J59</f>
        <v>5409422.1363874879</v>
      </c>
      <c r="K61" s="75">
        <f t="shared" si="57"/>
        <v>5171223.3234263817</v>
      </c>
      <c r="L61" s="75">
        <f t="shared" si="57"/>
        <v>4993335.5510602128</v>
      </c>
      <c r="M61" s="75">
        <f t="shared" si="57"/>
        <v>4897292.8907781839</v>
      </c>
      <c r="N61" s="75">
        <f t="shared" si="57"/>
        <v>4780255.3196717696</v>
      </c>
      <c r="O61" s="75">
        <f t="shared" si="57"/>
        <v>4696942.4248956721</v>
      </c>
      <c r="P61" s="75">
        <f t="shared" si="57"/>
        <v>4582150.0069807097</v>
      </c>
      <c r="Q61" s="75">
        <f t="shared" si="57"/>
        <v>4514382.3199901069</v>
      </c>
      <c r="R61" s="75">
        <f t="shared" si="57"/>
        <v>4362782.0861424534</v>
      </c>
      <c r="S61" s="75">
        <f t="shared" si="57"/>
        <v>4270279.2860683892</v>
      </c>
      <c r="T61" s="75">
        <f t="shared" si="57"/>
        <v>2524258.1486661159</v>
      </c>
      <c r="U61" s="75">
        <f t="shared" si="57"/>
        <v>2539235.4472768526</v>
      </c>
      <c r="V61" s="75">
        <f t="shared" si="57"/>
        <v>2614736.8409570684</v>
      </c>
      <c r="W61" s="75">
        <f t="shared" si="57"/>
        <v>2661409.164104823</v>
      </c>
      <c r="X61" s="76">
        <f t="shared" si="57"/>
        <v>2892709.6884694742</v>
      </c>
    </row>
    <row r="62" spans="1:24" ht="15" hidden="1" customHeight="1" outlineLevel="1">
      <c r="A62" s="95"/>
      <c r="C62" s="35" t="s">
        <v>118</v>
      </c>
      <c r="D62" s="77">
        <f>D54/'Resource Options'!$E$26/1000</f>
        <v>138.87925516300916</v>
      </c>
      <c r="E62" s="24"/>
      <c r="F62" s="24"/>
      <c r="G62" s="24"/>
      <c r="H62" s="24"/>
      <c r="I62" s="24"/>
      <c r="J62" s="24"/>
      <c r="K62" s="24"/>
      <c r="L62" s="24"/>
      <c r="M62" s="24"/>
      <c r="N62" s="24"/>
    </row>
    <row r="63" spans="1:24" ht="15" hidden="1" customHeight="1" outlineLevel="1">
      <c r="C63" s="32" t="s">
        <v>119</v>
      </c>
      <c r="D63" s="44">
        <f>D54/'Resource Options'!$D$26/1000</f>
        <v>34.719813790752291</v>
      </c>
      <c r="E63" s="24"/>
    </row>
    <row r="64" spans="1:24" ht="15" hidden="1" customHeight="1" outlineLevel="1">
      <c r="C64" s="32" t="s">
        <v>120</v>
      </c>
      <c r="D64" s="5">
        <f>D59/E48</f>
        <v>40.377368953761113</v>
      </c>
    </row>
    <row r="65" spans="1:24" ht="15.75" hidden="1" customHeight="1" outlineLevel="1" thickBot="1">
      <c r="C65" s="34" t="s">
        <v>121</v>
      </c>
      <c r="D65" s="20">
        <f>D61/(E48-E49)</f>
        <v>157.5583098403157</v>
      </c>
      <c r="E65" s="24"/>
    </row>
    <row r="66" spans="1:24" ht="15" hidden="1" customHeight="1" outlineLevel="1"/>
    <row r="67" spans="1:24" ht="15.75" collapsed="1" thickBot="1"/>
    <row r="68" spans="1:24" ht="18.75" thickBot="1">
      <c r="A68" s="95"/>
      <c r="B68" s="95"/>
      <c r="C68" s="499" t="s">
        <v>14</v>
      </c>
      <c r="D68" s="500"/>
      <c r="E68" s="500"/>
      <c r="F68" s="501"/>
    </row>
    <row r="69" spans="1:24" ht="15" hidden="1" customHeight="1" outlineLevel="1">
      <c r="C69" s="78" t="s">
        <v>44</v>
      </c>
      <c r="D69" s="67"/>
      <c r="E69" s="67">
        <f>'Resource Options'!$D$27*365</f>
        <v>73000</v>
      </c>
      <c r="F69" s="67">
        <f>E69</f>
        <v>73000</v>
      </c>
      <c r="G69" s="67">
        <f t="shared" ref="G69:X70" si="58">F69</f>
        <v>73000</v>
      </c>
      <c r="H69" s="67">
        <f t="shared" si="58"/>
        <v>73000</v>
      </c>
      <c r="I69" s="67">
        <f t="shared" si="58"/>
        <v>73000</v>
      </c>
      <c r="J69" s="67">
        <f t="shared" si="58"/>
        <v>73000</v>
      </c>
      <c r="K69" s="67">
        <f t="shared" si="58"/>
        <v>73000</v>
      </c>
      <c r="L69" s="67">
        <f t="shared" si="58"/>
        <v>73000</v>
      </c>
      <c r="M69" s="67">
        <f t="shared" si="58"/>
        <v>73000</v>
      </c>
      <c r="N69" s="67">
        <f t="shared" si="58"/>
        <v>73000</v>
      </c>
      <c r="O69" s="67">
        <f t="shared" si="58"/>
        <v>73000</v>
      </c>
      <c r="P69" s="67">
        <f t="shared" si="58"/>
        <v>73000</v>
      </c>
      <c r="Q69" s="67">
        <f t="shared" si="58"/>
        <v>73000</v>
      </c>
      <c r="R69" s="67">
        <f t="shared" si="58"/>
        <v>73000</v>
      </c>
      <c r="S69" s="67">
        <f t="shared" si="58"/>
        <v>73000</v>
      </c>
      <c r="T69" s="67">
        <f t="shared" si="58"/>
        <v>73000</v>
      </c>
      <c r="U69" s="67">
        <f t="shared" si="58"/>
        <v>73000</v>
      </c>
      <c r="V69" s="67">
        <f t="shared" si="58"/>
        <v>73000</v>
      </c>
      <c r="W69" s="67">
        <f t="shared" si="58"/>
        <v>73000</v>
      </c>
      <c r="X69" s="68">
        <f t="shared" si="58"/>
        <v>73000</v>
      </c>
    </row>
    <row r="70" spans="1:24" ht="15" hidden="1" customHeight="1" outlineLevel="1">
      <c r="C70" s="79" t="s">
        <v>115</v>
      </c>
      <c r="D70" s="69"/>
      <c r="E70" s="69">
        <f>E69*(1-INDEX('DATA (Nominal)'!$B$213:$BX$213,1,MATCH($B$1,'DATA (Nominal)'!$B$1:$BX$1,0)))</f>
        <v>10220.000000000002</v>
      </c>
      <c r="F70" s="69">
        <f>E70</f>
        <v>10220.000000000002</v>
      </c>
      <c r="G70" s="69">
        <f t="shared" si="58"/>
        <v>10220.000000000002</v>
      </c>
      <c r="H70" s="69">
        <f t="shared" si="58"/>
        <v>10220.000000000002</v>
      </c>
      <c r="I70" s="69">
        <f t="shared" si="58"/>
        <v>10220.000000000002</v>
      </c>
      <c r="J70" s="69">
        <f t="shared" si="58"/>
        <v>10220.000000000002</v>
      </c>
      <c r="K70" s="69">
        <f t="shared" si="58"/>
        <v>10220.000000000002</v>
      </c>
      <c r="L70" s="69">
        <f t="shared" si="58"/>
        <v>10220.000000000002</v>
      </c>
      <c r="M70" s="69">
        <f t="shared" si="58"/>
        <v>10220.000000000002</v>
      </c>
      <c r="N70" s="69">
        <f t="shared" si="58"/>
        <v>10220.000000000002</v>
      </c>
      <c r="O70" s="69">
        <f t="shared" si="58"/>
        <v>10220.000000000002</v>
      </c>
      <c r="P70" s="69">
        <f t="shared" si="58"/>
        <v>10220.000000000002</v>
      </c>
      <c r="Q70" s="69">
        <f t="shared" si="58"/>
        <v>10220.000000000002</v>
      </c>
      <c r="R70" s="69">
        <f t="shared" si="58"/>
        <v>10220.000000000002</v>
      </c>
      <c r="S70" s="69">
        <f t="shared" si="58"/>
        <v>10220.000000000002</v>
      </c>
      <c r="T70" s="69">
        <f t="shared" si="58"/>
        <v>10220.000000000002</v>
      </c>
      <c r="U70" s="69">
        <f t="shared" si="58"/>
        <v>10220.000000000002</v>
      </c>
      <c r="V70" s="69">
        <f t="shared" si="58"/>
        <v>10220.000000000002</v>
      </c>
      <c r="W70" s="69">
        <f t="shared" si="58"/>
        <v>10220.000000000002</v>
      </c>
      <c r="X70" s="70">
        <f t="shared" si="58"/>
        <v>10220.000000000002</v>
      </c>
    </row>
    <row r="71" spans="1:24" ht="15" hidden="1" customHeight="1" outlineLevel="1">
      <c r="C71" s="7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70"/>
    </row>
    <row r="72" spans="1:24" ht="15" hidden="1" customHeight="1" outlineLevel="1">
      <c r="C72" s="79" t="s">
        <v>47</v>
      </c>
      <c r="D72" s="71">
        <f>-PMT(Discount_Rate,20,NPV(Discount_Rate,E72:X72))</f>
        <v>1347233.0194224841</v>
      </c>
      <c r="E72" s="73">
        <f>INDEX('DATA (Nominal)'!$B$165:$BX$165,1,MATCH(E$1,'DATA (Nominal)'!$B$1:$BX$1,0))*'Resource Options'!$E$27*1000</f>
        <v>1458721.643314895</v>
      </c>
      <c r="F72" s="73">
        <f>INDEX('DATA (Nominal)'!$B$165:$BX$165,1,MATCH(F$1,'DATA (Nominal)'!$B$1:$BX$1,0))*'Resource Options'!$E$27*1000</f>
        <v>1414329.9639598401</v>
      </c>
      <c r="G72" s="73">
        <f>INDEX('DATA (Nominal)'!$B$165:$BX$165,1,MATCH(G$1,'DATA (Nominal)'!$B$1:$BX$1,0))*'Resource Options'!$E$27*1000</f>
        <v>1377310.8655747008</v>
      </c>
      <c r="H72" s="73">
        <f>INDEX('DATA (Nominal)'!$B$165:$BX$165,1,MATCH(H$1,'DATA (Nominal)'!$B$1:$BX$1,0))*'Resource Options'!$E$27*1000</f>
        <v>1333353.4507378694</v>
      </c>
      <c r="I72" s="73">
        <f>INDEX('DATA (Nominal)'!$B$165:$BX$165,1,MATCH(I$1,'DATA (Nominal)'!$B$1:$BX$1,0))*'Resource Options'!$E$27*1000</f>
        <v>1295263.8393960944</v>
      </c>
      <c r="J72" s="73">
        <f>INDEX('DATA (Nominal)'!$B$165:$BX$165,1,MATCH(J$1,'DATA (Nominal)'!$B$1:$BX$1,0))*'Resource Options'!$E$27*1000</f>
        <v>1261288.726225442</v>
      </c>
      <c r="K72" s="73">
        <f>INDEX('DATA (Nominal)'!$B$165:$BX$165,1,MATCH(K$1,'DATA (Nominal)'!$B$1:$BX$1,0))*'Resource Options'!$E$27*1000</f>
        <v>1273464.4726916319</v>
      </c>
      <c r="L72" s="73">
        <f>INDEX('DATA (Nominal)'!$B$165:$BX$165,1,MATCH(L$1,'DATA (Nominal)'!$B$1:$BX$1,0))*'Resource Options'!$E$27*1000</f>
        <v>1285013.2424168091</v>
      </c>
      <c r="M72" s="73">
        <f>INDEX('DATA (Nominal)'!$B$165:$BX$165,1,MATCH(M$1,'DATA (Nominal)'!$B$1:$BX$1,0))*'Resource Options'!$E$27*1000</f>
        <v>1296453.8012051168</v>
      </c>
      <c r="N72" s="73">
        <f>INDEX('DATA (Nominal)'!$B$165:$BX$165,1,MATCH(N$1,'DATA (Nominal)'!$B$1:$BX$1,0))*'Resource Options'!$E$27*1000</f>
        <v>1307775.7981707803</v>
      </c>
      <c r="O72" s="73">
        <f>INDEX('DATA (Nominal)'!$B$165:$BX$165,1,MATCH(O$1,'DATA (Nominal)'!$B$1:$BX$1,0))*'Resource Options'!$E$27*1000</f>
        <v>1318968.4793631439</v>
      </c>
      <c r="P72" s="73">
        <f>INDEX('DATA (Nominal)'!$B$165:$BX$165,1,MATCH(P$1,'DATA (Nominal)'!$B$1:$BX$1,0))*'Resource Options'!$E$27*1000</f>
        <v>1330020.6750416618</v>
      </c>
      <c r="Q72" s="73">
        <f>INDEX('DATA (Nominal)'!$B$165:$BX$165,1,MATCH(Q$1,'DATA (Nominal)'!$B$1:$BX$1,0))*'Resource Options'!$E$27*1000</f>
        <v>1340920.7865860178</v>
      </c>
      <c r="R72" s="73">
        <f>INDEX('DATA (Nominal)'!$B$165:$BX$165,1,MATCH(R$1,'DATA (Nominal)'!$B$1:$BX$1,0))*'Resource Options'!$E$27*1000</f>
        <v>1351656.7730316115</v>
      </c>
      <c r="S72" s="73">
        <f>INDEX('DATA (Nominal)'!$B$165:$BX$165,1,MATCH(S$1,'DATA (Nominal)'!$B$1:$BX$1,0))*'Resource Options'!$E$27*1000</f>
        <v>1362216.1372201038</v>
      </c>
      <c r="T72" s="73">
        <f>INDEX('DATA (Nominal)'!$B$165:$BX$165,1,MATCH(T$1,'DATA (Nominal)'!$B$1:$BX$1,0))*'Resource Options'!$E$27*1000</f>
        <v>1372585.9115547356</v>
      </c>
      <c r="U72" s="73">
        <f>INDEX('DATA (Nominal)'!$B$165:$BX$165,1,MATCH(U$1,'DATA (Nominal)'!$B$1:$BX$1,0))*'Resource Options'!$E$27*1000</f>
        <v>1382752.6433496824</v>
      </c>
      <c r="V72" s="73">
        <f>INDEX('DATA (Nominal)'!$B$165:$BX$165,1,MATCH(V$1,'DATA (Nominal)'!$B$1:$BX$1,0))*'Resource Options'!$E$27*1000</f>
        <v>1392702.3797624088</v>
      </c>
      <c r="W72" s="73">
        <f>INDEX('DATA (Nominal)'!$B$165:$BX$165,1,MATCH(W$1,'DATA (Nominal)'!$B$1:$BX$1,0))*'Resource Options'!$E$27*1000</f>
        <v>1402420.6522979208</v>
      </c>
      <c r="X72" s="74">
        <f>INDEX('DATA (Nominal)'!$B$165:$BX$165,1,MATCH(X$1,'DATA (Nominal)'!$B$1:$BX$1,0))*'Resource Options'!$E$27*1000</f>
        <v>1411892.4608731903</v>
      </c>
    </row>
    <row r="73" spans="1:24" ht="15" hidden="1" customHeight="1" outlineLevel="1">
      <c r="C73" s="80" t="s">
        <v>92</v>
      </c>
      <c r="D73" s="71">
        <f>-PMT(Discount_Rate,20,NPV(Discount_Rate,E73:X73))</f>
        <v>4754260.9593639271</v>
      </c>
      <c r="E73" s="71">
        <f>INDEX('DATA (Nominal)'!$B$46:$BX$46,1,MATCH($B$1,'DATA (Nominal)'!$B$1:$BX$1,0))*Assumptions!AG$27*(1+AFUDC!$C$27)*1000000*'Resource Options'!$E$27/1000*(1-INDEX('DATA (Nominal)'!$B$227:$BX$227,1,MATCH($B$1,'DATA (Nominal)'!$B$1:$BX$1,0)))</f>
        <v>7579480.6419556057</v>
      </c>
      <c r="F73" s="73">
        <f>INDEX('DATA (Nominal)'!$B$46:$BX$46,1,MATCH($B$1,'DATA (Nominal)'!$B$1:$BX$1,0))*Assumptions!AH$27*(1+AFUDC!$C$27)*1000000*'Resource Options'!$E$27/1000*(1-INDEX('DATA (Nominal)'!$B$227:$BX$227,1,MATCH($B$1,'DATA (Nominal)'!$B$1:$BX$1,0)))</f>
        <v>7135103.9212373327</v>
      </c>
      <c r="G73" s="71">
        <f>INDEX('DATA (Nominal)'!$B$46:$BX$46,1,MATCH($B$1,'DATA (Nominal)'!$B$1:$BX$1,0))*Assumptions!AI$27*(1+AFUDC!$C$27)*1000000*'Resource Options'!$E$27/1000*(1-INDEX('DATA (Nominal)'!$B$227:$BX$227,1,MATCH($B$1,'DATA (Nominal)'!$B$1:$BX$1,0)))</f>
        <v>6693544.0710327961</v>
      </c>
      <c r="H73" s="71">
        <f>INDEX('DATA (Nominal)'!$B$46:$BX$46,1,MATCH($B$1,'DATA (Nominal)'!$B$1:$BX$1,0))*Assumptions!AJ$27*(1+AFUDC!$C$27)*1000000*'Resource Options'!$E$27/1000*(1-INDEX('DATA (Nominal)'!$B$227:$BX$227,1,MATCH($B$1,'DATA (Nominal)'!$B$1:$BX$1,0)))</f>
        <v>6324096.1059799194</v>
      </c>
      <c r="I73" s="71">
        <f>INDEX('DATA (Nominal)'!$B$46:$BX$46,1,MATCH($B$1,'DATA (Nominal)'!$B$1:$BX$1,0))*Assumptions!AK$27*(1+AFUDC!$C$27)*1000000*'Resource Options'!$E$27/1000*(1-INDEX('DATA (Nominal)'!$B$227:$BX$227,1,MATCH($B$1,'DATA (Nominal)'!$B$1:$BX$1,0)))</f>
        <v>5981690.0978589132</v>
      </c>
      <c r="J73" s="71">
        <f>INDEX('DATA (Nominal)'!$B$46:$BX$46,1,MATCH($B$1,'DATA (Nominal)'!$B$1:$BX$1,0))*Assumptions!AL$27*(1+AFUDC!$C$27)*1000000*'Resource Options'!$E$27/1000*(1-INDEX('DATA (Nominal)'!$B$227:$BX$227,1,MATCH($B$1,'DATA (Nominal)'!$B$1:$BX$1,0)))</f>
        <v>5659565.5574368127</v>
      </c>
      <c r="K73" s="71">
        <f>INDEX('DATA (Nominal)'!$B$46:$BX$46,1,MATCH($B$1,'DATA (Nominal)'!$B$1:$BX$1,0))*Assumptions!AM$27*(1+AFUDC!$C$27)*1000000*'Resource Options'!$E$27/1000*(1-INDEX('DATA (Nominal)'!$B$227:$BX$227,1,MATCH($B$1,'DATA (Nominal)'!$B$1:$BX$1,0)))</f>
        <v>5378003.9524125177</v>
      </c>
      <c r="L73" s="71">
        <f>INDEX('DATA (Nominal)'!$B$46:$BX$46,1,MATCH($B$1,'DATA (Nominal)'!$B$1:$BX$1,0))*Assumptions!AN$27*(1+AFUDC!$C$27)*1000000*'Resource Options'!$E$27/1000*(1-INDEX('DATA (Nominal)'!$B$227:$BX$227,1,MATCH($B$1,'DATA (Nominal)'!$B$1:$BX$1,0)))</f>
        <v>5116723.8150871294</v>
      </c>
      <c r="M73" s="71">
        <f>INDEX('DATA (Nominal)'!$B$46:$BX$46,1,MATCH($B$1,'DATA (Nominal)'!$B$1:$BX$1,0))*Assumptions!AO$27*(1+AFUDC!$C$27)*1000000*'Resource Options'!$E$27/1000*(1-INDEX('DATA (Nominal)'!$B$227:$BX$227,1,MATCH($B$1,'DATA (Nominal)'!$B$1:$BX$1,0)))</f>
        <v>4855443.6777617391</v>
      </c>
      <c r="N73" s="71">
        <f>INDEX('DATA (Nominal)'!$B$46:$BX$46,1,MATCH($B$1,'DATA (Nominal)'!$B$1:$BX$1,0))*Assumptions!AP$27*(1+AFUDC!$C$27)*1000000*'Resource Options'!$E$27/1000*(1-INDEX('DATA (Nominal)'!$B$227:$BX$227,1,MATCH($B$1,'DATA (Nominal)'!$B$1:$BX$1,0)))</f>
        <v>4594163.5404363507</v>
      </c>
      <c r="O73" s="71">
        <f>INDEX('DATA (Nominal)'!$B$46:$BX$46,1,MATCH($B$1,'DATA (Nominal)'!$B$1:$BX$1,0))*Assumptions!AQ$27*(1+AFUDC!$C$27)*1000000*'Resource Options'!$E$27/1000*(1-INDEX('DATA (Nominal)'!$B$227:$BX$227,1,MATCH($B$1,'DATA (Nominal)'!$B$1:$BX$1,0)))</f>
        <v>4332883.4031109605</v>
      </c>
      <c r="P73" s="71">
        <f>INDEX('DATA (Nominal)'!$B$46:$BX$46,1,MATCH($B$1,'DATA (Nominal)'!$B$1:$BX$1,0))*Assumptions!AR$27*(1+AFUDC!$C$27)*1000000*'Resource Options'!$E$27/1000*(1-INDEX('DATA (Nominal)'!$B$227:$BX$227,1,MATCH($B$1,'DATA (Nominal)'!$B$1:$BX$1,0)))</f>
        <v>4071603.2657855721</v>
      </c>
      <c r="Q73" s="71">
        <f>INDEX('DATA (Nominal)'!$B$46:$BX$46,1,MATCH($B$1,'DATA (Nominal)'!$B$1:$BX$1,0))*Assumptions!AS$27*(1+AFUDC!$C$27)*1000000*'Resource Options'!$E$27/1000*(1-INDEX('DATA (Nominal)'!$B$227:$BX$227,1,MATCH($B$1,'DATA (Nominal)'!$B$1:$BX$1,0)))</f>
        <v>3810323.1284601847</v>
      </c>
      <c r="R73" s="71">
        <f>INDEX('DATA (Nominal)'!$B$46:$BX$46,1,MATCH($B$1,'DATA (Nominal)'!$B$1:$BX$1,0))*Assumptions!AT$27*(1+AFUDC!$C$27)*1000000*'Resource Options'!$E$27/1000*(1-INDEX('DATA (Nominal)'!$B$227:$BX$227,1,MATCH($B$1,'DATA (Nominal)'!$B$1:$BX$1,0)))</f>
        <v>3549042.9911347949</v>
      </c>
      <c r="S73" s="71">
        <f>INDEX('DATA (Nominal)'!$B$46:$BX$46,1,MATCH($B$1,'DATA (Nominal)'!$B$1:$BX$1,0))*Assumptions!AU$27*(1+AFUDC!$C$27)*1000000*'Resource Options'!$E$27/1000*(1-INDEX('DATA (Nominal)'!$B$227:$BX$227,1,MATCH($B$1,'DATA (Nominal)'!$B$1:$BX$1,0)))</f>
        <v>3287762.8538094047</v>
      </c>
      <c r="T73" s="71">
        <f>INDEX('DATA (Nominal)'!$B$46:$BX$46,1,MATCH($B$1,'DATA (Nominal)'!$B$1:$BX$1,0))*Assumptions!AV$27*(1+AFUDC!$C$27)*1000000*'Resource Options'!$E$27/1000*(1-INDEX('DATA (Nominal)'!$B$227:$BX$227,1,MATCH($B$1,'DATA (Nominal)'!$B$1:$BX$1,0)))</f>
        <v>0</v>
      </c>
      <c r="U73" s="71">
        <f>INDEX('DATA (Nominal)'!$B$46:$BX$46,1,MATCH($B$1,'DATA (Nominal)'!$B$1:$BX$1,0))*Assumptions!AW$27*(1+AFUDC!$C$27)*1000000*'Resource Options'!$E$27/1000*(1-INDEX('DATA (Nominal)'!$B$227:$BX$227,1,MATCH($B$1,'DATA (Nominal)'!$B$1:$BX$1,0)))</f>
        <v>0</v>
      </c>
      <c r="V73" s="71">
        <f>INDEX('DATA (Nominal)'!$B$46:$BX$46,1,MATCH($B$1,'DATA (Nominal)'!$B$1:$BX$1,0))*Assumptions!AX$27*(1+AFUDC!$C$27)*1000000*'Resource Options'!$E$27/1000*(1-INDEX('DATA (Nominal)'!$B$227:$BX$227,1,MATCH($B$1,'DATA (Nominal)'!$B$1:$BX$1,0)))</f>
        <v>0</v>
      </c>
      <c r="W73" s="71">
        <f>INDEX('DATA (Nominal)'!$B$46:$BX$46,1,MATCH($B$1,'DATA (Nominal)'!$B$1:$BX$1,0))*Assumptions!AY$27*(1+AFUDC!$C$27)*1000000*'Resource Options'!$E$27/1000*(1-INDEX('DATA (Nominal)'!$B$227:$BX$227,1,MATCH($B$1,'DATA (Nominal)'!$B$1:$BX$1,0)))</f>
        <v>0</v>
      </c>
      <c r="X73" s="72">
        <f>INDEX('DATA (Nominal)'!$B$46:$BX$46,1,MATCH($B$1,'DATA (Nominal)'!$B$1:$BX$1,0))*Assumptions!AZ$27*(1+AFUDC!$C$27)*1000000*'Resource Options'!$E$27/1000*(1-INDEX('DATA (Nominal)'!$B$227:$BX$227,1,MATCH($B$1,'DATA (Nominal)'!$B$1:$BX$1,0)))</f>
        <v>0</v>
      </c>
    </row>
    <row r="74" spans="1:24" ht="15" hidden="1" customHeight="1" outlineLevel="1">
      <c r="C74" s="79" t="s">
        <v>93</v>
      </c>
      <c r="D74" s="71">
        <f>-PMT(Discount_Rate,20,NPV(Discount_Rate,E74:X74))</f>
        <v>39277.231448243103</v>
      </c>
      <c r="E74" s="71">
        <f t="shared" ref="E74:X74" si="59">E72*Misc_Fees</f>
        <v>42527.570789202451</v>
      </c>
      <c r="F74" s="71">
        <f t="shared" si="59"/>
        <v>41233.37576928518</v>
      </c>
      <c r="G74" s="71">
        <f t="shared" si="59"/>
        <v>40154.120974964826</v>
      </c>
      <c r="H74" s="71">
        <f t="shared" si="59"/>
        <v>38872.586502811842</v>
      </c>
      <c r="I74" s="71">
        <f t="shared" si="59"/>
        <v>37762.121973753739</v>
      </c>
      <c r="J74" s="71">
        <f t="shared" si="59"/>
        <v>36771.611524376538</v>
      </c>
      <c r="K74" s="71">
        <f t="shared" si="59"/>
        <v>37126.583236851831</v>
      </c>
      <c r="L74" s="71">
        <f t="shared" si="59"/>
        <v>37463.276069419648</v>
      </c>
      <c r="M74" s="71">
        <f t="shared" si="59"/>
        <v>37796.814120333976</v>
      </c>
      <c r="N74" s="71">
        <f t="shared" si="59"/>
        <v>38126.895619870927</v>
      </c>
      <c r="O74" s="71">
        <f t="shared" si="59"/>
        <v>38453.207047353098</v>
      </c>
      <c r="P74" s="71">
        <f t="shared" si="59"/>
        <v>38775.422760164605</v>
      </c>
      <c r="Q74" s="71">
        <f t="shared" si="59"/>
        <v>39093.204612128764</v>
      </c>
      <c r="R74" s="71">
        <f t="shared" si="59"/>
        <v>39406.2015609636</v>
      </c>
      <c r="S74" s="71">
        <f t="shared" si="59"/>
        <v>39714.049264514906</v>
      </c>
      <c r="T74" s="71">
        <f t="shared" si="59"/>
        <v>40016.369665466758</v>
      </c>
      <c r="U74" s="71">
        <f t="shared" si="59"/>
        <v>40312.77056421664</v>
      </c>
      <c r="V74" s="71">
        <f t="shared" si="59"/>
        <v>40602.845179593263</v>
      </c>
      <c r="W74" s="71">
        <f t="shared" si="59"/>
        <v>40886.171697093581</v>
      </c>
      <c r="X74" s="72">
        <f t="shared" si="59"/>
        <v>41162.312804296991</v>
      </c>
    </row>
    <row r="75" spans="1:24" ht="15" hidden="1" customHeight="1" outlineLevel="1">
      <c r="C75" s="79" t="s">
        <v>94</v>
      </c>
      <c r="D75" s="71">
        <f>-PMT(Discount_Rate,20,NPV(Discount_Rate,E75:X75))</f>
        <v>6140771.2102346541</v>
      </c>
      <c r="E75" s="71">
        <f t="shared" ref="E75:X75" si="60">SUM(E72:E74)</f>
        <v>9080729.856059704</v>
      </c>
      <c r="F75" s="71">
        <f t="shared" si="60"/>
        <v>8590667.2609664593</v>
      </c>
      <c r="G75" s="71">
        <f t="shared" si="60"/>
        <v>8111009.0575824613</v>
      </c>
      <c r="H75" s="71">
        <f t="shared" si="60"/>
        <v>7696322.1432206007</v>
      </c>
      <c r="I75" s="71">
        <f t="shared" si="60"/>
        <v>7314716.0592287621</v>
      </c>
      <c r="J75" s="71">
        <f t="shared" si="60"/>
        <v>6957625.895186631</v>
      </c>
      <c r="K75" s="71">
        <f t="shared" si="60"/>
        <v>6688595.0083410013</v>
      </c>
      <c r="L75" s="71">
        <f t="shared" si="60"/>
        <v>6439200.3335733581</v>
      </c>
      <c r="M75" s="71">
        <f t="shared" si="60"/>
        <v>6189694.29308719</v>
      </c>
      <c r="N75" s="71">
        <f t="shared" si="60"/>
        <v>5940066.2342270017</v>
      </c>
      <c r="O75" s="71">
        <f t="shared" si="60"/>
        <v>5690305.0895214574</v>
      </c>
      <c r="P75" s="71">
        <f t="shared" si="60"/>
        <v>5440399.3635873981</v>
      </c>
      <c r="Q75" s="71">
        <f t="shared" si="60"/>
        <v>5190337.1196583305</v>
      </c>
      <c r="R75" s="71">
        <f t="shared" si="60"/>
        <v>4940105.9657273702</v>
      </c>
      <c r="S75" s="71">
        <f t="shared" si="60"/>
        <v>4689693.0402940232</v>
      </c>
      <c r="T75" s="71">
        <f t="shared" si="60"/>
        <v>1412602.2812202023</v>
      </c>
      <c r="U75" s="71">
        <f t="shared" si="60"/>
        <v>1423065.4139138991</v>
      </c>
      <c r="V75" s="71">
        <f t="shared" si="60"/>
        <v>1433305.224942002</v>
      </c>
      <c r="W75" s="71">
        <f t="shared" si="60"/>
        <v>1443306.8239950144</v>
      </c>
      <c r="X75" s="72">
        <f t="shared" si="60"/>
        <v>1453054.7736774874</v>
      </c>
    </row>
    <row r="76" spans="1:24" ht="15" hidden="1" customHeight="1" outlineLevel="1">
      <c r="C76" s="79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2"/>
    </row>
    <row r="77" spans="1:24" ht="15" hidden="1" customHeight="1" outlineLevel="1">
      <c r="C77" s="79" t="s">
        <v>116</v>
      </c>
      <c r="D77" s="71">
        <f>-PMT(Discount_Rate,20,NPV(Discount_Rate,E77:X77))</f>
        <v>0</v>
      </c>
      <c r="E77" s="71">
        <f>E69*INDEX('DATA (Nominal)'!$B$94:$BX$94,1,MATCH(E$1,'DATA (Nominal)'!$B$1:$BX$1,0))</f>
        <v>0</v>
      </c>
      <c r="F77" s="71">
        <f>F69*INDEX('DATA (Nominal)'!$B$94:$BX$94,1,MATCH(F$1,'DATA (Nominal)'!$B$1:$BX$1,0))</f>
        <v>0</v>
      </c>
      <c r="G77" s="71">
        <f>G69*INDEX('DATA (Nominal)'!$B$94:$BX$94,1,MATCH(G$1,'DATA (Nominal)'!$B$1:$BX$1,0))</f>
        <v>0</v>
      </c>
      <c r="H77" s="71">
        <f>H69*INDEX('DATA (Nominal)'!$B$94:$BX$94,1,MATCH(H$1,'DATA (Nominal)'!$B$1:$BX$1,0))</f>
        <v>0</v>
      </c>
      <c r="I77" s="71">
        <f>I69*INDEX('DATA (Nominal)'!$B$94:$BX$94,1,MATCH(I$1,'DATA (Nominal)'!$B$1:$BX$1,0))</f>
        <v>0</v>
      </c>
      <c r="J77" s="71">
        <f>J69*INDEX('DATA (Nominal)'!$B$94:$BX$94,1,MATCH(J$1,'DATA (Nominal)'!$B$1:$BX$1,0))</f>
        <v>0</v>
      </c>
      <c r="K77" s="71">
        <f>K69*INDEX('DATA (Nominal)'!$B$94:$BX$94,1,MATCH(K$1,'DATA (Nominal)'!$B$1:$BX$1,0))</f>
        <v>0</v>
      </c>
      <c r="L77" s="71">
        <f>L69*INDEX('DATA (Nominal)'!$B$94:$BX$94,1,MATCH(L$1,'DATA (Nominal)'!$B$1:$BX$1,0))</f>
        <v>0</v>
      </c>
      <c r="M77" s="71">
        <f>M69*INDEX('DATA (Nominal)'!$B$94:$BX$94,1,MATCH(M$1,'DATA (Nominal)'!$B$1:$BX$1,0))</f>
        <v>0</v>
      </c>
      <c r="N77" s="71">
        <f>N69*INDEX('DATA (Nominal)'!$B$94:$BX$94,1,MATCH(N$1,'DATA (Nominal)'!$B$1:$BX$1,0))</f>
        <v>0</v>
      </c>
      <c r="O77" s="71">
        <f>O69*INDEX('DATA (Nominal)'!$B$94:$BX$94,1,MATCH(O$1,'DATA (Nominal)'!$B$1:$BX$1,0))</f>
        <v>0</v>
      </c>
      <c r="P77" s="71">
        <f>P69*INDEX('DATA (Nominal)'!$B$94:$BX$94,1,MATCH(P$1,'DATA (Nominal)'!$B$1:$BX$1,0))</f>
        <v>0</v>
      </c>
      <c r="Q77" s="71">
        <f>Q69*INDEX('DATA (Nominal)'!$B$94:$BX$94,1,MATCH(Q$1,'DATA (Nominal)'!$B$1:$BX$1,0))</f>
        <v>0</v>
      </c>
      <c r="R77" s="71">
        <f>R69*INDEX('DATA (Nominal)'!$B$94:$BX$94,1,MATCH(R$1,'DATA (Nominal)'!$B$1:$BX$1,0))</f>
        <v>0</v>
      </c>
      <c r="S77" s="71">
        <f>S69*INDEX('DATA (Nominal)'!$B$94:$BX$94,1,MATCH(S$1,'DATA (Nominal)'!$B$1:$BX$1,0))</f>
        <v>0</v>
      </c>
      <c r="T77" s="71">
        <f>T69*INDEX('DATA (Nominal)'!$B$94:$BX$94,1,MATCH(T$1,'DATA (Nominal)'!$B$1:$BX$1,0))</f>
        <v>0</v>
      </c>
      <c r="U77" s="71">
        <f>U69*INDEX('DATA (Nominal)'!$B$94:$BX$94,1,MATCH(U$1,'DATA (Nominal)'!$B$1:$BX$1,0))</f>
        <v>0</v>
      </c>
      <c r="V77" s="71">
        <f>V69*INDEX('DATA (Nominal)'!$B$94:$BX$94,1,MATCH(V$1,'DATA (Nominal)'!$B$1:$BX$1,0))</f>
        <v>0</v>
      </c>
      <c r="W77" s="71">
        <f>W69*INDEX('DATA (Nominal)'!$B$94:$BX$94,1,MATCH(W$1,'DATA (Nominal)'!$B$1:$BX$1,0))</f>
        <v>0</v>
      </c>
      <c r="X77" s="72">
        <f>X69*INDEX('DATA (Nominal)'!$B$94:$BX$94,1,MATCH(X$1,'DATA (Nominal)'!$B$1:$BX$1,0))</f>
        <v>0</v>
      </c>
    </row>
    <row r="78" spans="1:24" ht="15" hidden="1" customHeight="1" outlineLevel="1">
      <c r="C78" s="79" t="s">
        <v>117</v>
      </c>
      <c r="D78" s="71">
        <f>-PMT(Discount_Rate,20,NPV(Discount_Rate,E78:X78))</f>
        <v>2864049.4363570092</v>
      </c>
      <c r="E78" s="71">
        <f>(E69+E70)*INDEX('DATA (Nominal)'!$B$151:$BX$151,1,MATCH(E$1,'DATA (Nominal)'!$B$1:$BX$1,0))</f>
        <v>2974085.9531318666</v>
      </c>
      <c r="F78" s="71">
        <f>(F69+F70)*INDEX('DATA (Nominal)'!$B$151:$BX$151,1,MATCH(F$1,'DATA (Nominal)'!$B$1:$BX$1,0))</f>
        <v>2771130.7675590515</v>
      </c>
      <c r="G78" s="71">
        <f>(G69+G70)*INDEX('DATA (Nominal)'!$B$151:$BX$151,1,MATCH(G$1,'DATA (Nominal)'!$B$1:$BX$1,0))</f>
        <v>2491772.6162986755</v>
      </c>
      <c r="H78" s="71">
        <f>(H69+H70)*INDEX('DATA (Nominal)'!$B$151:$BX$151,1,MATCH(H$1,'DATA (Nominal)'!$B$1:$BX$1,0))</f>
        <v>2486104.4688734054</v>
      </c>
      <c r="I78" s="71">
        <f>(I69+I70)*INDEX('DATA (Nominal)'!$B$151:$BX$151,1,MATCH(I$1,'DATA (Nominal)'!$B$1:$BX$1,0))</f>
        <v>2494022.562213135</v>
      </c>
      <c r="J78" s="71">
        <f>(J69+J70)*INDEX('DATA (Nominal)'!$B$151:$BX$151,1,MATCH(J$1,'DATA (Nominal)'!$B$1:$BX$1,0))</f>
        <v>2861679.8575901031</v>
      </c>
      <c r="K78" s="71">
        <f>(K69+K70)*INDEX('DATA (Nominal)'!$B$151:$BX$151,1,MATCH(K$1,'DATA (Nominal)'!$B$1:$BX$1,0))</f>
        <v>2691363.7186727524</v>
      </c>
      <c r="L78" s="71">
        <f>(L69+L70)*INDEX('DATA (Nominal)'!$B$151:$BX$151,1,MATCH(L$1,'DATA (Nominal)'!$B$1:$BX$1,0))</f>
        <v>2616990.3785760882</v>
      </c>
      <c r="M78" s="71">
        <f>(M69+M70)*INDEX('DATA (Nominal)'!$B$151:$BX$151,1,MATCH(M$1,'DATA (Nominal)'!$B$1:$BX$1,0))</f>
        <v>2701797.1423643115</v>
      </c>
      <c r="N78" s="71">
        <f>(N69+N70)*INDEX('DATA (Nominal)'!$B$151:$BX$151,1,MATCH(N$1,'DATA (Nominal)'!$B$1:$BX$1,0))</f>
        <v>2745942.6379831317</v>
      </c>
      <c r="O78" s="71">
        <f>(O69+O70)*INDEX('DATA (Nominal)'!$B$151:$BX$151,1,MATCH(O$1,'DATA (Nominal)'!$B$1:$BX$1,0))</f>
        <v>2855778.45073719</v>
      </c>
      <c r="P78" s="71">
        <f>(P69+P70)*INDEX('DATA (Nominal)'!$B$151:$BX$151,1,MATCH(P$1,'DATA (Nominal)'!$B$1:$BX$1,0))</f>
        <v>2904603.5118381497</v>
      </c>
      <c r="Q78" s="71">
        <f>(Q69+Q70)*INDEX('DATA (Nominal)'!$B$151:$BX$151,1,MATCH(Q$1,'DATA (Nominal)'!$B$1:$BX$1,0))</f>
        <v>3044992.1815868374</v>
      </c>
      <c r="R78" s="71">
        <f>(R69+R70)*INDEX('DATA (Nominal)'!$B$151:$BX$151,1,MATCH(R$1,'DATA (Nominal)'!$B$1:$BX$1,0))</f>
        <v>3022657.9136110307</v>
      </c>
      <c r="S78" s="71">
        <f>(S69+S70)*INDEX('DATA (Nominal)'!$B$151:$BX$151,1,MATCH(S$1,'DATA (Nominal)'!$B$1:$BX$1,0))</f>
        <v>3115377.4559444427</v>
      </c>
      <c r="T78" s="71">
        <f>(T69+T70)*INDEX('DATA (Nominal)'!$B$151:$BX$151,1,MATCH(T$1,'DATA (Nominal)'!$B$1:$BX$1,0))</f>
        <v>3294782.8810882568</v>
      </c>
      <c r="U78" s="71">
        <f>(U69+U70)*INDEX('DATA (Nominal)'!$B$151:$BX$151,1,MATCH(U$1,'DATA (Nominal)'!$B$1:$BX$1,0))</f>
        <v>3311956.2526138308</v>
      </c>
      <c r="V78" s="71">
        <f>(V69+V70)*INDEX('DATA (Nominal)'!$B$151:$BX$151,1,MATCH(V$1,'DATA (Nominal)'!$B$1:$BX$1,0))</f>
        <v>3447003.2967075347</v>
      </c>
      <c r="W78" s="71">
        <f>(W69+W70)*INDEX('DATA (Nominal)'!$B$151:$BX$151,1,MATCH(W$1,'DATA (Nominal)'!$B$1:$BX$1,0))</f>
        <v>3526297.0725315097</v>
      </c>
      <c r="X78" s="72">
        <f>(X69+X70)*INDEX('DATA (Nominal)'!$B$151:$BX$151,1,MATCH(X$1,'DATA (Nominal)'!$B$1:$BX$1,0))</f>
        <v>3964676.0356918336</v>
      </c>
    </row>
    <row r="79" spans="1:24" ht="15" hidden="1" customHeight="1" outlineLevel="1">
      <c r="C79" s="79" t="s">
        <v>93</v>
      </c>
      <c r="D79" s="71">
        <f>-PMT(Discount_Rate,20,NPV(Discount_Rate,E79:X79))</f>
        <v>83498.497267552229</v>
      </c>
      <c r="E79" s="73">
        <f t="shared" ref="E79:X79" si="61">SUM(E77:E78)*Misc_Fees</f>
        <v>86706.501877606439</v>
      </c>
      <c r="F79" s="73">
        <f t="shared" si="61"/>
        <v>80789.54639741659</v>
      </c>
      <c r="G79" s="73">
        <f t="shared" si="61"/>
        <v>72645.138855571582</v>
      </c>
      <c r="H79" s="73">
        <f t="shared" si="61"/>
        <v>72479.889685535265</v>
      </c>
      <c r="I79" s="73">
        <f t="shared" si="61"/>
        <v>72710.733778761729</v>
      </c>
      <c r="J79" s="73">
        <f t="shared" si="61"/>
        <v>83429.414568181863</v>
      </c>
      <c r="K79" s="73">
        <f t="shared" si="61"/>
        <v>78464.017854185426</v>
      </c>
      <c r="L79" s="73">
        <f t="shared" si="61"/>
        <v>76295.737497007271</v>
      </c>
      <c r="M79" s="73">
        <f t="shared" si="61"/>
        <v>78768.193888489142</v>
      </c>
      <c r="N79" s="73">
        <f t="shared" si="61"/>
        <v>80055.211667760217</v>
      </c>
      <c r="O79" s="73">
        <f t="shared" si="61"/>
        <v>83257.364952792035</v>
      </c>
      <c r="P79" s="73">
        <f t="shared" si="61"/>
        <v>84680.810784129411</v>
      </c>
      <c r="Q79" s="73">
        <f t="shared" si="61"/>
        <v>88773.702061982651</v>
      </c>
      <c r="R79" s="73">
        <f t="shared" si="61"/>
        <v>88122.568813415986</v>
      </c>
      <c r="S79" s="73">
        <f t="shared" si="61"/>
        <v>90825.714350604278</v>
      </c>
      <c r="T79" s="73">
        <f t="shared" si="61"/>
        <v>96056.100115247042</v>
      </c>
      <c r="U79" s="73">
        <f t="shared" si="61"/>
        <v>96556.772588703621</v>
      </c>
      <c r="V79" s="73">
        <f t="shared" si="61"/>
        <v>100493.93411221147</v>
      </c>
      <c r="W79" s="73">
        <f t="shared" si="61"/>
        <v>102805.66485258364</v>
      </c>
      <c r="X79" s="74">
        <f t="shared" si="61"/>
        <v>115586.16514455971</v>
      </c>
    </row>
    <row r="80" spans="1:24" ht="15" hidden="1" customHeight="1" outlineLevel="1">
      <c r="C80" s="79" t="s">
        <v>99</v>
      </c>
      <c r="D80" s="71">
        <f>-PMT(Discount_Rate,20,NPV(Discount_Rate,E80:X80))</f>
        <v>2947547.9336245614</v>
      </c>
      <c r="E80" s="71">
        <f>SUM(E77:E79)</f>
        <v>3060792.455009473</v>
      </c>
      <c r="F80" s="71">
        <f t="shared" ref="F80" si="62">SUM(F77:F79)</f>
        <v>2851920.3139564679</v>
      </c>
      <c r="G80" s="71">
        <f t="shared" ref="G80" si="63">SUM(G77:G79)</f>
        <v>2564417.7551542469</v>
      </c>
      <c r="H80" s="71">
        <f t="shared" ref="H80" si="64">SUM(H77:H79)</f>
        <v>2558584.3585589407</v>
      </c>
      <c r="I80" s="71">
        <f t="shared" ref="I80" si="65">SUM(I77:I79)</f>
        <v>2566733.2959918967</v>
      </c>
      <c r="J80" s="71">
        <f t="shared" ref="J80" si="66">SUM(J77:J79)</f>
        <v>2945109.2721582851</v>
      </c>
      <c r="K80" s="71">
        <f t="shared" ref="K80" si="67">SUM(K77:K79)</f>
        <v>2769827.7365269377</v>
      </c>
      <c r="L80" s="71">
        <f t="shared" ref="L80" si="68">SUM(L77:L79)</f>
        <v>2693286.1160730957</v>
      </c>
      <c r="M80" s="71">
        <f t="shared" ref="M80" si="69">SUM(M77:M79)</f>
        <v>2780565.3362528007</v>
      </c>
      <c r="N80" s="71">
        <f t="shared" ref="N80" si="70">SUM(N77:N79)</f>
        <v>2825997.849650892</v>
      </c>
      <c r="O80" s="71">
        <f t="shared" ref="O80" si="71">SUM(O77:O79)</f>
        <v>2939035.8156899819</v>
      </c>
      <c r="P80" s="71">
        <f t="shared" ref="P80" si="72">SUM(P77:P79)</f>
        <v>2989284.3226222792</v>
      </c>
      <c r="Q80" s="71">
        <f t="shared" ref="Q80" si="73">SUM(Q77:Q79)</f>
        <v>3133765.8836488202</v>
      </c>
      <c r="R80" s="71">
        <f t="shared" ref="R80" si="74">SUM(R77:R79)</f>
        <v>3110780.4824244468</v>
      </c>
      <c r="S80" s="71">
        <f t="shared" ref="S80" si="75">SUM(S77:S79)</f>
        <v>3206203.1702950471</v>
      </c>
      <c r="T80" s="71">
        <f t="shared" ref="T80" si="76">SUM(T77:T79)</f>
        <v>3390838.9812035039</v>
      </c>
      <c r="U80" s="71">
        <f t="shared" ref="U80" si="77">SUM(U77:U79)</f>
        <v>3408513.0252025346</v>
      </c>
      <c r="V80" s="71">
        <f t="shared" ref="V80" si="78">SUM(V77:V79)</f>
        <v>3547497.2308197464</v>
      </c>
      <c r="W80" s="71">
        <f t="shared" ref="W80" si="79">SUM(W77:W79)</f>
        <v>3629102.7373840935</v>
      </c>
      <c r="X80" s="72">
        <f t="shared" ref="X80" si="80">SUM(X77:X79)</f>
        <v>4080262.2008363935</v>
      </c>
    </row>
    <row r="81" spans="1:24" ht="15" hidden="1" customHeight="1" outlineLevel="1">
      <c r="C81" s="79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2"/>
    </row>
    <row r="82" spans="1:24" ht="15.75" hidden="1" customHeight="1" outlineLevel="1" thickBot="1">
      <c r="C82" s="81" t="s">
        <v>100</v>
      </c>
      <c r="D82" s="71">
        <f>-PMT(Discount_Rate,20,NPV(Discount_Rate,E82:X82))</f>
        <v>9088319.1438592151</v>
      </c>
      <c r="E82" s="75">
        <f>E75+E80</f>
        <v>12141522.311069177</v>
      </c>
      <c r="F82" s="75">
        <f t="shared" ref="F82:H82" si="81">F75+F80</f>
        <v>11442587.574922927</v>
      </c>
      <c r="G82" s="75">
        <f t="shared" si="81"/>
        <v>10675426.812736709</v>
      </c>
      <c r="H82" s="75">
        <f t="shared" si="81"/>
        <v>10254906.501779541</v>
      </c>
      <c r="I82" s="75">
        <f>I75+I80</f>
        <v>9881449.3552206587</v>
      </c>
      <c r="J82" s="75">
        <f t="shared" ref="J82:X82" si="82">J75+J80</f>
        <v>9902735.1673449166</v>
      </c>
      <c r="K82" s="75">
        <f t="shared" si="82"/>
        <v>9458422.7448679395</v>
      </c>
      <c r="L82" s="75">
        <f t="shared" si="82"/>
        <v>9132486.4496464543</v>
      </c>
      <c r="M82" s="75">
        <f t="shared" si="82"/>
        <v>8970259.6293399911</v>
      </c>
      <c r="N82" s="75">
        <f t="shared" si="82"/>
        <v>8766064.0838778932</v>
      </c>
      <c r="O82" s="75">
        <f t="shared" si="82"/>
        <v>8629340.9052114394</v>
      </c>
      <c r="P82" s="75">
        <f t="shared" si="82"/>
        <v>8429683.6862096768</v>
      </c>
      <c r="Q82" s="75">
        <f t="shared" si="82"/>
        <v>8324103.0033071507</v>
      </c>
      <c r="R82" s="75">
        <f t="shared" si="82"/>
        <v>8050886.4481518175</v>
      </c>
      <c r="S82" s="75">
        <f t="shared" si="82"/>
        <v>7895896.2105890699</v>
      </c>
      <c r="T82" s="75">
        <f t="shared" si="82"/>
        <v>4803441.2624237062</v>
      </c>
      <c r="U82" s="75">
        <f t="shared" si="82"/>
        <v>4831578.4391164333</v>
      </c>
      <c r="V82" s="75">
        <f t="shared" si="82"/>
        <v>4980802.4557617484</v>
      </c>
      <c r="W82" s="75">
        <f t="shared" si="82"/>
        <v>5072409.5613791076</v>
      </c>
      <c r="X82" s="76">
        <f t="shared" si="82"/>
        <v>5533316.9745138809</v>
      </c>
    </row>
    <row r="83" spans="1:24" ht="15" hidden="1" customHeight="1" outlineLevel="1">
      <c r="A83" s="95"/>
      <c r="C83" s="35" t="s">
        <v>118</v>
      </c>
      <c r="D83" s="77">
        <f>D75/'Resource Options'!$E$27/1000</f>
        <v>245.63084840938618</v>
      </c>
      <c r="E83" s="24"/>
      <c r="F83" s="24"/>
      <c r="G83" s="24"/>
      <c r="H83" s="24"/>
      <c r="I83" s="24"/>
      <c r="J83" s="24"/>
      <c r="K83" s="24"/>
      <c r="L83" s="24"/>
      <c r="M83" s="24"/>
      <c r="N83" s="24"/>
    </row>
    <row r="84" spans="1:24" ht="15" hidden="1" customHeight="1" outlineLevel="1">
      <c r="C84" s="32" t="s">
        <v>119</v>
      </c>
      <c r="D84" s="44">
        <f>D75/'Resource Options'!$D$27/1000</f>
        <v>30.703856051173272</v>
      </c>
      <c r="E84" s="24"/>
    </row>
    <row r="85" spans="1:24" ht="15" hidden="1" customHeight="1" outlineLevel="1">
      <c r="C85" s="32" t="s">
        <v>120</v>
      </c>
      <c r="D85" s="5">
        <f>D80/E69</f>
        <v>40.377368953761113</v>
      </c>
    </row>
    <row r="86" spans="1:24" ht="15.75" hidden="1" customHeight="1" outlineLevel="1" thickBot="1">
      <c r="C86" s="34" t="s">
        <v>121</v>
      </c>
      <c r="D86" s="20">
        <f>D82/(E69-E70)</f>
        <v>144.76456106816207</v>
      </c>
      <c r="E86" s="24"/>
    </row>
    <row r="87" spans="1:24" ht="15" hidden="1" customHeight="1" outlineLevel="1"/>
    <row r="88" spans="1:24" ht="15.75" collapsed="1" thickBot="1"/>
    <row r="89" spans="1:24" ht="18.75" thickBot="1">
      <c r="A89" s="95"/>
      <c r="B89" s="95"/>
      <c r="C89" s="499" t="s">
        <v>15</v>
      </c>
      <c r="D89" s="500"/>
      <c r="E89" s="500"/>
      <c r="F89" s="501"/>
    </row>
    <row r="90" spans="1:24" ht="15" hidden="1" customHeight="1" outlineLevel="1">
      <c r="C90" s="78" t="s">
        <v>44</v>
      </c>
      <c r="D90" s="67"/>
      <c r="E90" s="67">
        <f>'Resource Options'!$D$28*365</f>
        <v>146000</v>
      </c>
      <c r="F90" s="67">
        <f>E90</f>
        <v>146000</v>
      </c>
      <c r="G90" s="67">
        <f t="shared" ref="G90:X91" si="83">F90</f>
        <v>146000</v>
      </c>
      <c r="H90" s="67">
        <f t="shared" si="83"/>
        <v>146000</v>
      </c>
      <c r="I90" s="67">
        <f t="shared" si="83"/>
        <v>146000</v>
      </c>
      <c r="J90" s="67">
        <f t="shared" si="83"/>
        <v>146000</v>
      </c>
      <c r="K90" s="67">
        <f t="shared" si="83"/>
        <v>146000</v>
      </c>
      <c r="L90" s="67">
        <f t="shared" si="83"/>
        <v>146000</v>
      </c>
      <c r="M90" s="67">
        <f t="shared" si="83"/>
        <v>146000</v>
      </c>
      <c r="N90" s="67">
        <f t="shared" si="83"/>
        <v>146000</v>
      </c>
      <c r="O90" s="67">
        <f t="shared" si="83"/>
        <v>146000</v>
      </c>
      <c r="P90" s="67">
        <f t="shared" si="83"/>
        <v>146000</v>
      </c>
      <c r="Q90" s="67">
        <f t="shared" si="83"/>
        <v>146000</v>
      </c>
      <c r="R90" s="67">
        <f t="shared" si="83"/>
        <v>146000</v>
      </c>
      <c r="S90" s="67">
        <f t="shared" si="83"/>
        <v>146000</v>
      </c>
      <c r="T90" s="67">
        <f t="shared" si="83"/>
        <v>146000</v>
      </c>
      <c r="U90" s="67">
        <f t="shared" si="83"/>
        <v>146000</v>
      </c>
      <c r="V90" s="67">
        <f t="shared" si="83"/>
        <v>146000</v>
      </c>
      <c r="W90" s="67">
        <f t="shared" si="83"/>
        <v>146000</v>
      </c>
      <c r="X90" s="68">
        <f t="shared" si="83"/>
        <v>146000</v>
      </c>
    </row>
    <row r="91" spans="1:24" ht="15" hidden="1" customHeight="1" outlineLevel="1">
      <c r="C91" s="79" t="s">
        <v>115</v>
      </c>
      <c r="D91" s="69"/>
      <c r="E91" s="69">
        <f>E90*(1-INDEX('DATA (Nominal)'!$B$214:$BX$214,1,MATCH($B$1,'DATA (Nominal)'!$B$1:$BX$1,0)))</f>
        <v>20440.000000000004</v>
      </c>
      <c r="F91" s="69">
        <f>E91</f>
        <v>20440.000000000004</v>
      </c>
      <c r="G91" s="69">
        <f t="shared" si="83"/>
        <v>20440.000000000004</v>
      </c>
      <c r="H91" s="69">
        <f t="shared" si="83"/>
        <v>20440.000000000004</v>
      </c>
      <c r="I91" s="69">
        <f t="shared" si="83"/>
        <v>20440.000000000004</v>
      </c>
      <c r="J91" s="69">
        <f t="shared" si="83"/>
        <v>20440.000000000004</v>
      </c>
      <c r="K91" s="69">
        <f t="shared" si="83"/>
        <v>20440.000000000004</v>
      </c>
      <c r="L91" s="69">
        <f t="shared" si="83"/>
        <v>20440.000000000004</v>
      </c>
      <c r="M91" s="69">
        <f t="shared" si="83"/>
        <v>20440.000000000004</v>
      </c>
      <c r="N91" s="69">
        <f t="shared" si="83"/>
        <v>20440.000000000004</v>
      </c>
      <c r="O91" s="69">
        <f t="shared" si="83"/>
        <v>20440.000000000004</v>
      </c>
      <c r="P91" s="69">
        <f t="shared" si="83"/>
        <v>20440.000000000004</v>
      </c>
      <c r="Q91" s="69">
        <f t="shared" si="83"/>
        <v>20440.000000000004</v>
      </c>
      <c r="R91" s="69">
        <f t="shared" si="83"/>
        <v>20440.000000000004</v>
      </c>
      <c r="S91" s="69">
        <f t="shared" si="83"/>
        <v>20440.000000000004</v>
      </c>
      <c r="T91" s="69">
        <f t="shared" si="83"/>
        <v>20440.000000000004</v>
      </c>
      <c r="U91" s="69">
        <f t="shared" si="83"/>
        <v>20440.000000000004</v>
      </c>
      <c r="V91" s="69">
        <f t="shared" si="83"/>
        <v>20440.000000000004</v>
      </c>
      <c r="W91" s="69">
        <f t="shared" si="83"/>
        <v>20440.000000000004</v>
      </c>
      <c r="X91" s="70">
        <f t="shared" si="83"/>
        <v>20440.000000000004</v>
      </c>
    </row>
    <row r="92" spans="1:24" ht="15" hidden="1" customHeight="1" outlineLevel="1">
      <c r="C92" s="7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70"/>
    </row>
    <row r="93" spans="1:24" ht="15" hidden="1" customHeight="1" outlineLevel="1">
      <c r="C93" s="79" t="s">
        <v>47</v>
      </c>
      <c r="D93" s="71">
        <f>-PMT(Discount_Rate,20,NPV(Discount_Rate,E93:X93))</f>
        <v>2478085.4373255847</v>
      </c>
      <c r="E93" s="73">
        <f>INDEX('DATA (Nominal)'!$B$166:$BX$166,1,MATCH(E$1,'DATA (Nominal)'!$B$1:$BX$1,0))*'Resource Options'!$E$28*1000</f>
        <v>2739331.1270466684</v>
      </c>
      <c r="F93" s="73">
        <f>INDEX('DATA (Nominal)'!$B$166:$BX$166,1,MATCH(F$1,'DATA (Nominal)'!$B$1:$BX$1,0))*'Resource Options'!$E$28*1000</f>
        <v>2640976.9483651146</v>
      </c>
      <c r="G93" s="73">
        <f>INDEX('DATA (Nominal)'!$B$166:$BX$166,1,MATCH(G$1,'DATA (Nominal)'!$B$1:$BX$1,0))*'Resource Options'!$E$28*1000</f>
        <v>2559004.3832501997</v>
      </c>
      <c r="H93" s="73">
        <f>INDEX('DATA (Nominal)'!$B$166:$BX$166,1,MATCH(H$1,'DATA (Nominal)'!$B$1:$BX$1,0))*'Resource Options'!$E$28*1000</f>
        <v>2467103.9742676774</v>
      </c>
      <c r="I93" s="73">
        <f>INDEX('DATA (Nominal)'!$B$166:$BX$166,1,MATCH(I$1,'DATA (Nominal)'!$B$1:$BX$1,0))*'Resource Options'!$E$28*1000</f>
        <v>2378389.9373752447</v>
      </c>
      <c r="J93" s="73">
        <f>INDEX('DATA (Nominal)'!$B$166:$BX$166,1,MATCH(J$1,'DATA (Nominal)'!$B$1:$BX$1,0))*'Resource Options'!$E$28*1000</f>
        <v>2303885.756956954</v>
      </c>
      <c r="K93" s="73">
        <f>INDEX('DATA (Nominal)'!$B$166:$BX$166,1,MATCH(K$1,'DATA (Nominal)'!$B$1:$BX$1,0))*'Resource Options'!$E$28*1000</f>
        <v>2326008.3296012157</v>
      </c>
      <c r="L93" s="73">
        <f>INDEX('DATA (Nominal)'!$B$166:$BX$166,1,MATCH(L$1,'DATA (Nominal)'!$B$1:$BX$1,0))*'Resource Options'!$E$28*1000</f>
        <v>2347100.8652153183</v>
      </c>
      <c r="M93" s="73">
        <f>INDEX('DATA (Nominal)'!$B$166:$BX$166,1,MATCH(M$1,'DATA (Nominal)'!$B$1:$BX$1,0))*'Resource Options'!$E$28*1000</f>
        <v>2367995.6843649261</v>
      </c>
      <c r="N93" s="73">
        <f>INDEX('DATA (Nominal)'!$B$166:$BX$166,1,MATCH(N$1,'DATA (Nominal)'!$B$1:$BX$1,0))*'Resource Options'!$E$28*1000</f>
        <v>2388673.8787383521</v>
      </c>
      <c r="O93" s="73">
        <f>INDEX('DATA (Nominal)'!$B$166:$BX$166,1,MATCH(O$1,'DATA (Nominal)'!$B$1:$BX$1,0))*'Resource Options'!$E$28*1000</f>
        <v>2409115.803752963</v>
      </c>
      <c r="P93" s="73">
        <f>INDEX('DATA (Nominal)'!$B$166:$BX$166,1,MATCH(P$1,'DATA (Nominal)'!$B$1:$BX$1,0))*'Resource Options'!$E$28*1000</f>
        <v>2429301.0553109208</v>
      </c>
      <c r="Q93" s="73">
        <f>INDEX('DATA (Nominal)'!$B$166:$BX$166,1,MATCH(Q$1,'DATA (Nominal)'!$B$1:$BX$1,0))*'Resource Options'!$E$28*1000</f>
        <v>2449208.4458883991</v>
      </c>
      <c r="R93" s="73">
        <f>INDEX('DATA (Nominal)'!$B$166:$BX$166,1,MATCH(R$1,'DATA (Nominal)'!$B$1:$BX$1,0))*'Resource Options'!$E$28*1000</f>
        <v>2468815.9799405299</v>
      </c>
      <c r="S93" s="73">
        <f>INDEX('DATA (Nominal)'!$B$166:$BX$166,1,MATCH(S$1,'DATA (Nominal)'!$B$1:$BX$1,0))*'Resource Options'!$E$28*1000</f>
        <v>2488100.8286031443</v>
      </c>
      <c r="T93" s="73">
        <f>INDEX('DATA (Nominal)'!$B$166:$BX$166,1,MATCH(T$1,'DATA (Nominal)'!$B$1:$BX$1,0))*'Resource Options'!$E$28*1000</f>
        <v>2507039.3036726085</v>
      </c>
      <c r="U93" s="73">
        <f>INDEX('DATA (Nominal)'!$B$166:$BX$166,1,MATCH(U$1,'DATA (Nominal)'!$B$1:$BX$1,0))*'Resource Options'!$E$28*1000</f>
        <v>2525606.8308440982</v>
      </c>
      <c r="V93" s="73">
        <f>INDEX('DATA (Nominal)'!$B$166:$BX$166,1,MATCH(V$1,'DATA (Nominal)'!$B$1:$BX$1,0))*'Resource Options'!$E$28*1000</f>
        <v>2543777.9221881423</v>
      </c>
      <c r="W93" s="73">
        <f>INDEX('DATA (Nominal)'!$B$166:$BX$166,1,MATCH(W$1,'DATA (Nominal)'!$B$1:$BX$1,0))*'Resource Options'!$E$28*1000</f>
        <v>2561526.147845211</v>
      </c>
      <c r="X93" s="74">
        <f>INDEX('DATA (Nominal)'!$B$166:$BX$166,1,MATCH(X$1,'DATA (Nominal)'!$B$1:$BX$1,0))*'Resource Options'!$E$28*1000</f>
        <v>2578824.1069168518</v>
      </c>
    </row>
    <row r="94" spans="1:24" ht="15" hidden="1" customHeight="1" outlineLevel="1">
      <c r="C94" s="80" t="s">
        <v>92</v>
      </c>
      <c r="D94" s="71">
        <f>-PMT(Discount_Rate,20,NPV(Discount_Rate,E94:X94))</f>
        <v>8928019.3323881291</v>
      </c>
      <c r="E94" s="71">
        <f>INDEX('DATA (Nominal)'!$B$47:$BX$47,1,MATCH($B$1,'DATA (Nominal)'!$B$1:$BX$1,0))*Assumptions!AG$28*(1+AFUDC!$C$28)*1000000*'Resource Options'!$E$28/1000*(1-INDEX('DATA (Nominal)'!$B$228:$BX$228,1,MATCH($B$1,'DATA (Nominal)'!$B$1:$BX$1,0)))</f>
        <v>14233495.022514451</v>
      </c>
      <c r="F94" s="73">
        <f>INDEX('DATA (Nominal)'!$B$47:$BX$47,1,MATCH($B$1,'DATA (Nominal)'!$B$1:$BX$1,0))*Assumptions!AH$28*(1+AFUDC!$C$28)*1000000*'Resource Options'!$E$28/1000*(1-INDEX('DATA (Nominal)'!$B$228:$BX$228,1,MATCH($B$1,'DATA (Nominal)'!$B$1:$BX$1,0)))</f>
        <v>13399000.663170999</v>
      </c>
      <c r="G94" s="71">
        <f>INDEX('DATA (Nominal)'!$B$47:$BX$47,1,MATCH($B$1,'DATA (Nominal)'!$B$1:$BX$1,0))*Assumptions!AI$28*(1+AFUDC!$C$28)*1000000*'Resource Options'!$E$28/1000*(1-INDEX('DATA (Nominal)'!$B$228:$BX$228,1,MATCH($B$1,'DATA (Nominal)'!$B$1:$BX$1,0)))</f>
        <v>12569796.100626338</v>
      </c>
      <c r="H94" s="71">
        <f>INDEX('DATA (Nominal)'!$B$47:$BX$47,1,MATCH($B$1,'DATA (Nominal)'!$B$1:$BX$1,0))*Assumptions!AJ$28*(1+AFUDC!$C$28)*1000000*'Resource Options'!$E$28/1000*(1-INDEX('DATA (Nominal)'!$B$228:$BX$228,1,MATCH($B$1,'DATA (Nominal)'!$B$1:$BX$1,0)))</f>
        <v>11876010.336130813</v>
      </c>
      <c r="I94" s="71">
        <f>INDEX('DATA (Nominal)'!$B$47:$BX$47,1,MATCH($B$1,'DATA (Nominal)'!$B$1:$BX$1,0))*Assumptions!AK$28*(1+AFUDC!$C$28)*1000000*'Resource Options'!$E$28/1000*(1-INDEX('DATA (Nominal)'!$B$228:$BX$228,1,MATCH($B$1,'DATA (Nominal)'!$B$1:$BX$1,0)))</f>
        <v>11233006.62090371</v>
      </c>
      <c r="J94" s="71">
        <f>INDEX('DATA (Nominal)'!$B$47:$BX$47,1,MATCH($B$1,'DATA (Nominal)'!$B$1:$BX$1,0))*Assumptions!AL$28*(1+AFUDC!$C$28)*1000000*'Resource Options'!$E$28/1000*(1-INDEX('DATA (Nominal)'!$B$228:$BX$228,1,MATCH($B$1,'DATA (Nominal)'!$B$1:$BX$1,0)))</f>
        <v>10628089.442627922</v>
      </c>
      <c r="K94" s="71">
        <f>INDEX('DATA (Nominal)'!$B$47:$BX$47,1,MATCH($B$1,'DATA (Nominal)'!$B$1:$BX$1,0))*Assumptions!AM$28*(1+AFUDC!$C$28)*1000000*'Resource Options'!$E$28/1000*(1-INDEX('DATA (Nominal)'!$B$228:$BX$228,1,MATCH($B$1,'DATA (Nominal)'!$B$1:$BX$1,0)))</f>
        <v>10099345.33825477</v>
      </c>
      <c r="L94" s="71">
        <f>INDEX('DATA (Nominal)'!$B$47:$BX$47,1,MATCH($B$1,'DATA (Nominal)'!$B$1:$BX$1,0))*Assumptions!AN$28*(1+AFUDC!$C$28)*1000000*'Resource Options'!$E$28/1000*(1-INDEX('DATA (Nominal)'!$B$228:$BX$228,1,MATCH($B$1,'DATA (Nominal)'!$B$1:$BX$1,0)))</f>
        <v>9608687.7708329353</v>
      </c>
      <c r="M94" s="71">
        <f>INDEX('DATA (Nominal)'!$B$47:$BX$47,1,MATCH($B$1,'DATA (Nominal)'!$B$1:$BX$1,0))*Assumptions!AO$28*(1+AFUDC!$C$28)*1000000*'Resource Options'!$E$28/1000*(1-INDEX('DATA (Nominal)'!$B$228:$BX$228,1,MATCH($B$1,'DATA (Nominal)'!$B$1:$BX$1,0)))</f>
        <v>9118030.2034111042</v>
      </c>
      <c r="N94" s="71">
        <f>INDEX('DATA (Nominal)'!$B$47:$BX$47,1,MATCH($B$1,'DATA (Nominal)'!$B$1:$BX$1,0))*Assumptions!AP$28*(1+AFUDC!$C$28)*1000000*'Resource Options'!$E$28/1000*(1-INDEX('DATA (Nominal)'!$B$228:$BX$228,1,MATCH($B$1,'DATA (Nominal)'!$B$1:$BX$1,0)))</f>
        <v>8627372.6359892692</v>
      </c>
      <c r="O94" s="71">
        <f>INDEX('DATA (Nominal)'!$B$47:$BX$47,1,MATCH($B$1,'DATA (Nominal)'!$B$1:$BX$1,0))*Assumptions!AQ$28*(1+AFUDC!$C$28)*1000000*'Resource Options'!$E$28/1000*(1-INDEX('DATA (Nominal)'!$B$228:$BX$228,1,MATCH($B$1,'DATA (Nominal)'!$B$1:$BX$1,0)))</f>
        <v>8136715.0685674325</v>
      </c>
      <c r="P94" s="71">
        <f>INDEX('DATA (Nominal)'!$B$47:$BX$47,1,MATCH($B$1,'DATA (Nominal)'!$B$1:$BX$1,0))*Assumptions!AR$28*(1+AFUDC!$C$28)*1000000*'Resource Options'!$E$28/1000*(1-INDEX('DATA (Nominal)'!$B$228:$BX$228,1,MATCH($B$1,'DATA (Nominal)'!$B$1:$BX$1,0)))</f>
        <v>7646057.5011455994</v>
      </c>
      <c r="Q94" s="71">
        <f>INDEX('DATA (Nominal)'!$B$47:$BX$47,1,MATCH($B$1,'DATA (Nominal)'!$B$1:$BX$1,0))*Assumptions!AS$28*(1+AFUDC!$C$28)*1000000*'Resource Options'!$E$28/1000*(1-INDEX('DATA (Nominal)'!$B$228:$BX$228,1,MATCH($B$1,'DATA (Nominal)'!$B$1:$BX$1,0)))</f>
        <v>7155399.9337237673</v>
      </c>
      <c r="R94" s="71">
        <f>INDEX('DATA (Nominal)'!$B$47:$BX$47,1,MATCH($B$1,'DATA (Nominal)'!$B$1:$BX$1,0))*Assumptions!AT$28*(1+AFUDC!$C$28)*1000000*'Resource Options'!$E$28/1000*(1-INDEX('DATA (Nominal)'!$B$228:$BX$228,1,MATCH($B$1,'DATA (Nominal)'!$B$1:$BX$1,0)))</f>
        <v>6664742.3663019324</v>
      </c>
      <c r="S94" s="71">
        <f>INDEX('DATA (Nominal)'!$B$47:$BX$47,1,MATCH($B$1,'DATA (Nominal)'!$B$1:$BX$1,0))*Assumptions!AU$28*(1+AFUDC!$C$28)*1000000*'Resource Options'!$E$28/1000*(1-INDEX('DATA (Nominal)'!$B$228:$BX$228,1,MATCH($B$1,'DATA (Nominal)'!$B$1:$BX$1,0)))</f>
        <v>6174084.7988800975</v>
      </c>
      <c r="T94" s="71">
        <f>INDEX('DATA (Nominal)'!$B$47:$BX$47,1,MATCH($B$1,'DATA (Nominal)'!$B$1:$BX$1,0))*Assumptions!AV$28*(1+AFUDC!$C$28)*1000000*'Resource Options'!$E$28/1000*(1-INDEX('DATA (Nominal)'!$B$228:$BX$228,1,MATCH($B$1,'DATA (Nominal)'!$B$1:$BX$1,0)))</f>
        <v>0</v>
      </c>
      <c r="U94" s="71">
        <f>INDEX('DATA (Nominal)'!$B$47:$BX$47,1,MATCH($B$1,'DATA (Nominal)'!$B$1:$BX$1,0))*Assumptions!AW$28*(1+AFUDC!$C$28)*1000000*'Resource Options'!$E$28/1000*(1-INDEX('DATA (Nominal)'!$B$228:$BX$228,1,MATCH($B$1,'DATA (Nominal)'!$B$1:$BX$1,0)))</f>
        <v>0</v>
      </c>
      <c r="V94" s="71">
        <f>INDEX('DATA (Nominal)'!$B$47:$BX$47,1,MATCH($B$1,'DATA (Nominal)'!$B$1:$BX$1,0))*Assumptions!AX$28*(1+AFUDC!$C$28)*1000000*'Resource Options'!$E$28/1000*(1-INDEX('DATA (Nominal)'!$B$228:$BX$228,1,MATCH($B$1,'DATA (Nominal)'!$B$1:$BX$1,0)))</f>
        <v>0</v>
      </c>
      <c r="W94" s="71">
        <f>INDEX('DATA (Nominal)'!$B$47:$BX$47,1,MATCH($B$1,'DATA (Nominal)'!$B$1:$BX$1,0))*Assumptions!AY$28*(1+AFUDC!$C$28)*1000000*'Resource Options'!$E$28/1000*(1-INDEX('DATA (Nominal)'!$B$228:$BX$228,1,MATCH($B$1,'DATA (Nominal)'!$B$1:$BX$1,0)))</f>
        <v>0</v>
      </c>
      <c r="X94" s="72">
        <f>INDEX('DATA (Nominal)'!$B$47:$BX$47,1,MATCH($B$1,'DATA (Nominal)'!$B$1:$BX$1,0))*Assumptions!AZ$28*(1+AFUDC!$C$28)*1000000*'Resource Options'!$E$28/1000*(1-INDEX('DATA (Nominal)'!$B$228:$BX$228,1,MATCH($B$1,'DATA (Nominal)'!$B$1:$BX$1,0)))</f>
        <v>0</v>
      </c>
    </row>
    <row r="95" spans="1:24" ht="15" hidden="1" customHeight="1" outlineLevel="1">
      <c r="C95" s="79" t="s">
        <v>93</v>
      </c>
      <c r="D95" s="71">
        <f>-PMT(Discount_Rate,20,NPV(Discount_Rate,E95:X95))</f>
        <v>72246.102839790095</v>
      </c>
      <c r="E95" s="71">
        <f t="shared" ref="E95:X95" si="84">E93*Misc_Fees</f>
        <v>79862.459677918567</v>
      </c>
      <c r="F95" s="71">
        <f t="shared" si="84"/>
        <v>76995.041952636544</v>
      </c>
      <c r="G95" s="71">
        <f t="shared" si="84"/>
        <v>74605.213789276328</v>
      </c>
      <c r="H95" s="71">
        <f t="shared" si="84"/>
        <v>71925.949265799863</v>
      </c>
      <c r="I95" s="71">
        <f t="shared" si="84"/>
        <v>69339.580234237888</v>
      </c>
      <c r="J95" s="71">
        <f t="shared" si="84"/>
        <v>67167.485358323029</v>
      </c>
      <c r="K95" s="71">
        <f t="shared" si="84"/>
        <v>67812.446841193843</v>
      </c>
      <c r="L95" s="71">
        <f t="shared" si="84"/>
        <v>68427.378624487392</v>
      </c>
      <c r="M95" s="71">
        <f t="shared" si="84"/>
        <v>69036.546181975049</v>
      </c>
      <c r="N95" s="71">
        <f t="shared" si="84"/>
        <v>69639.398260737915</v>
      </c>
      <c r="O95" s="71">
        <f t="shared" si="84"/>
        <v>70235.362142613885</v>
      </c>
      <c r="P95" s="71">
        <f t="shared" si="84"/>
        <v>70823.84296653459</v>
      </c>
      <c r="Q95" s="71">
        <f t="shared" si="84"/>
        <v>71404.223031430389</v>
      </c>
      <c r="R95" s="71">
        <f t="shared" si="84"/>
        <v>71975.861079186201</v>
      </c>
      <c r="S95" s="71">
        <f t="shared" si="84"/>
        <v>72538.091557096064</v>
      </c>
      <c r="T95" s="71">
        <f t="shared" si="84"/>
        <v>73090.223859271224</v>
      </c>
      <c r="U95" s="71">
        <f t="shared" si="84"/>
        <v>73631.541546428838</v>
      </c>
      <c r="V95" s="71">
        <f t="shared" si="84"/>
        <v>74161.301543473106</v>
      </c>
      <c r="W95" s="71">
        <f t="shared" si="84"/>
        <v>74678.733314279278</v>
      </c>
      <c r="X95" s="72">
        <f t="shared" si="84"/>
        <v>75183.038013053898</v>
      </c>
    </row>
    <row r="96" spans="1:24" ht="15" hidden="1" customHeight="1" outlineLevel="1">
      <c r="C96" s="79" t="s">
        <v>94</v>
      </c>
      <c r="D96" s="71">
        <f>-PMT(Discount_Rate,20,NPV(Discount_Rate,E96:X96))</f>
        <v>11478350.872553501</v>
      </c>
      <c r="E96" s="71">
        <f t="shared" ref="E96:X96" si="85">SUM(E93:E95)</f>
        <v>17052688.609239038</v>
      </c>
      <c r="F96" s="71">
        <f t="shared" si="85"/>
        <v>16116972.65348875</v>
      </c>
      <c r="G96" s="71">
        <f t="shared" si="85"/>
        <v>15203405.697665814</v>
      </c>
      <c r="H96" s="71">
        <f t="shared" si="85"/>
        <v>14415040.25966429</v>
      </c>
      <c r="I96" s="71">
        <f t="shared" si="85"/>
        <v>13680736.138513193</v>
      </c>
      <c r="J96" s="71">
        <f t="shared" si="85"/>
        <v>12999142.684943199</v>
      </c>
      <c r="K96" s="71">
        <f t="shared" si="85"/>
        <v>12493166.114697179</v>
      </c>
      <c r="L96" s="71">
        <f t="shared" si="85"/>
        <v>12024216.014672741</v>
      </c>
      <c r="M96" s="71">
        <f t="shared" si="85"/>
        <v>11555062.433958005</v>
      </c>
      <c r="N96" s="71">
        <f t="shared" si="85"/>
        <v>11085685.912988361</v>
      </c>
      <c r="O96" s="71">
        <f t="shared" si="85"/>
        <v>10616066.234463008</v>
      </c>
      <c r="P96" s="71">
        <f t="shared" si="85"/>
        <v>10146182.399423055</v>
      </c>
      <c r="Q96" s="71">
        <f t="shared" si="85"/>
        <v>9676012.602643596</v>
      </c>
      <c r="R96" s="71">
        <f t="shared" si="85"/>
        <v>9205534.2073216476</v>
      </c>
      <c r="S96" s="71">
        <f t="shared" si="85"/>
        <v>8734723.7190403379</v>
      </c>
      <c r="T96" s="71">
        <f t="shared" si="85"/>
        <v>2580129.5275318795</v>
      </c>
      <c r="U96" s="71">
        <f t="shared" si="85"/>
        <v>2599238.3723905273</v>
      </c>
      <c r="V96" s="71">
        <f t="shared" si="85"/>
        <v>2617939.2237316156</v>
      </c>
      <c r="W96" s="71">
        <f t="shared" si="85"/>
        <v>2636204.8811594904</v>
      </c>
      <c r="X96" s="72">
        <f t="shared" si="85"/>
        <v>2654007.1449299059</v>
      </c>
    </row>
    <row r="97" spans="1:24" ht="15" hidden="1" customHeight="1" outlineLevel="1">
      <c r="C97" s="79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2"/>
    </row>
    <row r="98" spans="1:24" ht="15" hidden="1" customHeight="1" outlineLevel="1">
      <c r="C98" s="79" t="s">
        <v>116</v>
      </c>
      <c r="D98" s="71">
        <f>-PMT(Discount_Rate,20,NPV(Discount_Rate,E98:X98))</f>
        <v>0</v>
      </c>
      <c r="E98" s="71">
        <f>E90*INDEX('DATA (Nominal)'!$B$95:$BX$95,1,MATCH(E$1,'DATA (Nominal)'!$B$1:$BX$1,0))</f>
        <v>0</v>
      </c>
      <c r="F98" s="71">
        <f>F90*INDEX('DATA (Nominal)'!$B$95:$BX$95,1,MATCH(F$1,'DATA (Nominal)'!$B$1:$BX$1,0))</f>
        <v>0</v>
      </c>
      <c r="G98" s="71">
        <f>G90*INDEX('DATA (Nominal)'!$B$95:$BX$95,1,MATCH(G$1,'DATA (Nominal)'!$B$1:$BX$1,0))</f>
        <v>0</v>
      </c>
      <c r="H98" s="71">
        <f>H90*INDEX('DATA (Nominal)'!$B$95:$BX$95,1,MATCH(H$1,'DATA (Nominal)'!$B$1:$BX$1,0))</f>
        <v>0</v>
      </c>
      <c r="I98" s="71">
        <f>I90*INDEX('DATA (Nominal)'!$B$95:$BX$95,1,MATCH(I$1,'DATA (Nominal)'!$B$1:$BX$1,0))</f>
        <v>0</v>
      </c>
      <c r="J98" s="71">
        <f>J90*INDEX('DATA (Nominal)'!$B$95:$BX$95,1,MATCH(J$1,'DATA (Nominal)'!$B$1:$BX$1,0))</f>
        <v>0</v>
      </c>
      <c r="K98" s="71">
        <f>K90*INDEX('DATA (Nominal)'!$B$95:$BX$95,1,MATCH(K$1,'DATA (Nominal)'!$B$1:$BX$1,0))</f>
        <v>0</v>
      </c>
      <c r="L98" s="71">
        <f>L90*INDEX('DATA (Nominal)'!$B$95:$BX$95,1,MATCH(L$1,'DATA (Nominal)'!$B$1:$BX$1,0))</f>
        <v>0</v>
      </c>
      <c r="M98" s="71">
        <f>M90*INDEX('DATA (Nominal)'!$B$95:$BX$95,1,MATCH(M$1,'DATA (Nominal)'!$B$1:$BX$1,0))</f>
        <v>0</v>
      </c>
      <c r="N98" s="71">
        <f>N90*INDEX('DATA (Nominal)'!$B$95:$BX$95,1,MATCH(N$1,'DATA (Nominal)'!$B$1:$BX$1,0))</f>
        <v>0</v>
      </c>
      <c r="O98" s="71">
        <f>O90*INDEX('DATA (Nominal)'!$B$95:$BX$95,1,MATCH(O$1,'DATA (Nominal)'!$B$1:$BX$1,0))</f>
        <v>0</v>
      </c>
      <c r="P98" s="71">
        <f>P90*INDEX('DATA (Nominal)'!$B$95:$BX$95,1,MATCH(P$1,'DATA (Nominal)'!$B$1:$BX$1,0))</f>
        <v>0</v>
      </c>
      <c r="Q98" s="71">
        <f>Q90*INDEX('DATA (Nominal)'!$B$95:$BX$95,1,MATCH(Q$1,'DATA (Nominal)'!$B$1:$BX$1,0))</f>
        <v>0</v>
      </c>
      <c r="R98" s="71">
        <f>R90*INDEX('DATA (Nominal)'!$B$95:$BX$95,1,MATCH(R$1,'DATA (Nominal)'!$B$1:$BX$1,0))</f>
        <v>0</v>
      </c>
      <c r="S98" s="71">
        <f>S90*INDEX('DATA (Nominal)'!$B$95:$BX$95,1,MATCH(S$1,'DATA (Nominal)'!$B$1:$BX$1,0))</f>
        <v>0</v>
      </c>
      <c r="T98" s="71">
        <f>T90*INDEX('DATA (Nominal)'!$B$95:$BX$95,1,MATCH(T$1,'DATA (Nominal)'!$B$1:$BX$1,0))</f>
        <v>0</v>
      </c>
      <c r="U98" s="71">
        <f>U90*INDEX('DATA (Nominal)'!$B$95:$BX$95,1,MATCH(U$1,'DATA (Nominal)'!$B$1:$BX$1,0))</f>
        <v>0</v>
      </c>
      <c r="V98" s="71">
        <f>V90*INDEX('DATA (Nominal)'!$B$95:$BX$95,1,MATCH(V$1,'DATA (Nominal)'!$B$1:$BX$1,0))</f>
        <v>0</v>
      </c>
      <c r="W98" s="71">
        <f>W90*INDEX('DATA (Nominal)'!$B$95:$BX$95,1,MATCH(W$1,'DATA (Nominal)'!$B$1:$BX$1,0))</f>
        <v>0</v>
      </c>
      <c r="X98" s="72">
        <f>X90*INDEX('DATA (Nominal)'!$B$95:$BX$95,1,MATCH(X$1,'DATA (Nominal)'!$B$1:$BX$1,0))</f>
        <v>0</v>
      </c>
    </row>
    <row r="99" spans="1:24" ht="15" hidden="1" customHeight="1" outlineLevel="1">
      <c r="C99" s="79" t="s">
        <v>117</v>
      </c>
      <c r="D99" s="71">
        <f>-PMT(Discount_Rate,20,NPV(Discount_Rate,E99:X99))</f>
        <v>5728098.8727140184</v>
      </c>
      <c r="E99" s="71">
        <f>(E90+E91)*INDEX('DATA (Nominal)'!$B$152:$BX$152,1,MATCH(E$1,'DATA (Nominal)'!$B$1:$BX$1,0))</f>
        <v>5948171.9062637333</v>
      </c>
      <c r="F99" s="71">
        <f>(F90+F91)*INDEX('DATA (Nominal)'!$B$152:$BX$152,1,MATCH(F$1,'DATA (Nominal)'!$B$1:$BX$1,0))</f>
        <v>5542261.535118103</v>
      </c>
      <c r="G99" s="71">
        <f>(G90+G91)*INDEX('DATA (Nominal)'!$B$152:$BX$152,1,MATCH(G$1,'DATA (Nominal)'!$B$1:$BX$1,0))</f>
        <v>4983545.2325973511</v>
      </c>
      <c r="H99" s="71">
        <f>(H90+H91)*INDEX('DATA (Nominal)'!$B$152:$BX$152,1,MATCH(H$1,'DATA (Nominal)'!$B$1:$BX$1,0))</f>
        <v>4972208.9377468107</v>
      </c>
      <c r="I99" s="71">
        <f>(I90+I91)*INDEX('DATA (Nominal)'!$B$152:$BX$152,1,MATCH(I$1,'DATA (Nominal)'!$B$1:$BX$1,0))</f>
        <v>4988045.1244262699</v>
      </c>
      <c r="J99" s="71">
        <f>(J90+J91)*INDEX('DATA (Nominal)'!$B$152:$BX$152,1,MATCH(J$1,'DATA (Nominal)'!$B$1:$BX$1,0))</f>
        <v>5723359.7151802061</v>
      </c>
      <c r="K99" s="71">
        <f>(K90+K91)*INDEX('DATA (Nominal)'!$B$152:$BX$152,1,MATCH(K$1,'DATA (Nominal)'!$B$1:$BX$1,0))</f>
        <v>5382727.4373455048</v>
      </c>
      <c r="L99" s="71">
        <f>(L90+L91)*INDEX('DATA (Nominal)'!$B$152:$BX$152,1,MATCH(L$1,'DATA (Nominal)'!$B$1:$BX$1,0))</f>
        <v>5233980.7571521765</v>
      </c>
      <c r="M99" s="71">
        <f>(M90+M91)*INDEX('DATA (Nominal)'!$B$152:$BX$152,1,MATCH(M$1,'DATA (Nominal)'!$B$1:$BX$1,0))</f>
        <v>5403594.284728623</v>
      </c>
      <c r="N99" s="71">
        <f>(N90+N91)*INDEX('DATA (Nominal)'!$B$152:$BX$152,1,MATCH(N$1,'DATA (Nominal)'!$B$1:$BX$1,0))</f>
        <v>5491885.2759662634</v>
      </c>
      <c r="O99" s="71">
        <f>(O90+O91)*INDEX('DATA (Nominal)'!$B$152:$BX$152,1,MATCH(O$1,'DATA (Nominal)'!$B$1:$BX$1,0))</f>
        <v>5711556.9014743799</v>
      </c>
      <c r="P99" s="71">
        <f>(P90+P91)*INDEX('DATA (Nominal)'!$B$152:$BX$152,1,MATCH(P$1,'DATA (Nominal)'!$B$1:$BX$1,0))</f>
        <v>5809207.0236762995</v>
      </c>
      <c r="Q99" s="71">
        <f>(Q90+Q91)*INDEX('DATA (Nominal)'!$B$152:$BX$152,1,MATCH(Q$1,'DATA (Nominal)'!$B$1:$BX$1,0))</f>
        <v>6089984.3631736748</v>
      </c>
      <c r="R99" s="71">
        <f>(R90+R91)*INDEX('DATA (Nominal)'!$B$152:$BX$152,1,MATCH(R$1,'DATA (Nominal)'!$B$1:$BX$1,0))</f>
        <v>6045315.8272220613</v>
      </c>
      <c r="S99" s="71">
        <f>(S90+S91)*INDEX('DATA (Nominal)'!$B$152:$BX$152,1,MATCH(S$1,'DATA (Nominal)'!$B$1:$BX$1,0))</f>
        <v>6230754.9118888853</v>
      </c>
      <c r="T99" s="71">
        <f>(T90+T91)*INDEX('DATA (Nominal)'!$B$152:$BX$152,1,MATCH(T$1,'DATA (Nominal)'!$B$1:$BX$1,0))</f>
        <v>6589565.7621765137</v>
      </c>
      <c r="U99" s="71">
        <f>(U90+U91)*INDEX('DATA (Nominal)'!$B$152:$BX$152,1,MATCH(U$1,'DATA (Nominal)'!$B$1:$BX$1,0))</f>
        <v>6623912.5052276617</v>
      </c>
      <c r="V99" s="71">
        <f>(V90+V91)*INDEX('DATA (Nominal)'!$B$152:$BX$152,1,MATCH(V$1,'DATA (Nominal)'!$B$1:$BX$1,0))</f>
        <v>6894006.5934150694</v>
      </c>
      <c r="W99" s="71">
        <f>(W90+W91)*INDEX('DATA (Nominal)'!$B$152:$BX$152,1,MATCH(W$1,'DATA (Nominal)'!$B$1:$BX$1,0))</f>
        <v>7052594.1450630194</v>
      </c>
      <c r="X99" s="72">
        <f>(X90+X91)*INDEX('DATA (Nominal)'!$B$152:$BX$152,1,MATCH(X$1,'DATA (Nominal)'!$B$1:$BX$1,0))</f>
        <v>7929352.0713836672</v>
      </c>
    </row>
    <row r="100" spans="1:24" ht="15" hidden="1" customHeight="1" outlineLevel="1">
      <c r="C100" s="79" t="s">
        <v>93</v>
      </c>
      <c r="D100" s="71">
        <f>-PMT(Discount_Rate,20,NPV(Discount_Rate,E100:X100))</f>
        <v>166996.99453510446</v>
      </c>
      <c r="E100" s="73">
        <f t="shared" ref="E100:X100" si="86">SUM(E98:E99)*Misc_Fees</f>
        <v>173413.00375521288</v>
      </c>
      <c r="F100" s="73">
        <f t="shared" si="86"/>
        <v>161579.09279483318</v>
      </c>
      <c r="G100" s="73">
        <f t="shared" si="86"/>
        <v>145290.27771114316</v>
      </c>
      <c r="H100" s="73">
        <f t="shared" si="86"/>
        <v>144959.77937107053</v>
      </c>
      <c r="I100" s="73">
        <f t="shared" si="86"/>
        <v>145421.46755752346</v>
      </c>
      <c r="J100" s="73">
        <f t="shared" si="86"/>
        <v>166858.82913636373</v>
      </c>
      <c r="K100" s="73">
        <f t="shared" si="86"/>
        <v>156928.03570837085</v>
      </c>
      <c r="L100" s="73">
        <f t="shared" si="86"/>
        <v>152591.47499401454</v>
      </c>
      <c r="M100" s="73">
        <f t="shared" si="86"/>
        <v>157536.38777697828</v>
      </c>
      <c r="N100" s="73">
        <f t="shared" si="86"/>
        <v>160110.42333552043</v>
      </c>
      <c r="O100" s="73">
        <f t="shared" si="86"/>
        <v>166514.72990558407</v>
      </c>
      <c r="P100" s="73">
        <f t="shared" si="86"/>
        <v>169361.62156825882</v>
      </c>
      <c r="Q100" s="73">
        <f t="shared" si="86"/>
        <v>177547.4041239653</v>
      </c>
      <c r="R100" s="73">
        <f t="shared" si="86"/>
        <v>176245.13762683197</v>
      </c>
      <c r="S100" s="73">
        <f t="shared" si="86"/>
        <v>181651.42870120856</v>
      </c>
      <c r="T100" s="73">
        <f t="shared" si="86"/>
        <v>192112.20023049408</v>
      </c>
      <c r="U100" s="73">
        <f t="shared" si="86"/>
        <v>193113.54517740724</v>
      </c>
      <c r="V100" s="73">
        <f t="shared" si="86"/>
        <v>200987.86822442294</v>
      </c>
      <c r="W100" s="73">
        <f t="shared" si="86"/>
        <v>205611.32970516727</v>
      </c>
      <c r="X100" s="74">
        <f t="shared" si="86"/>
        <v>231172.33028911942</v>
      </c>
    </row>
    <row r="101" spans="1:24" ht="15" hidden="1" customHeight="1" outlineLevel="1">
      <c r="C101" s="79" t="s">
        <v>99</v>
      </c>
      <c r="D101" s="71">
        <f>-PMT(Discount_Rate,20,NPV(Discount_Rate,E101:X101))</f>
        <v>5895095.8672491228</v>
      </c>
      <c r="E101" s="71">
        <f>SUM(E98:E100)</f>
        <v>6121584.910018946</v>
      </c>
      <c r="F101" s="71">
        <f t="shared" ref="F101" si="87">SUM(F98:F100)</f>
        <v>5703840.6279129358</v>
      </c>
      <c r="G101" s="71">
        <f t="shared" ref="G101" si="88">SUM(G98:G100)</f>
        <v>5128835.5103084939</v>
      </c>
      <c r="H101" s="71">
        <f t="shared" ref="H101" si="89">SUM(H98:H100)</f>
        <v>5117168.7171178814</v>
      </c>
      <c r="I101" s="71">
        <f t="shared" ref="I101" si="90">SUM(I98:I100)</f>
        <v>5133466.5919837933</v>
      </c>
      <c r="J101" s="71">
        <f t="shared" ref="J101" si="91">SUM(J98:J100)</f>
        <v>5890218.5443165703</v>
      </c>
      <c r="K101" s="71">
        <f t="shared" ref="K101" si="92">SUM(K98:K100)</f>
        <v>5539655.4730538754</v>
      </c>
      <c r="L101" s="71">
        <f t="shared" ref="L101" si="93">SUM(L98:L100)</f>
        <v>5386572.2321461914</v>
      </c>
      <c r="M101" s="71">
        <f t="shared" ref="M101" si="94">SUM(M98:M100)</f>
        <v>5561130.6725056013</v>
      </c>
      <c r="N101" s="71">
        <f t="shared" ref="N101" si="95">SUM(N98:N100)</f>
        <v>5651995.6993017839</v>
      </c>
      <c r="O101" s="71">
        <f t="shared" ref="O101" si="96">SUM(O98:O100)</f>
        <v>5878071.6313799638</v>
      </c>
      <c r="P101" s="71">
        <f t="shared" ref="P101" si="97">SUM(P98:P100)</f>
        <v>5978568.6452445583</v>
      </c>
      <c r="Q101" s="71">
        <f t="shared" ref="Q101" si="98">SUM(Q98:Q100)</f>
        <v>6267531.7672976404</v>
      </c>
      <c r="R101" s="71">
        <f t="shared" ref="R101" si="99">SUM(R98:R100)</f>
        <v>6221560.9648488937</v>
      </c>
      <c r="S101" s="71">
        <f t="shared" ref="S101" si="100">SUM(S98:S100)</f>
        <v>6412406.3405900942</v>
      </c>
      <c r="T101" s="71">
        <f t="shared" ref="T101" si="101">SUM(T98:T100)</f>
        <v>6781677.9624070078</v>
      </c>
      <c r="U101" s="71">
        <f t="shared" ref="U101" si="102">SUM(U98:U100)</f>
        <v>6817026.0504050693</v>
      </c>
      <c r="V101" s="71">
        <f t="shared" ref="V101" si="103">SUM(V98:V100)</f>
        <v>7094994.4616394928</v>
      </c>
      <c r="W101" s="71">
        <f t="shared" ref="W101" si="104">SUM(W98:W100)</f>
        <v>7258205.4747681869</v>
      </c>
      <c r="X101" s="72">
        <f t="shared" ref="X101" si="105">SUM(X98:X100)</f>
        <v>8160524.401672787</v>
      </c>
    </row>
    <row r="102" spans="1:24" ht="15" hidden="1" customHeight="1" outlineLevel="1">
      <c r="C102" s="79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2"/>
    </row>
    <row r="103" spans="1:24" ht="15.75" hidden="1" customHeight="1" outlineLevel="1" thickBot="1">
      <c r="C103" s="81" t="s">
        <v>100</v>
      </c>
      <c r="D103" s="71">
        <f>-PMT(Discount_Rate,20,NPV(Discount_Rate,E103:X103))</f>
        <v>17373446.739802618</v>
      </c>
      <c r="E103" s="75">
        <f>E96+E101</f>
        <v>23174273.519257985</v>
      </c>
      <c r="F103" s="75">
        <f t="shared" ref="F103:H103" si="106">F96+F101</f>
        <v>21820813.281401686</v>
      </c>
      <c r="G103" s="75">
        <f t="shared" si="106"/>
        <v>20332241.207974307</v>
      </c>
      <c r="H103" s="75">
        <f t="shared" si="106"/>
        <v>19532208.976782173</v>
      </c>
      <c r="I103" s="75">
        <f>I96+I101</f>
        <v>18814202.730496988</v>
      </c>
      <c r="J103" s="75">
        <f t="shared" ref="J103:X103" si="107">J96+J101</f>
        <v>18889361.22925977</v>
      </c>
      <c r="K103" s="75">
        <f t="shared" si="107"/>
        <v>18032821.587751053</v>
      </c>
      <c r="L103" s="75">
        <f t="shared" si="107"/>
        <v>17410788.246818934</v>
      </c>
      <c r="M103" s="75">
        <f t="shared" si="107"/>
        <v>17116193.106463607</v>
      </c>
      <c r="N103" s="75">
        <f t="shared" si="107"/>
        <v>16737681.612290144</v>
      </c>
      <c r="O103" s="75">
        <f t="shared" si="107"/>
        <v>16494137.865842972</v>
      </c>
      <c r="P103" s="75">
        <f t="shared" si="107"/>
        <v>16124751.044667613</v>
      </c>
      <c r="Q103" s="75">
        <f t="shared" si="107"/>
        <v>15943544.369941236</v>
      </c>
      <c r="R103" s="75">
        <f t="shared" si="107"/>
        <v>15427095.172170542</v>
      </c>
      <c r="S103" s="75">
        <f t="shared" si="107"/>
        <v>15147130.059630431</v>
      </c>
      <c r="T103" s="75">
        <f t="shared" si="107"/>
        <v>9361807.4899388868</v>
      </c>
      <c r="U103" s="75">
        <f t="shared" si="107"/>
        <v>9416264.4227955975</v>
      </c>
      <c r="V103" s="75">
        <f t="shared" si="107"/>
        <v>9712933.6853711084</v>
      </c>
      <c r="W103" s="75">
        <f t="shared" si="107"/>
        <v>9894410.3559276778</v>
      </c>
      <c r="X103" s="76">
        <f t="shared" si="107"/>
        <v>10814531.546602692</v>
      </c>
    </row>
    <row r="104" spans="1:24" ht="15" hidden="1" customHeight="1" outlineLevel="1">
      <c r="A104" s="95"/>
      <c r="C104" s="35" t="s">
        <v>118</v>
      </c>
      <c r="D104" s="77">
        <f>D96/'Resource Options'!$E$28/1000</f>
        <v>459.13403490214006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</row>
    <row r="105" spans="1:24" ht="15" hidden="1" customHeight="1" outlineLevel="1">
      <c r="C105" s="32" t="s">
        <v>119</v>
      </c>
      <c r="D105" s="44">
        <f>D96/'Resource Options'!$D$28/1000</f>
        <v>28.695877181383754</v>
      </c>
      <c r="E105" s="24"/>
    </row>
    <row r="106" spans="1:24" ht="15" hidden="1" customHeight="1" outlineLevel="1">
      <c r="C106" s="32" t="s">
        <v>120</v>
      </c>
      <c r="D106" s="5">
        <f>D101/E90</f>
        <v>40.377368953761113</v>
      </c>
    </row>
    <row r="107" spans="1:24" ht="15.75" hidden="1" customHeight="1" outlineLevel="1" thickBot="1">
      <c r="C107" s="34" t="s">
        <v>121</v>
      </c>
      <c r="D107" s="20">
        <f>D103/(E90-E91)</f>
        <v>138.36768668208521</v>
      </c>
      <c r="E107" s="24"/>
    </row>
    <row r="108" spans="1:24" ht="15" hidden="1" customHeight="1" outlineLevel="1"/>
    <row r="109" spans="1:24" ht="15.75" collapsed="1" thickBot="1"/>
    <row r="110" spans="1:24" ht="18.75" thickBot="1">
      <c r="A110" s="95"/>
      <c r="B110" s="95"/>
      <c r="C110" s="499" t="s">
        <v>16</v>
      </c>
      <c r="D110" s="500"/>
      <c r="E110" s="500"/>
      <c r="F110" s="501"/>
    </row>
    <row r="111" spans="1:24" ht="15" hidden="1" customHeight="1" outlineLevel="1">
      <c r="C111" s="78" t="s">
        <v>44</v>
      </c>
      <c r="D111" s="67"/>
      <c r="E111" s="67">
        <f>'Resource Options'!$D$29*365</f>
        <v>36500</v>
      </c>
      <c r="F111" s="67">
        <f>E111</f>
        <v>36500</v>
      </c>
      <c r="G111" s="67">
        <f t="shared" ref="G111:X112" si="108">F111</f>
        <v>36500</v>
      </c>
      <c r="H111" s="67">
        <f t="shared" si="108"/>
        <v>36500</v>
      </c>
      <c r="I111" s="67">
        <f t="shared" si="108"/>
        <v>36500</v>
      </c>
      <c r="J111" s="67">
        <f t="shared" si="108"/>
        <v>36500</v>
      </c>
      <c r="K111" s="67">
        <f t="shared" si="108"/>
        <v>36500</v>
      </c>
      <c r="L111" s="67">
        <f t="shared" si="108"/>
        <v>36500</v>
      </c>
      <c r="M111" s="67">
        <f t="shared" si="108"/>
        <v>36500</v>
      </c>
      <c r="N111" s="67">
        <f t="shared" si="108"/>
        <v>36500</v>
      </c>
      <c r="O111" s="67">
        <f t="shared" si="108"/>
        <v>36500</v>
      </c>
      <c r="P111" s="67">
        <f t="shared" si="108"/>
        <v>36500</v>
      </c>
      <c r="Q111" s="67">
        <f t="shared" si="108"/>
        <v>36500</v>
      </c>
      <c r="R111" s="67">
        <f t="shared" si="108"/>
        <v>36500</v>
      </c>
      <c r="S111" s="67">
        <f t="shared" si="108"/>
        <v>36500</v>
      </c>
      <c r="T111" s="67">
        <f t="shared" si="108"/>
        <v>36500</v>
      </c>
      <c r="U111" s="67">
        <f t="shared" si="108"/>
        <v>36500</v>
      </c>
      <c r="V111" s="67">
        <f t="shared" si="108"/>
        <v>36500</v>
      </c>
      <c r="W111" s="67">
        <f t="shared" si="108"/>
        <v>36500</v>
      </c>
      <c r="X111" s="68">
        <f t="shared" si="108"/>
        <v>36500</v>
      </c>
    </row>
    <row r="112" spans="1:24" ht="15" hidden="1" customHeight="1" outlineLevel="1">
      <c r="C112" s="79" t="s">
        <v>115</v>
      </c>
      <c r="D112" s="69"/>
      <c r="E112" s="69">
        <f>E111*(1-INDEX('DATA (Nominal)'!$B$215:$BX$215,1,MATCH($B$1,'DATA (Nominal)'!$B$1:$BX$1,0)))</f>
        <v>10950.000000000002</v>
      </c>
      <c r="F112" s="69">
        <f>E112</f>
        <v>10950.000000000002</v>
      </c>
      <c r="G112" s="69">
        <f t="shared" si="108"/>
        <v>10950.000000000002</v>
      </c>
      <c r="H112" s="69">
        <f t="shared" si="108"/>
        <v>10950.000000000002</v>
      </c>
      <c r="I112" s="69">
        <f t="shared" si="108"/>
        <v>10950.000000000002</v>
      </c>
      <c r="J112" s="69">
        <f t="shared" si="108"/>
        <v>10950.000000000002</v>
      </c>
      <c r="K112" s="69">
        <f t="shared" si="108"/>
        <v>10950.000000000002</v>
      </c>
      <c r="L112" s="69">
        <f t="shared" si="108"/>
        <v>10950.000000000002</v>
      </c>
      <c r="M112" s="69">
        <f t="shared" si="108"/>
        <v>10950.000000000002</v>
      </c>
      <c r="N112" s="69">
        <f t="shared" si="108"/>
        <v>10950.000000000002</v>
      </c>
      <c r="O112" s="69">
        <f t="shared" si="108"/>
        <v>10950.000000000002</v>
      </c>
      <c r="P112" s="69">
        <f t="shared" si="108"/>
        <v>10950.000000000002</v>
      </c>
      <c r="Q112" s="69">
        <f t="shared" si="108"/>
        <v>10950.000000000002</v>
      </c>
      <c r="R112" s="69">
        <f t="shared" si="108"/>
        <v>10950.000000000002</v>
      </c>
      <c r="S112" s="69">
        <f t="shared" si="108"/>
        <v>10950.000000000002</v>
      </c>
      <c r="T112" s="69">
        <f t="shared" si="108"/>
        <v>10950.000000000002</v>
      </c>
      <c r="U112" s="69">
        <f t="shared" si="108"/>
        <v>10950.000000000002</v>
      </c>
      <c r="V112" s="69">
        <f t="shared" si="108"/>
        <v>10950.000000000002</v>
      </c>
      <c r="W112" s="69">
        <f t="shared" si="108"/>
        <v>10950.000000000002</v>
      </c>
      <c r="X112" s="70">
        <f t="shared" si="108"/>
        <v>10950.000000000002</v>
      </c>
    </row>
    <row r="113" spans="1:24" ht="15" hidden="1" customHeight="1" outlineLevel="1">
      <c r="C113" s="7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70"/>
    </row>
    <row r="114" spans="1:24" ht="15" hidden="1" customHeight="1" outlineLevel="1">
      <c r="C114" s="79" t="s">
        <v>47</v>
      </c>
      <c r="D114" s="71">
        <f>-PMT(Discount_Rate,20,NPV(Discount_Rate,E114:X114))</f>
        <v>2009262.897569414</v>
      </c>
      <c r="E114" s="73">
        <f>INDEX('DATA (Nominal)'!$B$167:$BX$167,1,MATCH(E$1,'DATA (Nominal)'!$B$1:$BX$1,0))*'Resource Options'!$E$29*1000</f>
        <v>1694716.0379157246</v>
      </c>
      <c r="F114" s="73">
        <f>INDEX('DATA (Nominal)'!$B$167:$BX$167,1,MATCH(F$1,'DATA (Nominal)'!$B$1:$BX$1,0))*'Resource Options'!$E$29*1000</f>
        <v>1732564.6960958422</v>
      </c>
      <c r="G114" s="73">
        <f>INDEX('DATA (Nominal)'!$B$167:$BX$167,1,MATCH(G$1,'DATA (Nominal)'!$B$1:$BX$1,0))*'Resource Options'!$E$29*1000</f>
        <v>1771258.6409753163</v>
      </c>
      <c r="H114" s="73">
        <f>INDEX('DATA (Nominal)'!$B$167:$BX$167,1,MATCH(H$1,'DATA (Nominal)'!$B$1:$BX$1,0))*'Resource Options'!$E$29*1000</f>
        <v>1810226.3310767733</v>
      </c>
      <c r="I114" s="73">
        <f>INDEX('DATA (Nominal)'!$B$167:$BX$167,1,MATCH(I$1,'DATA (Nominal)'!$B$1:$BX$1,0))*'Resource Options'!$E$29*1000</f>
        <v>1850051.3103604626</v>
      </c>
      <c r="J114" s="73">
        <f>INDEX('DATA (Nominal)'!$B$167:$BX$167,1,MATCH(J$1,'DATA (Nominal)'!$B$1:$BX$1,0))*'Resource Options'!$E$29*1000</f>
        <v>1890752.4391883926</v>
      </c>
      <c r="K114" s="73">
        <f>INDEX('DATA (Nominal)'!$B$167:$BX$167,1,MATCH(K$1,'DATA (Nominal)'!$B$1:$BX$1,0))*'Resource Options'!$E$29*1000</f>
        <v>1932348.9928505367</v>
      </c>
      <c r="L114" s="73">
        <f>INDEX('DATA (Nominal)'!$B$167:$BX$167,1,MATCH(L$1,'DATA (Nominal)'!$B$1:$BX$1,0))*'Resource Options'!$E$29*1000</f>
        <v>1974860.6706932487</v>
      </c>
      <c r="M114" s="73">
        <f>INDEX('DATA (Nominal)'!$B$167:$BX$167,1,MATCH(M$1,'DATA (Nominal)'!$B$1:$BX$1,0))*'Resource Options'!$E$29*1000</f>
        <v>2018307.6054485003</v>
      </c>
      <c r="N114" s="73">
        <f>INDEX('DATA (Nominal)'!$B$167:$BX$167,1,MATCH(N$1,'DATA (Nominal)'!$B$1:$BX$1,0))*'Resource Options'!$E$29*1000</f>
        <v>2062710.3727683674</v>
      </c>
      <c r="O114" s="73">
        <f>INDEX('DATA (Nominal)'!$B$167:$BX$167,1,MATCH(O$1,'DATA (Nominal)'!$B$1:$BX$1,0))*'Resource Options'!$E$29*1000</f>
        <v>2108090.0009692712</v>
      </c>
      <c r="P114" s="73">
        <f>INDEX('DATA (Nominal)'!$B$167:$BX$167,1,MATCH(P$1,'DATA (Nominal)'!$B$1:$BX$1,0))*'Resource Options'!$E$29*1000</f>
        <v>2154467.9809905956</v>
      </c>
      <c r="Q114" s="73">
        <f>INDEX('DATA (Nominal)'!$B$167:$BX$167,1,MATCH(Q$1,'DATA (Nominal)'!$B$1:$BX$1,0))*'Resource Options'!$E$29*1000</f>
        <v>2201866.2765723886</v>
      </c>
      <c r="R114" s="73">
        <f>INDEX('DATA (Nominal)'!$B$167:$BX$167,1,MATCH(R$1,'DATA (Nominal)'!$B$1:$BX$1,0))*'Resource Options'!$E$29*1000</f>
        <v>2250307.3346569813</v>
      </c>
      <c r="S114" s="73">
        <f>INDEX('DATA (Nominal)'!$B$167:$BX$167,1,MATCH(S$1,'DATA (Nominal)'!$B$1:$BX$1,0))*'Resource Options'!$E$29*1000</f>
        <v>2299814.0960194347</v>
      </c>
      <c r="T114" s="73">
        <f>INDEX('DATA (Nominal)'!$B$167:$BX$167,1,MATCH(T$1,'DATA (Nominal)'!$B$1:$BX$1,0))*'Resource Options'!$E$29*1000</f>
        <v>2350410.0061318623</v>
      </c>
      <c r="U114" s="73">
        <f>INDEX('DATA (Nominal)'!$B$167:$BX$167,1,MATCH(U$1,'DATA (Nominal)'!$B$1:$BX$1,0))*'Resource Options'!$E$29*1000</f>
        <v>2402119.0262667635</v>
      </c>
      <c r="V114" s="73">
        <f>INDEX('DATA (Nominal)'!$B$167:$BX$167,1,MATCH(V$1,'DATA (Nominal)'!$B$1:$BX$1,0))*'Resource Options'!$E$29*1000</f>
        <v>2454965.6448446321</v>
      </c>
      <c r="W114" s="73">
        <f>INDEX('DATA (Nominal)'!$B$167:$BX$167,1,MATCH(W$1,'DATA (Nominal)'!$B$1:$BX$1,0))*'Resource Options'!$E$29*1000</f>
        <v>2508974.8890312137</v>
      </c>
      <c r="X114" s="74">
        <f>INDEX('DATA (Nominal)'!$B$167:$BX$167,1,MATCH(X$1,'DATA (Nominal)'!$B$1:$BX$1,0))*'Resource Options'!$E$29*1000</f>
        <v>2564172.3365899008</v>
      </c>
    </row>
    <row r="115" spans="1:24" ht="15" hidden="1" customHeight="1" outlineLevel="1">
      <c r="C115" s="80" t="s">
        <v>92</v>
      </c>
      <c r="D115" s="71">
        <f>-PMT(Discount_Rate,20,NPV(Discount_Rate,E115:X115))</f>
        <v>2706148.1382144261</v>
      </c>
      <c r="E115" s="71">
        <f>INDEX('DATA (Nominal)'!$B$48:$BX$48,1,MATCH($B$1,'DATA (Nominal)'!$B$1:$BX$1,0))*Assumptions!AG$29*(1+AFUDC!$C$29)*1000000*'Resource Options'!$E$29/1000*(1-INDEX('DATA (Nominal)'!$B$229:$BX$229,1,MATCH($B$1,'DATA (Nominal)'!$B$1:$BX$1,0)))</f>
        <v>3801924.1118404293</v>
      </c>
      <c r="F115" s="73">
        <f>INDEX('DATA (Nominal)'!$B$48:$BX$48,1,MATCH($B$1,'DATA (Nominal)'!$B$1:$BX$1,0))*Assumptions!AH$29*(1+AFUDC!$C$29)*1000000*'Resource Options'!$E$29/1000*(1-INDEX('DATA (Nominal)'!$B$229:$BX$229,1,MATCH($B$1,'DATA (Nominal)'!$B$1:$BX$1,0)))</f>
        <v>3590701.1403037175</v>
      </c>
      <c r="G115" s="71">
        <f>INDEX('DATA (Nominal)'!$B$48:$BX$48,1,MATCH($B$1,'DATA (Nominal)'!$B$1:$BX$1,0))*Assumptions!AI$29*(1+AFUDC!$C$29)*1000000*'Resource Options'!$E$29/1000*(1-INDEX('DATA (Nominal)'!$B$229:$BX$229,1,MATCH($B$1,'DATA (Nominal)'!$B$1:$BX$1,0)))</f>
        <v>3381047.8225462767</v>
      </c>
      <c r="H115" s="71">
        <f>INDEX('DATA (Nominal)'!$B$48:$BX$48,1,MATCH($B$1,'DATA (Nominal)'!$B$1:$BX$1,0))*Assumptions!AJ$29*(1+AFUDC!$C$29)*1000000*'Resource Options'!$E$29/1000*(1-INDEX('DATA (Nominal)'!$B$229:$BX$229,1,MATCH($B$1,'DATA (Nominal)'!$B$1:$BX$1,0)))</f>
        <v>3211577.6415382018</v>
      </c>
      <c r="I115" s="71">
        <f>INDEX('DATA (Nominal)'!$B$48:$BX$48,1,MATCH($B$1,'DATA (Nominal)'!$B$1:$BX$1,0))*Assumptions!AK$29*(1+AFUDC!$C$29)*1000000*'Resource Options'!$E$29/1000*(1-INDEX('DATA (Nominal)'!$B$229:$BX$229,1,MATCH($B$1,'DATA (Nominal)'!$B$1:$BX$1,0)))</f>
        <v>3057176.1368111405</v>
      </c>
      <c r="J115" s="71">
        <f>INDEX('DATA (Nominal)'!$B$48:$BX$48,1,MATCH($B$1,'DATA (Nominal)'!$B$1:$BX$1,0))*Assumptions!AL$29*(1+AFUDC!$C$29)*1000000*'Resource Options'!$E$29/1000*(1-INDEX('DATA (Nominal)'!$B$229:$BX$229,1,MATCH($B$1,'DATA (Nominal)'!$B$1:$BX$1,0)))</f>
        <v>2914076.1392948381</v>
      </c>
      <c r="K115" s="71">
        <f>INDEX('DATA (Nominal)'!$B$48:$BX$48,1,MATCH($B$1,'DATA (Nominal)'!$B$1:$BX$1,0))*Assumptions!AM$29*(1+AFUDC!$C$29)*1000000*'Resource Options'!$E$29/1000*(1-INDEX('DATA (Nominal)'!$B$229:$BX$229,1,MATCH($B$1,'DATA (Nominal)'!$B$1:$BX$1,0)))</f>
        <v>2793579.1562000541</v>
      </c>
      <c r="L115" s="71">
        <f>INDEX('DATA (Nominal)'!$B$48:$BX$48,1,MATCH($B$1,'DATA (Nominal)'!$B$1:$BX$1,0))*Assumptions!AN$29*(1+AFUDC!$C$29)*1000000*'Resource Options'!$E$29/1000*(1-INDEX('DATA (Nominal)'!$B$229:$BX$229,1,MATCH($B$1,'DATA (Nominal)'!$B$1:$BX$1,0)))</f>
        <v>2684383.68031603</v>
      </c>
      <c r="M115" s="71">
        <f>INDEX('DATA (Nominal)'!$B$48:$BX$48,1,MATCH($B$1,'DATA (Nominal)'!$B$1:$BX$1,0))*Assumptions!AO$29*(1+AFUDC!$C$29)*1000000*'Resource Options'!$E$29/1000*(1-INDEX('DATA (Nominal)'!$B$229:$BX$229,1,MATCH($B$1,'DATA (Nominal)'!$B$1:$BX$1,0)))</f>
        <v>2575188.204432006</v>
      </c>
      <c r="N115" s="71">
        <f>INDEX('DATA (Nominal)'!$B$48:$BX$48,1,MATCH($B$1,'DATA (Nominal)'!$B$1:$BX$1,0))*Assumptions!AP$29*(1+AFUDC!$C$29)*1000000*'Resource Options'!$E$29/1000*(1-INDEX('DATA (Nominal)'!$B$229:$BX$229,1,MATCH($B$1,'DATA (Nominal)'!$B$1:$BX$1,0)))</f>
        <v>2465992.728547981</v>
      </c>
      <c r="O115" s="71">
        <f>INDEX('DATA (Nominal)'!$B$48:$BX$48,1,MATCH($B$1,'DATA (Nominal)'!$B$1:$BX$1,0))*Assumptions!AQ$29*(1+AFUDC!$C$29)*1000000*'Resource Options'!$E$29/1000*(1-INDEX('DATA (Nominal)'!$B$229:$BX$229,1,MATCH($B$1,'DATA (Nominal)'!$B$1:$BX$1,0)))</f>
        <v>2356797.252663957</v>
      </c>
      <c r="P115" s="71">
        <f>INDEX('DATA (Nominal)'!$B$48:$BX$48,1,MATCH($B$1,'DATA (Nominal)'!$B$1:$BX$1,0))*Assumptions!AR$29*(1+AFUDC!$C$29)*1000000*'Resource Options'!$E$29/1000*(1-INDEX('DATA (Nominal)'!$B$229:$BX$229,1,MATCH($B$1,'DATA (Nominal)'!$B$1:$BX$1,0)))</f>
        <v>2247601.776779932</v>
      </c>
      <c r="Q115" s="71">
        <f>INDEX('DATA (Nominal)'!$B$48:$BX$48,1,MATCH($B$1,'DATA (Nominal)'!$B$1:$BX$1,0))*Assumptions!AS$29*(1+AFUDC!$C$29)*1000000*'Resource Options'!$E$29/1000*(1-INDEX('DATA (Nominal)'!$B$229:$BX$229,1,MATCH($B$1,'DATA (Nominal)'!$B$1:$BX$1,0)))</f>
        <v>2138406.3008959075</v>
      </c>
      <c r="R115" s="71">
        <f>INDEX('DATA (Nominal)'!$B$48:$BX$48,1,MATCH($B$1,'DATA (Nominal)'!$B$1:$BX$1,0))*Assumptions!AT$29*(1+AFUDC!$C$29)*1000000*'Resource Options'!$E$29/1000*(1-INDEX('DATA (Nominal)'!$B$229:$BX$229,1,MATCH($B$1,'DATA (Nominal)'!$B$1:$BX$1,0)))</f>
        <v>2029210.8250118836</v>
      </c>
      <c r="S115" s="71">
        <f>INDEX('DATA (Nominal)'!$B$48:$BX$48,1,MATCH($B$1,'DATA (Nominal)'!$B$1:$BX$1,0))*Assumptions!AU$29*(1+AFUDC!$C$29)*1000000*'Resource Options'!$E$29/1000*(1-INDEX('DATA (Nominal)'!$B$229:$BX$229,1,MATCH($B$1,'DATA (Nominal)'!$B$1:$BX$1,0)))</f>
        <v>1920015.3491278584</v>
      </c>
      <c r="T115" s="71">
        <f>INDEX('DATA (Nominal)'!$B$48:$BX$48,1,MATCH($B$1,'DATA (Nominal)'!$B$1:$BX$1,0))*Assumptions!AV$29*(1+AFUDC!$C$29)*1000000*'Resource Options'!$E$29/1000*(1-INDEX('DATA (Nominal)'!$B$229:$BX$229,1,MATCH($B$1,'DATA (Nominal)'!$B$1:$BX$1,0)))</f>
        <v>1810819.8732438346</v>
      </c>
      <c r="U115" s="71">
        <f>INDEX('DATA (Nominal)'!$B$48:$BX$48,1,MATCH($B$1,'DATA (Nominal)'!$B$1:$BX$1,0))*Assumptions!AW$29*(1+AFUDC!$C$29)*1000000*'Resource Options'!$E$29/1000*(1-INDEX('DATA (Nominal)'!$B$229:$BX$229,1,MATCH($B$1,'DATA (Nominal)'!$B$1:$BX$1,0)))</f>
        <v>1701624.3973598103</v>
      </c>
      <c r="V115" s="71">
        <f>INDEX('DATA (Nominal)'!$B$48:$BX$48,1,MATCH($B$1,'DATA (Nominal)'!$B$1:$BX$1,0))*Assumptions!AX$29*(1+AFUDC!$C$29)*1000000*'Resource Options'!$E$29/1000*(1-INDEX('DATA (Nominal)'!$B$229:$BX$229,1,MATCH($B$1,'DATA (Nominal)'!$B$1:$BX$1,0)))</f>
        <v>1592428.9214757853</v>
      </c>
      <c r="W115" s="71">
        <f>INDEX('DATA (Nominal)'!$B$48:$BX$48,1,MATCH($B$1,'DATA (Nominal)'!$B$1:$BX$1,0))*Assumptions!AY$29*(1+AFUDC!$C$29)*1000000*'Resource Options'!$E$29/1000*(1-INDEX('DATA (Nominal)'!$B$229:$BX$229,1,MATCH($B$1,'DATA (Nominal)'!$B$1:$BX$1,0)))</f>
        <v>1483233.4455917615</v>
      </c>
      <c r="X115" s="72">
        <f>INDEX('DATA (Nominal)'!$B$48:$BX$48,1,MATCH($B$1,'DATA (Nominal)'!$B$1:$BX$1,0))*Assumptions!AZ$29*(1+AFUDC!$C$29)*1000000*'Resource Options'!$E$29/1000*(1-INDEX('DATA (Nominal)'!$B$229:$BX$229,1,MATCH($B$1,'DATA (Nominal)'!$B$1:$BX$1,0)))</f>
        <v>1374037.9697077365</v>
      </c>
    </row>
    <row r="116" spans="1:24" ht="15" hidden="1" customHeight="1" outlineLevel="1">
      <c r="C116" s="79" t="s">
        <v>93</v>
      </c>
      <c r="D116" s="71">
        <f>-PMT(Discount_Rate,20,NPV(Discount_Rate,E116:X116))</f>
        <v>58578.050515738687</v>
      </c>
      <c r="E116" s="71">
        <f t="shared" ref="E116:X116" si="109">E114*Misc_Fees</f>
        <v>49407.751369395031</v>
      </c>
      <c r="F116" s="71">
        <f t="shared" si="109"/>
        <v>50511.191149978178</v>
      </c>
      <c r="G116" s="71">
        <f t="shared" si="109"/>
        <v>51639.27441899437</v>
      </c>
      <c r="H116" s="71">
        <f t="shared" si="109"/>
        <v>52775.338456212252</v>
      </c>
      <c r="I116" s="71">
        <f t="shared" si="109"/>
        <v>53936.395902248929</v>
      </c>
      <c r="J116" s="71">
        <f t="shared" si="109"/>
        <v>55122.996612098395</v>
      </c>
      <c r="K116" s="71">
        <f t="shared" si="109"/>
        <v>56335.702537564546</v>
      </c>
      <c r="L116" s="71">
        <f t="shared" si="109"/>
        <v>57575.087993390975</v>
      </c>
      <c r="M116" s="71">
        <f t="shared" si="109"/>
        <v>58841.739929245574</v>
      </c>
      <c r="N116" s="71">
        <f t="shared" si="109"/>
        <v>60136.258207688981</v>
      </c>
      <c r="O116" s="71">
        <f t="shared" si="109"/>
        <v>61459.255888258129</v>
      </c>
      <c r="P116" s="71">
        <f t="shared" si="109"/>
        <v>62811.359517799821</v>
      </c>
      <c r="Q116" s="71">
        <f t="shared" si="109"/>
        <v>64193.209427191417</v>
      </c>
      <c r="R116" s="71">
        <f t="shared" si="109"/>
        <v>65605.460034589632</v>
      </c>
      <c r="S116" s="71">
        <f t="shared" si="109"/>
        <v>67048.7801553506</v>
      </c>
      <c r="T116" s="71">
        <f t="shared" si="109"/>
        <v>68523.853318768306</v>
      </c>
      <c r="U116" s="71">
        <f t="shared" si="109"/>
        <v>70031.378091781226</v>
      </c>
      <c r="V116" s="71">
        <f t="shared" si="109"/>
        <v>71572.068409800399</v>
      </c>
      <c r="W116" s="71">
        <f t="shared" si="109"/>
        <v>73146.653914816008</v>
      </c>
      <c r="X116" s="72">
        <f t="shared" si="109"/>
        <v>74755.880300941964</v>
      </c>
    </row>
    <row r="117" spans="1:24" ht="15" hidden="1" customHeight="1" outlineLevel="1">
      <c r="C117" s="79" t="s">
        <v>94</v>
      </c>
      <c r="D117" s="71">
        <f>-PMT(Discount_Rate,20,NPV(Discount_Rate,E117:X117))</f>
        <v>4773989.0862995796</v>
      </c>
      <c r="E117" s="71">
        <f t="shared" ref="E117:X117" si="110">SUM(E114:E116)</f>
        <v>5546047.9011255493</v>
      </c>
      <c r="F117" s="71">
        <f t="shared" si="110"/>
        <v>5373777.0275495378</v>
      </c>
      <c r="G117" s="71">
        <f t="shared" si="110"/>
        <v>5203945.737940588</v>
      </c>
      <c r="H117" s="71">
        <f t="shared" si="110"/>
        <v>5074579.3110711882</v>
      </c>
      <c r="I117" s="71">
        <f t="shared" si="110"/>
        <v>4961163.8430738524</v>
      </c>
      <c r="J117" s="71">
        <f t="shared" si="110"/>
        <v>4859951.5750953285</v>
      </c>
      <c r="K117" s="71">
        <f t="shared" si="110"/>
        <v>4782263.8515881551</v>
      </c>
      <c r="L117" s="71">
        <f t="shared" si="110"/>
        <v>4716819.4390026694</v>
      </c>
      <c r="M117" s="71">
        <f t="shared" si="110"/>
        <v>4652337.549809752</v>
      </c>
      <c r="N117" s="71">
        <f t="shared" si="110"/>
        <v>4588839.3595240377</v>
      </c>
      <c r="O117" s="71">
        <f t="shared" si="110"/>
        <v>4526346.5095214862</v>
      </c>
      <c r="P117" s="71">
        <f t="shared" si="110"/>
        <v>4464881.1172883268</v>
      </c>
      <c r="Q117" s="71">
        <f t="shared" si="110"/>
        <v>4404465.7868954884</v>
      </c>
      <c r="R117" s="71">
        <f t="shared" si="110"/>
        <v>4345123.619703454</v>
      </c>
      <c r="S117" s="71">
        <f t="shared" si="110"/>
        <v>4286878.2253026431</v>
      </c>
      <c r="T117" s="71">
        <f t="shared" si="110"/>
        <v>4229753.7326944657</v>
      </c>
      <c r="U117" s="71">
        <f t="shared" si="110"/>
        <v>4173774.8017183552</v>
      </c>
      <c r="V117" s="71">
        <f t="shared" si="110"/>
        <v>4118966.634730218</v>
      </c>
      <c r="W117" s="71">
        <f t="shared" si="110"/>
        <v>4065354.9885377917</v>
      </c>
      <c r="X117" s="72">
        <f t="shared" si="110"/>
        <v>4012966.1865985794</v>
      </c>
    </row>
    <row r="118" spans="1:24" ht="15" hidden="1" customHeight="1" outlineLevel="1">
      <c r="C118" s="79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2"/>
    </row>
    <row r="119" spans="1:24" ht="15" hidden="1" customHeight="1" outlineLevel="1">
      <c r="C119" s="79" t="s">
        <v>116</v>
      </c>
      <c r="D119" s="71">
        <f>-PMT(Discount_Rate,20,NPV(Discount_Rate,E119:X119))</f>
        <v>0</v>
      </c>
      <c r="E119" s="71">
        <f>E111*INDEX('DATA (Nominal)'!$B$96:$BX$96,1,MATCH(E$1,'DATA (Nominal)'!$B$1:$BX$1,0))</f>
        <v>0</v>
      </c>
      <c r="F119" s="71">
        <f>F111*INDEX('DATA (Nominal)'!$B$96:$BX$96,1,MATCH(F$1,'DATA (Nominal)'!$B$1:$BX$1,0))</f>
        <v>0</v>
      </c>
      <c r="G119" s="71">
        <f>G111*INDEX('DATA (Nominal)'!$B$96:$BX$96,1,MATCH(G$1,'DATA (Nominal)'!$B$1:$BX$1,0))</f>
        <v>0</v>
      </c>
      <c r="H119" s="71">
        <f>H111*INDEX('DATA (Nominal)'!$B$96:$BX$96,1,MATCH(H$1,'DATA (Nominal)'!$B$1:$BX$1,0))</f>
        <v>0</v>
      </c>
      <c r="I119" s="71">
        <f>I111*INDEX('DATA (Nominal)'!$B$96:$BX$96,1,MATCH(I$1,'DATA (Nominal)'!$B$1:$BX$1,0))</f>
        <v>0</v>
      </c>
      <c r="J119" s="71">
        <f>J111*INDEX('DATA (Nominal)'!$B$96:$BX$96,1,MATCH(J$1,'DATA (Nominal)'!$B$1:$BX$1,0))</f>
        <v>0</v>
      </c>
      <c r="K119" s="71">
        <f>K111*INDEX('DATA (Nominal)'!$B$96:$BX$96,1,MATCH(K$1,'DATA (Nominal)'!$B$1:$BX$1,0))</f>
        <v>0</v>
      </c>
      <c r="L119" s="71">
        <f>L111*INDEX('DATA (Nominal)'!$B$96:$BX$96,1,MATCH(L$1,'DATA (Nominal)'!$B$1:$BX$1,0))</f>
        <v>0</v>
      </c>
      <c r="M119" s="71">
        <f>M111*INDEX('DATA (Nominal)'!$B$96:$BX$96,1,MATCH(M$1,'DATA (Nominal)'!$B$1:$BX$1,0))</f>
        <v>0</v>
      </c>
      <c r="N119" s="71">
        <f>N111*INDEX('DATA (Nominal)'!$B$96:$BX$96,1,MATCH(N$1,'DATA (Nominal)'!$B$1:$BX$1,0))</f>
        <v>0</v>
      </c>
      <c r="O119" s="71">
        <f>O111*INDEX('DATA (Nominal)'!$B$96:$BX$96,1,MATCH(O$1,'DATA (Nominal)'!$B$1:$BX$1,0))</f>
        <v>0</v>
      </c>
      <c r="P119" s="71">
        <f>P111*INDEX('DATA (Nominal)'!$B$96:$BX$96,1,MATCH(P$1,'DATA (Nominal)'!$B$1:$BX$1,0))</f>
        <v>0</v>
      </c>
      <c r="Q119" s="71">
        <f>Q111*INDEX('DATA (Nominal)'!$B$96:$BX$96,1,MATCH(Q$1,'DATA (Nominal)'!$B$1:$BX$1,0))</f>
        <v>0</v>
      </c>
      <c r="R119" s="71">
        <f>R111*INDEX('DATA (Nominal)'!$B$96:$BX$96,1,MATCH(R$1,'DATA (Nominal)'!$B$1:$BX$1,0))</f>
        <v>0</v>
      </c>
      <c r="S119" s="71">
        <f>S111*INDEX('DATA (Nominal)'!$B$96:$BX$96,1,MATCH(S$1,'DATA (Nominal)'!$B$1:$BX$1,0))</f>
        <v>0</v>
      </c>
      <c r="T119" s="71">
        <f>T111*INDEX('DATA (Nominal)'!$B$96:$BX$96,1,MATCH(T$1,'DATA (Nominal)'!$B$1:$BX$1,0))</f>
        <v>0</v>
      </c>
      <c r="U119" s="71">
        <f>U111*INDEX('DATA (Nominal)'!$B$96:$BX$96,1,MATCH(U$1,'DATA (Nominal)'!$B$1:$BX$1,0))</f>
        <v>0</v>
      </c>
      <c r="V119" s="71">
        <f>V111*INDEX('DATA (Nominal)'!$B$96:$BX$96,1,MATCH(V$1,'DATA (Nominal)'!$B$1:$BX$1,0))</f>
        <v>0</v>
      </c>
      <c r="W119" s="71">
        <f>W111*INDEX('DATA (Nominal)'!$B$96:$BX$96,1,MATCH(W$1,'DATA (Nominal)'!$B$1:$BX$1,0))</f>
        <v>0</v>
      </c>
      <c r="X119" s="72">
        <f>X111*INDEX('DATA (Nominal)'!$B$96:$BX$96,1,MATCH(X$1,'DATA (Nominal)'!$B$1:$BX$1,0))</f>
        <v>0</v>
      </c>
    </row>
    <row r="120" spans="1:24" ht="15" hidden="1" customHeight="1" outlineLevel="1">
      <c r="C120" s="79" t="s">
        <v>117</v>
      </c>
      <c r="D120" s="71">
        <f>-PMT(Discount_Rate,20,NPV(Discount_Rate,E120:X120))</f>
        <v>1633010.6435368913</v>
      </c>
      <c r="E120" s="71">
        <f>(E111+E112)*INDEX('DATA (Nominal)'!$B$153:$BX$153,1,MATCH(E$1,'DATA (Nominal)'!$B$1:$BX$1,0))</f>
        <v>1695750.7627506256</v>
      </c>
      <c r="F120" s="71">
        <f>(F111+F112)*INDEX('DATA (Nominal)'!$B$153:$BX$153,1,MATCH(F$1,'DATA (Nominal)'!$B$1:$BX$1,0))</f>
        <v>1580030.7008012135</v>
      </c>
      <c r="G120" s="71">
        <f>(G111+G112)*INDEX('DATA (Nominal)'!$B$153:$BX$153,1,MATCH(G$1,'DATA (Nominal)'!$B$1:$BX$1,0))</f>
        <v>1420747.5443808238</v>
      </c>
      <c r="H120" s="71">
        <f>(H111+H112)*INDEX('DATA (Nominal)'!$B$153:$BX$153,1,MATCH(H$1,'DATA (Nominal)'!$B$1:$BX$1,0))</f>
        <v>1417515.7059365909</v>
      </c>
      <c r="I120" s="71">
        <f>(I111+I112)*INDEX('DATA (Nominal)'!$B$153:$BX$153,1,MATCH(I$1,'DATA (Nominal)'!$B$1:$BX$1,0))</f>
        <v>1422030.4082794189</v>
      </c>
      <c r="J120" s="71">
        <f>(J111+J112)*INDEX('DATA (Nominal)'!$B$153:$BX$153,1,MATCH(J$1,'DATA (Nominal)'!$B$1:$BX$1,0))</f>
        <v>1631659.5679241815</v>
      </c>
      <c r="K120" s="71">
        <f>(K111+K112)*INDEX('DATA (Nominal)'!$B$153:$BX$153,1,MATCH(K$1,'DATA (Nominal)'!$B$1:$BX$1,0))</f>
        <v>1534549.4887169204</v>
      </c>
      <c r="L120" s="71">
        <f>(L111+L112)*INDEX('DATA (Nominal)'!$B$153:$BX$153,1,MATCH(L$1,'DATA (Nominal)'!$B$1:$BX$1,0))</f>
        <v>1492143.6369074187</v>
      </c>
      <c r="M120" s="71">
        <f>(M111+M112)*INDEX('DATA (Nominal)'!$B$153:$BX$153,1,MATCH(M$1,'DATA (Nominal)'!$B$1:$BX$1,0))</f>
        <v>1540498.370646318</v>
      </c>
      <c r="N120" s="71">
        <f>(N111+N112)*INDEX('DATA (Nominal)'!$B$153:$BX$153,1,MATCH(N$1,'DATA (Nominal)'!$B$1:$BX$1,0))</f>
        <v>1565669.0479728382</v>
      </c>
      <c r="O120" s="71">
        <f>(O111+O112)*INDEX('DATA (Nominal)'!$B$153:$BX$153,1,MATCH(O$1,'DATA (Nominal)'!$B$1:$BX$1,0))</f>
        <v>1628294.7306834855</v>
      </c>
      <c r="P120" s="71">
        <f>(P111+P112)*INDEX('DATA (Nominal)'!$B$153:$BX$153,1,MATCH(P$1,'DATA (Nominal)'!$B$1:$BX$1,0))</f>
        <v>1656133.5813112259</v>
      </c>
      <c r="Q120" s="71">
        <f>(Q111+Q112)*INDEX('DATA (Nominal)'!$B$153:$BX$153,1,MATCH(Q$1,'DATA (Nominal)'!$B$1:$BX$1,0))</f>
        <v>1736179.7526591618</v>
      </c>
      <c r="R120" s="71">
        <f>(R111+R112)*INDEX('DATA (Nominal)'!$B$153:$BX$153,1,MATCH(R$1,'DATA (Nominal)'!$B$1:$BX$1,0))</f>
        <v>1723445.3016203246</v>
      </c>
      <c r="S120" s="71">
        <f>(S111+S112)*INDEX('DATA (Nominal)'!$B$153:$BX$153,1,MATCH(S$1,'DATA (Nominal)'!$B$1:$BX$1,0))</f>
        <v>1776311.7073367436</v>
      </c>
      <c r="T120" s="71">
        <f>(T111+T112)*INDEX('DATA (Nominal)'!$B$153:$BX$153,1,MATCH(T$1,'DATA (Nominal)'!$B$1:$BX$1,0))</f>
        <v>1878604.2743047078</v>
      </c>
      <c r="U120" s="71">
        <f>(U111+U112)*INDEX('DATA (Nominal)'!$B$153:$BX$153,1,MATCH(U$1,'DATA (Nominal)'!$B$1:$BX$1,0))</f>
        <v>1888396.1089464824</v>
      </c>
      <c r="V120" s="71">
        <f>(V111+V112)*INDEX('DATA (Nominal)'!$B$153:$BX$153,1,MATCH(V$1,'DATA (Nominal)'!$B$1:$BX$1,0))</f>
        <v>1965396.6165437698</v>
      </c>
      <c r="W120" s="71">
        <f>(W111+W112)*INDEX('DATA (Nominal)'!$B$153:$BX$153,1,MATCH(W$1,'DATA (Nominal)'!$B$1:$BX$1,0))</f>
        <v>2010607.9799521766</v>
      </c>
      <c r="X120" s="72">
        <f>(X111+X112)*INDEX('DATA (Nominal)'!$B$153:$BX$153,1,MATCH(X$1,'DATA (Nominal)'!$B$1:$BX$1,0))</f>
        <v>2260560.8975435896</v>
      </c>
    </row>
    <row r="121" spans="1:24" ht="15" hidden="1" customHeight="1" outlineLevel="1">
      <c r="C121" s="79" t="s">
        <v>93</v>
      </c>
      <c r="D121" s="71">
        <f>-PMT(Discount_Rate,20,NPV(Discount_Rate,E121:X121))</f>
        <v>47608.792301674519</v>
      </c>
      <c r="E121" s="73">
        <f t="shared" ref="E121:X121" si="111">SUM(E119:E120)*Misc_Fees</f>
        <v>49437.917737231735</v>
      </c>
      <c r="F121" s="73">
        <f t="shared" si="111"/>
        <v>46064.215051158579</v>
      </c>
      <c r="G121" s="73">
        <f t="shared" si="111"/>
        <v>41420.473908878535</v>
      </c>
      <c r="H121" s="73">
        <f t="shared" si="111"/>
        <v>41326.252890875374</v>
      </c>
      <c r="I121" s="73">
        <f t="shared" si="111"/>
        <v>41457.874522978178</v>
      </c>
      <c r="J121" s="73">
        <f t="shared" si="111"/>
        <v>47569.403043261584</v>
      </c>
      <c r="K121" s="73">
        <f t="shared" si="111"/>
        <v>44738.255794053097</v>
      </c>
      <c r="L121" s="73">
        <f t="shared" si="111"/>
        <v>43501.955590398888</v>
      </c>
      <c r="M121" s="73">
        <f t="shared" si="111"/>
        <v>44911.68949782275</v>
      </c>
      <c r="N121" s="73">
        <f t="shared" si="111"/>
        <v>45645.515424600126</v>
      </c>
      <c r="O121" s="73">
        <f t="shared" si="111"/>
        <v>47471.304578346339</v>
      </c>
      <c r="P121" s="73">
        <f t="shared" si="111"/>
        <v>48282.918429547477</v>
      </c>
      <c r="Q121" s="73">
        <f t="shared" si="111"/>
        <v>50616.584509025204</v>
      </c>
      <c r="R121" s="73">
        <f t="shared" si="111"/>
        <v>50245.324323438945</v>
      </c>
      <c r="S121" s="73">
        <f t="shared" si="111"/>
        <v>51786.591515695422</v>
      </c>
      <c r="T121" s="73">
        <f t="shared" si="111"/>
        <v>54768.829013079448</v>
      </c>
      <c r="U121" s="73">
        <f t="shared" si="111"/>
        <v>55054.30016022575</v>
      </c>
      <c r="V121" s="73">
        <f t="shared" si="111"/>
        <v>57299.172958717063</v>
      </c>
      <c r="W121" s="73">
        <f t="shared" si="111"/>
        <v>58617.265047525754</v>
      </c>
      <c r="X121" s="74">
        <f t="shared" si="111"/>
        <v>65904.392406985804</v>
      </c>
    </row>
    <row r="122" spans="1:24" ht="15" hidden="1" customHeight="1" outlineLevel="1">
      <c r="C122" s="79" t="s">
        <v>99</v>
      </c>
      <c r="D122" s="71">
        <f>-PMT(Discount_Rate,20,NPV(Discount_Rate,E122:X122))</f>
        <v>1680619.4358385652</v>
      </c>
      <c r="E122" s="71">
        <f>SUM(E119:E121)</f>
        <v>1745188.6804878574</v>
      </c>
      <c r="F122" s="71">
        <f t="shared" ref="F122" si="112">SUM(F119:F121)</f>
        <v>1626094.9158523721</v>
      </c>
      <c r="G122" s="71">
        <f t="shared" ref="G122" si="113">SUM(G119:G121)</f>
        <v>1462168.0182897025</v>
      </c>
      <c r="H122" s="71">
        <f t="shared" ref="H122" si="114">SUM(H119:H121)</f>
        <v>1458841.9588274662</v>
      </c>
      <c r="I122" s="71">
        <f t="shared" ref="I122" si="115">SUM(I119:I121)</f>
        <v>1463488.2828023972</v>
      </c>
      <c r="J122" s="71">
        <f t="shared" ref="J122" si="116">SUM(J119:J121)</f>
        <v>1679228.970967443</v>
      </c>
      <c r="K122" s="71">
        <f t="shared" ref="K122" si="117">SUM(K119:K121)</f>
        <v>1579287.7445109736</v>
      </c>
      <c r="L122" s="71">
        <f t="shared" ref="L122" si="118">SUM(L119:L121)</f>
        <v>1535645.5924978177</v>
      </c>
      <c r="M122" s="71">
        <f t="shared" ref="M122" si="119">SUM(M119:M121)</f>
        <v>1585410.0601441406</v>
      </c>
      <c r="N122" s="71">
        <f t="shared" ref="N122" si="120">SUM(N119:N121)</f>
        <v>1611314.5633974383</v>
      </c>
      <c r="O122" s="71">
        <f t="shared" ref="O122" si="121">SUM(O119:O121)</f>
        <v>1675766.0352618319</v>
      </c>
      <c r="P122" s="71">
        <f t="shared" ref="P122" si="122">SUM(P119:P121)</f>
        <v>1704416.4997407733</v>
      </c>
      <c r="Q122" s="71">
        <f t="shared" ref="Q122" si="123">SUM(Q119:Q121)</f>
        <v>1786796.3371681869</v>
      </c>
      <c r="R122" s="71">
        <f t="shared" ref="R122" si="124">SUM(R119:R121)</f>
        <v>1773690.6259437636</v>
      </c>
      <c r="S122" s="71">
        <f t="shared" ref="S122" si="125">SUM(S119:S121)</f>
        <v>1828098.298852439</v>
      </c>
      <c r="T122" s="71">
        <f t="shared" ref="T122" si="126">SUM(T119:T121)</f>
        <v>1933373.1033177872</v>
      </c>
      <c r="U122" s="71">
        <f t="shared" ref="U122" si="127">SUM(U119:U121)</f>
        <v>1943450.4091067081</v>
      </c>
      <c r="V122" s="71">
        <f t="shared" ref="V122" si="128">SUM(V119:V121)</f>
        <v>2022695.7895024868</v>
      </c>
      <c r="W122" s="71">
        <f t="shared" ref="W122" si="129">SUM(W119:W121)</f>
        <v>2069225.2449997023</v>
      </c>
      <c r="X122" s="72">
        <f t="shared" ref="X122" si="130">SUM(X119:X121)</f>
        <v>2326465.2899505752</v>
      </c>
    </row>
    <row r="123" spans="1:24" ht="15" hidden="1" customHeight="1" outlineLevel="1">
      <c r="C123" s="79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2"/>
    </row>
    <row r="124" spans="1:24" ht="15.75" hidden="1" customHeight="1" outlineLevel="1" thickBot="1">
      <c r="C124" s="81" t="s">
        <v>100</v>
      </c>
      <c r="D124" s="71">
        <f>-PMT(Discount_Rate,20,NPV(Discount_Rate,E124:X124))</f>
        <v>6454608.5221381448</v>
      </c>
      <c r="E124" s="75">
        <f>E117+E122</f>
        <v>7291236.5816134065</v>
      </c>
      <c r="F124" s="75">
        <f t="shared" ref="F124:H124" si="131">F117+F122</f>
        <v>6999871.9434019104</v>
      </c>
      <c r="G124" s="75">
        <f t="shared" si="131"/>
        <v>6666113.756230291</v>
      </c>
      <c r="H124" s="75">
        <f t="shared" si="131"/>
        <v>6533421.2698986549</v>
      </c>
      <c r="I124" s="75">
        <f>I117+I122</f>
        <v>6424652.1258762497</v>
      </c>
      <c r="J124" s="75">
        <f t="shared" ref="J124:X124" si="132">J117+J122</f>
        <v>6539180.5460627712</v>
      </c>
      <c r="K124" s="75">
        <f t="shared" si="132"/>
        <v>6361551.5960991289</v>
      </c>
      <c r="L124" s="75">
        <f t="shared" si="132"/>
        <v>6252465.0315004867</v>
      </c>
      <c r="M124" s="75">
        <f t="shared" si="132"/>
        <v>6237747.6099538924</v>
      </c>
      <c r="N124" s="75">
        <f t="shared" si="132"/>
        <v>6200153.922921476</v>
      </c>
      <c r="O124" s="75">
        <f t="shared" si="132"/>
        <v>6202112.5447833184</v>
      </c>
      <c r="P124" s="75">
        <f t="shared" si="132"/>
        <v>6169297.6170291007</v>
      </c>
      <c r="Q124" s="75">
        <f t="shared" si="132"/>
        <v>6191262.1240636753</v>
      </c>
      <c r="R124" s="75">
        <f t="shared" si="132"/>
        <v>6118814.2456472181</v>
      </c>
      <c r="S124" s="75">
        <f t="shared" si="132"/>
        <v>6114976.5241550822</v>
      </c>
      <c r="T124" s="75">
        <f t="shared" si="132"/>
        <v>6163126.8360122526</v>
      </c>
      <c r="U124" s="75">
        <f t="shared" si="132"/>
        <v>6117225.2108250633</v>
      </c>
      <c r="V124" s="75">
        <f t="shared" si="132"/>
        <v>6141662.4242327046</v>
      </c>
      <c r="W124" s="75">
        <f t="shared" si="132"/>
        <v>6134580.2335374942</v>
      </c>
      <c r="X124" s="76">
        <f t="shared" si="132"/>
        <v>6339431.4765491541</v>
      </c>
    </row>
    <row r="125" spans="1:24" ht="15" hidden="1" customHeight="1" outlineLevel="1">
      <c r="A125" s="95"/>
      <c r="C125" s="35" t="s">
        <v>118</v>
      </c>
      <c r="D125" s="77">
        <f>D117/'Resource Options'!$E$29/1000</f>
        <v>190.95956345198317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</row>
    <row r="126" spans="1:24" ht="15" hidden="1" customHeight="1" outlineLevel="1">
      <c r="C126" s="32" t="s">
        <v>119</v>
      </c>
      <c r="D126" s="44">
        <f>D117/'Resource Options'!$D$29/1000</f>
        <v>47.739890862995793</v>
      </c>
      <c r="E126" s="24"/>
    </row>
    <row r="127" spans="1:24" ht="15" hidden="1" customHeight="1" outlineLevel="1">
      <c r="C127" s="32" t="s">
        <v>120</v>
      </c>
      <c r="D127" s="5">
        <f>D122/E111</f>
        <v>46.044368105166171</v>
      </c>
    </row>
    <row r="128" spans="1:24" ht="15.75" hidden="1" customHeight="1" outlineLevel="1" thickBot="1">
      <c r="C128" s="34" t="s">
        <v>121</v>
      </c>
      <c r="D128" s="20">
        <f>D124/(E111-E112)</f>
        <v>252.62655663945773</v>
      </c>
      <c r="E128" s="24"/>
    </row>
    <row r="129" spans="1:24" ht="15" hidden="1" customHeight="1" outlineLevel="1"/>
    <row r="130" spans="1:24" ht="15.75" collapsed="1" thickBot="1"/>
    <row r="131" spans="1:24" ht="18.75" thickBot="1">
      <c r="A131" s="95"/>
      <c r="B131" s="95"/>
      <c r="C131" s="499" t="s">
        <v>17</v>
      </c>
      <c r="D131" s="500"/>
      <c r="E131" s="500"/>
      <c r="F131" s="501"/>
    </row>
    <row r="132" spans="1:24" ht="15" hidden="1" customHeight="1" outlineLevel="1">
      <c r="C132" s="78" t="s">
        <v>44</v>
      </c>
      <c r="D132" s="67"/>
      <c r="E132" s="67">
        <f>'Resource Options'!$D$30*365</f>
        <v>36500</v>
      </c>
      <c r="F132" s="67">
        <f>E132</f>
        <v>36500</v>
      </c>
      <c r="G132" s="67">
        <f t="shared" ref="G132:X133" si="133">F132</f>
        <v>36500</v>
      </c>
      <c r="H132" s="67">
        <f t="shared" si="133"/>
        <v>36500</v>
      </c>
      <c r="I132" s="67">
        <f t="shared" si="133"/>
        <v>36500</v>
      </c>
      <c r="J132" s="67">
        <f t="shared" si="133"/>
        <v>36500</v>
      </c>
      <c r="K132" s="67">
        <f t="shared" si="133"/>
        <v>36500</v>
      </c>
      <c r="L132" s="67">
        <f t="shared" si="133"/>
        <v>36500</v>
      </c>
      <c r="M132" s="67">
        <f t="shared" si="133"/>
        <v>36500</v>
      </c>
      <c r="N132" s="67">
        <f t="shared" si="133"/>
        <v>36500</v>
      </c>
      <c r="O132" s="67">
        <f t="shared" si="133"/>
        <v>36500</v>
      </c>
      <c r="P132" s="67">
        <f t="shared" si="133"/>
        <v>36500</v>
      </c>
      <c r="Q132" s="67">
        <f t="shared" si="133"/>
        <v>36500</v>
      </c>
      <c r="R132" s="67">
        <f t="shared" si="133"/>
        <v>36500</v>
      </c>
      <c r="S132" s="67">
        <f t="shared" si="133"/>
        <v>36500</v>
      </c>
      <c r="T132" s="67">
        <f t="shared" si="133"/>
        <v>36500</v>
      </c>
      <c r="U132" s="67">
        <f t="shared" si="133"/>
        <v>36500</v>
      </c>
      <c r="V132" s="67">
        <f t="shared" si="133"/>
        <v>36500</v>
      </c>
      <c r="W132" s="67">
        <f t="shared" si="133"/>
        <v>36500</v>
      </c>
      <c r="X132" s="68">
        <f t="shared" si="133"/>
        <v>36500</v>
      </c>
    </row>
    <row r="133" spans="1:24" ht="15" hidden="1" customHeight="1" outlineLevel="1">
      <c r="C133" s="79" t="s">
        <v>115</v>
      </c>
      <c r="D133" s="69"/>
      <c r="E133" s="69">
        <f>E132*(1-INDEX('DATA (Nominal)'!$B$216:$BX$216,1,MATCH($B$1,'DATA (Nominal)'!$B$1:$BX$1,0)))</f>
        <v>12044.999999999998</v>
      </c>
      <c r="F133" s="69">
        <f>E133</f>
        <v>12044.999999999998</v>
      </c>
      <c r="G133" s="69">
        <f t="shared" si="133"/>
        <v>12044.999999999998</v>
      </c>
      <c r="H133" s="69">
        <f t="shared" si="133"/>
        <v>12044.999999999998</v>
      </c>
      <c r="I133" s="69">
        <f t="shared" si="133"/>
        <v>12044.999999999998</v>
      </c>
      <c r="J133" s="69">
        <f t="shared" si="133"/>
        <v>12044.999999999998</v>
      </c>
      <c r="K133" s="69">
        <f t="shared" si="133"/>
        <v>12044.999999999998</v>
      </c>
      <c r="L133" s="69">
        <f t="shared" si="133"/>
        <v>12044.999999999998</v>
      </c>
      <c r="M133" s="69">
        <f t="shared" si="133"/>
        <v>12044.999999999998</v>
      </c>
      <c r="N133" s="69">
        <f t="shared" si="133"/>
        <v>12044.999999999998</v>
      </c>
      <c r="O133" s="69">
        <f t="shared" si="133"/>
        <v>12044.999999999998</v>
      </c>
      <c r="P133" s="69">
        <f t="shared" si="133"/>
        <v>12044.999999999998</v>
      </c>
      <c r="Q133" s="69">
        <f t="shared" si="133"/>
        <v>12044.999999999998</v>
      </c>
      <c r="R133" s="69">
        <f t="shared" si="133"/>
        <v>12044.999999999998</v>
      </c>
      <c r="S133" s="69">
        <f t="shared" si="133"/>
        <v>12044.999999999998</v>
      </c>
      <c r="T133" s="69">
        <f t="shared" si="133"/>
        <v>12044.999999999998</v>
      </c>
      <c r="U133" s="69">
        <f t="shared" si="133"/>
        <v>12044.999999999998</v>
      </c>
      <c r="V133" s="69">
        <f t="shared" si="133"/>
        <v>12044.999999999998</v>
      </c>
      <c r="W133" s="69">
        <f t="shared" si="133"/>
        <v>12044.999999999998</v>
      </c>
      <c r="X133" s="70">
        <f t="shared" si="133"/>
        <v>12044.999999999998</v>
      </c>
    </row>
    <row r="134" spans="1:24" ht="15" hidden="1" customHeight="1" outlineLevel="1">
      <c r="C134" s="7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70"/>
    </row>
    <row r="135" spans="1:24" ht="15" hidden="1" customHeight="1" outlineLevel="1">
      <c r="C135" s="79" t="s">
        <v>47</v>
      </c>
      <c r="D135" s="71">
        <f>-PMT(Discount_Rate,20,NPV(Discount_Rate,E135:X135))</f>
        <v>2260433.0647904403</v>
      </c>
      <c r="E135" s="73">
        <f>INDEX('DATA (Nominal)'!$B$168:$BX$168,1,MATCH(E$1,'DATA (Nominal)'!$B$1:$BX$1,0))*'Resource Options'!$E$30*1000</f>
        <v>1906565.9213482842</v>
      </c>
      <c r="F135" s="73">
        <f>INDEX('DATA (Nominal)'!$B$168:$BX$168,1,MATCH(F$1,'DATA (Nominal)'!$B$1:$BX$1,0))*'Resource Options'!$E$30*1000</f>
        <v>1949145.8935917295</v>
      </c>
      <c r="G135" s="73">
        <f>INDEX('DATA (Nominal)'!$B$168:$BX$168,1,MATCH(G$1,'DATA (Nominal)'!$B$1:$BX$1,0))*'Resource Options'!$E$30*1000</f>
        <v>1992676.8185486111</v>
      </c>
      <c r="H135" s="73">
        <f>INDEX('DATA (Nominal)'!$B$168:$BX$168,1,MATCH(H$1,'DATA (Nominal)'!$B$1:$BX$1,0))*'Resource Options'!$E$30*1000</f>
        <v>2036515.7085566807</v>
      </c>
      <c r="I135" s="73">
        <f>INDEX('DATA (Nominal)'!$B$168:$BX$168,1,MATCH(I$1,'DATA (Nominal)'!$B$1:$BX$1,0))*'Resource Options'!$E$30*1000</f>
        <v>2081319.0541449275</v>
      </c>
      <c r="J135" s="73">
        <f>INDEX('DATA (Nominal)'!$B$168:$BX$168,1,MATCH(J$1,'DATA (Nominal)'!$B$1:$BX$1,0))*'Resource Options'!$E$30*1000</f>
        <v>2127108.073336116</v>
      </c>
      <c r="K135" s="73">
        <f>INDEX('DATA (Nominal)'!$B$168:$BX$168,1,MATCH(K$1,'DATA (Nominal)'!$B$1:$BX$1,0))*'Resource Options'!$E$30*1000</f>
        <v>2173904.4509495106</v>
      </c>
      <c r="L135" s="73">
        <f>INDEX('DATA (Nominal)'!$B$168:$BX$168,1,MATCH(L$1,'DATA (Nominal)'!$B$1:$BX$1,0))*'Resource Options'!$E$30*1000</f>
        <v>2221730.3488704003</v>
      </c>
      <c r="M135" s="73">
        <f>INDEX('DATA (Nominal)'!$B$168:$BX$168,1,MATCH(M$1,'DATA (Nominal)'!$B$1:$BX$1,0))*'Resource Options'!$E$30*1000</f>
        <v>2270608.4165455485</v>
      </c>
      <c r="N135" s="73">
        <f>INDEX('DATA (Nominal)'!$B$168:$BX$168,1,MATCH(N$1,'DATA (Nominal)'!$B$1:$BX$1,0))*'Resource Options'!$E$30*1000</f>
        <v>2320561.8017095509</v>
      </c>
      <c r="O135" s="73">
        <f>INDEX('DATA (Nominal)'!$B$168:$BX$168,1,MATCH(O$1,'DATA (Nominal)'!$B$1:$BX$1,0))*'Resource Options'!$E$30*1000</f>
        <v>2371614.161347161</v>
      </c>
      <c r="P135" s="73">
        <f>INDEX('DATA (Nominal)'!$B$168:$BX$168,1,MATCH(P$1,'DATA (Nominal)'!$B$1:$BX$1,0))*'Resource Options'!$E$30*1000</f>
        <v>2423789.6728967987</v>
      </c>
      <c r="Q135" s="73">
        <f>INDEX('DATA (Nominal)'!$B$168:$BX$168,1,MATCH(Q$1,'DATA (Nominal)'!$B$1:$BX$1,0))*'Resource Options'!$E$30*1000</f>
        <v>2477113.0457005277</v>
      </c>
      <c r="R135" s="73">
        <f>INDEX('DATA (Nominal)'!$B$168:$BX$168,1,MATCH(R$1,'DATA (Nominal)'!$B$1:$BX$1,0))*'Resource Options'!$E$30*1000</f>
        <v>2531609.5327059398</v>
      </c>
      <c r="S135" s="73">
        <f>INDEX('DATA (Nominal)'!$B$168:$BX$168,1,MATCH(S$1,'DATA (Nominal)'!$B$1:$BX$1,0))*'Resource Options'!$E$30*1000</f>
        <v>2587304.9424254703</v>
      </c>
      <c r="T135" s="73">
        <f>INDEX('DATA (Nominal)'!$B$168:$BX$168,1,MATCH(T$1,'DATA (Nominal)'!$B$1:$BX$1,0))*'Resource Options'!$E$30*1000</f>
        <v>2644225.6511588306</v>
      </c>
      <c r="U135" s="73">
        <f>INDEX('DATA (Nominal)'!$B$168:$BX$168,1,MATCH(U$1,'DATA (Nominal)'!$B$1:$BX$1,0))*'Resource Options'!$E$30*1000</f>
        <v>2702398.6154843252</v>
      </c>
      <c r="V135" s="73">
        <f>INDEX('DATA (Nominal)'!$B$168:$BX$168,1,MATCH(V$1,'DATA (Nominal)'!$B$1:$BX$1,0))*'Resource Options'!$E$30*1000</f>
        <v>2761851.3850249802</v>
      </c>
      <c r="W135" s="73">
        <f>INDEX('DATA (Nominal)'!$B$168:$BX$168,1,MATCH(W$1,'DATA (Nominal)'!$B$1:$BX$1,0))*'Resource Options'!$E$30*1000</f>
        <v>2822612.11549553</v>
      </c>
      <c r="X135" s="74">
        <f>INDEX('DATA (Nominal)'!$B$168:$BX$168,1,MATCH(X$1,'DATA (Nominal)'!$B$1:$BX$1,0))*'Resource Options'!$E$30*1000</f>
        <v>2884709.5820364309</v>
      </c>
    </row>
    <row r="136" spans="1:24" ht="15" hidden="1" customHeight="1" outlineLevel="1">
      <c r="C136" s="80" t="s">
        <v>92</v>
      </c>
      <c r="D136" s="71">
        <f>-PMT(Discount_Rate,20,NPV(Discount_Rate,E136:X136))</f>
        <v>2842649.6852467172</v>
      </c>
      <c r="E136" s="71">
        <f>INDEX('DATA (Nominal)'!$B$49:$BX$49,1,MATCH($B$1,'DATA (Nominal)'!$B$1:$BX$1,0))*Assumptions!AG$30*(1+AFUDC!$C$30)*1000000*'Resource Options'!$E$30/1000*(1-INDEX('DATA (Nominal)'!$B$230:$BX$230,1,MATCH($B$1,'DATA (Nominal)'!$B$1:$BX$1,0)))</f>
        <v>3993697.9898617608</v>
      </c>
      <c r="F136" s="73">
        <f>INDEX('DATA (Nominal)'!$B$49:$BX$49,1,MATCH($B$1,'DATA (Nominal)'!$B$1:$BX$1,0))*Assumptions!AH$30*(1+AFUDC!$C$30)*1000000*'Resource Options'!$E$30/1000*(1-INDEX('DATA (Nominal)'!$B$230:$BX$230,1,MATCH($B$1,'DATA (Nominal)'!$B$1:$BX$1,0)))</f>
        <v>3771820.6635333174</v>
      </c>
      <c r="G136" s="71">
        <f>INDEX('DATA (Nominal)'!$B$49:$BX$49,1,MATCH($B$1,'DATA (Nominal)'!$B$1:$BX$1,0))*Assumptions!AI$30*(1+AFUDC!$C$30)*1000000*'Resource Options'!$E$30/1000*(1-INDEX('DATA (Nominal)'!$B$230:$BX$230,1,MATCH($B$1,'DATA (Nominal)'!$B$1:$BX$1,0)))</f>
        <v>3551592.1663131486</v>
      </c>
      <c r="H136" s="71">
        <f>INDEX('DATA (Nominal)'!$B$49:$BX$49,1,MATCH($B$1,'DATA (Nominal)'!$B$1:$BX$1,0))*Assumptions!AJ$30*(1+AFUDC!$C$30)*1000000*'Resource Options'!$E$30/1000*(1-INDEX('DATA (Nominal)'!$B$230:$BX$230,1,MATCH($B$1,'DATA (Nominal)'!$B$1:$BX$1,0)))</f>
        <v>3373573.6942648417</v>
      </c>
      <c r="I136" s="71">
        <f>INDEX('DATA (Nominal)'!$B$49:$BX$49,1,MATCH($B$1,'DATA (Nominal)'!$B$1:$BX$1,0))*Assumptions!AK$30*(1+AFUDC!$C$30)*1000000*'Resource Options'!$E$30/1000*(1-INDEX('DATA (Nominal)'!$B$230:$BX$230,1,MATCH($B$1,'DATA (Nominal)'!$B$1:$BX$1,0)))</f>
        <v>3211383.9816559809</v>
      </c>
      <c r="J136" s="71">
        <f>INDEX('DATA (Nominal)'!$B$49:$BX$49,1,MATCH($B$1,'DATA (Nominal)'!$B$1:$BX$1,0))*Assumptions!AL$30*(1+AFUDC!$C$30)*1000000*'Resource Options'!$E$30/1000*(1-INDEX('DATA (Nominal)'!$B$230:$BX$230,1,MATCH($B$1,'DATA (Nominal)'!$B$1:$BX$1,0)))</f>
        <v>3061065.8386267051</v>
      </c>
      <c r="K136" s="71">
        <f>INDEX('DATA (Nominal)'!$B$49:$BX$49,1,MATCH($B$1,'DATA (Nominal)'!$B$1:$BX$1,0))*Assumptions!AM$30*(1+AFUDC!$C$30)*1000000*'Resource Options'!$E$30/1000*(1-INDEX('DATA (Nominal)'!$B$230:$BX$230,1,MATCH($B$1,'DATA (Nominal)'!$B$1:$BX$1,0)))</f>
        <v>2934490.8347566016</v>
      </c>
      <c r="L136" s="71">
        <f>INDEX('DATA (Nominal)'!$B$49:$BX$49,1,MATCH($B$1,'DATA (Nominal)'!$B$1:$BX$1,0))*Assumptions!AN$30*(1+AFUDC!$C$30)*1000000*'Resource Options'!$E$30/1000*(1-INDEX('DATA (Nominal)'!$B$230:$BX$230,1,MATCH($B$1,'DATA (Nominal)'!$B$1:$BX$1,0)))</f>
        <v>2819787.4004660826</v>
      </c>
      <c r="M136" s="71">
        <f>INDEX('DATA (Nominal)'!$B$49:$BX$49,1,MATCH($B$1,'DATA (Nominal)'!$B$1:$BX$1,0))*Assumptions!AO$30*(1+AFUDC!$C$30)*1000000*'Resource Options'!$E$30/1000*(1-INDEX('DATA (Nominal)'!$B$230:$BX$230,1,MATCH($B$1,'DATA (Nominal)'!$B$1:$BX$1,0)))</f>
        <v>2705083.9661755636</v>
      </c>
      <c r="N136" s="71">
        <f>INDEX('DATA (Nominal)'!$B$49:$BX$49,1,MATCH($B$1,'DATA (Nominal)'!$B$1:$BX$1,0))*Assumptions!AP$30*(1+AFUDC!$C$30)*1000000*'Resource Options'!$E$30/1000*(1-INDEX('DATA (Nominal)'!$B$230:$BX$230,1,MATCH($B$1,'DATA (Nominal)'!$B$1:$BX$1,0)))</f>
        <v>2590380.5318850465</v>
      </c>
      <c r="O136" s="71">
        <f>INDEX('DATA (Nominal)'!$B$49:$BX$49,1,MATCH($B$1,'DATA (Nominal)'!$B$1:$BX$1,0))*Assumptions!AQ$30*(1+AFUDC!$C$30)*1000000*'Resource Options'!$E$30/1000*(1-INDEX('DATA (Nominal)'!$B$230:$BX$230,1,MATCH($B$1,'DATA (Nominal)'!$B$1:$BX$1,0)))</f>
        <v>2475677.097594528</v>
      </c>
      <c r="P136" s="71">
        <f>INDEX('DATA (Nominal)'!$B$49:$BX$49,1,MATCH($B$1,'DATA (Nominal)'!$B$1:$BX$1,0))*Assumptions!AR$30*(1+AFUDC!$C$30)*1000000*'Resource Options'!$E$30/1000*(1-INDEX('DATA (Nominal)'!$B$230:$BX$230,1,MATCH($B$1,'DATA (Nominal)'!$B$1:$BX$1,0)))</f>
        <v>2360973.6633040085</v>
      </c>
      <c r="Q136" s="71">
        <f>INDEX('DATA (Nominal)'!$B$49:$BX$49,1,MATCH($B$1,'DATA (Nominal)'!$B$1:$BX$1,0))*Assumptions!AS$30*(1+AFUDC!$C$30)*1000000*'Resource Options'!$E$30/1000*(1-INDEX('DATA (Nominal)'!$B$230:$BX$230,1,MATCH($B$1,'DATA (Nominal)'!$B$1:$BX$1,0)))</f>
        <v>2246270.22901349</v>
      </c>
      <c r="R136" s="71">
        <f>INDEX('DATA (Nominal)'!$B$49:$BX$49,1,MATCH($B$1,'DATA (Nominal)'!$B$1:$BX$1,0))*Assumptions!AT$30*(1+AFUDC!$C$30)*1000000*'Resource Options'!$E$30/1000*(1-INDEX('DATA (Nominal)'!$B$230:$BX$230,1,MATCH($B$1,'DATA (Nominal)'!$B$1:$BX$1,0)))</f>
        <v>2131566.7947229715</v>
      </c>
      <c r="S136" s="71">
        <f>INDEX('DATA (Nominal)'!$B$49:$BX$49,1,MATCH($B$1,'DATA (Nominal)'!$B$1:$BX$1,0))*Assumptions!AU$30*(1+AFUDC!$C$30)*1000000*'Resource Options'!$E$30/1000*(1-INDEX('DATA (Nominal)'!$B$230:$BX$230,1,MATCH($B$1,'DATA (Nominal)'!$B$1:$BX$1,0)))</f>
        <v>2016863.3604324523</v>
      </c>
      <c r="T136" s="71">
        <f>INDEX('DATA (Nominal)'!$B$49:$BX$49,1,MATCH($B$1,'DATA (Nominal)'!$B$1:$BX$1,0))*Assumptions!AV$30*(1+AFUDC!$C$30)*1000000*'Resource Options'!$E$30/1000*(1-INDEX('DATA (Nominal)'!$B$230:$BX$230,1,MATCH($B$1,'DATA (Nominal)'!$B$1:$BX$1,0)))</f>
        <v>1902159.9261419349</v>
      </c>
      <c r="U136" s="71">
        <f>INDEX('DATA (Nominal)'!$B$49:$BX$49,1,MATCH($B$1,'DATA (Nominal)'!$B$1:$BX$1,0))*Assumptions!AW$30*(1+AFUDC!$C$30)*1000000*'Resource Options'!$E$30/1000*(1-INDEX('DATA (Nominal)'!$B$230:$BX$230,1,MATCH($B$1,'DATA (Nominal)'!$B$1:$BX$1,0)))</f>
        <v>1787456.4918514155</v>
      </c>
      <c r="V136" s="71">
        <f>INDEX('DATA (Nominal)'!$B$49:$BX$49,1,MATCH($B$1,'DATA (Nominal)'!$B$1:$BX$1,0))*Assumptions!AX$30*(1+AFUDC!$C$30)*1000000*'Resource Options'!$E$30/1000*(1-INDEX('DATA (Nominal)'!$B$230:$BX$230,1,MATCH($B$1,'DATA (Nominal)'!$B$1:$BX$1,0)))</f>
        <v>1672753.0575608967</v>
      </c>
      <c r="W136" s="71">
        <f>INDEX('DATA (Nominal)'!$B$49:$BX$49,1,MATCH($B$1,'DATA (Nominal)'!$B$1:$BX$1,0))*Assumptions!AY$30*(1+AFUDC!$C$30)*1000000*'Resource Options'!$E$30/1000*(1-INDEX('DATA (Nominal)'!$B$230:$BX$230,1,MATCH($B$1,'DATA (Nominal)'!$B$1:$BX$1,0)))</f>
        <v>1558049.6232703789</v>
      </c>
      <c r="X136" s="72">
        <f>INDEX('DATA (Nominal)'!$B$49:$BX$49,1,MATCH($B$1,'DATA (Nominal)'!$B$1:$BX$1,0))*Assumptions!AZ$30*(1+AFUDC!$C$30)*1000000*'Resource Options'!$E$30/1000*(1-INDEX('DATA (Nominal)'!$B$230:$BX$230,1,MATCH($B$1,'DATA (Nominal)'!$B$1:$BX$1,0)))</f>
        <v>1443346.1889798602</v>
      </c>
    </row>
    <row r="137" spans="1:24" ht="15" hidden="1" customHeight="1" outlineLevel="1">
      <c r="C137" s="79" t="s">
        <v>93</v>
      </c>
      <c r="D137" s="71">
        <f>-PMT(Discount_Rate,20,NPV(Discount_Rate,E137:X137))</f>
        <v>65900.66557090047</v>
      </c>
      <c r="E137" s="71">
        <f t="shared" ref="E137:X137" si="134">E135*Misc_Fees</f>
        <v>55584.022870987879</v>
      </c>
      <c r="F137" s="71">
        <f t="shared" si="134"/>
        <v>56825.399381773277</v>
      </c>
      <c r="G137" s="71">
        <f t="shared" si="134"/>
        <v>58094.499967966207</v>
      </c>
      <c r="H137" s="71">
        <f t="shared" si="134"/>
        <v>59372.57896726147</v>
      </c>
      <c r="I137" s="71">
        <f t="shared" si="134"/>
        <v>60678.775704541215</v>
      </c>
      <c r="J137" s="71">
        <f t="shared" si="134"/>
        <v>62013.708770041128</v>
      </c>
      <c r="K137" s="71">
        <f t="shared" si="134"/>
        <v>63378.01036298203</v>
      </c>
      <c r="L137" s="71">
        <f t="shared" si="134"/>
        <v>64772.326590967648</v>
      </c>
      <c r="M137" s="71">
        <f t="shared" si="134"/>
        <v>66197.317775968913</v>
      </c>
      <c r="N137" s="71">
        <f t="shared" si="134"/>
        <v>67653.658767040251</v>
      </c>
      <c r="O137" s="71">
        <f t="shared" si="134"/>
        <v>69142.039259915138</v>
      </c>
      <c r="P137" s="71">
        <f t="shared" si="134"/>
        <v>70663.164123633265</v>
      </c>
      <c r="Q137" s="71">
        <f t="shared" si="134"/>
        <v>72217.753734353188</v>
      </c>
      <c r="R137" s="71">
        <f t="shared" si="134"/>
        <v>73806.544316508967</v>
      </c>
      <c r="S137" s="71">
        <f t="shared" si="134"/>
        <v>75430.288291472156</v>
      </c>
      <c r="T137" s="71">
        <f t="shared" si="134"/>
        <v>77089.754633884542</v>
      </c>
      <c r="U137" s="71">
        <f t="shared" si="134"/>
        <v>78785.729235830018</v>
      </c>
      <c r="V137" s="71">
        <f t="shared" si="134"/>
        <v>80519.015279018276</v>
      </c>
      <c r="W137" s="71">
        <f t="shared" si="134"/>
        <v>82290.433615156682</v>
      </c>
      <c r="X137" s="72">
        <f t="shared" si="134"/>
        <v>84100.823154690108</v>
      </c>
    </row>
    <row r="138" spans="1:24" ht="15" hidden="1" customHeight="1" outlineLevel="1">
      <c r="C138" s="79" t="s">
        <v>94</v>
      </c>
      <c r="D138" s="71">
        <f>-PMT(Discount_Rate,20,NPV(Discount_Rate,E138:X138))</f>
        <v>5168983.4156080578</v>
      </c>
      <c r="E138" s="71">
        <f t="shared" ref="E138:X138" si="135">SUM(E135:E137)</f>
        <v>5955847.9340810329</v>
      </c>
      <c r="F138" s="71">
        <f t="shared" si="135"/>
        <v>5777791.9565068204</v>
      </c>
      <c r="G138" s="71">
        <f t="shared" si="135"/>
        <v>5602363.4848297257</v>
      </c>
      <c r="H138" s="71">
        <f t="shared" si="135"/>
        <v>5469461.9817887833</v>
      </c>
      <c r="I138" s="71">
        <f t="shared" si="135"/>
        <v>5353381.8115054499</v>
      </c>
      <c r="J138" s="71">
        <f t="shared" si="135"/>
        <v>5250187.6207328625</v>
      </c>
      <c r="K138" s="71">
        <f t="shared" si="135"/>
        <v>5171773.296069094</v>
      </c>
      <c r="L138" s="71">
        <f t="shared" si="135"/>
        <v>5106290.0759274503</v>
      </c>
      <c r="M138" s="71">
        <f t="shared" si="135"/>
        <v>5041889.7004970806</v>
      </c>
      <c r="N138" s="71">
        <f t="shared" si="135"/>
        <v>4978595.9923616378</v>
      </c>
      <c r="O138" s="71">
        <f t="shared" si="135"/>
        <v>4916433.2982016047</v>
      </c>
      <c r="P138" s="71">
        <f t="shared" si="135"/>
        <v>4855426.5003244402</v>
      </c>
      <c r="Q138" s="71">
        <f t="shared" si="135"/>
        <v>4795601.0284483703</v>
      </c>
      <c r="R138" s="71">
        <f t="shared" si="135"/>
        <v>4736982.8717454197</v>
      </c>
      <c r="S138" s="71">
        <f t="shared" si="135"/>
        <v>4679598.5911493944</v>
      </c>
      <c r="T138" s="71">
        <f t="shared" si="135"/>
        <v>4623475.3319346504</v>
      </c>
      <c r="U138" s="71">
        <f t="shared" si="135"/>
        <v>4568640.8365715705</v>
      </c>
      <c r="V138" s="71">
        <f t="shared" si="135"/>
        <v>4515123.4578648955</v>
      </c>
      <c r="W138" s="71">
        <f t="shared" si="135"/>
        <v>4462952.1723810649</v>
      </c>
      <c r="X138" s="72">
        <f t="shared" si="135"/>
        <v>4412156.5941709811</v>
      </c>
    </row>
    <row r="139" spans="1:24" ht="15" hidden="1" customHeight="1" outlineLevel="1">
      <c r="C139" s="79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2"/>
    </row>
    <row r="140" spans="1:24" ht="15" hidden="1" customHeight="1" outlineLevel="1">
      <c r="C140" s="79" t="s">
        <v>116</v>
      </c>
      <c r="D140" s="71">
        <f>-PMT(Discount_Rate,20,NPV(Discount_Rate,E140:X140))</f>
        <v>0</v>
      </c>
      <c r="E140" s="71">
        <f>E132*INDEX('DATA (Nominal)'!$B$97:$BX$97,1,MATCH(E$1,'DATA (Nominal)'!$B$1:$BX$1,0))</f>
        <v>0</v>
      </c>
      <c r="F140" s="71">
        <f>F132*INDEX('DATA (Nominal)'!$B$97:$BX$97,1,MATCH(F$1,'DATA (Nominal)'!$B$1:$BX$1,0))</f>
        <v>0</v>
      </c>
      <c r="G140" s="71">
        <f>G132*INDEX('DATA (Nominal)'!$B$97:$BX$97,1,MATCH(G$1,'DATA (Nominal)'!$B$1:$BX$1,0))</f>
        <v>0</v>
      </c>
      <c r="H140" s="71">
        <f>H132*INDEX('DATA (Nominal)'!$B$97:$BX$97,1,MATCH(H$1,'DATA (Nominal)'!$B$1:$BX$1,0))</f>
        <v>0</v>
      </c>
      <c r="I140" s="71">
        <f>I132*INDEX('DATA (Nominal)'!$B$97:$BX$97,1,MATCH(I$1,'DATA (Nominal)'!$B$1:$BX$1,0))</f>
        <v>0</v>
      </c>
      <c r="J140" s="71">
        <f>J132*INDEX('DATA (Nominal)'!$B$97:$BX$97,1,MATCH(J$1,'DATA (Nominal)'!$B$1:$BX$1,0))</f>
        <v>0</v>
      </c>
      <c r="K140" s="71">
        <f>K132*INDEX('DATA (Nominal)'!$B$97:$BX$97,1,MATCH(K$1,'DATA (Nominal)'!$B$1:$BX$1,0))</f>
        <v>0</v>
      </c>
      <c r="L140" s="71">
        <f>L132*INDEX('DATA (Nominal)'!$B$97:$BX$97,1,MATCH(L$1,'DATA (Nominal)'!$B$1:$BX$1,0))</f>
        <v>0</v>
      </c>
      <c r="M140" s="71">
        <f>M132*INDEX('DATA (Nominal)'!$B$97:$BX$97,1,MATCH(M$1,'DATA (Nominal)'!$B$1:$BX$1,0))</f>
        <v>0</v>
      </c>
      <c r="N140" s="71">
        <f>N132*INDEX('DATA (Nominal)'!$B$97:$BX$97,1,MATCH(N$1,'DATA (Nominal)'!$B$1:$BX$1,0))</f>
        <v>0</v>
      </c>
      <c r="O140" s="71">
        <f>O132*INDEX('DATA (Nominal)'!$B$97:$BX$97,1,MATCH(O$1,'DATA (Nominal)'!$B$1:$BX$1,0))</f>
        <v>0</v>
      </c>
      <c r="P140" s="71">
        <f>P132*INDEX('DATA (Nominal)'!$B$97:$BX$97,1,MATCH(P$1,'DATA (Nominal)'!$B$1:$BX$1,0))</f>
        <v>0</v>
      </c>
      <c r="Q140" s="71">
        <f>Q132*INDEX('DATA (Nominal)'!$B$97:$BX$97,1,MATCH(Q$1,'DATA (Nominal)'!$B$1:$BX$1,0))</f>
        <v>0</v>
      </c>
      <c r="R140" s="71">
        <f>R132*INDEX('DATA (Nominal)'!$B$97:$BX$97,1,MATCH(R$1,'DATA (Nominal)'!$B$1:$BX$1,0))</f>
        <v>0</v>
      </c>
      <c r="S140" s="71">
        <f>S132*INDEX('DATA (Nominal)'!$B$97:$BX$97,1,MATCH(S$1,'DATA (Nominal)'!$B$1:$BX$1,0))</f>
        <v>0</v>
      </c>
      <c r="T140" s="71">
        <f>T132*INDEX('DATA (Nominal)'!$B$97:$BX$97,1,MATCH(T$1,'DATA (Nominal)'!$B$1:$BX$1,0))</f>
        <v>0</v>
      </c>
      <c r="U140" s="71">
        <f>U132*INDEX('DATA (Nominal)'!$B$97:$BX$97,1,MATCH(U$1,'DATA (Nominal)'!$B$1:$BX$1,0))</f>
        <v>0</v>
      </c>
      <c r="V140" s="71">
        <f>V132*INDEX('DATA (Nominal)'!$B$97:$BX$97,1,MATCH(V$1,'DATA (Nominal)'!$B$1:$BX$1,0))</f>
        <v>0</v>
      </c>
      <c r="W140" s="71">
        <f>W132*INDEX('DATA (Nominal)'!$B$97:$BX$97,1,MATCH(W$1,'DATA (Nominal)'!$B$1:$BX$1,0))</f>
        <v>0</v>
      </c>
      <c r="X140" s="72">
        <f>X132*INDEX('DATA (Nominal)'!$B$97:$BX$97,1,MATCH(X$1,'DATA (Nominal)'!$B$1:$BX$1,0))</f>
        <v>0</v>
      </c>
    </row>
    <row r="141" spans="1:24" ht="15" hidden="1" customHeight="1" outlineLevel="1">
      <c r="C141" s="79" t="s">
        <v>117</v>
      </c>
      <c r="D141" s="71">
        <f>-PMT(Discount_Rate,20,NPV(Discount_Rate,E141:X141))</f>
        <v>1670695.5045415889</v>
      </c>
      <c r="E141" s="71">
        <f>(E132+E133)*INDEX('DATA (Nominal)'!$B$154:$BX$154,1,MATCH(E$1,'DATA (Nominal)'!$B$1:$BX$1,0))</f>
        <v>1734883.4726602554</v>
      </c>
      <c r="F141" s="71">
        <f>(F132+F133)*INDEX('DATA (Nominal)'!$B$154:$BX$154,1,MATCH(F$1,'DATA (Nominal)'!$B$1:$BX$1,0))</f>
        <v>1616492.94774278</v>
      </c>
      <c r="G141" s="71">
        <f>(G132+G133)*INDEX('DATA (Nominal)'!$B$154:$BX$154,1,MATCH(G$1,'DATA (Nominal)'!$B$1:$BX$1,0))</f>
        <v>1453534.0261742275</v>
      </c>
      <c r="H141" s="71">
        <f>(H132+H133)*INDEX('DATA (Nominal)'!$B$154:$BX$154,1,MATCH(H$1,'DATA (Nominal)'!$B$1:$BX$1,0))</f>
        <v>1450227.6068428198</v>
      </c>
      <c r="I141" s="71">
        <f>(I132+I133)*INDEX('DATA (Nominal)'!$B$154:$BX$154,1,MATCH(I$1,'DATA (Nominal)'!$B$1:$BX$1,0))</f>
        <v>1454846.4946243286</v>
      </c>
      <c r="J141" s="71">
        <f>(J132+J133)*INDEX('DATA (Nominal)'!$B$154:$BX$154,1,MATCH(J$1,'DATA (Nominal)'!$B$1:$BX$1,0))</f>
        <v>1669313.2502608933</v>
      </c>
      <c r="K141" s="71">
        <f>(K132+K133)*INDEX('DATA (Nominal)'!$B$154:$BX$154,1,MATCH(K$1,'DATA (Nominal)'!$B$1:$BX$1,0))</f>
        <v>1569962.1692257724</v>
      </c>
      <c r="L141" s="71">
        <f>(L132+L133)*INDEX('DATA (Nominal)'!$B$154:$BX$154,1,MATCH(L$1,'DATA (Nominal)'!$B$1:$BX$1,0))</f>
        <v>1526577.7208360513</v>
      </c>
      <c r="M141" s="71">
        <f>(M132+M133)*INDEX('DATA (Nominal)'!$B$154:$BX$154,1,MATCH(M$1,'DATA (Nominal)'!$B$1:$BX$1,0))</f>
        <v>1576048.3330458484</v>
      </c>
      <c r="N141" s="71">
        <f>(N132+N133)*INDEX('DATA (Nominal)'!$B$154:$BX$154,1,MATCH(N$1,'DATA (Nominal)'!$B$1:$BX$1,0))</f>
        <v>1601799.8721568268</v>
      </c>
      <c r="O141" s="71">
        <f>(O132+O133)*INDEX('DATA (Nominal)'!$B$154:$BX$154,1,MATCH(O$1,'DATA (Nominal)'!$B$1:$BX$1,0))</f>
        <v>1665870.7629300277</v>
      </c>
      <c r="P141" s="71">
        <f>(P132+P133)*INDEX('DATA (Nominal)'!$B$154:$BX$154,1,MATCH(P$1,'DATA (Nominal)'!$B$1:$BX$1,0))</f>
        <v>1694352.0485722541</v>
      </c>
      <c r="Q141" s="71">
        <f>(Q132+Q133)*INDEX('DATA (Nominal)'!$B$154:$BX$154,1,MATCH(Q$1,'DATA (Nominal)'!$B$1:$BX$1,0))</f>
        <v>1776245.4392589885</v>
      </c>
      <c r="R141" s="71">
        <f>(R132+R133)*INDEX('DATA (Nominal)'!$B$154:$BX$154,1,MATCH(R$1,'DATA (Nominal)'!$B$1:$BX$1,0))</f>
        <v>1763217.1162731014</v>
      </c>
      <c r="S141" s="71">
        <f>(S132+S133)*INDEX('DATA (Nominal)'!$B$154:$BX$154,1,MATCH(S$1,'DATA (Nominal)'!$B$1:$BX$1,0))</f>
        <v>1817303.5159675917</v>
      </c>
      <c r="T141" s="71">
        <f>(T132+T133)*INDEX('DATA (Nominal)'!$B$154:$BX$154,1,MATCH(T$1,'DATA (Nominal)'!$B$1:$BX$1,0))</f>
        <v>1921956.6806348164</v>
      </c>
      <c r="U141" s="71">
        <f>(U132+U133)*INDEX('DATA (Nominal)'!$B$154:$BX$154,1,MATCH(U$1,'DATA (Nominal)'!$B$1:$BX$1,0))</f>
        <v>1931974.4806914013</v>
      </c>
      <c r="V141" s="71">
        <f>(V132+V133)*INDEX('DATA (Nominal)'!$B$154:$BX$154,1,MATCH(V$1,'DATA (Nominal)'!$B$1:$BX$1,0))</f>
        <v>2010751.9230793952</v>
      </c>
      <c r="W141" s="71">
        <f>(W132+W133)*INDEX('DATA (Nominal)'!$B$154:$BX$154,1,MATCH(W$1,'DATA (Nominal)'!$B$1:$BX$1,0))</f>
        <v>2057006.6256433807</v>
      </c>
      <c r="X141" s="72">
        <f>(X132+X133)*INDEX('DATA (Nominal)'!$B$154:$BX$154,1,MATCH(X$1,'DATA (Nominal)'!$B$1:$BX$1,0))</f>
        <v>2312727.6874869028</v>
      </c>
    </row>
    <row r="142" spans="1:24" ht="15" hidden="1" customHeight="1" outlineLevel="1">
      <c r="C142" s="79" t="s">
        <v>93</v>
      </c>
      <c r="D142" s="71">
        <f>-PMT(Discount_Rate,20,NPV(Discount_Rate,E142:X142))</f>
        <v>48707.456739405476</v>
      </c>
      <c r="E142" s="73">
        <f t="shared" ref="E142:X142" si="136">SUM(E140:E141)*Misc_Fees</f>
        <v>50578.792761937082</v>
      </c>
      <c r="F142" s="73">
        <f t="shared" si="136"/>
        <v>47127.235398493009</v>
      </c>
      <c r="G142" s="73">
        <f t="shared" si="136"/>
        <v>42376.330999083424</v>
      </c>
      <c r="H142" s="73">
        <f t="shared" si="136"/>
        <v>42279.935649895568</v>
      </c>
      <c r="I142" s="73">
        <f t="shared" si="136"/>
        <v>42414.594704277675</v>
      </c>
      <c r="J142" s="73">
        <f t="shared" si="136"/>
        <v>48667.158498106081</v>
      </c>
      <c r="K142" s="73">
        <f t="shared" si="136"/>
        <v>45770.67708160817</v>
      </c>
      <c r="L142" s="73">
        <f t="shared" si="136"/>
        <v>44505.846873254239</v>
      </c>
      <c r="M142" s="73">
        <f t="shared" si="136"/>
        <v>45948.113101618663</v>
      </c>
      <c r="N142" s="73">
        <f t="shared" si="136"/>
        <v>46698.873472860127</v>
      </c>
      <c r="O142" s="73">
        <f t="shared" si="136"/>
        <v>48566.796222462028</v>
      </c>
      <c r="P142" s="73">
        <f t="shared" si="136"/>
        <v>49397.139624075498</v>
      </c>
      <c r="Q142" s="73">
        <f t="shared" si="136"/>
        <v>51784.659536156549</v>
      </c>
      <c r="R142" s="73">
        <f t="shared" si="136"/>
        <v>51404.831807825998</v>
      </c>
      <c r="S142" s="73">
        <f t="shared" si="136"/>
        <v>52981.666704519164</v>
      </c>
      <c r="T142" s="73">
        <f t="shared" si="136"/>
        <v>56032.725067227439</v>
      </c>
      <c r="U142" s="73">
        <f t="shared" si="136"/>
        <v>56324.784010077114</v>
      </c>
      <c r="V142" s="73">
        <f t="shared" si="136"/>
        <v>58621.461565456688</v>
      </c>
      <c r="W142" s="73">
        <f t="shared" si="136"/>
        <v>59969.971164007118</v>
      </c>
      <c r="X142" s="74">
        <f t="shared" si="136"/>
        <v>67425.26300099316</v>
      </c>
    </row>
    <row r="143" spans="1:24" ht="15" hidden="1" customHeight="1" outlineLevel="1">
      <c r="C143" s="79" t="s">
        <v>99</v>
      </c>
      <c r="D143" s="71">
        <f>-PMT(Discount_Rate,20,NPV(Discount_Rate,E143:X143))</f>
        <v>1719402.9612809937</v>
      </c>
      <c r="E143" s="71">
        <f>SUM(E140:E142)</f>
        <v>1785462.2654221924</v>
      </c>
      <c r="F143" s="71">
        <f t="shared" ref="F143" si="137">SUM(F140:F142)</f>
        <v>1663620.183141273</v>
      </c>
      <c r="G143" s="71">
        <f t="shared" ref="G143" si="138">SUM(G140:G142)</f>
        <v>1495910.3571733108</v>
      </c>
      <c r="H143" s="71">
        <f t="shared" ref="H143" si="139">SUM(H140:H142)</f>
        <v>1492507.5424927154</v>
      </c>
      <c r="I143" s="71">
        <f t="shared" ref="I143" si="140">SUM(I140:I142)</f>
        <v>1497261.0893286061</v>
      </c>
      <c r="J143" s="71">
        <f t="shared" ref="J143" si="141">SUM(J140:J142)</f>
        <v>1717980.4087589993</v>
      </c>
      <c r="K143" s="71">
        <f t="shared" ref="K143" si="142">SUM(K140:K142)</f>
        <v>1615732.8463073806</v>
      </c>
      <c r="L143" s="71">
        <f t="shared" ref="L143" si="143">SUM(L140:L142)</f>
        <v>1571083.5677093056</v>
      </c>
      <c r="M143" s="71">
        <f t="shared" ref="M143" si="144">SUM(M140:M142)</f>
        <v>1621996.446147467</v>
      </c>
      <c r="N143" s="71">
        <f t="shared" ref="N143" si="145">SUM(N140:N142)</f>
        <v>1648498.7456296869</v>
      </c>
      <c r="O143" s="71">
        <f t="shared" ref="O143" si="146">SUM(O140:O142)</f>
        <v>1714437.5591524898</v>
      </c>
      <c r="P143" s="71">
        <f t="shared" ref="P143" si="147">SUM(P140:P142)</f>
        <v>1743749.1881963296</v>
      </c>
      <c r="Q143" s="71">
        <f t="shared" ref="Q143" si="148">SUM(Q140:Q142)</f>
        <v>1828030.0987951451</v>
      </c>
      <c r="R143" s="71">
        <f t="shared" ref="R143" si="149">SUM(R140:R142)</f>
        <v>1814621.9480809274</v>
      </c>
      <c r="S143" s="71">
        <f t="shared" ref="S143" si="150">SUM(S140:S142)</f>
        <v>1870285.1826721109</v>
      </c>
      <c r="T143" s="71">
        <f t="shared" ref="T143" si="151">SUM(T140:T142)</f>
        <v>1977989.4057020438</v>
      </c>
      <c r="U143" s="71">
        <f t="shared" ref="U143" si="152">SUM(U140:U142)</f>
        <v>1988299.2647014784</v>
      </c>
      <c r="V143" s="71">
        <f t="shared" ref="V143" si="153">SUM(V140:V142)</f>
        <v>2069373.3846448518</v>
      </c>
      <c r="W143" s="71">
        <f t="shared" ref="W143" si="154">SUM(W140:W142)</f>
        <v>2116976.5968073877</v>
      </c>
      <c r="X143" s="72">
        <f t="shared" ref="X143" si="155">SUM(X140:X142)</f>
        <v>2380152.9504878959</v>
      </c>
    </row>
    <row r="144" spans="1:24" ht="15" hidden="1" customHeight="1" outlineLevel="1">
      <c r="C144" s="79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2"/>
    </row>
    <row r="145" spans="1:24" ht="15.75" hidden="1" customHeight="1" outlineLevel="1" thickBot="1">
      <c r="C145" s="81" t="s">
        <v>100</v>
      </c>
      <c r="D145" s="71">
        <f>-PMT(Discount_Rate,20,NPV(Discount_Rate,E145:X145))</f>
        <v>6888386.37688905</v>
      </c>
      <c r="E145" s="75">
        <f>E138+E143</f>
        <v>7741310.1995032253</v>
      </c>
      <c r="F145" s="75">
        <f t="shared" ref="F145:H145" si="156">F138+F143</f>
        <v>7441412.1396480929</v>
      </c>
      <c r="G145" s="75">
        <f t="shared" si="156"/>
        <v>7098273.8420030363</v>
      </c>
      <c r="H145" s="75">
        <f t="shared" si="156"/>
        <v>6961969.524281499</v>
      </c>
      <c r="I145" s="75">
        <f>I138+I143</f>
        <v>6850642.9008340556</v>
      </c>
      <c r="J145" s="75">
        <f t="shared" ref="J145:X145" si="157">J138+J143</f>
        <v>6968168.0294918623</v>
      </c>
      <c r="K145" s="75">
        <f t="shared" si="157"/>
        <v>6787506.142376475</v>
      </c>
      <c r="L145" s="75">
        <f t="shared" si="157"/>
        <v>6677373.6436367556</v>
      </c>
      <c r="M145" s="75">
        <f t="shared" si="157"/>
        <v>6663886.1466445476</v>
      </c>
      <c r="N145" s="75">
        <f t="shared" si="157"/>
        <v>6627094.7379913246</v>
      </c>
      <c r="O145" s="75">
        <f t="shared" si="157"/>
        <v>6630870.8573540943</v>
      </c>
      <c r="P145" s="75">
        <f t="shared" si="157"/>
        <v>6599175.6885207696</v>
      </c>
      <c r="Q145" s="75">
        <f t="shared" si="157"/>
        <v>6623631.1272435151</v>
      </c>
      <c r="R145" s="75">
        <f t="shared" si="157"/>
        <v>6551604.8198263468</v>
      </c>
      <c r="S145" s="75">
        <f t="shared" si="157"/>
        <v>6549883.7738215048</v>
      </c>
      <c r="T145" s="75">
        <f t="shared" si="157"/>
        <v>6601464.7376366947</v>
      </c>
      <c r="U145" s="75">
        <f t="shared" si="157"/>
        <v>6556940.1012730487</v>
      </c>
      <c r="V145" s="75">
        <f t="shared" si="157"/>
        <v>6584496.8425097475</v>
      </c>
      <c r="W145" s="75">
        <f t="shared" si="157"/>
        <v>6579928.7691884525</v>
      </c>
      <c r="X145" s="76">
        <f t="shared" si="157"/>
        <v>6792309.544658877</v>
      </c>
    </row>
    <row r="146" spans="1:24" ht="15" hidden="1" customHeight="1" outlineLevel="1">
      <c r="A146" s="95"/>
      <c r="C146" s="35" t="s">
        <v>118</v>
      </c>
      <c r="D146" s="77">
        <f>D138/'Resource Options'!$E$30/1000</f>
        <v>206.75933662432232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</row>
    <row r="147" spans="1:24" ht="15" hidden="1" customHeight="1" outlineLevel="1">
      <c r="C147" s="32" t="s">
        <v>119</v>
      </c>
      <c r="D147" s="44">
        <f>D138/'Resource Options'!$D$30/1000</f>
        <v>51.689834156080579</v>
      </c>
      <c r="E147" s="24"/>
    </row>
    <row r="148" spans="1:24" ht="15" hidden="1" customHeight="1" outlineLevel="1">
      <c r="C148" s="32" t="s">
        <v>120</v>
      </c>
      <c r="D148" s="5">
        <f>D143/E132</f>
        <v>47.106930446054619</v>
      </c>
    </row>
    <row r="149" spans="1:24" ht="15.75" hidden="1" customHeight="1" outlineLevel="1" thickBot="1">
      <c r="C149" s="34" t="s">
        <v>121</v>
      </c>
      <c r="D149" s="20">
        <f>D145/(E132-E133)</f>
        <v>281.67599169450216</v>
      </c>
      <c r="E149" s="24"/>
    </row>
    <row r="150" spans="1:24" ht="15" hidden="1" customHeight="1" outlineLevel="1"/>
    <row r="151" spans="1:24" ht="15.75" collapsed="1" thickBot="1"/>
    <row r="152" spans="1:24" ht="18.75" thickBot="1">
      <c r="A152" s="95"/>
      <c r="B152" s="95"/>
      <c r="C152" s="499" t="s">
        <v>18</v>
      </c>
      <c r="D152" s="500"/>
      <c r="E152" s="500"/>
      <c r="F152" s="501"/>
    </row>
    <row r="153" spans="1:24" ht="15" hidden="1" customHeight="1" outlineLevel="1">
      <c r="C153" s="78" t="s">
        <v>44</v>
      </c>
      <c r="D153" s="67"/>
      <c r="E153" s="67">
        <f>'Resource Options'!$D$31*365</f>
        <v>3650000</v>
      </c>
      <c r="F153" s="67">
        <f>E153</f>
        <v>3650000</v>
      </c>
      <c r="G153" s="67">
        <f t="shared" ref="G153:X154" si="158">F153</f>
        <v>3650000</v>
      </c>
      <c r="H153" s="67">
        <f t="shared" si="158"/>
        <v>3650000</v>
      </c>
      <c r="I153" s="67">
        <f t="shared" si="158"/>
        <v>3650000</v>
      </c>
      <c r="J153" s="67">
        <f t="shared" si="158"/>
        <v>3650000</v>
      </c>
      <c r="K153" s="67">
        <f t="shared" si="158"/>
        <v>3650000</v>
      </c>
      <c r="L153" s="67">
        <f t="shared" si="158"/>
        <v>3650000</v>
      </c>
      <c r="M153" s="67">
        <f t="shared" si="158"/>
        <v>3650000</v>
      </c>
      <c r="N153" s="67">
        <f t="shared" si="158"/>
        <v>3650000</v>
      </c>
      <c r="O153" s="67">
        <f t="shared" si="158"/>
        <v>3650000</v>
      </c>
      <c r="P153" s="67">
        <f t="shared" si="158"/>
        <v>3650000</v>
      </c>
      <c r="Q153" s="67">
        <f t="shared" si="158"/>
        <v>3650000</v>
      </c>
      <c r="R153" s="67">
        <f t="shared" si="158"/>
        <v>3650000</v>
      </c>
      <c r="S153" s="67">
        <f t="shared" si="158"/>
        <v>3650000</v>
      </c>
      <c r="T153" s="67">
        <f t="shared" si="158"/>
        <v>3650000</v>
      </c>
      <c r="U153" s="67">
        <f t="shared" si="158"/>
        <v>3650000</v>
      </c>
      <c r="V153" s="67">
        <f t="shared" si="158"/>
        <v>3650000</v>
      </c>
      <c r="W153" s="67">
        <f t="shared" si="158"/>
        <v>3650000</v>
      </c>
      <c r="X153" s="68">
        <f t="shared" si="158"/>
        <v>3650000</v>
      </c>
    </row>
    <row r="154" spans="1:24" ht="15" hidden="1" customHeight="1" outlineLevel="1">
      <c r="C154" s="79" t="s">
        <v>115</v>
      </c>
      <c r="D154" s="69"/>
      <c r="E154" s="69">
        <f>E153*(1-INDEX('DATA (Nominal)'!$B$217:$BX$217,1,MATCH($B$1,'DATA (Nominal)'!$B$1:$BX$1,0)))</f>
        <v>2317750</v>
      </c>
      <c r="F154" s="69">
        <f>E154</f>
        <v>2317750</v>
      </c>
      <c r="G154" s="69">
        <f t="shared" si="158"/>
        <v>2317750</v>
      </c>
      <c r="H154" s="69">
        <f t="shared" si="158"/>
        <v>2317750</v>
      </c>
      <c r="I154" s="69">
        <f t="shared" si="158"/>
        <v>2317750</v>
      </c>
      <c r="J154" s="69">
        <f t="shared" si="158"/>
        <v>2317750</v>
      </c>
      <c r="K154" s="69">
        <f t="shared" si="158"/>
        <v>2317750</v>
      </c>
      <c r="L154" s="69">
        <f t="shared" si="158"/>
        <v>2317750</v>
      </c>
      <c r="M154" s="69">
        <f t="shared" si="158"/>
        <v>2317750</v>
      </c>
      <c r="N154" s="69">
        <f t="shared" si="158"/>
        <v>2317750</v>
      </c>
      <c r="O154" s="69">
        <f t="shared" si="158"/>
        <v>2317750</v>
      </c>
      <c r="P154" s="69">
        <f t="shared" si="158"/>
        <v>2317750</v>
      </c>
      <c r="Q154" s="69">
        <f t="shared" si="158"/>
        <v>2317750</v>
      </c>
      <c r="R154" s="69">
        <f t="shared" si="158"/>
        <v>2317750</v>
      </c>
      <c r="S154" s="69">
        <f t="shared" si="158"/>
        <v>2317750</v>
      </c>
      <c r="T154" s="69">
        <f t="shared" si="158"/>
        <v>2317750</v>
      </c>
      <c r="U154" s="69">
        <f t="shared" si="158"/>
        <v>2317750</v>
      </c>
      <c r="V154" s="69">
        <f t="shared" si="158"/>
        <v>2317750</v>
      </c>
      <c r="W154" s="69">
        <f t="shared" si="158"/>
        <v>2317750</v>
      </c>
      <c r="X154" s="70">
        <f t="shared" si="158"/>
        <v>2317750</v>
      </c>
    </row>
    <row r="155" spans="1:24" ht="15" hidden="1" customHeight="1" outlineLevel="1">
      <c r="C155" s="7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70"/>
    </row>
    <row r="156" spans="1:24" ht="15" hidden="1" customHeight="1" outlineLevel="1">
      <c r="C156" s="79" t="s">
        <v>47</v>
      </c>
      <c r="D156" s="71">
        <f>-PMT(Discount_Rate,20,NPV(Discount_Rate,E156:X156))</f>
        <v>3839839.057259507</v>
      </c>
      <c r="E156" s="73">
        <f>INDEX('DATA (Nominal)'!$B$169:$BX$169,1,MATCH(E$1,'DATA (Nominal)'!$B$1:$BX$1,0))*'Resource Options'!$E$31*1000</f>
        <v>3238718.4580100831</v>
      </c>
      <c r="F156" s="73">
        <f>INDEX('DATA (Nominal)'!$B$169:$BX$169,1,MATCH(F$1,'DATA (Nominal)'!$B$1:$BX$1,0))*'Resource Options'!$E$31*1000</f>
        <v>3311049.8369056415</v>
      </c>
      <c r="G156" s="73">
        <f>INDEX('DATA (Nominal)'!$B$169:$BX$169,1,MATCH(G$1,'DATA (Nominal)'!$B$1:$BX$1,0))*'Resource Options'!$E$31*1000</f>
        <v>3384996.6165965344</v>
      </c>
      <c r="H156" s="73">
        <f>INDEX('DATA (Nominal)'!$B$169:$BX$169,1,MATCH(H$1,'DATA (Nominal)'!$B$1:$BX$1,0))*'Resource Options'!$E$31*1000</f>
        <v>3459466.5421616575</v>
      </c>
      <c r="I156" s="73">
        <f>INDEX('DATA (Nominal)'!$B$169:$BX$169,1,MATCH(I$1,'DATA (Nominal)'!$B$1:$BX$1,0))*'Resource Options'!$E$31*1000</f>
        <v>3535574.8060892145</v>
      </c>
      <c r="J156" s="73">
        <f>INDEX('DATA (Nominal)'!$B$169:$BX$169,1,MATCH(J$1,'DATA (Nominal)'!$B$1:$BX$1,0))*'Resource Options'!$E$31*1000</f>
        <v>3613357.4518231777</v>
      </c>
      <c r="K156" s="73">
        <f>INDEX('DATA (Nominal)'!$B$169:$BX$169,1,MATCH(K$1,'DATA (Nominal)'!$B$1:$BX$1,0))*'Resource Options'!$E$31*1000</f>
        <v>3692851.3157632868</v>
      </c>
      <c r="L156" s="73">
        <f>INDEX('DATA (Nominal)'!$B$169:$BX$169,1,MATCH(L$1,'DATA (Nominal)'!$B$1:$BX$1,0))*'Resource Options'!$E$31*1000</f>
        <v>3774094.0447100787</v>
      </c>
      <c r="M156" s="73">
        <f>INDEX('DATA (Nominal)'!$B$169:$BX$169,1,MATCH(M$1,'DATA (Nominal)'!$B$1:$BX$1,0))*'Resource Options'!$E$31*1000</f>
        <v>3857124.113693702</v>
      </c>
      <c r="N156" s="73">
        <f>INDEX('DATA (Nominal)'!$B$169:$BX$169,1,MATCH(N$1,'DATA (Nominal)'!$B$1:$BX$1,0))*'Resource Options'!$E$31*1000</f>
        <v>3941980.8441949626</v>
      </c>
      <c r="O156" s="73">
        <f>INDEX('DATA (Nominal)'!$B$169:$BX$169,1,MATCH(O$1,'DATA (Nominal)'!$B$1:$BX$1,0))*'Resource Options'!$E$31*1000</f>
        <v>4028704.4227672517</v>
      </c>
      <c r="P156" s="73">
        <f>INDEX('DATA (Nominal)'!$B$169:$BX$169,1,MATCH(P$1,'DATA (Nominal)'!$B$1:$BX$1,0))*'Resource Options'!$E$31*1000</f>
        <v>4117335.9200681318</v>
      </c>
      <c r="Q156" s="73">
        <f>INDEX('DATA (Nominal)'!$B$169:$BX$169,1,MATCH(Q$1,'DATA (Nominal)'!$B$1:$BX$1,0))*'Resource Options'!$E$31*1000</f>
        <v>4207917.3103096299</v>
      </c>
      <c r="R156" s="73">
        <f>INDEX('DATA (Nominal)'!$B$169:$BX$169,1,MATCH(R$1,'DATA (Nominal)'!$B$1:$BX$1,0))*'Resource Options'!$E$31*1000</f>
        <v>4300491.491136441</v>
      </c>
      <c r="S156" s="73">
        <f>INDEX('DATA (Nominal)'!$B$169:$BX$169,1,MATCH(S$1,'DATA (Nominal)'!$B$1:$BX$1,0))*'Resource Options'!$E$31*1000</f>
        <v>4395102.3039414436</v>
      </c>
      <c r="T156" s="73">
        <f>INDEX('DATA (Nominal)'!$B$169:$BX$169,1,MATCH(T$1,'DATA (Nominal)'!$B$1:$BX$1,0))*'Resource Options'!$E$31*1000</f>
        <v>4491794.5546281561</v>
      </c>
      <c r="U156" s="73">
        <f>INDEX('DATA (Nominal)'!$B$169:$BX$169,1,MATCH(U$1,'DATA (Nominal)'!$B$1:$BX$1,0))*'Resource Options'!$E$31*1000</f>
        <v>4590614.0348299751</v>
      </c>
      <c r="V156" s="73">
        <f>INDEX('DATA (Nominal)'!$B$169:$BX$169,1,MATCH(V$1,'DATA (Nominal)'!$B$1:$BX$1,0))*'Resource Options'!$E$31*1000</f>
        <v>4691607.5435962342</v>
      </c>
      <c r="W156" s="73">
        <f>INDEX('DATA (Nominal)'!$B$169:$BX$169,1,MATCH(W$1,'DATA (Nominal)'!$B$1:$BX$1,0))*'Resource Options'!$E$31*1000</f>
        <v>4794822.9095553523</v>
      </c>
      <c r="X156" s="74">
        <f>INDEX('DATA (Nominal)'!$B$169:$BX$169,1,MATCH(X$1,'DATA (Nominal)'!$B$1:$BX$1,0))*'Resource Options'!$E$31*1000</f>
        <v>4900309.0135655692</v>
      </c>
    </row>
    <row r="157" spans="1:24" ht="15" hidden="1" customHeight="1" outlineLevel="1">
      <c r="C157" s="80" t="s">
        <v>92</v>
      </c>
      <c r="D157" s="71">
        <f>-PMT(Discount_Rate,20,NPV(Discount_Rate,E157:X157))</f>
        <v>21142305.301744509</v>
      </c>
      <c r="E157" s="71">
        <f>INDEX('DATA (Nominal)'!$B$50:$BX$50,1,MATCH($B$1,'DATA (Nominal)'!$B$1:$BX$1,0))*Assumptions!AG$31*(1+AFUDC!$C$31)*1000000*'Resource Options'!$E$31/1000*(1-INDEX('DATA (Nominal)'!$B$231:$BX$231,1,MATCH($B$1,'DATA (Nominal)'!$B$1:$BX$1,0)))</f>
        <v>29703266.857974585</v>
      </c>
      <c r="F157" s="73">
        <f>INDEX('DATA (Nominal)'!$B$50:$BX$50,1,MATCH($B$1,'DATA (Nominal)'!$B$1:$BX$1,0))*Assumptions!AH$31*(1+AFUDC!$C$31)*1000000*'Resource Options'!$E$31/1000*(1-INDEX('DATA (Nominal)'!$B$231:$BX$231,1,MATCH($B$1,'DATA (Nominal)'!$B$1:$BX$1,0)))</f>
        <v>28053046.573316615</v>
      </c>
      <c r="G157" s="71">
        <f>INDEX('DATA (Nominal)'!$B$50:$BX$50,1,MATCH($B$1,'DATA (Nominal)'!$B$1:$BX$1,0))*Assumptions!AI$31*(1+AFUDC!$C$31)*1000000*'Resource Options'!$E$31/1000*(1-INDEX('DATA (Nominal)'!$B$231:$BX$231,1,MATCH($B$1,'DATA (Nominal)'!$B$1:$BX$1,0)))</f>
        <v>26415089.512149896</v>
      </c>
      <c r="H157" s="71">
        <f>INDEX('DATA (Nominal)'!$B$50:$BX$50,1,MATCH($B$1,'DATA (Nominal)'!$B$1:$BX$1,0))*Assumptions!AJ$31*(1+AFUDC!$C$31)*1000000*'Resource Options'!$E$31/1000*(1-INDEX('DATA (Nominal)'!$B$231:$BX$231,1,MATCH($B$1,'DATA (Nominal)'!$B$1:$BX$1,0)))</f>
        <v>25091070.972359709</v>
      </c>
      <c r="I157" s="71">
        <f>INDEX('DATA (Nominal)'!$B$50:$BX$50,1,MATCH($B$1,'DATA (Nominal)'!$B$1:$BX$1,0))*Assumptions!AK$31*(1+AFUDC!$C$31)*1000000*'Resource Options'!$E$31/1000*(1-INDEX('DATA (Nominal)'!$B$231:$BX$231,1,MATCH($B$1,'DATA (Nominal)'!$B$1:$BX$1,0)))</f>
        <v>23884779.378085714</v>
      </c>
      <c r="J157" s="71">
        <f>INDEX('DATA (Nominal)'!$B$50:$BX$50,1,MATCH($B$1,'DATA (Nominal)'!$B$1:$BX$1,0))*Assumptions!AL$31*(1+AFUDC!$C$31)*1000000*'Resource Options'!$E$31/1000*(1-INDEX('DATA (Nominal)'!$B$231:$BX$231,1,MATCH($B$1,'DATA (Nominal)'!$B$1:$BX$1,0)))</f>
        <v>22766782.992948864</v>
      </c>
      <c r="K157" s="71">
        <f>INDEX('DATA (Nominal)'!$B$50:$BX$50,1,MATCH($B$1,'DATA (Nominal)'!$B$1:$BX$1,0))*Assumptions!AM$31*(1+AFUDC!$C$31)*1000000*'Resource Options'!$E$31/1000*(1-INDEX('DATA (Nominal)'!$B$231:$BX$231,1,MATCH($B$1,'DATA (Nominal)'!$B$1:$BX$1,0)))</f>
        <v>21825377.026086304</v>
      </c>
      <c r="L157" s="71">
        <f>INDEX('DATA (Nominal)'!$B$50:$BX$50,1,MATCH($B$1,'DATA (Nominal)'!$B$1:$BX$1,0))*Assumptions!AN$31*(1+AFUDC!$C$31)*1000000*'Resource Options'!$E$31/1000*(1-INDEX('DATA (Nominal)'!$B$231:$BX$231,1,MATCH($B$1,'DATA (Nominal)'!$B$1:$BX$1,0)))</f>
        <v>20972266.268360894</v>
      </c>
      <c r="M157" s="71">
        <f>INDEX('DATA (Nominal)'!$B$50:$BX$50,1,MATCH($B$1,'DATA (Nominal)'!$B$1:$BX$1,0))*Assumptions!AO$31*(1+AFUDC!$C$31)*1000000*'Resource Options'!$E$31/1000*(1-INDEX('DATA (Nominal)'!$B$231:$BX$231,1,MATCH($B$1,'DATA (Nominal)'!$B$1:$BX$1,0)))</f>
        <v>20119155.51063548</v>
      </c>
      <c r="N157" s="71">
        <f>INDEX('DATA (Nominal)'!$B$50:$BX$50,1,MATCH($B$1,'DATA (Nominal)'!$B$1:$BX$1,0))*Assumptions!AP$31*(1+AFUDC!$C$31)*1000000*'Resource Options'!$E$31/1000*(1-INDEX('DATA (Nominal)'!$B$231:$BX$231,1,MATCH($B$1,'DATA (Nominal)'!$B$1:$BX$1,0)))</f>
        <v>19266044.752910066</v>
      </c>
      <c r="O157" s="71">
        <f>INDEX('DATA (Nominal)'!$B$50:$BX$50,1,MATCH($B$1,'DATA (Nominal)'!$B$1:$BX$1,0))*Assumptions!AQ$31*(1+AFUDC!$C$31)*1000000*'Resource Options'!$E$31/1000*(1-INDEX('DATA (Nominal)'!$B$231:$BX$231,1,MATCH($B$1,'DATA (Nominal)'!$B$1:$BX$1,0)))</f>
        <v>18412933.99518466</v>
      </c>
      <c r="P157" s="71">
        <f>INDEX('DATA (Nominal)'!$B$50:$BX$50,1,MATCH($B$1,'DATA (Nominal)'!$B$1:$BX$1,0))*Assumptions!AR$31*(1+AFUDC!$C$31)*1000000*'Resource Options'!$E$31/1000*(1-INDEX('DATA (Nominal)'!$B$231:$BX$231,1,MATCH($B$1,'DATA (Nominal)'!$B$1:$BX$1,0)))</f>
        <v>17559823.237459239</v>
      </c>
      <c r="Q157" s="71">
        <f>INDEX('DATA (Nominal)'!$B$50:$BX$50,1,MATCH($B$1,'DATA (Nominal)'!$B$1:$BX$1,0))*Assumptions!AS$31*(1+AFUDC!$C$31)*1000000*'Resource Options'!$E$31/1000*(1-INDEX('DATA (Nominal)'!$B$231:$BX$231,1,MATCH($B$1,'DATA (Nominal)'!$B$1:$BX$1,0)))</f>
        <v>16706712.479733828</v>
      </c>
      <c r="R157" s="71">
        <f>INDEX('DATA (Nominal)'!$B$50:$BX$50,1,MATCH($B$1,'DATA (Nominal)'!$B$1:$BX$1,0))*Assumptions!AT$31*(1+AFUDC!$C$31)*1000000*'Resource Options'!$E$31/1000*(1-INDEX('DATA (Nominal)'!$B$231:$BX$231,1,MATCH($B$1,'DATA (Nominal)'!$B$1:$BX$1,0)))</f>
        <v>15853601.722008413</v>
      </c>
      <c r="S157" s="71">
        <f>INDEX('DATA (Nominal)'!$B$50:$BX$50,1,MATCH($B$1,'DATA (Nominal)'!$B$1:$BX$1,0))*Assumptions!AU$31*(1+AFUDC!$C$31)*1000000*'Resource Options'!$E$31/1000*(1-INDEX('DATA (Nominal)'!$B$231:$BX$231,1,MATCH($B$1,'DATA (Nominal)'!$B$1:$BX$1,0)))</f>
        <v>15000490.964283001</v>
      </c>
      <c r="T157" s="71">
        <f>INDEX('DATA (Nominal)'!$B$50:$BX$50,1,MATCH($B$1,'DATA (Nominal)'!$B$1:$BX$1,0))*Assumptions!AV$31*(1+AFUDC!$C$31)*1000000*'Resource Options'!$E$31/1000*(1-INDEX('DATA (Nominal)'!$B$231:$BX$231,1,MATCH($B$1,'DATA (Nominal)'!$B$1:$BX$1,0)))</f>
        <v>14147380.206557591</v>
      </c>
      <c r="U157" s="71">
        <f>INDEX('DATA (Nominal)'!$B$50:$BX$50,1,MATCH($B$1,'DATA (Nominal)'!$B$1:$BX$1,0))*Assumptions!AW$31*(1+AFUDC!$C$31)*1000000*'Resource Options'!$E$31/1000*(1-INDEX('DATA (Nominal)'!$B$231:$BX$231,1,MATCH($B$1,'DATA (Nominal)'!$B$1:$BX$1,0)))</f>
        <v>13294269.448832173</v>
      </c>
      <c r="V157" s="71">
        <f>INDEX('DATA (Nominal)'!$B$50:$BX$50,1,MATCH($B$1,'DATA (Nominal)'!$B$1:$BX$1,0))*Assumptions!AX$31*(1+AFUDC!$C$31)*1000000*'Resource Options'!$E$31/1000*(1-INDEX('DATA (Nominal)'!$B$231:$BX$231,1,MATCH($B$1,'DATA (Nominal)'!$B$1:$BX$1,0)))</f>
        <v>12441158.691106763</v>
      </c>
      <c r="W157" s="71">
        <f>INDEX('DATA (Nominal)'!$B$50:$BX$50,1,MATCH($B$1,'DATA (Nominal)'!$B$1:$BX$1,0))*Assumptions!AY$31*(1+AFUDC!$C$31)*1000000*'Resource Options'!$E$31/1000*(1-INDEX('DATA (Nominal)'!$B$231:$BX$231,1,MATCH($B$1,'DATA (Nominal)'!$B$1:$BX$1,0)))</f>
        <v>11588047.933381349</v>
      </c>
      <c r="X157" s="72">
        <f>INDEX('DATA (Nominal)'!$B$50:$BX$50,1,MATCH($B$1,'DATA (Nominal)'!$B$1:$BX$1,0))*Assumptions!AZ$31*(1+AFUDC!$C$31)*1000000*'Resource Options'!$E$31/1000*(1-INDEX('DATA (Nominal)'!$B$231:$BX$231,1,MATCH($B$1,'DATA (Nominal)'!$B$1:$BX$1,0)))</f>
        <v>10734937.175655935</v>
      </c>
    </row>
    <row r="158" spans="1:24" ht="15" hidden="1" customHeight="1" outlineLevel="1">
      <c r="C158" s="79" t="s">
        <v>93</v>
      </c>
      <c r="D158" s="71">
        <f>-PMT(Discount_Rate,20,NPV(Discount_Rate,E158:X158))</f>
        <v>111946.66787534364</v>
      </c>
      <c r="E158" s="71">
        <f t="shared" ref="E158:X158" si="159">E156*Misc_Fees</f>
        <v>94421.597924825954</v>
      </c>
      <c r="F158" s="71">
        <f t="shared" si="159"/>
        <v>96530.346945147074</v>
      </c>
      <c r="G158" s="71">
        <f t="shared" si="159"/>
        <v>98686.191360255354</v>
      </c>
      <c r="H158" s="71">
        <f t="shared" si="159"/>
        <v>100857.28757018095</v>
      </c>
      <c r="I158" s="71">
        <f t="shared" si="159"/>
        <v>103076.14789672496</v>
      </c>
      <c r="J158" s="71">
        <f t="shared" si="159"/>
        <v>105343.82315045292</v>
      </c>
      <c r="K158" s="71">
        <f t="shared" si="159"/>
        <v>107661.38725976287</v>
      </c>
      <c r="L158" s="71">
        <f t="shared" si="159"/>
        <v>110029.93777947764</v>
      </c>
      <c r="M158" s="71">
        <f t="shared" si="159"/>
        <v>112450.59641062618</v>
      </c>
      <c r="N158" s="71">
        <f t="shared" si="159"/>
        <v>114924.50953165993</v>
      </c>
      <c r="O158" s="71">
        <f t="shared" si="159"/>
        <v>117452.84874135646</v>
      </c>
      <c r="P158" s="71">
        <f t="shared" si="159"/>
        <v>120036.81141366631</v>
      </c>
      <c r="Q158" s="71">
        <f t="shared" si="159"/>
        <v>122677.62126476695</v>
      </c>
      <c r="R158" s="71">
        <f t="shared" si="159"/>
        <v>125376.5289325918</v>
      </c>
      <c r="S158" s="71">
        <f t="shared" si="159"/>
        <v>128134.81256910885</v>
      </c>
      <c r="T158" s="71">
        <f t="shared" si="159"/>
        <v>130953.77844562926</v>
      </c>
      <c r="U158" s="71">
        <f t="shared" si="159"/>
        <v>133834.7615714331</v>
      </c>
      <c r="V158" s="71">
        <f t="shared" si="159"/>
        <v>136779.1263260046</v>
      </c>
      <c r="W158" s="71">
        <f t="shared" si="159"/>
        <v>139788.26710517672</v>
      </c>
      <c r="X158" s="72">
        <f t="shared" si="159"/>
        <v>142863.6089814906</v>
      </c>
    </row>
    <row r="159" spans="1:24" ht="15" hidden="1" customHeight="1" outlineLevel="1">
      <c r="C159" s="79" t="s">
        <v>94</v>
      </c>
      <c r="D159" s="71">
        <f>-PMT(Discount_Rate,20,NPV(Discount_Rate,E159:X159))</f>
        <v>25094091.026879363</v>
      </c>
      <c r="E159" s="71">
        <f t="shared" ref="E159:X159" si="160">SUM(E156:E158)</f>
        <v>33036406.913909491</v>
      </c>
      <c r="F159" s="71">
        <f t="shared" si="160"/>
        <v>31460626.757167403</v>
      </c>
      <c r="G159" s="71">
        <f t="shared" si="160"/>
        <v>29898772.320106685</v>
      </c>
      <c r="H159" s="71">
        <f t="shared" si="160"/>
        <v>28651394.80209155</v>
      </c>
      <c r="I159" s="71">
        <f t="shared" si="160"/>
        <v>27523430.332071654</v>
      </c>
      <c r="J159" s="71">
        <f t="shared" si="160"/>
        <v>26485484.267922495</v>
      </c>
      <c r="K159" s="71">
        <f t="shared" si="160"/>
        <v>25625889.729109354</v>
      </c>
      <c r="L159" s="71">
        <f t="shared" si="160"/>
        <v>24856390.25085045</v>
      </c>
      <c r="M159" s="71">
        <f t="shared" si="160"/>
        <v>24088730.220739808</v>
      </c>
      <c r="N159" s="71">
        <f t="shared" si="160"/>
        <v>23322950.106636688</v>
      </c>
      <c r="O159" s="71">
        <f t="shared" si="160"/>
        <v>22559091.266693268</v>
      </c>
      <c r="P159" s="71">
        <f t="shared" si="160"/>
        <v>21797195.96894104</v>
      </c>
      <c r="Q159" s="71">
        <f t="shared" si="160"/>
        <v>21037307.411308225</v>
      </c>
      <c r="R159" s="71">
        <f t="shared" si="160"/>
        <v>20279469.742077444</v>
      </c>
      <c r="S159" s="71">
        <f t="shared" si="160"/>
        <v>19523728.080793552</v>
      </c>
      <c r="T159" s="71">
        <f t="shared" si="160"/>
        <v>18770128.539631374</v>
      </c>
      <c r="U159" s="71">
        <f t="shared" si="160"/>
        <v>18018718.24523358</v>
      </c>
      <c r="V159" s="71">
        <f t="shared" si="160"/>
        <v>17269545.361029003</v>
      </c>
      <c r="W159" s="71">
        <f t="shared" si="160"/>
        <v>16522659.110041879</v>
      </c>
      <c r="X159" s="72">
        <f t="shared" si="160"/>
        <v>15778109.798202995</v>
      </c>
    </row>
    <row r="160" spans="1:24" ht="15" hidden="1" customHeight="1" outlineLevel="1">
      <c r="C160" s="79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2"/>
    </row>
    <row r="161" spans="1:24" ht="15" hidden="1" customHeight="1" outlineLevel="1">
      <c r="C161" s="79" t="s">
        <v>116</v>
      </c>
      <c r="D161" s="71">
        <f>-PMT(Discount_Rate,20,NPV(Discount_Rate,E161:X161))</f>
        <v>0</v>
      </c>
      <c r="E161" s="71">
        <f>E153*INDEX('DATA (Nominal)'!$B$98:$BX$98,1,MATCH(E$1,'DATA (Nominal)'!$B$1:$BX$1,0))</f>
        <v>0</v>
      </c>
      <c r="F161" s="71">
        <f>F153*INDEX('DATA (Nominal)'!$B$98:$BX$98,1,MATCH(F$1,'DATA (Nominal)'!$B$1:$BX$1,0))</f>
        <v>0</v>
      </c>
      <c r="G161" s="71">
        <f>G153*INDEX('DATA (Nominal)'!$B$98:$BX$98,1,MATCH(G$1,'DATA (Nominal)'!$B$1:$BX$1,0))</f>
        <v>0</v>
      </c>
      <c r="H161" s="71">
        <f>H153*INDEX('DATA (Nominal)'!$B$98:$BX$98,1,MATCH(H$1,'DATA (Nominal)'!$B$1:$BX$1,0))</f>
        <v>0</v>
      </c>
      <c r="I161" s="71">
        <f>I153*INDEX('DATA (Nominal)'!$B$98:$BX$98,1,MATCH(I$1,'DATA (Nominal)'!$B$1:$BX$1,0))</f>
        <v>0</v>
      </c>
      <c r="J161" s="71">
        <f>J153*INDEX('DATA (Nominal)'!$B$98:$BX$98,1,MATCH(J$1,'DATA (Nominal)'!$B$1:$BX$1,0))</f>
        <v>0</v>
      </c>
      <c r="K161" s="71">
        <f>K153*INDEX('DATA (Nominal)'!$B$98:$BX$98,1,MATCH(K$1,'DATA (Nominal)'!$B$1:$BX$1,0))</f>
        <v>0</v>
      </c>
      <c r="L161" s="71">
        <f>L153*INDEX('DATA (Nominal)'!$B$98:$BX$98,1,MATCH(L$1,'DATA (Nominal)'!$B$1:$BX$1,0))</f>
        <v>0</v>
      </c>
      <c r="M161" s="71">
        <f>M153*INDEX('DATA (Nominal)'!$B$98:$BX$98,1,MATCH(M$1,'DATA (Nominal)'!$B$1:$BX$1,0))</f>
        <v>0</v>
      </c>
      <c r="N161" s="71">
        <f>N153*INDEX('DATA (Nominal)'!$B$98:$BX$98,1,MATCH(N$1,'DATA (Nominal)'!$B$1:$BX$1,0))</f>
        <v>0</v>
      </c>
      <c r="O161" s="71">
        <f>O153*INDEX('DATA (Nominal)'!$B$98:$BX$98,1,MATCH(O$1,'DATA (Nominal)'!$B$1:$BX$1,0))</f>
        <v>0</v>
      </c>
      <c r="P161" s="71">
        <f>P153*INDEX('DATA (Nominal)'!$B$98:$BX$98,1,MATCH(P$1,'DATA (Nominal)'!$B$1:$BX$1,0))</f>
        <v>0</v>
      </c>
      <c r="Q161" s="71">
        <f>Q153*INDEX('DATA (Nominal)'!$B$98:$BX$98,1,MATCH(Q$1,'DATA (Nominal)'!$B$1:$BX$1,0))</f>
        <v>0</v>
      </c>
      <c r="R161" s="71">
        <f>R153*INDEX('DATA (Nominal)'!$B$98:$BX$98,1,MATCH(R$1,'DATA (Nominal)'!$B$1:$BX$1,0))</f>
        <v>0</v>
      </c>
      <c r="S161" s="71">
        <f>S153*INDEX('DATA (Nominal)'!$B$98:$BX$98,1,MATCH(S$1,'DATA (Nominal)'!$B$1:$BX$1,0))</f>
        <v>0</v>
      </c>
      <c r="T161" s="71">
        <f>T153*INDEX('DATA (Nominal)'!$B$98:$BX$98,1,MATCH(T$1,'DATA (Nominal)'!$B$1:$BX$1,0))</f>
        <v>0</v>
      </c>
      <c r="U161" s="71">
        <f>U153*INDEX('DATA (Nominal)'!$B$98:$BX$98,1,MATCH(U$1,'DATA (Nominal)'!$B$1:$BX$1,0))</f>
        <v>0</v>
      </c>
      <c r="V161" s="71">
        <f>V153*INDEX('DATA (Nominal)'!$B$98:$BX$98,1,MATCH(V$1,'DATA (Nominal)'!$B$1:$BX$1,0))</f>
        <v>0</v>
      </c>
      <c r="W161" s="71">
        <f>W153*INDEX('DATA (Nominal)'!$B$98:$BX$98,1,MATCH(W$1,'DATA (Nominal)'!$B$1:$BX$1,0))</f>
        <v>0</v>
      </c>
      <c r="X161" s="72">
        <f>X153*INDEX('DATA (Nominal)'!$B$98:$BX$98,1,MATCH(X$1,'DATA (Nominal)'!$B$1:$BX$1,0))</f>
        <v>0</v>
      </c>
    </row>
    <row r="162" spans="1:24" ht="15" hidden="1" customHeight="1" outlineLevel="1">
      <c r="C162" s="79" t="s">
        <v>117</v>
      </c>
      <c r="D162" s="71">
        <f>-PMT(Discount_Rate,20,NPV(Discount_Rate,E162:X162))</f>
        <v>205382492.47560135</v>
      </c>
      <c r="E162" s="71">
        <f>(E153+E154)*INDEX('DATA (Nominal)'!$B$155:$BX$155,1,MATCH(E$1,'DATA (Nominal)'!$B$1:$BX$1,0))</f>
        <v>213273269.00748253</v>
      </c>
      <c r="F162" s="71">
        <f>(F153+F154)*INDEX('DATA (Nominal)'!$B$155:$BX$155,1,MATCH(F$1,'DATA (Nominal)'!$B$1:$BX$1,0))</f>
        <v>198719245.83153725</v>
      </c>
      <c r="G162" s="71">
        <f>(G153+G154)*INDEX('DATA (Nominal)'!$B$155:$BX$155,1,MATCH(G$1,'DATA (Nominal)'!$B$1:$BX$1,0))</f>
        <v>178686325.77404976</v>
      </c>
      <c r="H162" s="71">
        <f>(H153+H154)*INDEX('DATA (Nominal)'!$B$155:$BX$155,1,MATCH(H$1,'DATA (Nominal)'!$B$1:$BX$1,0))</f>
        <v>178279859.93894815</v>
      </c>
      <c r="I162" s="71">
        <f>(I153+I154)*INDEX('DATA (Nominal)'!$B$155:$BX$155,1,MATCH(I$1,'DATA (Nominal)'!$B$1:$BX$1,0))</f>
        <v>178847670.57975769</v>
      </c>
      <c r="J162" s="71">
        <f>(J153+J154)*INDEX('DATA (Nominal)'!$B$155:$BX$155,1,MATCH(J$1,'DATA (Nominal)'!$B$1:$BX$1,0))</f>
        <v>205212568.73507974</v>
      </c>
      <c r="K162" s="71">
        <f>(K153+K154)*INDEX('DATA (Nominal)'!$B$155:$BX$155,1,MATCH(K$1,'DATA (Nominal)'!$B$1:$BX$1,0))</f>
        <v>192999108.77324343</v>
      </c>
      <c r="L162" s="71">
        <f>(L153+L154)*INDEX('DATA (Nominal)'!$B$155:$BX$155,1,MATCH(L$1,'DATA (Nominal)'!$B$1:$BX$1,0))</f>
        <v>187665757.41104841</v>
      </c>
      <c r="M162" s="71">
        <f>(M153+M154)*INDEX('DATA (Nominal)'!$B$155:$BX$155,1,MATCH(M$1,'DATA (Nominal)'!$B$1:$BX$1,0))</f>
        <v>193747295.07744074</v>
      </c>
      <c r="N162" s="71">
        <f>(N153+N154)*INDEX('DATA (Nominal)'!$B$155:$BX$155,1,MATCH(N$1,'DATA (Nominal)'!$B$1:$BX$1,0))</f>
        <v>196912991.80273774</v>
      </c>
      <c r="O162" s="71">
        <f>(O153+O154)*INDEX('DATA (Nominal)'!$B$155:$BX$155,1,MATCH(O$1,'DATA (Nominal)'!$B$1:$BX$1,0))</f>
        <v>204789375.74365377</v>
      </c>
      <c r="P162" s="71">
        <f>(P153+P154)*INDEX('DATA (Nominal)'!$B$155:$BX$155,1,MATCH(P$1,'DATA (Nominal)'!$B$1:$BX$1,0))</f>
        <v>208290646.57260418</v>
      </c>
      <c r="Q162" s="71">
        <f>(Q153+Q154)*INDEX('DATA (Nominal)'!$B$155:$BX$155,1,MATCH(Q$1,'DATA (Nominal)'!$B$1:$BX$1,0))</f>
        <v>218357991.9690561</v>
      </c>
      <c r="R162" s="71">
        <f>(R153+R154)*INDEX('DATA (Nominal)'!$B$155:$BX$155,1,MATCH(R$1,'DATA (Nominal)'!$B$1:$BX$1,0))</f>
        <v>216756389.85763314</v>
      </c>
      <c r="S162" s="71">
        <f>(S153+S154)*INDEX('DATA (Nominal)'!$B$155:$BX$155,1,MATCH(S$1,'DATA (Nominal)'!$B$1:$BX$1,0))</f>
        <v>223405357.03812122</v>
      </c>
      <c r="T162" s="71">
        <f>(T153+T154)*INDEX('DATA (Nominal)'!$B$155:$BX$155,1,MATCH(T$1,'DATA (Nominal)'!$B$1:$BX$1,0))</f>
        <v>236270614.4990921</v>
      </c>
      <c r="U162" s="71">
        <f>(U153+U154)*INDEX('DATA (Nominal)'!$B$155:$BX$155,1,MATCH(U$1,'DATA (Nominal)'!$B$1:$BX$1,0))</f>
        <v>237502126.00980762</v>
      </c>
      <c r="V162" s="71">
        <f>(V153+V154)*INDEX('DATA (Nominal)'!$B$155:$BX$155,1,MATCH(V$1,'DATA (Nominal)'!$B$1:$BX$1,0))</f>
        <v>247186420.61915874</v>
      </c>
      <c r="W162" s="71">
        <f>(W153+W154)*INDEX('DATA (Nominal)'!$B$155:$BX$155,1,MATCH(W$1,'DATA (Nominal)'!$B$1:$BX$1,0))</f>
        <v>252872619.01706219</v>
      </c>
      <c r="X162" s="72">
        <f>(X153+X154)*INDEX('DATA (Nominal)'!$B$155:$BX$155,1,MATCH(X$1,'DATA (Nominal)'!$B$1:$BX$1,0))</f>
        <v>284309005.19105911</v>
      </c>
    </row>
    <row r="163" spans="1:24" ht="15" hidden="1" customHeight="1" outlineLevel="1">
      <c r="C163" s="79" t="s">
        <v>93</v>
      </c>
      <c r="D163" s="71">
        <f>-PMT(Discount_Rate,20,NPV(Discount_Rate,E163:X163))</f>
        <v>5987721.1856336799</v>
      </c>
      <c r="E163" s="73">
        <f t="shared" ref="E163:X163" si="161">SUM(E161:E162)*Misc_Fees</f>
        <v>6217768.8846441451</v>
      </c>
      <c r="F163" s="73">
        <f t="shared" si="161"/>
        <v>5793460.892972637</v>
      </c>
      <c r="G163" s="73">
        <f t="shared" si="161"/>
        <v>5209421.1416166462</v>
      </c>
      <c r="H163" s="73">
        <f t="shared" si="161"/>
        <v>5197571.0366600947</v>
      </c>
      <c r="I163" s="73">
        <f t="shared" si="161"/>
        <v>5214124.9880822552</v>
      </c>
      <c r="J163" s="73">
        <f t="shared" si="161"/>
        <v>5982767.2289025141</v>
      </c>
      <c r="K163" s="73">
        <f t="shared" si="161"/>
        <v>5626696.0171751389</v>
      </c>
      <c r="L163" s="73">
        <f t="shared" si="161"/>
        <v>5471207.4915617052</v>
      </c>
      <c r="M163" s="73">
        <f t="shared" si="161"/>
        <v>5648508.6406877069</v>
      </c>
      <c r="N163" s="73">
        <f t="shared" si="161"/>
        <v>5740801.3630170161</v>
      </c>
      <c r="O163" s="73">
        <f t="shared" si="161"/>
        <v>5970429.4604304824</v>
      </c>
      <c r="P163" s="73">
        <f t="shared" si="161"/>
        <v>6072505.5101777017</v>
      </c>
      <c r="Q163" s="73">
        <f t="shared" si="161"/>
        <v>6366008.8978658617</v>
      </c>
      <c r="R163" s="73">
        <f t="shared" si="161"/>
        <v>6319315.7899094364</v>
      </c>
      <c r="S163" s="73">
        <f t="shared" si="161"/>
        <v>6513159.7790893856</v>
      </c>
      <c r="T163" s="73">
        <f t="shared" si="161"/>
        <v>6888233.4951065313</v>
      </c>
      <c r="U163" s="73">
        <f t="shared" si="161"/>
        <v>6924136.9816899309</v>
      </c>
      <c r="V163" s="73">
        <f t="shared" si="161"/>
        <v>7206472.9067309536</v>
      </c>
      <c r="W163" s="73">
        <f t="shared" si="161"/>
        <v>7372248.3348234305</v>
      </c>
      <c r="X163" s="74">
        <f t="shared" si="161"/>
        <v>8288744.7373401374</v>
      </c>
    </row>
    <row r="164" spans="1:24" ht="15" hidden="1" customHeight="1" outlineLevel="1">
      <c r="C164" s="79" t="s">
        <v>99</v>
      </c>
      <c r="D164" s="71">
        <f>-PMT(Discount_Rate,20,NPV(Discount_Rate,E164:X164))</f>
        <v>211370213.66123506</v>
      </c>
      <c r="E164" s="71">
        <f>SUM(E161:E163)</f>
        <v>219491037.89212668</v>
      </c>
      <c r="F164" s="71">
        <f t="shared" ref="F164" si="162">SUM(F161:F163)</f>
        <v>204512706.72450989</v>
      </c>
      <c r="G164" s="71">
        <f t="shared" ref="G164" si="163">SUM(G161:G163)</f>
        <v>183895746.9156664</v>
      </c>
      <c r="H164" s="71">
        <f t="shared" ref="H164" si="164">SUM(H161:H163)</f>
        <v>183477430.97560826</v>
      </c>
      <c r="I164" s="71">
        <f t="shared" ref="I164" si="165">SUM(I161:I163)</f>
        <v>184061795.56783995</v>
      </c>
      <c r="J164" s="71">
        <f t="shared" ref="J164" si="166">SUM(J161:J163)</f>
        <v>211195335.96398225</v>
      </c>
      <c r="K164" s="71">
        <f t="shared" ref="K164" si="167">SUM(K161:K163)</f>
        <v>198625804.79041857</v>
      </c>
      <c r="L164" s="71">
        <f t="shared" ref="L164" si="168">SUM(L161:L163)</f>
        <v>193136964.90261012</v>
      </c>
      <c r="M164" s="71">
        <f t="shared" ref="M164" si="169">SUM(M161:M163)</f>
        <v>199395803.71812844</v>
      </c>
      <c r="N164" s="71">
        <f t="shared" ref="N164" si="170">SUM(N161:N163)</f>
        <v>202653793.16575477</v>
      </c>
      <c r="O164" s="71">
        <f t="shared" ref="O164" si="171">SUM(O161:O163)</f>
        <v>210759805.20408425</v>
      </c>
      <c r="P164" s="71">
        <f t="shared" ref="P164" si="172">SUM(P161:P163)</f>
        <v>214363152.08278188</v>
      </c>
      <c r="Q164" s="71">
        <f t="shared" ref="Q164" si="173">SUM(Q161:Q163)</f>
        <v>224724000.86692196</v>
      </c>
      <c r="R164" s="71">
        <f t="shared" ref="R164" si="174">SUM(R161:R163)</f>
        <v>223075705.64754257</v>
      </c>
      <c r="S164" s="71">
        <f t="shared" ref="S164" si="175">SUM(S161:S163)</f>
        <v>229918516.81721061</v>
      </c>
      <c r="T164" s="71">
        <f t="shared" ref="T164" si="176">SUM(T161:T163)</f>
        <v>243158847.99419862</v>
      </c>
      <c r="U164" s="71">
        <f t="shared" ref="U164" si="177">SUM(U161:U163)</f>
        <v>244426262.99149755</v>
      </c>
      <c r="V164" s="71">
        <f t="shared" ref="V164" si="178">SUM(V161:V163)</f>
        <v>254392893.52588969</v>
      </c>
      <c r="W164" s="71">
        <f t="shared" ref="W164" si="179">SUM(W161:W163)</f>
        <v>260244867.35188562</v>
      </c>
      <c r="X164" s="72">
        <f t="shared" ref="X164" si="180">SUM(X161:X163)</f>
        <v>292597749.92839926</v>
      </c>
    </row>
    <row r="165" spans="1:24" ht="15" hidden="1" customHeight="1" outlineLevel="1">
      <c r="C165" s="79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2"/>
    </row>
    <row r="166" spans="1:24" ht="15.75" hidden="1" customHeight="1" outlineLevel="1" thickBot="1">
      <c r="C166" s="81" t="s">
        <v>100</v>
      </c>
      <c r="D166" s="71">
        <f>-PMT(Discount_Rate,20,NPV(Discount_Rate,E166:X166))</f>
        <v>236464304.68811435</v>
      </c>
      <c r="E166" s="75">
        <f>E159+E164</f>
        <v>252527444.80603617</v>
      </c>
      <c r="F166" s="75">
        <f t="shared" ref="F166:H166" si="181">F159+F164</f>
        <v>235973333.48167729</v>
      </c>
      <c r="G166" s="75">
        <f t="shared" si="181"/>
        <v>213794519.23577309</v>
      </c>
      <c r="H166" s="75">
        <f t="shared" si="181"/>
        <v>212128825.7776998</v>
      </c>
      <c r="I166" s="75">
        <f>I159+I164</f>
        <v>211585225.89991161</v>
      </c>
      <c r="J166" s="75">
        <f t="shared" ref="J166:X166" si="182">J159+J164</f>
        <v>237680820.23190475</v>
      </c>
      <c r="K166" s="75">
        <f t="shared" si="182"/>
        <v>224251694.51952791</v>
      </c>
      <c r="L166" s="75">
        <f t="shared" si="182"/>
        <v>217993355.15346056</v>
      </c>
      <c r="M166" s="75">
        <f t="shared" si="182"/>
        <v>223484533.93886825</v>
      </c>
      <c r="N166" s="75">
        <f t="shared" si="182"/>
        <v>225976743.27239144</v>
      </c>
      <c r="O166" s="75">
        <f t="shared" si="182"/>
        <v>233318896.47077751</v>
      </c>
      <c r="P166" s="75">
        <f t="shared" si="182"/>
        <v>236160348.05172291</v>
      </c>
      <c r="Q166" s="75">
        <f t="shared" si="182"/>
        <v>245761308.27823019</v>
      </c>
      <c r="R166" s="75">
        <f t="shared" si="182"/>
        <v>243355175.38962001</v>
      </c>
      <c r="S166" s="75">
        <f t="shared" si="182"/>
        <v>249442244.89800417</v>
      </c>
      <c r="T166" s="75">
        <f t="shared" si="182"/>
        <v>261928976.53382999</v>
      </c>
      <c r="U166" s="75">
        <f t="shared" si="182"/>
        <v>262444981.23673111</v>
      </c>
      <c r="V166" s="75">
        <f t="shared" si="182"/>
        <v>271662438.88691872</v>
      </c>
      <c r="W166" s="75">
        <f t="shared" si="182"/>
        <v>276767526.46192747</v>
      </c>
      <c r="X166" s="76">
        <f t="shared" si="182"/>
        <v>308375859.72660226</v>
      </c>
    </row>
    <row r="167" spans="1:24" ht="15" hidden="1" customHeight="1" outlineLevel="1">
      <c r="A167" s="95"/>
      <c r="C167" s="35" t="s">
        <v>118</v>
      </c>
      <c r="D167" s="77">
        <f>D159/'Resource Options'!$E$31/1000</f>
        <v>250.94091026879363</v>
      </c>
      <c r="E167" s="24"/>
      <c r="F167" s="24"/>
      <c r="G167" s="24"/>
      <c r="H167" s="24"/>
      <c r="I167" s="24"/>
      <c r="J167" s="24"/>
      <c r="K167" s="24"/>
      <c r="L167" s="24"/>
      <c r="M167" s="24"/>
      <c r="N167" s="24"/>
    </row>
    <row r="168" spans="1:24" ht="15" hidden="1" customHeight="1" outlineLevel="1">
      <c r="C168" s="32" t="s">
        <v>119</v>
      </c>
      <c r="D168" s="44">
        <f>D159/'Resource Options'!$D$31/1000</f>
        <v>2.5094091026879366</v>
      </c>
      <c r="E168" s="24"/>
    </row>
    <row r="169" spans="1:24" ht="15" hidden="1" customHeight="1" outlineLevel="1">
      <c r="C169" s="32" t="s">
        <v>120</v>
      </c>
      <c r="D169" s="5">
        <f>D164/E153</f>
        <v>57.909647578420568</v>
      </c>
    </row>
    <row r="170" spans="1:24" ht="15.75" hidden="1" customHeight="1" outlineLevel="1" thickBot="1">
      <c r="C170" s="34" t="s">
        <v>121</v>
      </c>
      <c r="D170" s="20">
        <f>D166/(E153-E154)</f>
        <v>177.49244112449941</v>
      </c>
      <c r="E170" s="24"/>
    </row>
    <row r="171" spans="1:24" ht="15" hidden="1" customHeight="1" outlineLevel="1"/>
    <row r="172" spans="1:24" ht="15.75" collapsed="1" thickBot="1"/>
    <row r="173" spans="1:24" ht="18.75" thickBot="1">
      <c r="A173" s="95"/>
      <c r="B173" s="95"/>
      <c r="C173" s="499" t="s">
        <v>22</v>
      </c>
      <c r="D173" s="500"/>
      <c r="E173" s="500"/>
      <c r="F173" s="501"/>
    </row>
    <row r="174" spans="1:24" ht="15" hidden="1" customHeight="1" outlineLevel="1">
      <c r="C174" s="78" t="s">
        <v>44</v>
      </c>
      <c r="D174" s="67"/>
      <c r="E174" s="67">
        <f>'Resource Options'!$D$35*365</f>
        <v>146000</v>
      </c>
      <c r="F174" s="67">
        <f>E174</f>
        <v>146000</v>
      </c>
      <c r="G174" s="67">
        <f t="shared" ref="G174:X175" si="183">F174</f>
        <v>146000</v>
      </c>
      <c r="H174" s="67">
        <f t="shared" si="183"/>
        <v>146000</v>
      </c>
      <c r="I174" s="67">
        <f t="shared" si="183"/>
        <v>146000</v>
      </c>
      <c r="J174" s="67">
        <f t="shared" si="183"/>
        <v>146000</v>
      </c>
      <c r="K174" s="67">
        <f t="shared" si="183"/>
        <v>146000</v>
      </c>
      <c r="L174" s="67">
        <f t="shared" si="183"/>
        <v>146000</v>
      </c>
      <c r="M174" s="67">
        <f t="shared" si="183"/>
        <v>146000</v>
      </c>
      <c r="N174" s="67">
        <f t="shared" si="183"/>
        <v>146000</v>
      </c>
      <c r="O174" s="67">
        <f t="shared" si="183"/>
        <v>146000</v>
      </c>
      <c r="P174" s="67">
        <f t="shared" si="183"/>
        <v>146000</v>
      </c>
      <c r="Q174" s="67">
        <f t="shared" si="183"/>
        <v>146000</v>
      </c>
      <c r="R174" s="67">
        <f t="shared" si="183"/>
        <v>146000</v>
      </c>
      <c r="S174" s="67">
        <f t="shared" si="183"/>
        <v>146000</v>
      </c>
      <c r="T174" s="67">
        <f t="shared" si="183"/>
        <v>146000</v>
      </c>
      <c r="U174" s="67">
        <f t="shared" si="183"/>
        <v>146000</v>
      </c>
      <c r="V174" s="67">
        <f t="shared" si="183"/>
        <v>146000</v>
      </c>
      <c r="W174" s="67">
        <f t="shared" si="183"/>
        <v>146000</v>
      </c>
      <c r="X174" s="68">
        <f t="shared" si="183"/>
        <v>146000</v>
      </c>
    </row>
    <row r="175" spans="1:24" ht="15" hidden="1" customHeight="1" outlineLevel="1">
      <c r="C175" s="79" t="s">
        <v>115</v>
      </c>
      <c r="D175" s="69"/>
      <c r="E175" s="69">
        <f>E174*(1-INDEX('DATA (Nominal)'!$B$218:$BX$218,1,MATCH($B$1,'DATA (Nominal)'!$B$1:$BX$1,0)))</f>
        <v>51100</v>
      </c>
      <c r="F175" s="69">
        <f>E175</f>
        <v>51100</v>
      </c>
      <c r="G175" s="69">
        <f t="shared" si="183"/>
        <v>51100</v>
      </c>
      <c r="H175" s="69">
        <f t="shared" si="183"/>
        <v>51100</v>
      </c>
      <c r="I175" s="69">
        <f t="shared" si="183"/>
        <v>51100</v>
      </c>
      <c r="J175" s="69">
        <f t="shared" si="183"/>
        <v>51100</v>
      </c>
      <c r="K175" s="69">
        <f t="shared" si="183"/>
        <v>51100</v>
      </c>
      <c r="L175" s="69">
        <f t="shared" si="183"/>
        <v>51100</v>
      </c>
      <c r="M175" s="69">
        <f t="shared" si="183"/>
        <v>51100</v>
      </c>
      <c r="N175" s="69">
        <f t="shared" si="183"/>
        <v>51100</v>
      </c>
      <c r="O175" s="69">
        <f t="shared" si="183"/>
        <v>51100</v>
      </c>
      <c r="P175" s="69">
        <f t="shared" si="183"/>
        <v>51100</v>
      </c>
      <c r="Q175" s="69">
        <f t="shared" si="183"/>
        <v>51100</v>
      </c>
      <c r="R175" s="69">
        <f t="shared" si="183"/>
        <v>51100</v>
      </c>
      <c r="S175" s="69">
        <f t="shared" si="183"/>
        <v>51100</v>
      </c>
      <c r="T175" s="69">
        <f t="shared" si="183"/>
        <v>51100</v>
      </c>
      <c r="U175" s="69">
        <f t="shared" si="183"/>
        <v>51100</v>
      </c>
      <c r="V175" s="69">
        <f t="shared" si="183"/>
        <v>51100</v>
      </c>
      <c r="W175" s="69">
        <f t="shared" si="183"/>
        <v>51100</v>
      </c>
      <c r="X175" s="70">
        <f t="shared" si="183"/>
        <v>51100</v>
      </c>
    </row>
    <row r="176" spans="1:24" ht="15" hidden="1" customHeight="1" outlineLevel="1">
      <c r="C176" s="7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70"/>
    </row>
    <row r="177" spans="1:24" ht="15" hidden="1" customHeight="1" outlineLevel="1">
      <c r="C177" s="79" t="s">
        <v>47</v>
      </c>
      <c r="D177" s="71">
        <f>-PMT(Discount_Rate,20,NPV(Discount_Rate,E177:X177))</f>
        <v>799966.47026239743</v>
      </c>
      <c r="E177" s="73">
        <f>INDEX('DATA (Nominal)'!$B$170:$BX$170,1,MATCH(E$1,'DATA (Nominal)'!$B$1:$BX$1,0))*'Resource Options'!$E$35*1000</f>
        <v>674733.01208543382</v>
      </c>
      <c r="F177" s="73">
        <f>INDEX('DATA (Nominal)'!$B$170:$BX$170,1,MATCH(F$1,'DATA (Nominal)'!$B$1:$BX$1,0))*'Resource Options'!$E$35*1000</f>
        <v>689802.04935534194</v>
      </c>
      <c r="G177" s="73">
        <f>INDEX('DATA (Nominal)'!$B$170:$BX$170,1,MATCH(G$1,'DATA (Nominal)'!$B$1:$BX$1,0))*'Resource Options'!$E$35*1000</f>
        <v>705207.62845761108</v>
      </c>
      <c r="H177" s="73">
        <f>INDEX('DATA (Nominal)'!$B$170:$BX$170,1,MATCH(H$1,'DATA (Nominal)'!$B$1:$BX$1,0))*'Resource Options'!$E$35*1000</f>
        <v>720722.19628367876</v>
      </c>
      <c r="I177" s="73">
        <f>INDEX('DATA (Nominal)'!$B$170:$BX$170,1,MATCH(I$1,'DATA (Nominal)'!$B$1:$BX$1,0))*'Resource Options'!$E$35*1000</f>
        <v>736578.08460191963</v>
      </c>
      <c r="J177" s="73">
        <f>INDEX('DATA (Nominal)'!$B$170:$BX$170,1,MATCH(J$1,'DATA (Nominal)'!$B$1:$BX$1,0))*'Resource Options'!$E$35*1000</f>
        <v>752782.80246316199</v>
      </c>
      <c r="K177" s="73">
        <f>INDEX('DATA (Nominal)'!$B$170:$BX$170,1,MATCH(K$1,'DATA (Nominal)'!$B$1:$BX$1,0))*'Resource Options'!$E$35*1000</f>
        <v>769344.02411735151</v>
      </c>
      <c r="L177" s="73">
        <f>INDEX('DATA (Nominal)'!$B$170:$BX$170,1,MATCH(L$1,'DATA (Nominal)'!$B$1:$BX$1,0))*'Resource Options'!$E$35*1000</f>
        <v>786269.59264793317</v>
      </c>
      <c r="M177" s="73">
        <f>INDEX('DATA (Nominal)'!$B$170:$BX$170,1,MATCH(M$1,'DATA (Nominal)'!$B$1:$BX$1,0))*'Resource Options'!$E$35*1000</f>
        <v>803567.52368618781</v>
      </c>
      <c r="N177" s="73">
        <f>INDEX('DATA (Nominal)'!$B$170:$BX$170,1,MATCH(N$1,'DATA (Nominal)'!$B$1:$BX$1,0))*'Resource Options'!$E$35*1000</f>
        <v>821246.00920728385</v>
      </c>
      <c r="O177" s="73">
        <f>INDEX('DATA (Nominal)'!$B$170:$BX$170,1,MATCH(O$1,'DATA (Nominal)'!$B$1:$BX$1,0))*'Resource Options'!$E$35*1000</f>
        <v>839313.42140984407</v>
      </c>
      <c r="P177" s="73">
        <f>INDEX('DATA (Nominal)'!$B$170:$BX$170,1,MATCH(P$1,'DATA (Nominal)'!$B$1:$BX$1,0))*'Resource Options'!$E$35*1000</f>
        <v>857778.31668086059</v>
      </c>
      <c r="Q177" s="73">
        <f>INDEX('DATA (Nominal)'!$B$170:$BX$170,1,MATCH(Q$1,'DATA (Nominal)'!$B$1:$BX$1,0))*'Resource Options'!$E$35*1000</f>
        <v>876649.43964783975</v>
      </c>
      <c r="R177" s="73">
        <f>INDEX('DATA (Nominal)'!$B$170:$BX$170,1,MATCH(R$1,'DATA (Nominal)'!$B$1:$BX$1,0))*'Resource Options'!$E$35*1000</f>
        <v>895935.72732009203</v>
      </c>
      <c r="S177" s="73">
        <f>INDEX('DATA (Nominal)'!$B$170:$BX$170,1,MATCH(S$1,'DATA (Nominal)'!$B$1:$BX$1,0))*'Resource Options'!$E$35*1000</f>
        <v>915646.31332113408</v>
      </c>
      <c r="T177" s="73">
        <f>INDEX('DATA (Nominal)'!$B$170:$BX$170,1,MATCH(T$1,'DATA (Nominal)'!$B$1:$BX$1,0))*'Resource Options'!$E$35*1000</f>
        <v>935790.53221419919</v>
      </c>
      <c r="U177" s="73">
        <f>INDEX('DATA (Nominal)'!$B$170:$BX$170,1,MATCH(U$1,'DATA (Nominal)'!$B$1:$BX$1,0))*'Resource Options'!$E$35*1000</f>
        <v>956377.92392291152</v>
      </c>
      <c r="V177" s="73">
        <f>INDEX('DATA (Nominal)'!$B$170:$BX$170,1,MATCH(V$1,'DATA (Nominal)'!$B$1:$BX$1,0))*'Resource Options'!$E$35*1000</f>
        <v>977418.23824921565</v>
      </c>
      <c r="W177" s="73">
        <f>INDEX('DATA (Nominal)'!$B$170:$BX$170,1,MATCH(W$1,'DATA (Nominal)'!$B$1:$BX$1,0))*'Resource Options'!$E$35*1000</f>
        <v>998921.43949069828</v>
      </c>
      <c r="X177" s="74">
        <f>INDEX('DATA (Nominal)'!$B$170:$BX$170,1,MATCH(X$1,'DATA (Nominal)'!$B$1:$BX$1,0))*'Resource Options'!$E$35*1000</f>
        <v>1020897.7111594935</v>
      </c>
    </row>
    <row r="178" spans="1:24" ht="15" hidden="1" customHeight="1" outlineLevel="1">
      <c r="C178" s="80" t="s">
        <v>92</v>
      </c>
      <c r="D178" s="71">
        <f>-PMT(Discount_Rate,20,NPV(Discount_Rate,E178:X178))</f>
        <v>3694679.3204547903</v>
      </c>
      <c r="E178" s="71">
        <f>INDEX('DATA (Nominal)'!$B$51:$BX$51,1,MATCH($B$1,'DATA (Nominal)'!$B$1:$BX$1,0))*Assumptions!AG$35*(1+AFUDC!$C$35)*1000000*'Resource Options'!$E$35/1000*(1-INDEX('DATA (Nominal)'!$B$232:$BX$232,1,MATCH($B$1,'DATA (Nominal)'!$B$1:$BX$1,0)))</f>
        <v>5190732.2424794221</v>
      </c>
      <c r="F178" s="73">
        <f>INDEX('DATA (Nominal)'!$B$51:$BX$51,1,MATCH($B$1,'DATA (Nominal)'!$B$1:$BX$1,0))*Assumptions!AH$35*(1+AFUDC!$C$35)*1000000*'Resource Options'!$E$35/1000*(1-INDEX('DATA (Nominal)'!$B$232:$BX$232,1,MATCH($B$1,'DATA (Nominal)'!$B$1:$BX$1,0)))</f>
        <v>4902351.4498977466</v>
      </c>
      <c r="G178" s="71">
        <f>INDEX('DATA (Nominal)'!$B$51:$BX$51,1,MATCH($B$1,'DATA (Nominal)'!$B$1:$BX$1,0))*Assumptions!AI$35*(1+AFUDC!$C$35)*1000000*'Resource Options'!$E$35/1000*(1-INDEX('DATA (Nominal)'!$B$232:$BX$232,1,MATCH($B$1,'DATA (Nominal)'!$B$1:$BX$1,0)))</f>
        <v>4616113.6912751701</v>
      </c>
      <c r="H178" s="71">
        <f>INDEX('DATA (Nominal)'!$B$51:$BX$51,1,MATCH($B$1,'DATA (Nominal)'!$B$1:$BX$1,0))*Assumptions!AJ$35*(1+AFUDC!$C$35)*1000000*'Resource Options'!$E$35/1000*(1-INDEX('DATA (Nominal)'!$B$232:$BX$232,1,MATCH($B$1,'DATA (Nominal)'!$B$1:$BX$1,0)))</f>
        <v>4384737.6020055711</v>
      </c>
      <c r="I178" s="71">
        <f>INDEX('DATA (Nominal)'!$B$51:$BX$51,1,MATCH($B$1,'DATA (Nominal)'!$B$1:$BX$1,0))*Assumptions!AK$35*(1+AFUDC!$C$35)*1000000*'Resource Options'!$E$35/1000*(1-INDEX('DATA (Nominal)'!$B$232:$BX$232,1,MATCH($B$1,'DATA (Nominal)'!$B$1:$BX$1,0)))</f>
        <v>4173934.6387433377</v>
      </c>
      <c r="J178" s="71">
        <f>INDEX('DATA (Nominal)'!$B$51:$BX$51,1,MATCH($B$1,'DATA (Nominal)'!$B$1:$BX$1,0))*Assumptions!AL$35*(1+AFUDC!$C$35)*1000000*'Resource Options'!$E$35/1000*(1-INDEX('DATA (Nominal)'!$B$232:$BX$232,1,MATCH($B$1,'DATA (Nominal)'!$B$1:$BX$1,0)))</f>
        <v>3978561.5199866281</v>
      </c>
      <c r="K178" s="71">
        <f>INDEX('DATA (Nominal)'!$B$51:$BX$51,1,MATCH($B$1,'DATA (Nominal)'!$B$1:$BX$1,0))*Assumptions!AM$35*(1+AFUDC!$C$35)*1000000*'Resource Options'!$E$35/1000*(1-INDEX('DATA (Nominal)'!$B$232:$BX$232,1,MATCH($B$1,'DATA (Nominal)'!$B$1:$BX$1,0)))</f>
        <v>3814048.0902409684</v>
      </c>
      <c r="L178" s="71">
        <f>INDEX('DATA (Nominal)'!$B$51:$BX$51,1,MATCH($B$1,'DATA (Nominal)'!$B$1:$BX$1,0))*Assumptions!AN$35*(1+AFUDC!$C$35)*1000000*'Resource Options'!$E$35/1000*(1-INDEX('DATA (Nominal)'!$B$232:$BX$232,1,MATCH($B$1,'DATA (Nominal)'!$B$1:$BX$1,0)))</f>
        <v>3664964.505000833</v>
      </c>
      <c r="M178" s="71">
        <f>INDEX('DATA (Nominal)'!$B$51:$BX$51,1,MATCH($B$1,'DATA (Nominal)'!$B$1:$BX$1,0))*Assumptions!AO$35*(1+AFUDC!$C$35)*1000000*'Resource Options'!$E$35/1000*(1-INDEX('DATA (Nominal)'!$B$232:$BX$232,1,MATCH($B$1,'DATA (Nominal)'!$B$1:$BX$1,0)))</f>
        <v>3515880.9197606971</v>
      </c>
      <c r="N178" s="71">
        <f>INDEX('DATA (Nominal)'!$B$51:$BX$51,1,MATCH($B$1,'DATA (Nominal)'!$B$1:$BX$1,0))*Assumptions!AP$35*(1+AFUDC!$C$35)*1000000*'Resource Options'!$E$35/1000*(1-INDEX('DATA (Nominal)'!$B$232:$BX$232,1,MATCH($B$1,'DATA (Nominal)'!$B$1:$BX$1,0)))</f>
        <v>3366797.3345205616</v>
      </c>
      <c r="O178" s="71">
        <f>INDEX('DATA (Nominal)'!$B$51:$BX$51,1,MATCH($B$1,'DATA (Nominal)'!$B$1:$BX$1,0))*Assumptions!AQ$35*(1+AFUDC!$C$35)*1000000*'Resource Options'!$E$35/1000*(1-INDEX('DATA (Nominal)'!$B$232:$BX$232,1,MATCH($B$1,'DATA (Nominal)'!$B$1:$BX$1,0)))</f>
        <v>3217713.7492804253</v>
      </c>
      <c r="P178" s="71">
        <f>INDEX('DATA (Nominal)'!$B$51:$BX$51,1,MATCH($B$1,'DATA (Nominal)'!$B$1:$BX$1,0))*Assumptions!AR$35*(1+AFUDC!$C$35)*1000000*'Resource Options'!$E$35/1000*(1-INDEX('DATA (Nominal)'!$B$232:$BX$232,1,MATCH($B$1,'DATA (Nominal)'!$B$1:$BX$1,0)))</f>
        <v>3068630.1640402898</v>
      </c>
      <c r="Q178" s="71">
        <f>INDEX('DATA (Nominal)'!$B$51:$BX$51,1,MATCH($B$1,'DATA (Nominal)'!$B$1:$BX$1,0))*Assumptions!AS$35*(1+AFUDC!$C$35)*1000000*'Resource Options'!$E$35/1000*(1-INDEX('DATA (Nominal)'!$B$232:$BX$232,1,MATCH($B$1,'DATA (Nominal)'!$B$1:$BX$1,0)))</f>
        <v>2919546.5788001539</v>
      </c>
      <c r="R178" s="71">
        <f>INDEX('DATA (Nominal)'!$B$51:$BX$51,1,MATCH($B$1,'DATA (Nominal)'!$B$1:$BX$1,0))*Assumptions!AT$35*(1+AFUDC!$C$35)*1000000*'Resource Options'!$E$35/1000*(1-INDEX('DATA (Nominal)'!$B$232:$BX$232,1,MATCH($B$1,'DATA (Nominal)'!$B$1:$BX$1,0)))</f>
        <v>2770462.9935600189</v>
      </c>
      <c r="S178" s="71">
        <f>INDEX('DATA (Nominal)'!$B$51:$BX$51,1,MATCH($B$1,'DATA (Nominal)'!$B$1:$BX$1,0))*Assumptions!AU$35*(1+AFUDC!$C$35)*1000000*'Resource Options'!$E$35/1000*(1-INDEX('DATA (Nominal)'!$B$232:$BX$232,1,MATCH($B$1,'DATA (Nominal)'!$B$1:$BX$1,0)))</f>
        <v>2621379.4083198821</v>
      </c>
      <c r="T178" s="71">
        <f>INDEX('DATA (Nominal)'!$B$51:$BX$51,1,MATCH($B$1,'DATA (Nominal)'!$B$1:$BX$1,0))*Assumptions!AV$35*(1+AFUDC!$C$35)*1000000*'Resource Options'!$E$35/1000*(1-INDEX('DATA (Nominal)'!$B$232:$BX$232,1,MATCH($B$1,'DATA (Nominal)'!$B$1:$BX$1,0)))</f>
        <v>2472295.8230797476</v>
      </c>
      <c r="U178" s="71">
        <f>INDEX('DATA (Nominal)'!$B$51:$BX$51,1,MATCH($B$1,'DATA (Nominal)'!$B$1:$BX$1,0))*Assumptions!AW$35*(1+AFUDC!$C$35)*1000000*'Resource Options'!$E$35/1000*(1-INDEX('DATA (Nominal)'!$B$232:$BX$232,1,MATCH($B$1,'DATA (Nominal)'!$B$1:$BX$1,0)))</f>
        <v>2323212.2378396112</v>
      </c>
      <c r="V178" s="71">
        <f>INDEX('DATA (Nominal)'!$B$51:$BX$51,1,MATCH($B$1,'DATA (Nominal)'!$B$1:$BX$1,0))*Assumptions!AX$35*(1+AFUDC!$C$35)*1000000*'Resource Options'!$E$35/1000*(1-INDEX('DATA (Nominal)'!$B$232:$BX$232,1,MATCH($B$1,'DATA (Nominal)'!$B$1:$BX$1,0)))</f>
        <v>2174128.6525994749</v>
      </c>
      <c r="W178" s="71">
        <f>INDEX('DATA (Nominal)'!$B$51:$BX$51,1,MATCH($B$1,'DATA (Nominal)'!$B$1:$BX$1,0))*Assumptions!AY$35*(1+AFUDC!$C$35)*1000000*'Resource Options'!$E$35/1000*(1-INDEX('DATA (Nominal)'!$B$232:$BX$232,1,MATCH($B$1,'DATA (Nominal)'!$B$1:$BX$1,0)))</f>
        <v>2025045.0673593399</v>
      </c>
      <c r="X178" s="72">
        <f>INDEX('DATA (Nominal)'!$B$51:$BX$51,1,MATCH($B$1,'DATA (Nominal)'!$B$1:$BX$1,0))*Assumptions!AZ$35*(1+AFUDC!$C$35)*1000000*'Resource Options'!$E$35/1000*(1-INDEX('DATA (Nominal)'!$B$232:$BX$232,1,MATCH($B$1,'DATA (Nominal)'!$B$1:$BX$1,0)))</f>
        <v>1875961.4821192038</v>
      </c>
    </row>
    <row r="179" spans="1:24" ht="15" hidden="1" customHeight="1" outlineLevel="1">
      <c r="C179" s="79" t="s">
        <v>93</v>
      </c>
      <c r="D179" s="71">
        <f>-PMT(Discount_Rate,20,NPV(Discount_Rate,E179:X179))</f>
        <v>23322.222474029928</v>
      </c>
      <c r="E179" s="71">
        <f t="shared" ref="E179:X179" si="184">E177*Misc_Fees</f>
        <v>19671.166234338736</v>
      </c>
      <c r="F179" s="71">
        <f t="shared" si="184"/>
        <v>20110.48894690564</v>
      </c>
      <c r="G179" s="71">
        <f t="shared" si="184"/>
        <v>20559.623200053193</v>
      </c>
      <c r="H179" s="71">
        <f t="shared" si="184"/>
        <v>21011.934910454369</v>
      </c>
      <c r="I179" s="71">
        <f t="shared" si="184"/>
        <v>21474.197478484366</v>
      </c>
      <c r="J179" s="71">
        <f t="shared" si="184"/>
        <v>21946.629823011026</v>
      </c>
      <c r="K179" s="71">
        <f t="shared" si="184"/>
        <v>22429.455679117265</v>
      </c>
      <c r="L179" s="71">
        <f t="shared" si="184"/>
        <v>22922.903704057844</v>
      </c>
      <c r="M179" s="71">
        <f t="shared" si="184"/>
        <v>23427.207585547119</v>
      </c>
      <c r="N179" s="71">
        <f t="shared" si="184"/>
        <v>23942.606152429154</v>
      </c>
      <c r="O179" s="71">
        <f t="shared" si="184"/>
        <v>24469.343487782593</v>
      </c>
      <c r="P179" s="71">
        <f t="shared" si="184"/>
        <v>25007.669044513808</v>
      </c>
      <c r="Q179" s="71">
        <f t="shared" si="184"/>
        <v>25557.83776349312</v>
      </c>
      <c r="R179" s="71">
        <f t="shared" si="184"/>
        <v>26120.110194289962</v>
      </c>
      <c r="S179" s="71">
        <f t="shared" si="184"/>
        <v>26694.752618564344</v>
      </c>
      <c r="T179" s="71">
        <f t="shared" si="184"/>
        <v>27282.037176172762</v>
      </c>
      <c r="U179" s="71">
        <f t="shared" si="184"/>
        <v>27882.241994048563</v>
      </c>
      <c r="V179" s="71">
        <f t="shared" si="184"/>
        <v>28495.651317917633</v>
      </c>
      <c r="W179" s="71">
        <f t="shared" si="184"/>
        <v>29122.555646911816</v>
      </c>
      <c r="X179" s="72">
        <f t="shared" si="184"/>
        <v>29763.251871143875</v>
      </c>
    </row>
    <row r="180" spans="1:24" ht="15" hidden="1" customHeight="1" outlineLevel="1">
      <c r="C180" s="79" t="s">
        <v>94</v>
      </c>
      <c r="D180" s="71">
        <f>-PMT(Discount_Rate,20,NPV(Discount_Rate,E180:X180))</f>
        <v>4517968.0131912204</v>
      </c>
      <c r="E180" s="71">
        <f t="shared" ref="E180:X180" si="185">SUM(E177:E179)</f>
        <v>5885136.4207991948</v>
      </c>
      <c r="F180" s="71">
        <f t="shared" si="185"/>
        <v>5612263.988199994</v>
      </c>
      <c r="G180" s="71">
        <f t="shared" si="185"/>
        <v>5341880.9429328348</v>
      </c>
      <c r="H180" s="71">
        <f t="shared" si="185"/>
        <v>5126471.7331997044</v>
      </c>
      <c r="I180" s="71">
        <f t="shared" si="185"/>
        <v>4931986.9208237417</v>
      </c>
      <c r="J180" s="71">
        <f t="shared" si="185"/>
        <v>4753290.9522728017</v>
      </c>
      <c r="K180" s="71">
        <f t="shared" si="185"/>
        <v>4605821.5700374376</v>
      </c>
      <c r="L180" s="71">
        <f t="shared" si="185"/>
        <v>4474157.0013528233</v>
      </c>
      <c r="M180" s="71">
        <f t="shared" si="185"/>
        <v>4342875.651032432</v>
      </c>
      <c r="N180" s="71">
        <f t="shared" si="185"/>
        <v>4211985.9498802749</v>
      </c>
      <c r="O180" s="71">
        <f t="shared" si="185"/>
        <v>4081496.5141780516</v>
      </c>
      <c r="P180" s="71">
        <f t="shared" si="185"/>
        <v>3951416.1497656642</v>
      </c>
      <c r="Q180" s="71">
        <f t="shared" si="185"/>
        <v>3821753.8562114867</v>
      </c>
      <c r="R180" s="71">
        <f t="shared" si="185"/>
        <v>3692518.8310744008</v>
      </c>
      <c r="S180" s="71">
        <f t="shared" si="185"/>
        <v>3563720.4742595805</v>
      </c>
      <c r="T180" s="71">
        <f t="shared" si="185"/>
        <v>3435368.3924701195</v>
      </c>
      <c r="U180" s="71">
        <f t="shared" si="185"/>
        <v>3307472.403756571</v>
      </c>
      <c r="V180" s="71">
        <f t="shared" si="185"/>
        <v>3180042.5421666084</v>
      </c>
      <c r="W180" s="71">
        <f t="shared" si="185"/>
        <v>3053089.0624969499</v>
      </c>
      <c r="X180" s="72">
        <f t="shared" si="185"/>
        <v>2926622.4451498413</v>
      </c>
    </row>
    <row r="181" spans="1:24" ht="15" hidden="1" customHeight="1" outlineLevel="1">
      <c r="C181" s="79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2"/>
    </row>
    <row r="182" spans="1:24" ht="15" hidden="1" customHeight="1" outlineLevel="1">
      <c r="C182" s="79" t="s">
        <v>116</v>
      </c>
      <c r="D182" s="71">
        <f>-PMT(Discount_Rate,20,NPV(Discount_Rate,E182:X182))</f>
        <v>1074514.962856452</v>
      </c>
      <c r="E182" s="71">
        <f>E174*INDEX('DATA (Nominal)'!$B$99:$BX$99,1,MATCH(E$1,'DATA (Nominal)'!$B$1:$BX$1,0))</f>
        <v>906301.38183315482</v>
      </c>
      <c r="F182" s="71">
        <f>F174*INDEX('DATA (Nominal)'!$B$99:$BX$99,1,MATCH(F$1,'DATA (Nominal)'!$B$1:$BX$1,0))</f>
        <v>926542.11269409535</v>
      </c>
      <c r="G182" s="71">
        <f>G174*INDEX('DATA (Nominal)'!$B$99:$BX$99,1,MATCH(G$1,'DATA (Nominal)'!$B$1:$BX$1,0))</f>
        <v>947234.88654426357</v>
      </c>
      <c r="H182" s="71">
        <f>H174*INDEX('DATA (Nominal)'!$B$99:$BX$99,1,MATCH(H$1,'DATA (Nominal)'!$B$1:$BX$1,0))</f>
        <v>968074.05404823727</v>
      </c>
      <c r="I182" s="71">
        <f>I174*INDEX('DATA (Nominal)'!$B$99:$BX$99,1,MATCH(I$1,'DATA (Nominal)'!$B$1:$BX$1,0))</f>
        <v>989371.68323729851</v>
      </c>
      <c r="J182" s="71">
        <f>J174*INDEX('DATA (Nominal)'!$B$99:$BX$99,1,MATCH(J$1,'DATA (Nominal)'!$B$1:$BX$1,0))</f>
        <v>1011137.860268519</v>
      </c>
      <c r="K182" s="71">
        <f>K174*INDEX('DATA (Nominal)'!$B$99:$BX$99,1,MATCH(K$1,'DATA (Nominal)'!$B$1:$BX$1,0))</f>
        <v>1033382.8931944264</v>
      </c>
      <c r="L182" s="71">
        <f>L174*INDEX('DATA (Nominal)'!$B$99:$BX$99,1,MATCH(L$1,'DATA (Nominal)'!$B$1:$BX$1,0))</f>
        <v>1056117.3168447039</v>
      </c>
      <c r="M182" s="71">
        <f>M174*INDEX('DATA (Nominal)'!$B$99:$BX$99,1,MATCH(M$1,'DATA (Nominal)'!$B$1:$BX$1,0))</f>
        <v>1079351.8978152876</v>
      </c>
      <c r="N182" s="71">
        <f>N174*INDEX('DATA (Nominal)'!$B$99:$BX$99,1,MATCH(N$1,'DATA (Nominal)'!$B$1:$BX$1,0))</f>
        <v>1103097.6395672238</v>
      </c>
      <c r="O182" s="71">
        <f>O174*INDEX('DATA (Nominal)'!$B$99:$BX$99,1,MATCH(O$1,'DATA (Nominal)'!$B$1:$BX$1,0))</f>
        <v>1127365.7876377027</v>
      </c>
      <c r="P182" s="71">
        <f>P174*INDEX('DATA (Nominal)'!$B$99:$BX$99,1,MATCH(P$1,'DATA (Nominal)'!$B$1:$BX$1,0))</f>
        <v>1152167.8349657322</v>
      </c>
      <c r="Q182" s="71">
        <f>Q174*INDEX('DATA (Nominal)'!$B$99:$BX$99,1,MATCH(Q$1,'DATA (Nominal)'!$B$1:$BX$1,0))</f>
        <v>1177515.5273349781</v>
      </c>
      <c r="R182" s="71">
        <f>R174*INDEX('DATA (Nominal)'!$B$99:$BX$99,1,MATCH(R$1,'DATA (Nominal)'!$B$1:$BX$1,0))</f>
        <v>1203420.8689363475</v>
      </c>
      <c r="S182" s="71">
        <f>S174*INDEX('DATA (Nominal)'!$B$99:$BX$99,1,MATCH(S$1,'DATA (Nominal)'!$B$1:$BX$1,0))</f>
        <v>1229896.1280529476</v>
      </c>
      <c r="T182" s="71">
        <f>T174*INDEX('DATA (Nominal)'!$B$99:$BX$99,1,MATCH(T$1,'DATA (Nominal)'!$B$1:$BX$1,0))</f>
        <v>1256953.8428701123</v>
      </c>
      <c r="U182" s="71">
        <f>U174*INDEX('DATA (Nominal)'!$B$99:$BX$99,1,MATCH(U$1,'DATA (Nominal)'!$B$1:$BX$1,0))</f>
        <v>1284606.8274132547</v>
      </c>
      <c r="V182" s="71">
        <f>V174*INDEX('DATA (Nominal)'!$B$99:$BX$99,1,MATCH(V$1,'DATA (Nominal)'!$B$1:$BX$1,0))</f>
        <v>1312868.1776163464</v>
      </c>
      <c r="W182" s="71">
        <f>W174*INDEX('DATA (Nominal)'!$B$99:$BX$99,1,MATCH(W$1,'DATA (Nominal)'!$B$1:$BX$1,0))</f>
        <v>1341751.277523906</v>
      </c>
      <c r="X182" s="72">
        <f>X174*INDEX('DATA (Nominal)'!$B$99:$BX$99,1,MATCH(X$1,'DATA (Nominal)'!$B$1:$BX$1,0))</f>
        <v>1371269.805629432</v>
      </c>
    </row>
    <row r="183" spans="1:24" ht="15" hidden="1" customHeight="1" outlineLevel="1">
      <c r="C183" s="79" t="s">
        <v>117</v>
      </c>
      <c r="D183" s="71">
        <f>-PMT(Discount_Rate,20,NPV(Discount_Rate,E183:X183))</f>
        <v>6783274.9808455491</v>
      </c>
      <c r="E183" s="71">
        <f>(E174+E175)*INDEX('DATA (Nominal)'!$B$156:$BX$156,1,MATCH(E$1,'DATA (Nominal)'!$B$1:$BX$1,0))</f>
        <v>7043887.7837333679</v>
      </c>
      <c r="F183" s="71">
        <f>(F174+F175)*INDEX('DATA (Nominal)'!$B$156:$BX$156,1,MATCH(F$1,'DATA (Nominal)'!$B$1:$BX$1,0))</f>
        <v>6563204.4494819641</v>
      </c>
      <c r="G183" s="71">
        <f>(G174+G175)*INDEX('DATA (Nominal)'!$B$156:$BX$156,1,MATCH(G$1,'DATA (Nominal)'!$B$1:$BX$1,0))</f>
        <v>5901566.7228126526</v>
      </c>
      <c r="H183" s="71">
        <f>(H174+H175)*INDEX('DATA (Nominal)'!$B$156:$BX$156,1,MATCH(H$1,'DATA (Nominal)'!$B$1:$BX$1,0))</f>
        <v>5888142.1631212234</v>
      </c>
      <c r="I183" s="71">
        <f>(I174+I175)*INDEX('DATA (Nominal)'!$B$156:$BX$156,1,MATCH(I$1,'DATA (Nominal)'!$B$1:$BX$1,0))</f>
        <v>5906895.5420837402</v>
      </c>
      <c r="J183" s="71">
        <f>(J174+J175)*INDEX('DATA (Nominal)'!$B$156:$BX$156,1,MATCH(J$1,'DATA (Nominal)'!$B$1:$BX$1,0))</f>
        <v>6777662.8206081381</v>
      </c>
      <c r="K183" s="71">
        <f>(K174+K175)*INDEX('DATA (Nominal)'!$B$156:$BX$156,1,MATCH(K$1,'DATA (Nominal)'!$B$1:$BX$1,0))</f>
        <v>6374282.4915933609</v>
      </c>
      <c r="L183" s="71">
        <f>(L174+L175)*INDEX('DATA (Nominal)'!$B$156:$BX$156,1,MATCH(L$1,'DATA (Nominal)'!$B$1:$BX$1,0))</f>
        <v>6198135.1071538925</v>
      </c>
      <c r="M183" s="71">
        <f>(M174+M175)*INDEX('DATA (Nominal)'!$B$156:$BX$156,1,MATCH(M$1,'DATA (Nominal)'!$B$1:$BX$1,0))</f>
        <v>6398993.2319154749</v>
      </c>
      <c r="N183" s="71">
        <f>(N174+N175)*INDEX('DATA (Nominal)'!$B$156:$BX$156,1,MATCH(N$1,'DATA (Nominal)'!$B$1:$BX$1,0))</f>
        <v>6503548.3531179437</v>
      </c>
      <c r="O183" s="71">
        <f>(O174+O175)*INDEX('DATA (Nominal)'!$B$156:$BX$156,1,MATCH(O$1,'DATA (Nominal)'!$B$1:$BX$1,0))</f>
        <v>6763685.8043775558</v>
      </c>
      <c r="P183" s="71">
        <f>(P174+P175)*INDEX('DATA (Nominal)'!$B$156:$BX$156,1,MATCH(P$1,'DATA (Nominal)'!$B$1:$BX$1,0))</f>
        <v>6879324.1069850922</v>
      </c>
      <c r="Q183" s="71">
        <f>(Q174+Q175)*INDEX('DATA (Nominal)'!$B$156:$BX$156,1,MATCH(Q$1,'DATA (Nominal)'!$B$1:$BX$1,0))</f>
        <v>7211823.5879688254</v>
      </c>
      <c r="R183" s="71">
        <f>(R174+R175)*INDEX('DATA (Nominal)'!$B$156:$BX$156,1,MATCH(R$1,'DATA (Nominal)'!$B$1:$BX$1,0))</f>
        <v>7158926.6374998102</v>
      </c>
      <c r="S183" s="71">
        <f>(S174+S175)*INDEX('DATA (Nominal)'!$B$156:$BX$156,1,MATCH(S$1,'DATA (Nominal)'!$B$1:$BX$1,0))</f>
        <v>7378525.5535526276</v>
      </c>
      <c r="T183" s="71">
        <f>(T174+T175)*INDEX('DATA (Nominal)'!$B$156:$BX$156,1,MATCH(T$1,'DATA (Nominal)'!$B$1:$BX$1,0))</f>
        <v>7803433.1394195547</v>
      </c>
      <c r="U183" s="71">
        <f>(U174+U175)*INDEX('DATA (Nominal)'!$B$156:$BX$156,1,MATCH(U$1,'DATA (Nominal)'!$B$1:$BX$1,0))</f>
        <v>7844106.9140853891</v>
      </c>
      <c r="V183" s="71">
        <f>(V174+V175)*INDEX('DATA (Nominal)'!$B$156:$BX$156,1,MATCH(V$1,'DATA (Nominal)'!$B$1:$BX$1,0))</f>
        <v>8163955.1764125824</v>
      </c>
      <c r="W183" s="71">
        <f>(W174+W175)*INDEX('DATA (Nominal)'!$B$156:$BX$156,1,MATCH(W$1,'DATA (Nominal)'!$B$1:$BX$1,0))</f>
        <v>8351756.2244167337</v>
      </c>
      <c r="X183" s="72">
        <f>(X174+X175)*INDEX('DATA (Nominal)'!$B$156:$BX$156,1,MATCH(X$1,'DATA (Nominal)'!$B$1:$BX$1,0))</f>
        <v>9390022.1897964478</v>
      </c>
    </row>
    <row r="184" spans="1:24" ht="15" hidden="1" customHeight="1" outlineLevel="1">
      <c r="C184" s="79" t="s">
        <v>93</v>
      </c>
      <c r="D184" s="71">
        <f>-PMT(Discount_Rate,20,NPV(Discount_Rate,E184:X184))</f>
        <v>229086.00801868807</v>
      </c>
      <c r="E184" s="73">
        <f t="shared" ref="E184:X184" si="186">SUM(E182:E183)*Misc_Fees</f>
        <v>231779.81493292638</v>
      </c>
      <c r="F184" s="73">
        <f t="shared" si="186"/>
        <v>218356.07127368083</v>
      </c>
      <c r="G184" s="73">
        <f t="shared" si="186"/>
        <v>199669.96211919154</v>
      </c>
      <c r="H184" s="73">
        <f t="shared" si="186"/>
        <v>199886.12759535847</v>
      </c>
      <c r="I184" s="73">
        <f t="shared" si="186"/>
        <v>201053.77468700954</v>
      </c>
      <c r="J184" s="73">
        <f t="shared" si="186"/>
        <v>227074.69505027807</v>
      </c>
      <c r="K184" s="73">
        <f t="shared" si="186"/>
        <v>215963.07662810315</v>
      </c>
      <c r="L184" s="73">
        <f t="shared" si="186"/>
        <v>211490.47516925508</v>
      </c>
      <c r="M184" s="73">
        <f t="shared" si="186"/>
        <v>218023.67391217066</v>
      </c>
      <c r="N184" s="73">
        <f t="shared" si="186"/>
        <v>221764.15727074337</v>
      </c>
      <c r="O184" s="73">
        <f t="shared" si="186"/>
        <v>230055.71811361285</v>
      </c>
      <c r="P184" s="73">
        <f t="shared" si="186"/>
        <v>234150.11607563432</v>
      </c>
      <c r="Q184" s="73">
        <f t="shared" si="186"/>
        <v>244582.79256756708</v>
      </c>
      <c r="R184" s="73">
        <f t="shared" si="186"/>
        <v>243795.87920263974</v>
      </c>
      <c r="S184" s="73">
        <f t="shared" si="186"/>
        <v>250969.92570552893</v>
      </c>
      <c r="T184" s="73">
        <f t="shared" si="186"/>
        <v>264146.52208167291</v>
      </c>
      <c r="U184" s="73">
        <f t="shared" si="186"/>
        <v>266138.52041965147</v>
      </c>
      <c r="V184" s="73">
        <f t="shared" si="186"/>
        <v>276287.30806335941</v>
      </c>
      <c r="W184" s="73">
        <f t="shared" si="186"/>
        <v>282604.51771157741</v>
      </c>
      <c r="X184" s="74">
        <f t="shared" si="186"/>
        <v>313734.70683464612</v>
      </c>
    </row>
    <row r="185" spans="1:24" ht="15" hidden="1" customHeight="1" outlineLevel="1">
      <c r="C185" s="79" t="s">
        <v>99</v>
      </c>
      <c r="D185" s="71">
        <f>-PMT(Discount_Rate,20,NPV(Discount_Rate,E185:X185))</f>
        <v>8086875.9517206857</v>
      </c>
      <c r="E185" s="71">
        <f>SUM(E182:E184)</f>
        <v>8181968.9804994492</v>
      </c>
      <c r="F185" s="71">
        <f t="shared" ref="F185" si="187">SUM(F182:F184)</f>
        <v>7708102.6334497407</v>
      </c>
      <c r="G185" s="71">
        <f t="shared" ref="G185" si="188">SUM(G182:G184)</f>
        <v>7048471.5714761084</v>
      </c>
      <c r="H185" s="71">
        <f t="shared" ref="H185" si="189">SUM(H182:H184)</f>
        <v>7056102.3447648194</v>
      </c>
      <c r="I185" s="71">
        <f t="shared" ref="I185" si="190">SUM(I182:I184)</f>
        <v>7097321.0000080485</v>
      </c>
      <c r="J185" s="71">
        <f t="shared" ref="J185" si="191">SUM(J182:J184)</f>
        <v>8015875.3759269351</v>
      </c>
      <c r="K185" s="71">
        <f t="shared" ref="K185" si="192">SUM(K182:K184)</f>
        <v>7623628.4614158906</v>
      </c>
      <c r="L185" s="71">
        <f t="shared" ref="L185" si="193">SUM(L182:L184)</f>
        <v>7465742.8991678515</v>
      </c>
      <c r="M185" s="71">
        <f t="shared" ref="M185" si="194">SUM(M182:M184)</f>
        <v>7696368.8036429333</v>
      </c>
      <c r="N185" s="71">
        <f t="shared" ref="N185" si="195">SUM(N182:N184)</f>
        <v>7828410.1499559106</v>
      </c>
      <c r="O185" s="71">
        <f t="shared" ref="O185" si="196">SUM(O182:O184)</f>
        <v>8121107.3101288714</v>
      </c>
      <c r="P185" s="71">
        <f t="shared" ref="P185" si="197">SUM(P182:P184)</f>
        <v>8265642.0580264581</v>
      </c>
      <c r="Q185" s="71">
        <f t="shared" ref="Q185" si="198">SUM(Q182:Q184)</f>
        <v>8633921.9078713711</v>
      </c>
      <c r="R185" s="71">
        <f t="shared" ref="R185" si="199">SUM(R182:R184)</f>
        <v>8606143.3856387977</v>
      </c>
      <c r="S185" s="71">
        <f t="shared" ref="S185" si="200">SUM(S182:S184)</f>
        <v>8859391.6073111054</v>
      </c>
      <c r="T185" s="71">
        <f t="shared" ref="T185" si="201">SUM(T182:T184)</f>
        <v>9324533.5043713395</v>
      </c>
      <c r="U185" s="71">
        <f t="shared" ref="U185" si="202">SUM(U182:U184)</f>
        <v>9394852.2619182952</v>
      </c>
      <c r="V185" s="71">
        <f t="shared" ref="V185" si="203">SUM(V182:V184)</f>
        <v>9753110.662092289</v>
      </c>
      <c r="W185" s="71">
        <f t="shared" ref="W185" si="204">SUM(W182:W184)</f>
        <v>9976112.0196522176</v>
      </c>
      <c r="X185" s="72">
        <f t="shared" ref="X185" si="205">SUM(X182:X184)</f>
        <v>11075026.702260526</v>
      </c>
    </row>
    <row r="186" spans="1:24" ht="15" hidden="1" customHeight="1" outlineLevel="1">
      <c r="C186" s="79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2"/>
    </row>
    <row r="187" spans="1:24" ht="15.75" hidden="1" customHeight="1" outlineLevel="1" thickBot="1">
      <c r="C187" s="81" t="s">
        <v>100</v>
      </c>
      <c r="D187" s="71">
        <f>-PMT(Discount_Rate,20,NPV(Discount_Rate,E187:X187))</f>
        <v>12604843.964911902</v>
      </c>
      <c r="E187" s="75">
        <f>E180+E185</f>
        <v>14067105.401298644</v>
      </c>
      <c r="F187" s="75">
        <f t="shared" ref="F187:H187" si="206">F180+F185</f>
        <v>13320366.621649735</v>
      </c>
      <c r="G187" s="75">
        <f t="shared" si="206"/>
        <v>12390352.514408942</v>
      </c>
      <c r="H187" s="75">
        <f t="shared" si="206"/>
        <v>12182574.077964524</v>
      </c>
      <c r="I187" s="75">
        <f>I180+I185</f>
        <v>12029307.92083179</v>
      </c>
      <c r="J187" s="75">
        <f t="shared" ref="J187:X187" si="207">J180+J185</f>
        <v>12769166.328199737</v>
      </c>
      <c r="K187" s="75">
        <f t="shared" si="207"/>
        <v>12229450.031453328</v>
      </c>
      <c r="L187" s="75">
        <f t="shared" si="207"/>
        <v>11939899.900520675</v>
      </c>
      <c r="M187" s="75">
        <f t="shared" si="207"/>
        <v>12039244.454675365</v>
      </c>
      <c r="N187" s="75">
        <f t="shared" si="207"/>
        <v>12040396.099836186</v>
      </c>
      <c r="O187" s="75">
        <f t="shared" si="207"/>
        <v>12202603.824306924</v>
      </c>
      <c r="P187" s="75">
        <f t="shared" si="207"/>
        <v>12217058.207792122</v>
      </c>
      <c r="Q187" s="75">
        <f t="shared" si="207"/>
        <v>12455675.764082858</v>
      </c>
      <c r="R187" s="75">
        <f t="shared" si="207"/>
        <v>12298662.216713198</v>
      </c>
      <c r="S187" s="75">
        <f t="shared" si="207"/>
        <v>12423112.081570685</v>
      </c>
      <c r="T187" s="75">
        <f t="shared" si="207"/>
        <v>12759901.896841459</v>
      </c>
      <c r="U187" s="75">
        <f t="shared" si="207"/>
        <v>12702324.665674865</v>
      </c>
      <c r="V187" s="75">
        <f t="shared" si="207"/>
        <v>12933153.204258896</v>
      </c>
      <c r="W187" s="75">
        <f t="shared" si="207"/>
        <v>13029201.082149167</v>
      </c>
      <c r="X187" s="76">
        <f t="shared" si="207"/>
        <v>14001649.147410367</v>
      </c>
    </row>
    <row r="188" spans="1:24" ht="15" hidden="1" customHeight="1" outlineLevel="1">
      <c r="A188" s="95"/>
      <c r="C188" s="35" t="s">
        <v>118</v>
      </c>
      <c r="D188" s="77">
        <f>D180/'Resource Options'!$E$35/1000</f>
        <v>180.7187205276488</v>
      </c>
      <c r="E188" s="24"/>
      <c r="F188" s="24"/>
      <c r="G188" s="24"/>
      <c r="H188" s="24"/>
      <c r="I188" s="24"/>
      <c r="J188" s="24"/>
      <c r="K188" s="24"/>
      <c r="L188" s="24"/>
      <c r="M188" s="24"/>
      <c r="N188" s="24"/>
    </row>
    <row r="189" spans="1:24" ht="15" hidden="1" customHeight="1" outlineLevel="1">
      <c r="C189" s="32" t="s">
        <v>119</v>
      </c>
      <c r="D189" s="44">
        <f>D180/'Resource Options'!$D$35/1000</f>
        <v>11.29492003297805</v>
      </c>
      <c r="E189" s="24"/>
    </row>
    <row r="190" spans="1:24" ht="15" hidden="1" customHeight="1" outlineLevel="1">
      <c r="C190" s="32" t="s">
        <v>120</v>
      </c>
      <c r="D190" s="5">
        <f>D185/E174</f>
        <v>55.389561313155383</v>
      </c>
    </row>
    <row r="191" spans="1:24" ht="15.75" hidden="1" customHeight="1" outlineLevel="1" thickBot="1">
      <c r="C191" s="34" t="s">
        <v>121</v>
      </c>
      <c r="D191" s="20">
        <f>D187/(E174-E175)</f>
        <v>132.82238108442468</v>
      </c>
      <c r="E191" s="24"/>
    </row>
    <row r="192" spans="1:24" ht="15" hidden="1" customHeight="1" outlineLevel="1"/>
    <row r="193" spans="2:24" ht="15.75" collapsed="1" thickBot="1"/>
    <row r="194" spans="2:24" ht="18.75" thickBot="1">
      <c r="B194" s="95"/>
      <c r="C194" s="499" t="s">
        <v>23</v>
      </c>
      <c r="D194" s="500"/>
      <c r="E194" s="500"/>
      <c r="F194" s="501"/>
    </row>
    <row r="195" spans="2:24" ht="15" hidden="1" customHeight="1" outlineLevel="1">
      <c r="C195" s="78" t="s">
        <v>44</v>
      </c>
      <c r="D195" s="67"/>
      <c r="E195" s="67">
        <f>'Resource Options'!$D$36*365</f>
        <v>1241000</v>
      </c>
      <c r="F195" s="67">
        <f>E195</f>
        <v>1241000</v>
      </c>
      <c r="G195" s="67">
        <f t="shared" ref="G195:X196" si="208">F195</f>
        <v>1241000</v>
      </c>
      <c r="H195" s="67">
        <f t="shared" si="208"/>
        <v>1241000</v>
      </c>
      <c r="I195" s="67">
        <f t="shared" si="208"/>
        <v>1241000</v>
      </c>
      <c r="J195" s="67">
        <f t="shared" si="208"/>
        <v>1241000</v>
      </c>
      <c r="K195" s="67">
        <f t="shared" si="208"/>
        <v>1241000</v>
      </c>
      <c r="L195" s="67">
        <f t="shared" si="208"/>
        <v>1241000</v>
      </c>
      <c r="M195" s="67">
        <f t="shared" si="208"/>
        <v>1241000</v>
      </c>
      <c r="N195" s="67">
        <f t="shared" si="208"/>
        <v>1241000</v>
      </c>
      <c r="O195" s="67">
        <f t="shared" si="208"/>
        <v>1241000</v>
      </c>
      <c r="P195" s="67">
        <f t="shared" si="208"/>
        <v>1241000</v>
      </c>
      <c r="Q195" s="67">
        <f t="shared" si="208"/>
        <v>1241000</v>
      </c>
      <c r="R195" s="67">
        <f t="shared" si="208"/>
        <v>1241000</v>
      </c>
      <c r="S195" s="67">
        <f t="shared" si="208"/>
        <v>1241000</v>
      </c>
      <c r="T195" s="67">
        <f t="shared" si="208"/>
        <v>1241000</v>
      </c>
      <c r="U195" s="67">
        <f t="shared" si="208"/>
        <v>1241000</v>
      </c>
      <c r="V195" s="67">
        <f t="shared" si="208"/>
        <v>1241000</v>
      </c>
      <c r="W195" s="67">
        <f t="shared" si="208"/>
        <v>1241000</v>
      </c>
      <c r="X195" s="68">
        <f t="shared" si="208"/>
        <v>1241000</v>
      </c>
    </row>
    <row r="196" spans="2:24" ht="15" hidden="1" customHeight="1" outlineLevel="1">
      <c r="C196" s="79" t="s">
        <v>115</v>
      </c>
      <c r="D196" s="69"/>
      <c r="E196" s="69">
        <f>E195*(1-INDEX('DATA (Nominal)'!$B$219:$BX$219,1,MATCH($B$1,'DATA (Nominal)'!$B$1:$BX$1,0)))</f>
        <v>248199.99999999994</v>
      </c>
      <c r="F196" s="69">
        <f>E196</f>
        <v>248199.99999999994</v>
      </c>
      <c r="G196" s="69">
        <f t="shared" si="208"/>
        <v>248199.99999999994</v>
      </c>
      <c r="H196" s="69">
        <f t="shared" si="208"/>
        <v>248199.99999999994</v>
      </c>
      <c r="I196" s="69">
        <f t="shared" si="208"/>
        <v>248199.99999999994</v>
      </c>
      <c r="J196" s="69">
        <f t="shared" si="208"/>
        <v>248199.99999999994</v>
      </c>
      <c r="K196" s="69">
        <f t="shared" si="208"/>
        <v>248199.99999999994</v>
      </c>
      <c r="L196" s="69">
        <f t="shared" si="208"/>
        <v>248199.99999999994</v>
      </c>
      <c r="M196" s="69">
        <f t="shared" si="208"/>
        <v>248199.99999999994</v>
      </c>
      <c r="N196" s="69">
        <f t="shared" si="208"/>
        <v>248199.99999999994</v>
      </c>
      <c r="O196" s="69">
        <f t="shared" si="208"/>
        <v>248199.99999999994</v>
      </c>
      <c r="P196" s="69">
        <f t="shared" si="208"/>
        <v>248199.99999999994</v>
      </c>
      <c r="Q196" s="69">
        <f t="shared" si="208"/>
        <v>248199.99999999994</v>
      </c>
      <c r="R196" s="69">
        <f t="shared" si="208"/>
        <v>248199.99999999994</v>
      </c>
      <c r="S196" s="69">
        <f t="shared" si="208"/>
        <v>248199.99999999994</v>
      </c>
      <c r="T196" s="69">
        <f t="shared" si="208"/>
        <v>248199.99999999994</v>
      </c>
      <c r="U196" s="69">
        <f t="shared" si="208"/>
        <v>248199.99999999994</v>
      </c>
      <c r="V196" s="69">
        <f t="shared" si="208"/>
        <v>248199.99999999994</v>
      </c>
      <c r="W196" s="69">
        <f t="shared" si="208"/>
        <v>248199.99999999994</v>
      </c>
      <c r="X196" s="70">
        <f t="shared" si="208"/>
        <v>248199.99999999994</v>
      </c>
    </row>
    <row r="197" spans="2:24" ht="15" hidden="1" customHeight="1" outlineLevel="1">
      <c r="C197" s="7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70"/>
    </row>
    <row r="198" spans="2:24" ht="15" hidden="1" customHeight="1" outlineLevel="1">
      <c r="C198" s="79" t="s">
        <v>47</v>
      </c>
      <c r="D198" s="71">
        <f>-PMT(Discount_Rate,20,NPV(Discount_Rate,E198:X198))</f>
        <v>10024024.814263167</v>
      </c>
      <c r="E198" s="73">
        <f>INDEX('DATA (Nominal)'!$B$171:$BX$171,1,MATCH(E$1,'DATA (Nominal)'!$B$1:$BX$1,0))*'Resource Options'!$E$36*1000</f>
        <v>8454779.9283742551</v>
      </c>
      <c r="F198" s="73">
        <f>INDEX('DATA (Nominal)'!$B$171:$BX$171,1,MATCH(F$1,'DATA (Nominal)'!$B$1:$BX$1,0))*'Resource Options'!$E$36*1000</f>
        <v>8643603.3467746153</v>
      </c>
      <c r="G198" s="73">
        <f>INDEX('DATA (Nominal)'!$B$171:$BX$171,1,MATCH(G$1,'DATA (Nominal)'!$B$1:$BX$1,0))*'Resource Options'!$E$36*1000</f>
        <v>8836643.8215192463</v>
      </c>
      <c r="H198" s="73">
        <f>INDEX('DATA (Nominal)'!$B$171:$BX$171,1,MATCH(H$1,'DATA (Nominal)'!$B$1:$BX$1,0))*'Resource Options'!$E$36*1000</f>
        <v>9031049.9855926726</v>
      </c>
      <c r="I198" s="73">
        <f>INDEX('DATA (Nominal)'!$B$171:$BX$171,1,MATCH(I$1,'DATA (Nominal)'!$B$1:$BX$1,0))*'Resource Options'!$E$36*1000</f>
        <v>9229733.0852757096</v>
      </c>
      <c r="J198" s="73">
        <f>INDEX('DATA (Nominal)'!$B$171:$BX$171,1,MATCH(J$1,'DATA (Nominal)'!$B$1:$BX$1,0))*'Resource Options'!$E$36*1000</f>
        <v>9432787.2131517753</v>
      </c>
      <c r="K198" s="73">
        <f>INDEX('DATA (Nominal)'!$B$171:$BX$171,1,MATCH(K$1,'DATA (Nominal)'!$B$1:$BX$1,0))*'Resource Options'!$E$36*1000</f>
        <v>9640308.5318411142</v>
      </c>
      <c r="L198" s="73">
        <f>INDEX('DATA (Nominal)'!$B$171:$BX$171,1,MATCH(L$1,'DATA (Nominal)'!$B$1:$BX$1,0))*'Resource Options'!$E$36*1000</f>
        <v>9852395.3195416201</v>
      </c>
      <c r="M198" s="73">
        <f>INDEX('DATA (Nominal)'!$B$171:$BX$171,1,MATCH(M$1,'DATA (Nominal)'!$B$1:$BX$1,0))*'Resource Options'!$E$36*1000</f>
        <v>10069148.016571535</v>
      </c>
      <c r="N198" s="73">
        <f>INDEX('DATA (Nominal)'!$B$171:$BX$171,1,MATCH(N$1,'DATA (Nominal)'!$B$1:$BX$1,0))*'Resource Options'!$E$36*1000</f>
        <v>10290669.272936109</v>
      </c>
      <c r="O198" s="73">
        <f>INDEX('DATA (Nominal)'!$B$171:$BX$171,1,MATCH(O$1,'DATA (Nominal)'!$B$1:$BX$1,0))*'Resource Options'!$E$36*1000</f>
        <v>10517063.996940702</v>
      </c>
      <c r="P198" s="73">
        <f>INDEX('DATA (Nominal)'!$B$171:$BX$171,1,MATCH(P$1,'DATA (Nominal)'!$B$1:$BX$1,0))*'Resource Options'!$E$36*1000</f>
        <v>10748439.404873397</v>
      </c>
      <c r="Q198" s="73">
        <f>INDEX('DATA (Nominal)'!$B$171:$BX$171,1,MATCH(Q$1,'DATA (Nominal)'!$B$1:$BX$1,0))*'Resource Options'!$E$36*1000</f>
        <v>10984905.071780613</v>
      </c>
      <c r="R198" s="73">
        <f>INDEX('DATA (Nominal)'!$B$171:$BX$171,1,MATCH(R$1,'DATA (Nominal)'!$B$1:$BX$1,0))*'Resource Options'!$E$36*1000</f>
        <v>11226572.983359788</v>
      </c>
      <c r="S198" s="73">
        <f>INDEX('DATA (Nominal)'!$B$171:$BX$171,1,MATCH(S$1,'DATA (Nominal)'!$B$1:$BX$1,0))*'Resource Options'!$E$36*1000</f>
        <v>11473557.588993702</v>
      </c>
      <c r="T198" s="73">
        <f>INDEX('DATA (Nominal)'!$B$171:$BX$171,1,MATCH(T$1,'DATA (Nominal)'!$B$1:$BX$1,0))*'Resource Options'!$E$36*1000</f>
        <v>11725975.855951564</v>
      </c>
      <c r="U198" s="73">
        <f>INDEX('DATA (Nominal)'!$B$171:$BX$171,1,MATCH(U$1,'DATA (Nominal)'!$B$1:$BX$1,0))*'Resource Options'!$E$36*1000</f>
        <v>11983947.324782496</v>
      </c>
      <c r="V198" s="73">
        <f>INDEX('DATA (Nominal)'!$B$171:$BX$171,1,MATCH(V$1,'DATA (Nominal)'!$B$1:$BX$1,0))*'Resource Options'!$E$36*1000</f>
        <v>12247594.165927714</v>
      </c>
      <c r="W198" s="73">
        <f>INDEX('DATA (Nominal)'!$B$171:$BX$171,1,MATCH(W$1,'DATA (Nominal)'!$B$1:$BX$1,0))*'Resource Options'!$E$36*1000</f>
        <v>12517041.237578124</v>
      </c>
      <c r="X198" s="74">
        <f>INDEX('DATA (Nominal)'!$B$171:$BX$171,1,MATCH(X$1,'DATA (Nominal)'!$B$1:$BX$1,0))*'Resource Options'!$E$36*1000</f>
        <v>12792416.144804841</v>
      </c>
    </row>
    <row r="199" spans="2:24" ht="15" hidden="1" customHeight="1" outlineLevel="1">
      <c r="C199" s="80" t="s">
        <v>92</v>
      </c>
      <c r="D199" s="71">
        <f>-PMT(Discount_Rate,20,NPV(Discount_Rate,E199:X199))</f>
        <v>208870953.70050433</v>
      </c>
      <c r="E199" s="71">
        <f>INDEX('DATA (Nominal)'!$B$52:$BX$52,1,MATCH($B$1,'DATA (Nominal)'!$B$1:$BX$1,0))*Assumptions!AG$36*(1+AFUDC!$C$36)*1000000*'Resource Options'!$E$36/1000</f>
        <v>260941913.6018953</v>
      </c>
      <c r="F199" s="73">
        <f>INDEX('DATA (Nominal)'!$B$52:$BX$52,1,MATCH($B$1,'DATA (Nominal)'!$B$1:$BX$1,0))*Assumptions!AH$36*(1+AFUDC!$C$36)*1000000*'Resource Options'!$E$36/1000</f>
        <v>248447504.15762845</v>
      </c>
      <c r="G199" s="71">
        <f>INDEX('DATA (Nominal)'!$B$52:$BX$52,1,MATCH($B$1,'DATA (Nominal)'!$B$1:$BX$1,0))*Assumptions!AI$36*(1+AFUDC!$C$36)*1000000*'Resource Options'!$E$36/1000</f>
        <v>236087694.10712248</v>
      </c>
      <c r="H199" s="71">
        <f>INDEX('DATA (Nominal)'!$B$52:$BX$52,1,MATCH($B$1,'DATA (Nominal)'!$B$1:$BX$1,0))*Assumptions!AJ$36*(1+AFUDC!$C$36)*1000000*'Resource Options'!$E$36/1000</f>
        <v>227173628.53689611</v>
      </c>
      <c r="I199" s="71">
        <f>INDEX('DATA (Nominal)'!$B$52:$BX$52,1,MATCH($B$1,'DATA (Nominal)'!$B$1:$BX$1,0))*Assumptions!AK$36*(1+AFUDC!$C$36)*1000000*'Resource Options'!$E$36/1000</f>
        <v>219551717.14677462</v>
      </c>
      <c r="J199" s="71">
        <f>INDEX('DATA (Nominal)'!$B$52:$BX$52,1,MATCH($B$1,'DATA (Nominal)'!$B$1:$BX$1,0))*Assumptions!AL$36*(1+AFUDC!$C$36)*1000000*'Resource Options'!$E$36/1000</f>
        <v>212898921.39173174</v>
      </c>
      <c r="K199" s="71">
        <f>INDEX('DATA (Nominal)'!$B$52:$BX$52,1,MATCH($B$1,'DATA (Nominal)'!$B$1:$BX$1,0))*Assumptions!AM$36*(1+AFUDC!$C$36)*1000000*'Resource Options'!$E$36/1000</f>
        <v>208184356.90684614</v>
      </c>
      <c r="L199" s="71">
        <f>INDEX('DATA (Nominal)'!$B$52:$BX$52,1,MATCH($B$1,'DATA (Nominal)'!$B$1:$BX$1,0))*Assumptions!AN$36*(1+AFUDC!$C$36)*1000000*'Resource Options'!$E$36/1000</f>
        <v>204438908.05703914</v>
      </c>
      <c r="M199" s="71">
        <f>INDEX('DATA (Nominal)'!$B$52:$BX$52,1,MATCH($B$1,'DATA (Nominal)'!$B$1:$BX$1,0))*Assumptions!AO$36*(1+AFUDC!$C$36)*1000000*'Resource Options'!$E$36/1000</f>
        <v>200693459.20723218</v>
      </c>
      <c r="N199" s="71">
        <f>INDEX('DATA (Nominal)'!$B$52:$BX$52,1,MATCH($B$1,'DATA (Nominal)'!$B$1:$BX$1,0))*Assumptions!AP$36*(1+AFUDC!$C$36)*1000000*'Resource Options'!$E$36/1000</f>
        <v>196948010.35742515</v>
      </c>
      <c r="O199" s="71">
        <f>INDEX('DATA (Nominal)'!$B$52:$BX$52,1,MATCH($B$1,'DATA (Nominal)'!$B$1:$BX$1,0))*Assumptions!AQ$36*(1+AFUDC!$C$36)*1000000*'Resource Options'!$E$36/1000</f>
        <v>193202561.50761822</v>
      </c>
      <c r="P199" s="71">
        <f>INDEX('DATA (Nominal)'!$B$52:$BX$52,1,MATCH($B$1,'DATA (Nominal)'!$B$1:$BX$1,0))*Assumptions!AR$36*(1+AFUDC!$C$36)*1000000*'Resource Options'!$E$36/1000</f>
        <v>189457112.65781116</v>
      </c>
      <c r="Q199" s="71">
        <f>INDEX('DATA (Nominal)'!$B$52:$BX$52,1,MATCH($B$1,'DATA (Nominal)'!$B$1:$BX$1,0))*Assumptions!AS$36*(1+AFUDC!$C$36)*1000000*'Resource Options'!$E$36/1000</f>
        <v>185711663.80800417</v>
      </c>
      <c r="R199" s="71">
        <f>INDEX('DATA (Nominal)'!$B$52:$BX$52,1,MATCH($B$1,'DATA (Nominal)'!$B$1:$BX$1,0))*Assumptions!AT$36*(1+AFUDC!$C$36)*1000000*'Resource Options'!$E$36/1000</f>
        <v>181966214.95819724</v>
      </c>
      <c r="S199" s="71">
        <f>INDEX('DATA (Nominal)'!$B$52:$BX$52,1,MATCH($B$1,'DATA (Nominal)'!$B$1:$BX$1,0))*Assumptions!AU$36*(1+AFUDC!$C$36)*1000000*'Resource Options'!$E$36/1000</f>
        <v>178220766.10839021</v>
      </c>
      <c r="T199" s="71">
        <f>INDEX('DATA (Nominal)'!$B$52:$BX$52,1,MATCH($B$1,'DATA (Nominal)'!$B$1:$BX$1,0))*Assumptions!AV$36*(1+AFUDC!$C$36)*1000000*'Resource Options'!$E$36/1000</f>
        <v>174475317.25858319</v>
      </c>
      <c r="U199" s="71">
        <f>INDEX('DATA (Nominal)'!$B$52:$BX$52,1,MATCH($B$1,'DATA (Nominal)'!$B$1:$BX$1,0))*Assumptions!AW$36*(1+AFUDC!$C$36)*1000000*'Resource Options'!$E$36/1000</f>
        <v>170729868.40877625</v>
      </c>
      <c r="V199" s="71">
        <f>INDEX('DATA (Nominal)'!$B$52:$BX$52,1,MATCH($B$1,'DATA (Nominal)'!$B$1:$BX$1,0))*Assumptions!AX$36*(1+AFUDC!$C$36)*1000000*'Resource Options'!$E$36/1000</f>
        <v>166984419.5589692</v>
      </c>
      <c r="W199" s="71">
        <f>INDEX('DATA (Nominal)'!$B$52:$BX$52,1,MATCH($B$1,'DATA (Nominal)'!$B$1:$BX$1,0))*Assumptions!AY$36*(1+AFUDC!$C$36)*1000000*'Resource Options'!$E$36/1000</f>
        <v>163238970.70916229</v>
      </c>
      <c r="X199" s="72">
        <f>INDEX('DATA (Nominal)'!$B$52:$BX$52,1,MATCH($B$1,'DATA (Nominal)'!$B$1:$BX$1,0))*Assumptions!AZ$36*(1+AFUDC!$C$36)*1000000*'Resource Options'!$E$36/1000</f>
        <v>159493521.85935533</v>
      </c>
    </row>
    <row r="200" spans="2:24" ht="15" hidden="1" customHeight="1" outlineLevel="1">
      <c r="C200" s="79" t="s">
        <v>93</v>
      </c>
      <c r="D200" s="71">
        <f>-PMT(Discount_Rate,20,NPV(Discount_Rate,E200:X200))</f>
        <v>292240.41943502828</v>
      </c>
      <c r="E200" s="71">
        <f t="shared" ref="E200:X200" si="209">E198*Misc_Fees</f>
        <v>246490.65403182304</v>
      </c>
      <c r="F200" s="71">
        <f t="shared" si="209"/>
        <v>251995.61197186713</v>
      </c>
      <c r="G200" s="71">
        <f t="shared" si="209"/>
        <v>257623.51397257211</v>
      </c>
      <c r="H200" s="71">
        <f t="shared" si="209"/>
        <v>263291.23127996875</v>
      </c>
      <c r="I200" s="71">
        <f t="shared" si="209"/>
        <v>269083.63836812804</v>
      </c>
      <c r="J200" s="71">
        <f t="shared" si="209"/>
        <v>275003.47841222683</v>
      </c>
      <c r="K200" s="71">
        <f t="shared" si="209"/>
        <v>281053.55493729585</v>
      </c>
      <c r="L200" s="71">
        <f t="shared" si="209"/>
        <v>287236.73314591637</v>
      </c>
      <c r="M200" s="71">
        <f t="shared" si="209"/>
        <v>293555.94127512653</v>
      </c>
      <c r="N200" s="71">
        <f t="shared" si="209"/>
        <v>300014.17198317935</v>
      </c>
      <c r="O200" s="71">
        <f t="shared" si="209"/>
        <v>306614.48376680922</v>
      </c>
      <c r="P200" s="71">
        <f t="shared" si="209"/>
        <v>313360.002409679</v>
      </c>
      <c r="Q200" s="71">
        <f t="shared" si="209"/>
        <v>320253.92246269196</v>
      </c>
      <c r="R200" s="71">
        <f t="shared" si="209"/>
        <v>327299.50875687122</v>
      </c>
      <c r="S200" s="71">
        <f t="shared" si="209"/>
        <v>334500.09794952237</v>
      </c>
      <c r="T200" s="71">
        <f t="shared" si="209"/>
        <v>341859.10010441189</v>
      </c>
      <c r="U200" s="71">
        <f t="shared" si="209"/>
        <v>349380.00030670891</v>
      </c>
      <c r="V200" s="71">
        <f t="shared" si="209"/>
        <v>357066.36031345656</v>
      </c>
      <c r="W200" s="71">
        <f t="shared" si="209"/>
        <v>364921.82024035259</v>
      </c>
      <c r="X200" s="72">
        <f t="shared" si="209"/>
        <v>372950.10028564034</v>
      </c>
    </row>
    <row r="201" spans="2:24" ht="15" hidden="1" customHeight="1" outlineLevel="1">
      <c r="C201" s="79" t="s">
        <v>94</v>
      </c>
      <c r="D201" s="71">
        <f>-PMT(Discount_Rate,20,NPV(Discount_Rate,E201:X201))</f>
        <v>219187218.93420252</v>
      </c>
      <c r="E201" s="71">
        <f t="shared" ref="E201:X201" si="210">SUM(E198:E200)</f>
        <v>269643184.18430138</v>
      </c>
      <c r="F201" s="71">
        <f t="shared" si="210"/>
        <v>257343103.11637491</v>
      </c>
      <c r="G201" s="71">
        <f t="shared" si="210"/>
        <v>245181961.44261432</v>
      </c>
      <c r="H201" s="71">
        <f t="shared" si="210"/>
        <v>236467969.75376874</v>
      </c>
      <c r="I201" s="71">
        <f t="shared" si="210"/>
        <v>229050533.87041846</v>
      </c>
      <c r="J201" s="71">
        <f t="shared" si="210"/>
        <v>222606712.08329576</v>
      </c>
      <c r="K201" s="71">
        <f t="shared" si="210"/>
        <v>218105718.99362457</v>
      </c>
      <c r="L201" s="71">
        <f t="shared" si="210"/>
        <v>214578540.1097267</v>
      </c>
      <c r="M201" s="71">
        <f t="shared" si="210"/>
        <v>211056163.16507882</v>
      </c>
      <c r="N201" s="71">
        <f t="shared" si="210"/>
        <v>207538693.80234444</v>
      </c>
      <c r="O201" s="71">
        <f t="shared" si="210"/>
        <v>204026239.98832574</v>
      </c>
      <c r="P201" s="71">
        <f t="shared" si="210"/>
        <v>200518912.06509423</v>
      </c>
      <c r="Q201" s="71">
        <f t="shared" si="210"/>
        <v>197016822.80224749</v>
      </c>
      <c r="R201" s="71">
        <f t="shared" si="210"/>
        <v>193520087.4503139</v>
      </c>
      <c r="S201" s="71">
        <f t="shared" si="210"/>
        <v>190028823.79533345</v>
      </c>
      <c r="T201" s="71">
        <f t="shared" si="210"/>
        <v>186543152.21463919</v>
      </c>
      <c r="U201" s="71">
        <f t="shared" si="210"/>
        <v>183063195.73386544</v>
      </c>
      <c r="V201" s="71">
        <f t="shared" si="210"/>
        <v>179589080.08521035</v>
      </c>
      <c r="W201" s="71">
        <f t="shared" si="210"/>
        <v>176120933.76698077</v>
      </c>
      <c r="X201" s="72">
        <f t="shared" si="210"/>
        <v>172658888.10444582</v>
      </c>
    </row>
    <row r="202" spans="2:24" ht="15" hidden="1" customHeight="1" outlineLevel="1">
      <c r="C202" s="79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2"/>
    </row>
    <row r="203" spans="2:24" ht="15" hidden="1" customHeight="1" outlineLevel="1">
      <c r="C203" s="79" t="s">
        <v>116</v>
      </c>
      <c r="D203" s="71">
        <f>-PMT(Discount_Rate,20,NPV(Discount_Rate,E203:X203))</f>
        <v>894417.09907148581</v>
      </c>
      <c r="E203" s="71">
        <f>E195*INDEX('DATA (Nominal)'!$B$100:$BX$100,1,MATCH(E$1,'DATA (Nominal)'!$B$1:$BX$1,0))</f>
        <v>754397.54758629785</v>
      </c>
      <c r="F203" s="71">
        <f>F195*INDEX('DATA (Nominal)'!$B$100:$BX$100,1,MATCH(F$1,'DATA (Nominal)'!$B$1:$BX$1,0))</f>
        <v>771245.75948239188</v>
      </c>
      <c r="G203" s="71">
        <f>G195*INDEX('DATA (Nominal)'!$B$100:$BX$100,1,MATCH(G$1,'DATA (Nominal)'!$B$1:$BX$1,0))</f>
        <v>788470.24811083183</v>
      </c>
      <c r="H203" s="71">
        <f>H195*INDEX('DATA (Nominal)'!$B$100:$BX$100,1,MATCH(H$1,'DATA (Nominal)'!$B$1:$BX$1,0))</f>
        <v>805816.59356927034</v>
      </c>
      <c r="I203" s="71">
        <f>I195*INDEX('DATA (Nominal)'!$B$100:$BX$100,1,MATCH(I$1,'DATA (Nominal)'!$B$1:$BX$1,0))</f>
        <v>823544.55862779426</v>
      </c>
      <c r="J203" s="71">
        <f>J195*INDEX('DATA (Nominal)'!$B$100:$BX$100,1,MATCH(J$1,'DATA (Nominal)'!$B$1:$BX$1,0))</f>
        <v>841662.53891760565</v>
      </c>
      <c r="K203" s="71">
        <f>K195*INDEX('DATA (Nominal)'!$B$100:$BX$100,1,MATCH(K$1,'DATA (Nominal)'!$B$1:$BX$1,0))</f>
        <v>860179.11477379291</v>
      </c>
      <c r="L203" s="71">
        <f>L195*INDEX('DATA (Nominal)'!$B$100:$BX$100,1,MATCH(L$1,'DATA (Nominal)'!$B$1:$BX$1,0))</f>
        <v>879103.05529881653</v>
      </c>
      <c r="M203" s="71">
        <f>M195*INDEX('DATA (Nominal)'!$B$100:$BX$100,1,MATCH(M$1,'DATA (Nominal)'!$B$1:$BX$1,0))</f>
        <v>898443.32251539035</v>
      </c>
      <c r="N203" s="71">
        <f>N195*INDEX('DATA (Nominal)'!$B$100:$BX$100,1,MATCH(N$1,'DATA (Nominal)'!$B$1:$BX$1,0))</f>
        <v>918209.07561072905</v>
      </c>
      <c r="O203" s="71">
        <f>O195*INDEX('DATA (Nominal)'!$B$100:$BX$100,1,MATCH(O$1,'DATA (Nominal)'!$B$1:$BX$1,0))</f>
        <v>938409.67527416488</v>
      </c>
      <c r="P203" s="71">
        <f>P195*INDEX('DATA (Nominal)'!$B$100:$BX$100,1,MATCH(P$1,'DATA (Nominal)'!$B$1:$BX$1,0))</f>
        <v>959054.68813019665</v>
      </c>
      <c r="Q203" s="71">
        <f>Q195*INDEX('DATA (Nominal)'!$B$100:$BX$100,1,MATCH(Q$1,'DATA (Nominal)'!$B$1:$BX$1,0))</f>
        <v>980153.89126906078</v>
      </c>
      <c r="R203" s="71">
        <f>R195*INDEX('DATA (Nominal)'!$B$100:$BX$100,1,MATCH(R$1,'DATA (Nominal)'!$B$1:$BX$1,0))</f>
        <v>1001717.2768769802</v>
      </c>
      <c r="S203" s="71">
        <f>S195*INDEX('DATA (Nominal)'!$B$100:$BX$100,1,MATCH(S$1,'DATA (Nominal)'!$B$1:$BX$1,0))</f>
        <v>1023755.0569682738</v>
      </c>
      <c r="T203" s="71">
        <f>T195*INDEX('DATA (Nominal)'!$B$100:$BX$100,1,MATCH(T$1,'DATA (Nominal)'!$B$1:$BX$1,0))</f>
        <v>1046277.6682215759</v>
      </c>
      <c r="U203" s="71">
        <f>U195*INDEX('DATA (Nominal)'!$B$100:$BX$100,1,MATCH(U$1,'DATA (Nominal)'!$B$1:$BX$1,0))</f>
        <v>1069295.7769224504</v>
      </c>
      <c r="V203" s="71">
        <f>V195*INDEX('DATA (Nominal)'!$B$100:$BX$100,1,MATCH(V$1,'DATA (Nominal)'!$B$1:$BX$1,0))</f>
        <v>1092820.2840147445</v>
      </c>
      <c r="W203" s="71">
        <f>W195*INDEX('DATA (Nominal)'!$B$100:$BX$100,1,MATCH(W$1,'DATA (Nominal)'!$B$1:$BX$1,0))</f>
        <v>1116862.3302630689</v>
      </c>
      <c r="X203" s="72">
        <f>X195*INDEX('DATA (Nominal)'!$B$100:$BX$100,1,MATCH(X$1,'DATA (Nominal)'!$B$1:$BX$1,0))</f>
        <v>1141433.3015288564</v>
      </c>
    </row>
    <row r="204" spans="2:24" s="263" customFormat="1" ht="15" hidden="1" customHeight="1" outlineLevel="1">
      <c r="C204" s="79" t="s">
        <v>224</v>
      </c>
      <c r="D204" s="71">
        <f>-PMT(Discount_Rate,20,NPV(Discount_Rate,E204:X204))</f>
        <v>51251410.966388583</v>
      </c>
      <c r="E204" s="71">
        <f>(E195+E196)*INDEX('DATA (Nominal)'!$B$157:$BX$157,1,MATCH(E$1,'DATA (Nominal)'!$B$1:$BX$1,0))</f>
        <v>53220485.477096558</v>
      </c>
      <c r="F204" s="71">
        <f>(F195+F196)*INDEX('DATA (Nominal)'!$B$157:$BX$157,1,MATCH(F$1,'DATA (Nominal)'!$B$1:$BX$1,0))</f>
        <v>49588655.840530396</v>
      </c>
      <c r="G204" s="71">
        <f>(G195+G196)*INDEX('DATA (Nominal)'!$B$157:$BX$157,1,MATCH(G$1,'DATA (Nominal)'!$B$1:$BX$1,0))</f>
        <v>44589615.239028931</v>
      </c>
      <c r="H204" s="71">
        <f>(H195+H196)*INDEX('DATA (Nominal)'!$B$157:$BX$157,1,MATCH(H$1,'DATA (Nominal)'!$B$1:$BX$1,0))</f>
        <v>44488185.232471466</v>
      </c>
      <c r="I204" s="71">
        <f>(I195+I196)*INDEX('DATA (Nominal)'!$B$157:$BX$157,1,MATCH(I$1,'DATA (Nominal)'!$B$1:$BX$1,0))</f>
        <v>44629877.429077148</v>
      </c>
      <c r="J204" s="71">
        <f>(J195+J196)*INDEX('DATA (Nominal)'!$B$157:$BX$157,1,MATCH(J$1,'DATA (Nominal)'!$B$1:$BX$1,0))</f>
        <v>51209007.977928154</v>
      </c>
      <c r="K204" s="71">
        <f>(K195+K196)*INDEX('DATA (Nominal)'!$B$157:$BX$157,1,MATCH(K$1,'DATA (Nominal)'!$B$1:$BX$1,0))</f>
        <v>48161245.492038727</v>
      </c>
      <c r="L204" s="71">
        <f>(L195+L196)*INDEX('DATA (Nominal)'!$B$157:$BX$157,1,MATCH(L$1,'DATA (Nominal)'!$B$1:$BX$1,0))</f>
        <v>46830354.142940521</v>
      </c>
      <c r="M204" s="71">
        <f>(M195+M196)*INDEX('DATA (Nominal)'!$B$157:$BX$157,1,MATCH(M$1,'DATA (Nominal)'!$B$1:$BX$1,0))</f>
        <v>48347948.863361359</v>
      </c>
      <c r="N204" s="71">
        <f>(N195+N196)*INDEX('DATA (Nominal)'!$B$157:$BX$157,1,MATCH(N$1,'DATA (Nominal)'!$B$1:$BX$1,0))</f>
        <v>49137920.890224464</v>
      </c>
      <c r="O204" s="71">
        <f>(O195+O196)*INDEX('DATA (Nominal)'!$B$157:$BX$157,1,MATCH(O$1,'DATA (Nominal)'!$B$1:$BX$1,0))</f>
        <v>51103403.855297089</v>
      </c>
      <c r="P204" s="71">
        <f>(P195+P196)*INDEX('DATA (Nominal)'!$B$157:$BX$157,1,MATCH(P$1,'DATA (Nominal)'!$B$1:$BX$1,0))</f>
        <v>51977115.474998474</v>
      </c>
      <c r="Q204" s="71">
        <f>(Q195+Q196)*INDEX('DATA (Nominal)'!$B$157:$BX$157,1,MATCH(Q$1,'DATA (Nominal)'!$B$1:$BX$1,0))</f>
        <v>54489333.775764458</v>
      </c>
      <c r="R204" s="71">
        <f>(R195+R196)*INDEX('DATA (Nominal)'!$B$157:$BX$157,1,MATCH(R$1,'DATA (Nominal)'!$B$1:$BX$1,0))</f>
        <v>54089667.927776344</v>
      </c>
      <c r="S204" s="71">
        <f>(S195+S196)*INDEX('DATA (Nominal)'!$B$157:$BX$157,1,MATCH(S$1,'DATA (Nominal)'!$B$1:$BX$1,0))</f>
        <v>55748859.737953186</v>
      </c>
      <c r="T204" s="71">
        <f>(T195+T196)*INDEX('DATA (Nominal)'!$B$157:$BX$157,1,MATCH(T$1,'DATA (Nominal)'!$B$1:$BX$1,0))</f>
        <v>58959272.608947754</v>
      </c>
      <c r="U204" s="71">
        <f>(U195+U196)*INDEX('DATA (Nominal)'!$B$157:$BX$157,1,MATCH(U$1,'DATA (Nominal)'!$B$1:$BX$1,0))</f>
        <v>59266585.573089607</v>
      </c>
      <c r="V204" s="71">
        <f>(V195+V196)*INDEX('DATA (Nominal)'!$B$157:$BX$157,1,MATCH(V$1,'DATA (Nominal)'!$B$1:$BX$1,0))</f>
        <v>61683216.888450623</v>
      </c>
      <c r="W204" s="71">
        <f>(W195+W196)*INDEX('DATA (Nominal)'!$B$157:$BX$157,1,MATCH(W$1,'DATA (Nominal)'!$B$1:$BX$1,0))</f>
        <v>63102158.140037537</v>
      </c>
      <c r="X204" s="72">
        <f>(X195+X196)*INDEX('DATA (Nominal)'!$B$157:$BX$157,1,MATCH(X$1,'DATA (Nominal)'!$B$1:$BX$1,0))</f>
        <v>70946834.322906494</v>
      </c>
    </row>
    <row r="205" spans="2:24" ht="15" hidden="1" customHeight="1" outlineLevel="1">
      <c r="C205" s="79" t="s">
        <v>93</v>
      </c>
      <c r="D205" s="71">
        <f>-PMT(Discount_Rate,20,NPV(Discount_Rate,E205:X205))</f>
        <v>26075.836106330098</v>
      </c>
      <c r="E205" s="73">
        <f t="shared" ref="E205:X205" si="211">SUM(E203:E203)*Misc_Fees</f>
        <v>21993.706102330925</v>
      </c>
      <c r="F205" s="73">
        <f t="shared" si="211"/>
        <v>22484.898871949652</v>
      </c>
      <c r="G205" s="73">
        <f t="shared" si="211"/>
        <v>22987.06161342319</v>
      </c>
      <c r="H205" s="73">
        <f t="shared" si="211"/>
        <v>23492.776968918508</v>
      </c>
      <c r="I205" s="73">
        <f t="shared" si="211"/>
        <v>24009.618062234713</v>
      </c>
      <c r="J205" s="73">
        <f t="shared" si="211"/>
        <v>24537.829659603874</v>
      </c>
      <c r="K205" s="73">
        <f t="shared" si="211"/>
        <v>25077.66191211516</v>
      </c>
      <c r="L205" s="73">
        <f t="shared" si="211"/>
        <v>25629.370474181698</v>
      </c>
      <c r="M205" s="73">
        <f t="shared" si="211"/>
        <v>26193.216624613691</v>
      </c>
      <c r="N205" s="73">
        <f t="shared" si="211"/>
        <v>26769.467390355196</v>
      </c>
      <c r="O205" s="73">
        <f t="shared" si="211"/>
        <v>27358.395672943003</v>
      </c>
      <c r="P205" s="73">
        <f t="shared" si="211"/>
        <v>27960.280377747753</v>
      </c>
      <c r="Q205" s="73">
        <f t="shared" si="211"/>
        <v>28575.406546058199</v>
      </c>
      <c r="R205" s="73">
        <f t="shared" si="211"/>
        <v>29204.06549007148</v>
      </c>
      <c r="S205" s="73">
        <f t="shared" si="211"/>
        <v>29846.554930853054</v>
      </c>
      <c r="T205" s="73">
        <f t="shared" si="211"/>
        <v>30503.179139331824</v>
      </c>
      <c r="U205" s="73">
        <f t="shared" si="211"/>
        <v>31174.24908039712</v>
      </c>
      <c r="V205" s="73">
        <f t="shared" si="211"/>
        <v>31860.082560165858</v>
      </c>
      <c r="W205" s="73">
        <f t="shared" si="211"/>
        <v>32561.004376489509</v>
      </c>
      <c r="X205" s="74">
        <f t="shared" si="211"/>
        <v>33277.346472772275</v>
      </c>
    </row>
    <row r="206" spans="2:24" ht="15" hidden="1" customHeight="1" outlineLevel="1">
      <c r="C206" s="79" t="s">
        <v>99</v>
      </c>
      <c r="D206" s="71">
        <f>-PMT(Discount_Rate,20,NPV(Discount_Rate,E206:X206))</f>
        <v>52171903.901566416</v>
      </c>
      <c r="E206" s="71">
        <f t="shared" ref="E206:X206" si="212">SUM(E203:E205)</f>
        <v>53996876.730785191</v>
      </c>
      <c r="F206" s="71">
        <f t="shared" si="212"/>
        <v>50382386.498884737</v>
      </c>
      <c r="G206" s="71">
        <f t="shared" si="212"/>
        <v>45401072.548753187</v>
      </c>
      <c r="H206" s="71">
        <f t="shared" si="212"/>
        <v>45317494.603009656</v>
      </c>
      <c r="I206" s="71">
        <f t="shared" si="212"/>
        <v>45477431.605767176</v>
      </c>
      <c r="J206" s="71">
        <f t="shared" si="212"/>
        <v>52075208.346505366</v>
      </c>
      <c r="K206" s="71">
        <f t="shared" si="212"/>
        <v>49046502.268724635</v>
      </c>
      <c r="L206" s="71">
        <f t="shared" si="212"/>
        <v>47735086.568713523</v>
      </c>
      <c r="M206" s="71">
        <f t="shared" si="212"/>
        <v>49272585.40250136</v>
      </c>
      <c r="N206" s="71">
        <f t="shared" si="212"/>
        <v>50082899.43322555</v>
      </c>
      <c r="O206" s="71">
        <f t="shared" si="212"/>
        <v>52069171.926244192</v>
      </c>
      <c r="P206" s="71">
        <f t="shared" si="212"/>
        <v>52964130.44350642</v>
      </c>
      <c r="Q206" s="71">
        <f t="shared" si="212"/>
        <v>55498063.073579572</v>
      </c>
      <c r="R206" s="71">
        <f t="shared" si="212"/>
        <v>55120589.270143397</v>
      </c>
      <c r="S206" s="71">
        <f t="shared" si="212"/>
        <v>56802461.349852309</v>
      </c>
      <c r="T206" s="71">
        <f t="shared" si="212"/>
        <v>60036053.456308663</v>
      </c>
      <c r="U206" s="71">
        <f t="shared" si="212"/>
        <v>60367055.599092454</v>
      </c>
      <c r="V206" s="71">
        <f t="shared" si="212"/>
        <v>62807897.255025536</v>
      </c>
      <c r="W206" s="71">
        <f t="shared" si="212"/>
        <v>64251581.474677093</v>
      </c>
      <c r="X206" s="72">
        <f t="shared" si="212"/>
        <v>72121544.97090812</v>
      </c>
    </row>
    <row r="207" spans="2:24" ht="15" hidden="1" customHeight="1" outlineLevel="1">
      <c r="C207" s="79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2"/>
    </row>
    <row r="208" spans="2:24" ht="15.75" hidden="1" customHeight="1" outlineLevel="1" thickBot="1">
      <c r="C208" s="81" t="s">
        <v>100</v>
      </c>
      <c r="D208" s="71">
        <f>-PMT(Discount_Rate,20,NPV(Discount_Rate,E208:X208))</f>
        <v>271359122.83576888</v>
      </c>
      <c r="E208" s="75">
        <f t="shared" ref="E208:X208" si="213">E201+E206</f>
        <v>323640060.91508657</v>
      </c>
      <c r="F208" s="75">
        <f t="shared" si="213"/>
        <v>307725489.61525965</v>
      </c>
      <c r="G208" s="75">
        <f t="shared" si="213"/>
        <v>290583033.99136752</v>
      </c>
      <c r="H208" s="75">
        <f t="shared" si="213"/>
        <v>281785464.35677838</v>
      </c>
      <c r="I208" s="75">
        <f t="shared" si="213"/>
        <v>274527965.47618562</v>
      </c>
      <c r="J208" s="75">
        <f t="shared" si="213"/>
        <v>274681920.42980111</v>
      </c>
      <c r="K208" s="75">
        <f t="shared" si="213"/>
        <v>267152221.26234919</v>
      </c>
      <c r="L208" s="75">
        <f t="shared" si="213"/>
        <v>262313626.67844021</v>
      </c>
      <c r="M208" s="75">
        <f t="shared" si="213"/>
        <v>260328748.56758016</v>
      </c>
      <c r="N208" s="75">
        <f t="shared" si="213"/>
        <v>257621593.23556998</v>
      </c>
      <c r="O208" s="75">
        <f t="shared" si="213"/>
        <v>256095411.91456994</v>
      </c>
      <c r="P208" s="75">
        <f t="shared" si="213"/>
        <v>253483042.50860065</v>
      </c>
      <c r="Q208" s="75">
        <f t="shared" si="213"/>
        <v>252514885.87582707</v>
      </c>
      <c r="R208" s="75">
        <f t="shared" si="213"/>
        <v>248640676.72045729</v>
      </c>
      <c r="S208" s="75">
        <f t="shared" si="213"/>
        <v>246831285.14518577</v>
      </c>
      <c r="T208" s="75">
        <f t="shared" si="213"/>
        <v>246579205.67094785</v>
      </c>
      <c r="U208" s="75">
        <f t="shared" si="213"/>
        <v>243430251.33295789</v>
      </c>
      <c r="V208" s="75">
        <f t="shared" si="213"/>
        <v>242396977.34023589</v>
      </c>
      <c r="W208" s="75">
        <f t="shared" si="213"/>
        <v>240372515.24165785</v>
      </c>
      <c r="X208" s="76">
        <f t="shared" si="213"/>
        <v>244780433.07535392</v>
      </c>
    </row>
    <row r="209" spans="1:24" ht="15" hidden="1" customHeight="1" outlineLevel="1">
      <c r="A209" s="95"/>
      <c r="C209" s="35" t="s">
        <v>118</v>
      </c>
      <c r="D209" s="77">
        <f>D201/'Resource Options'!$E$36/1000</f>
        <v>547.9680473355063</v>
      </c>
      <c r="E209" s="24"/>
      <c r="F209" s="24"/>
      <c r="G209" s="24"/>
      <c r="H209" s="24"/>
      <c r="I209" s="24"/>
      <c r="J209" s="24"/>
      <c r="K209" s="24"/>
      <c r="L209" s="24"/>
      <c r="M209" s="24"/>
      <c r="N209" s="24"/>
    </row>
    <row r="210" spans="1:24" ht="15" hidden="1" customHeight="1" outlineLevel="1">
      <c r="C210" s="32" t="s">
        <v>119</v>
      </c>
      <c r="D210" s="44">
        <f>D201/'Resource Options'!$D$36/1000</f>
        <v>64.466829098294866</v>
      </c>
      <c r="E210" s="24"/>
    </row>
    <row r="211" spans="1:24" ht="15" hidden="1" customHeight="1" outlineLevel="1">
      <c r="C211" s="32" t="s">
        <v>120</v>
      </c>
      <c r="D211" s="5">
        <f>D206/E195</f>
        <v>42.04021265235005</v>
      </c>
    </row>
    <row r="212" spans="1:24" ht="15.75" hidden="1" customHeight="1" outlineLevel="1" thickBot="1">
      <c r="C212" s="34" t="s">
        <v>121</v>
      </c>
      <c r="D212" s="20">
        <f>D208/(E195-E196)</f>
        <v>273.32707779589936</v>
      </c>
      <c r="E212" s="24"/>
    </row>
    <row r="213" spans="1:24" ht="15" hidden="1" customHeight="1" outlineLevel="1"/>
    <row r="214" spans="1:24" ht="15.75" collapsed="1" thickBot="1"/>
    <row r="215" spans="1:24" ht="18.75" thickBot="1">
      <c r="A215" s="263"/>
      <c r="B215" s="95"/>
      <c r="C215" s="499" t="s">
        <v>24</v>
      </c>
      <c r="D215" s="500"/>
      <c r="E215" s="500"/>
      <c r="F215" s="501"/>
    </row>
    <row r="216" spans="1:24" ht="15" hidden="1" customHeight="1" outlineLevel="1">
      <c r="C216" s="78" t="s">
        <v>44</v>
      </c>
      <c r="D216" s="67"/>
      <c r="E216" s="67">
        <f>'Resource Options'!$D$37*365</f>
        <v>584000</v>
      </c>
      <c r="F216" s="67">
        <f>E216</f>
        <v>584000</v>
      </c>
      <c r="G216" s="67">
        <f t="shared" ref="G216:X217" si="214">F216</f>
        <v>584000</v>
      </c>
      <c r="H216" s="67">
        <f t="shared" si="214"/>
        <v>584000</v>
      </c>
      <c r="I216" s="67">
        <f t="shared" si="214"/>
        <v>584000</v>
      </c>
      <c r="J216" s="67">
        <f t="shared" si="214"/>
        <v>584000</v>
      </c>
      <c r="K216" s="67">
        <f t="shared" si="214"/>
        <v>584000</v>
      </c>
      <c r="L216" s="67">
        <f t="shared" si="214"/>
        <v>584000</v>
      </c>
      <c r="M216" s="67">
        <f t="shared" si="214"/>
        <v>584000</v>
      </c>
      <c r="N216" s="67">
        <f t="shared" si="214"/>
        <v>584000</v>
      </c>
      <c r="O216" s="67">
        <f t="shared" si="214"/>
        <v>584000</v>
      </c>
      <c r="P216" s="67">
        <f t="shared" si="214"/>
        <v>584000</v>
      </c>
      <c r="Q216" s="67">
        <f t="shared" si="214"/>
        <v>584000</v>
      </c>
      <c r="R216" s="67">
        <f t="shared" si="214"/>
        <v>584000</v>
      </c>
      <c r="S216" s="67">
        <f t="shared" si="214"/>
        <v>584000</v>
      </c>
      <c r="T216" s="67">
        <f t="shared" si="214"/>
        <v>584000</v>
      </c>
      <c r="U216" s="67">
        <f t="shared" si="214"/>
        <v>584000</v>
      </c>
      <c r="V216" s="67">
        <f t="shared" si="214"/>
        <v>584000</v>
      </c>
      <c r="W216" s="67">
        <f t="shared" si="214"/>
        <v>584000</v>
      </c>
      <c r="X216" s="68">
        <f t="shared" si="214"/>
        <v>584000</v>
      </c>
    </row>
    <row r="217" spans="1:24" ht="15" hidden="1" customHeight="1" outlineLevel="1">
      <c r="C217" s="79" t="s">
        <v>115</v>
      </c>
      <c r="D217" s="69"/>
      <c r="E217" s="69">
        <f>E216*(1-INDEX('DATA (Nominal)'!$B$220:$BX$220,1,MATCH($B$1,'DATA (Nominal)'!$B$1:$BX$1,0)))</f>
        <v>116799.99999999997</v>
      </c>
      <c r="F217" s="69">
        <f>E217</f>
        <v>116799.99999999997</v>
      </c>
      <c r="G217" s="69">
        <f t="shared" si="214"/>
        <v>116799.99999999997</v>
      </c>
      <c r="H217" s="69">
        <f t="shared" si="214"/>
        <v>116799.99999999997</v>
      </c>
      <c r="I217" s="69">
        <f t="shared" si="214"/>
        <v>116799.99999999997</v>
      </c>
      <c r="J217" s="69">
        <f t="shared" si="214"/>
        <v>116799.99999999997</v>
      </c>
      <c r="K217" s="69">
        <f t="shared" si="214"/>
        <v>116799.99999999997</v>
      </c>
      <c r="L217" s="69">
        <f t="shared" si="214"/>
        <v>116799.99999999997</v>
      </c>
      <c r="M217" s="69">
        <f t="shared" si="214"/>
        <v>116799.99999999997</v>
      </c>
      <c r="N217" s="69">
        <f t="shared" si="214"/>
        <v>116799.99999999997</v>
      </c>
      <c r="O217" s="69">
        <f t="shared" si="214"/>
        <v>116799.99999999997</v>
      </c>
      <c r="P217" s="69">
        <f t="shared" si="214"/>
        <v>116799.99999999997</v>
      </c>
      <c r="Q217" s="69">
        <f t="shared" si="214"/>
        <v>116799.99999999997</v>
      </c>
      <c r="R217" s="69">
        <f t="shared" si="214"/>
        <v>116799.99999999997</v>
      </c>
      <c r="S217" s="69">
        <f t="shared" si="214"/>
        <v>116799.99999999997</v>
      </c>
      <c r="T217" s="69">
        <f t="shared" si="214"/>
        <v>116799.99999999997</v>
      </c>
      <c r="U217" s="69">
        <f t="shared" si="214"/>
        <v>116799.99999999997</v>
      </c>
      <c r="V217" s="69">
        <f t="shared" si="214"/>
        <v>116799.99999999997</v>
      </c>
      <c r="W217" s="69">
        <f t="shared" si="214"/>
        <v>116799.99999999997</v>
      </c>
      <c r="X217" s="70">
        <f t="shared" si="214"/>
        <v>116799.99999999997</v>
      </c>
    </row>
    <row r="218" spans="1:24" ht="15" hidden="1" customHeight="1" outlineLevel="1">
      <c r="C218" s="7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70"/>
    </row>
    <row r="219" spans="1:24" ht="15" hidden="1" customHeight="1" outlineLevel="1">
      <c r="C219" s="79" t="s">
        <v>47</v>
      </c>
      <c r="D219" s="71">
        <f>-PMT(Discount_Rate,20,NPV(Discount_Rate,E219:X219))</f>
        <v>2506006.2035657917</v>
      </c>
      <c r="E219" s="73">
        <f>INDEX('DATA (Nominal)'!$B$172:$BX$172,1,MATCH(E$1,'DATA (Nominal)'!$B$1:$BX$1,0))*'Resource Options'!$E$37*1000</f>
        <v>2113694.9820935638</v>
      </c>
      <c r="F219" s="73">
        <f>INDEX('DATA (Nominal)'!$B$172:$BX$172,1,MATCH(F$1,'DATA (Nominal)'!$B$1:$BX$1,0))*'Resource Options'!$E$37*1000</f>
        <v>2160900.8366936538</v>
      </c>
      <c r="G219" s="73">
        <f>INDEX('DATA (Nominal)'!$B$172:$BX$172,1,MATCH(G$1,'DATA (Nominal)'!$B$1:$BX$1,0))*'Resource Options'!$E$37*1000</f>
        <v>2209160.9553798116</v>
      </c>
      <c r="H219" s="73">
        <f>INDEX('DATA (Nominal)'!$B$172:$BX$172,1,MATCH(H$1,'DATA (Nominal)'!$B$1:$BX$1,0))*'Resource Options'!$E$37*1000</f>
        <v>2257762.4963981682</v>
      </c>
      <c r="I219" s="73">
        <f>INDEX('DATA (Nominal)'!$B$172:$BX$172,1,MATCH(I$1,'DATA (Nominal)'!$B$1:$BX$1,0))*'Resource Options'!$E$37*1000</f>
        <v>2307433.2713189274</v>
      </c>
      <c r="J219" s="73">
        <f>INDEX('DATA (Nominal)'!$B$172:$BX$172,1,MATCH(J$1,'DATA (Nominal)'!$B$1:$BX$1,0))*'Resource Options'!$E$37*1000</f>
        <v>2358196.8032879438</v>
      </c>
      <c r="K219" s="73">
        <f>INDEX('DATA (Nominal)'!$B$172:$BX$172,1,MATCH(K$1,'DATA (Nominal)'!$B$1:$BX$1,0))*'Resource Options'!$E$37*1000</f>
        <v>2410077.1329602785</v>
      </c>
      <c r="L219" s="73">
        <f>INDEX('DATA (Nominal)'!$B$172:$BX$172,1,MATCH(L$1,'DATA (Nominal)'!$B$1:$BX$1,0))*'Resource Options'!$E$37*1000</f>
        <v>2463098.829885405</v>
      </c>
      <c r="M219" s="73">
        <f>INDEX('DATA (Nominal)'!$B$172:$BX$172,1,MATCH(M$1,'DATA (Nominal)'!$B$1:$BX$1,0))*'Resource Options'!$E$37*1000</f>
        <v>2517287.0041428837</v>
      </c>
      <c r="N219" s="73">
        <f>INDEX('DATA (Nominal)'!$B$172:$BX$172,1,MATCH(N$1,'DATA (Nominal)'!$B$1:$BX$1,0))*'Resource Options'!$E$37*1000</f>
        <v>2572667.3182340274</v>
      </c>
      <c r="O219" s="73">
        <f>INDEX('DATA (Nominal)'!$B$172:$BX$172,1,MATCH(O$1,'DATA (Nominal)'!$B$1:$BX$1,0))*'Resource Options'!$E$37*1000</f>
        <v>2629265.9992351755</v>
      </c>
      <c r="P219" s="73">
        <f>INDEX('DATA (Nominal)'!$B$172:$BX$172,1,MATCH(P$1,'DATA (Nominal)'!$B$1:$BX$1,0))*'Resource Options'!$E$37*1000</f>
        <v>2687109.8512183493</v>
      </c>
      <c r="Q219" s="73">
        <f>INDEX('DATA (Nominal)'!$B$172:$BX$172,1,MATCH(Q$1,'DATA (Nominal)'!$B$1:$BX$1,0))*'Resource Options'!$E$37*1000</f>
        <v>2746226.2679451532</v>
      </c>
      <c r="R219" s="73">
        <f>INDEX('DATA (Nominal)'!$B$172:$BX$172,1,MATCH(R$1,'DATA (Nominal)'!$B$1:$BX$1,0))*'Resource Options'!$E$37*1000</f>
        <v>2806643.2458399469</v>
      </c>
      <c r="S219" s="73">
        <f>INDEX('DATA (Nominal)'!$B$172:$BX$172,1,MATCH(S$1,'DATA (Nominal)'!$B$1:$BX$1,0))*'Resource Options'!$E$37*1000</f>
        <v>2868389.3972484255</v>
      </c>
      <c r="T219" s="73">
        <f>INDEX('DATA (Nominal)'!$B$172:$BX$172,1,MATCH(T$1,'DATA (Nominal)'!$B$1:$BX$1,0))*'Resource Options'!$E$37*1000</f>
        <v>2931493.9639878911</v>
      </c>
      <c r="U219" s="73">
        <f>INDEX('DATA (Nominal)'!$B$172:$BX$172,1,MATCH(U$1,'DATA (Nominal)'!$B$1:$BX$1,0))*'Resource Options'!$E$37*1000</f>
        <v>2995986.8311956241</v>
      </c>
      <c r="V219" s="73">
        <f>INDEX('DATA (Nominal)'!$B$172:$BX$172,1,MATCH(V$1,'DATA (Nominal)'!$B$1:$BX$1,0))*'Resource Options'!$E$37*1000</f>
        <v>3061898.5414819284</v>
      </c>
      <c r="W219" s="73">
        <f>INDEX('DATA (Nominal)'!$B$172:$BX$172,1,MATCH(W$1,'DATA (Nominal)'!$B$1:$BX$1,0))*'Resource Options'!$E$37*1000</f>
        <v>3129260.309394531</v>
      </c>
      <c r="X219" s="74">
        <f>INDEX('DATA (Nominal)'!$B$172:$BX$172,1,MATCH(X$1,'DATA (Nominal)'!$B$1:$BX$1,0))*'Resource Options'!$E$37*1000</f>
        <v>3198104.0362012102</v>
      </c>
    </row>
    <row r="220" spans="1:24" ht="15" hidden="1" customHeight="1" outlineLevel="1">
      <c r="C220" s="80" t="s">
        <v>92</v>
      </c>
      <c r="D220" s="71">
        <f>-PMT(Discount_Rate,20,NPV(Discount_Rate,E220:X220))</f>
        <v>45289763.06696897</v>
      </c>
      <c r="E220" s="71">
        <f>INDEX('DATA (Nominal)'!$B$53:$BX$53,1,MATCH($B$1,'DATA (Nominal)'!$B$1:$BX$1,0))*Assumptions!AG$37*(1+AFUDC!$C$37)*1000000*'Resource Options'!$E$37/1000</f>
        <v>56580377.653739735</v>
      </c>
      <c r="F220" s="73">
        <f>INDEX('DATA (Nominal)'!$B$53:$BX$53,1,MATCH($B$1,'DATA (Nominal)'!$B$1:$BX$1,0))*Assumptions!AH$37*(1+AFUDC!$C$37)*1000000*'Resource Options'!$E$37/1000</f>
        <v>53871198.453055233</v>
      </c>
      <c r="G220" s="71">
        <f>INDEX('DATA (Nominal)'!$B$53:$BX$53,1,MATCH($B$1,'DATA (Nominal)'!$B$1:$BX$1,0))*Assumptions!AI$37*(1+AFUDC!$C$37)*1000000*'Resource Options'!$E$37/1000</f>
        <v>51191204.615602836</v>
      </c>
      <c r="H220" s="71">
        <f>INDEX('DATA (Nominal)'!$B$53:$BX$53,1,MATCH($B$1,'DATA (Nominal)'!$B$1:$BX$1,0))*Assumptions!AJ$37*(1+AFUDC!$C$37)*1000000*'Resource Options'!$E$37/1000</f>
        <v>49258356.076892875</v>
      </c>
      <c r="I220" s="71">
        <f>INDEX('DATA (Nominal)'!$B$53:$BX$53,1,MATCH($B$1,'DATA (Nominal)'!$B$1:$BX$1,0))*Assumptions!AK$37*(1+AFUDC!$C$37)*1000000*'Resource Options'!$E$37/1000</f>
        <v>47605687.025211312</v>
      </c>
      <c r="J220" s="71">
        <f>INDEX('DATA (Nominal)'!$B$53:$BX$53,1,MATCH($B$1,'DATA (Nominal)'!$B$1:$BX$1,0))*Assumptions!AL$37*(1+AFUDC!$C$37)*1000000*'Resource Options'!$E$37/1000</f>
        <v>46163152.588801056</v>
      </c>
      <c r="K220" s="71">
        <f>INDEX('DATA (Nominal)'!$B$53:$BX$53,1,MATCH($B$1,'DATA (Nominal)'!$B$1:$BX$1,0))*Assumptions!AM$37*(1+AFUDC!$C$37)*1000000*'Resource Options'!$E$37/1000</f>
        <v>45140887.382933415</v>
      </c>
      <c r="L220" s="71">
        <f>INDEX('DATA (Nominal)'!$B$53:$BX$53,1,MATCH($B$1,'DATA (Nominal)'!$B$1:$BX$1,0))*Assumptions!AN$37*(1+AFUDC!$C$37)*1000000*'Resource Options'!$E$37/1000</f>
        <v>44328756.79233709</v>
      </c>
      <c r="M220" s="71">
        <f>INDEX('DATA (Nominal)'!$B$53:$BX$53,1,MATCH($B$1,'DATA (Nominal)'!$B$1:$BX$1,0))*Assumptions!AO$37*(1+AFUDC!$C$37)*1000000*'Resource Options'!$E$37/1000</f>
        <v>43516626.201740772</v>
      </c>
      <c r="N220" s="71">
        <f>INDEX('DATA (Nominal)'!$B$53:$BX$53,1,MATCH($B$1,'DATA (Nominal)'!$B$1:$BX$1,0))*Assumptions!AP$37*(1+AFUDC!$C$37)*1000000*'Resource Options'!$E$37/1000</f>
        <v>42704495.611144423</v>
      </c>
      <c r="O220" s="71">
        <f>INDEX('DATA (Nominal)'!$B$53:$BX$53,1,MATCH($B$1,'DATA (Nominal)'!$B$1:$BX$1,0))*Assumptions!AQ$37*(1+AFUDC!$C$37)*1000000*'Resource Options'!$E$37/1000</f>
        <v>41892365.020548098</v>
      </c>
      <c r="P220" s="71">
        <f>INDEX('DATA (Nominal)'!$B$53:$BX$53,1,MATCH($B$1,'DATA (Nominal)'!$B$1:$BX$1,0))*Assumptions!AR$37*(1+AFUDC!$C$37)*1000000*'Resource Options'!$E$37/1000</f>
        <v>41080234.429951742</v>
      </c>
      <c r="Q220" s="71">
        <f>INDEX('DATA (Nominal)'!$B$53:$BX$53,1,MATCH($B$1,'DATA (Nominal)'!$B$1:$BX$1,0))*Assumptions!AS$37*(1+AFUDC!$C$37)*1000000*'Resource Options'!$E$37/1000</f>
        <v>40268103.839355417</v>
      </c>
      <c r="R220" s="71">
        <f>INDEX('DATA (Nominal)'!$B$53:$BX$53,1,MATCH($B$1,'DATA (Nominal)'!$B$1:$BX$1,0))*Assumptions!AT$37*(1+AFUDC!$C$37)*1000000*'Resource Options'!$E$37/1000</f>
        <v>39455973.248759091</v>
      </c>
      <c r="S220" s="71">
        <f>INDEX('DATA (Nominal)'!$B$53:$BX$53,1,MATCH($B$1,'DATA (Nominal)'!$B$1:$BX$1,0))*Assumptions!AU$37*(1+AFUDC!$C$37)*1000000*'Resource Options'!$E$37/1000</f>
        <v>38643842.658162758</v>
      </c>
      <c r="T220" s="71">
        <f>INDEX('DATA (Nominal)'!$B$53:$BX$53,1,MATCH($B$1,'DATA (Nominal)'!$B$1:$BX$1,0))*Assumptions!AV$37*(1+AFUDC!$C$37)*1000000*'Resource Options'!$E$37/1000</f>
        <v>37831712.067566417</v>
      </c>
      <c r="U220" s="71">
        <f>INDEX('DATA (Nominal)'!$B$53:$BX$53,1,MATCH($B$1,'DATA (Nominal)'!$B$1:$BX$1,0))*Assumptions!AW$37*(1+AFUDC!$C$37)*1000000*'Resource Options'!$E$37/1000</f>
        <v>37019581.476970084</v>
      </c>
      <c r="V220" s="71">
        <f>INDEX('DATA (Nominal)'!$B$53:$BX$53,1,MATCH($B$1,'DATA (Nominal)'!$B$1:$BX$1,0))*Assumptions!AX$37*(1+AFUDC!$C$37)*1000000*'Resource Options'!$E$37/1000</f>
        <v>36207450.886373751</v>
      </c>
      <c r="W220" s="71">
        <f>INDEX('DATA (Nominal)'!$B$53:$BX$53,1,MATCH($B$1,'DATA (Nominal)'!$B$1:$BX$1,0))*Assumptions!AY$37*(1+AFUDC!$C$37)*1000000*'Resource Options'!$E$37/1000</f>
        <v>35395320.295777418</v>
      </c>
      <c r="X220" s="72">
        <f>INDEX('DATA (Nominal)'!$B$53:$BX$53,1,MATCH($B$1,'DATA (Nominal)'!$B$1:$BX$1,0))*Assumptions!AZ$37*(1+AFUDC!$C$37)*1000000*'Resource Options'!$E$37/1000</f>
        <v>34583189.705181092</v>
      </c>
    </row>
    <row r="221" spans="1:24" ht="15" hidden="1" customHeight="1" outlineLevel="1">
      <c r="C221" s="79" t="s">
        <v>93</v>
      </c>
      <c r="D221" s="71">
        <f>-PMT(Discount_Rate,20,NPV(Discount_Rate,E221:X221))</f>
        <v>73060.104858757069</v>
      </c>
      <c r="E221" s="71">
        <f t="shared" ref="E221:X221" si="215">E219*Misc_Fees</f>
        <v>61622.66350795576</v>
      </c>
      <c r="F221" s="71">
        <f t="shared" si="215"/>
        <v>62998.902992966781</v>
      </c>
      <c r="G221" s="71">
        <f t="shared" si="215"/>
        <v>64405.878493143027</v>
      </c>
      <c r="H221" s="71">
        <f t="shared" si="215"/>
        <v>65822.807819992187</v>
      </c>
      <c r="I221" s="71">
        <f t="shared" si="215"/>
        <v>67270.909592032011</v>
      </c>
      <c r="J221" s="71">
        <f t="shared" si="215"/>
        <v>68750.869603056708</v>
      </c>
      <c r="K221" s="71">
        <f t="shared" si="215"/>
        <v>70263.388734323962</v>
      </c>
      <c r="L221" s="71">
        <f t="shared" si="215"/>
        <v>71809.183286479092</v>
      </c>
      <c r="M221" s="71">
        <f t="shared" si="215"/>
        <v>73388.985318781633</v>
      </c>
      <c r="N221" s="71">
        <f t="shared" si="215"/>
        <v>75003.542995794836</v>
      </c>
      <c r="O221" s="71">
        <f t="shared" si="215"/>
        <v>76653.620941702306</v>
      </c>
      <c r="P221" s="71">
        <f t="shared" si="215"/>
        <v>78340.00060241975</v>
      </c>
      <c r="Q221" s="71">
        <f t="shared" si="215"/>
        <v>80063.48061567299</v>
      </c>
      <c r="R221" s="71">
        <f t="shared" si="215"/>
        <v>81824.877189217805</v>
      </c>
      <c r="S221" s="71">
        <f t="shared" si="215"/>
        <v>83625.024487380593</v>
      </c>
      <c r="T221" s="71">
        <f t="shared" si="215"/>
        <v>85464.775026102972</v>
      </c>
      <c r="U221" s="71">
        <f t="shared" si="215"/>
        <v>87345.000076677228</v>
      </c>
      <c r="V221" s="71">
        <f t="shared" si="215"/>
        <v>89266.590078364141</v>
      </c>
      <c r="W221" s="71">
        <f t="shared" si="215"/>
        <v>91230.455060088148</v>
      </c>
      <c r="X221" s="72">
        <f t="shared" si="215"/>
        <v>93237.525071410084</v>
      </c>
    </row>
    <row r="222" spans="1:24" ht="15" hidden="1" customHeight="1" outlineLevel="1">
      <c r="C222" s="79" t="s">
        <v>94</v>
      </c>
      <c r="D222" s="71">
        <f>-PMT(Discount_Rate,20,NPV(Discount_Rate,E222:X222))</f>
        <v>47868829.375393517</v>
      </c>
      <c r="E222" s="71">
        <f t="shared" ref="E222:X222" si="216">SUM(E219:E221)</f>
        <v>58755695.299341254</v>
      </c>
      <c r="F222" s="71">
        <f t="shared" si="216"/>
        <v>56095098.192741849</v>
      </c>
      <c r="G222" s="71">
        <f t="shared" si="216"/>
        <v>53464771.449475795</v>
      </c>
      <c r="H222" s="71">
        <f t="shared" si="216"/>
        <v>51581941.381111033</v>
      </c>
      <c r="I222" s="71">
        <f t="shared" si="216"/>
        <v>49980391.206122272</v>
      </c>
      <c r="J222" s="71">
        <f t="shared" si="216"/>
        <v>48590100.261692062</v>
      </c>
      <c r="K222" s="71">
        <f t="shared" si="216"/>
        <v>47621227.904628024</v>
      </c>
      <c r="L222" s="71">
        <f t="shared" si="216"/>
        <v>46863664.805508979</v>
      </c>
      <c r="M222" s="71">
        <f t="shared" si="216"/>
        <v>46107302.191202432</v>
      </c>
      <c r="N222" s="71">
        <f t="shared" si="216"/>
        <v>45352166.472374246</v>
      </c>
      <c r="O222" s="71">
        <f t="shared" si="216"/>
        <v>44598284.640724979</v>
      </c>
      <c r="P222" s="71">
        <f t="shared" si="216"/>
        <v>43845684.281772509</v>
      </c>
      <c r="Q222" s="71">
        <f t="shared" si="216"/>
        <v>43094393.587916248</v>
      </c>
      <c r="R222" s="71">
        <f t="shared" si="216"/>
        <v>42344441.371788256</v>
      </c>
      <c r="S222" s="71">
        <f t="shared" si="216"/>
        <v>41595857.079898566</v>
      </c>
      <c r="T222" s="71">
        <f t="shared" si="216"/>
        <v>40848670.806580417</v>
      </c>
      <c r="U222" s="71">
        <f t="shared" si="216"/>
        <v>40102913.308242381</v>
      </c>
      <c r="V222" s="71">
        <f t="shared" si="216"/>
        <v>39358616.017934039</v>
      </c>
      <c r="W222" s="71">
        <f t="shared" si="216"/>
        <v>38615811.060232036</v>
      </c>
      <c r="X222" s="72">
        <f t="shared" si="216"/>
        <v>37874531.266453713</v>
      </c>
    </row>
    <row r="223" spans="1:24" ht="15" hidden="1" customHeight="1" outlineLevel="1">
      <c r="C223" s="79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2"/>
    </row>
    <row r="224" spans="1:24" ht="15" hidden="1" customHeight="1" outlineLevel="1">
      <c r="C224" s="79" t="s">
        <v>116</v>
      </c>
      <c r="D224" s="71">
        <f>-PMT(Discount_Rate,20,NPV(Discount_Rate,E224:X224))</f>
        <v>420902.16426893446</v>
      </c>
      <c r="E224" s="71">
        <f>E216*INDEX('DATA (Nominal)'!$B$101:$BX$101,1,MATCH(E$1,'DATA (Nominal)'!$B$1:$BX$1,0))</f>
        <v>355010.61062884604</v>
      </c>
      <c r="F224" s="71">
        <f>F216*INDEX('DATA (Nominal)'!$B$101:$BX$101,1,MATCH(F$1,'DATA (Nominal)'!$B$1:$BX$1,0))</f>
        <v>362939.18093289027</v>
      </c>
      <c r="G224" s="71">
        <f>G216*INDEX('DATA (Nominal)'!$B$101:$BX$101,1,MATCH(G$1,'DATA (Nominal)'!$B$1:$BX$1,0))</f>
        <v>371044.82264039147</v>
      </c>
      <c r="H224" s="71">
        <f>H216*INDEX('DATA (Nominal)'!$B$101:$BX$101,1,MATCH(H$1,'DATA (Nominal)'!$B$1:$BX$1,0))</f>
        <v>379207.80873848015</v>
      </c>
      <c r="I224" s="71">
        <f>I216*INDEX('DATA (Nominal)'!$B$101:$BX$101,1,MATCH(I$1,'DATA (Nominal)'!$B$1:$BX$1,0))</f>
        <v>387550.38053072669</v>
      </c>
      <c r="J224" s="71">
        <f>J216*INDEX('DATA (Nominal)'!$B$101:$BX$101,1,MATCH(J$1,'DATA (Nominal)'!$B$1:$BX$1,0))</f>
        <v>396076.48890240263</v>
      </c>
      <c r="K224" s="71">
        <f>K216*INDEX('DATA (Nominal)'!$B$101:$BX$101,1,MATCH(K$1,'DATA (Nominal)'!$B$1:$BX$1,0))</f>
        <v>404790.17165825551</v>
      </c>
      <c r="L224" s="71">
        <f>L216*INDEX('DATA (Nominal)'!$B$101:$BX$101,1,MATCH(L$1,'DATA (Nominal)'!$B$1:$BX$1,0))</f>
        <v>413695.55543473718</v>
      </c>
      <c r="M224" s="71">
        <f>M216*INDEX('DATA (Nominal)'!$B$101:$BX$101,1,MATCH(M$1,'DATA (Nominal)'!$B$1:$BX$1,0))</f>
        <v>422796.85765430133</v>
      </c>
      <c r="N224" s="71">
        <f>N216*INDEX('DATA (Nominal)'!$B$101:$BX$101,1,MATCH(N$1,'DATA (Nominal)'!$B$1:$BX$1,0))</f>
        <v>432098.38852269598</v>
      </c>
      <c r="O224" s="71">
        <f>O216*INDEX('DATA (Nominal)'!$B$101:$BX$101,1,MATCH(O$1,'DATA (Nominal)'!$B$1:$BX$1,0))</f>
        <v>441604.55307019525</v>
      </c>
      <c r="P224" s="71">
        <f>P216*INDEX('DATA (Nominal)'!$B$101:$BX$101,1,MATCH(P$1,'DATA (Nominal)'!$B$1:$BX$1,0))</f>
        <v>451319.85323773959</v>
      </c>
      <c r="Q224" s="71">
        <f>Q216*INDEX('DATA (Nominal)'!$B$101:$BX$101,1,MATCH(Q$1,'DATA (Nominal)'!$B$1:$BX$1,0))</f>
        <v>461248.89000896976</v>
      </c>
      <c r="R224" s="71">
        <f>R216*INDEX('DATA (Nominal)'!$B$101:$BX$101,1,MATCH(R$1,'DATA (Nominal)'!$B$1:$BX$1,0))</f>
        <v>471396.36558916717</v>
      </c>
      <c r="S224" s="71">
        <f>S216*INDEX('DATA (Nominal)'!$B$101:$BX$101,1,MATCH(S$1,'DATA (Nominal)'!$B$1:$BX$1,0))</f>
        <v>481767.08563212887</v>
      </c>
      <c r="T224" s="71">
        <f>T216*INDEX('DATA (Nominal)'!$B$101:$BX$101,1,MATCH(T$1,'DATA (Nominal)'!$B$1:$BX$1,0))</f>
        <v>492365.96151603572</v>
      </c>
      <c r="U224" s="71">
        <f>U216*INDEX('DATA (Nominal)'!$B$101:$BX$101,1,MATCH(U$1,'DATA (Nominal)'!$B$1:$BX$1,0))</f>
        <v>503198.0126693885</v>
      </c>
      <c r="V224" s="71">
        <f>V216*INDEX('DATA (Nominal)'!$B$101:$BX$101,1,MATCH(V$1,'DATA (Nominal)'!$B$1:$BX$1,0))</f>
        <v>514268.36894811509</v>
      </c>
      <c r="W224" s="71">
        <f>W216*INDEX('DATA (Nominal)'!$B$101:$BX$101,1,MATCH(W$1,'DATA (Nominal)'!$B$1:$BX$1,0))</f>
        <v>525582.27306497353</v>
      </c>
      <c r="X224" s="72">
        <f>X216*INDEX('DATA (Nominal)'!$B$101:$BX$101,1,MATCH(X$1,'DATA (Nominal)'!$B$1:$BX$1,0))</f>
        <v>537145.08307240298</v>
      </c>
    </row>
    <row r="225" spans="1:24" s="263" customFormat="1" ht="15" hidden="1" customHeight="1" outlineLevel="1">
      <c r="C225" s="79" t="s">
        <v>224</v>
      </c>
      <c r="D225" s="71">
        <f>-PMT(Discount_Rate,20,NPV(Discount_Rate,E225:X225))</f>
        <v>24118311.043006394</v>
      </c>
      <c r="E225" s="71">
        <f>(E216+E217)*INDEX('DATA (Nominal)'!$B$158:$BX$158,1,MATCH(E$1,'DATA (Nominal)'!$B$1:$BX$1,0))</f>
        <v>25044934.342163086</v>
      </c>
      <c r="F225" s="71">
        <f>(F216+F217)*INDEX('DATA (Nominal)'!$B$158:$BX$158,1,MATCH(F$1,'DATA (Nominal)'!$B$1:$BX$1,0))</f>
        <v>23335838.042602539</v>
      </c>
      <c r="G225" s="71">
        <f>(G216+G217)*INDEX('DATA (Nominal)'!$B$158:$BX$158,1,MATCH(G$1,'DATA (Nominal)'!$B$1:$BX$1,0))</f>
        <v>20983348.34777832</v>
      </c>
      <c r="H225" s="71">
        <f>(H216+H217)*INDEX('DATA (Nominal)'!$B$158:$BX$158,1,MATCH(H$1,'DATA (Nominal)'!$B$1:$BX$1,0))</f>
        <v>20935616.579986572</v>
      </c>
      <c r="I225" s="71">
        <f>(I216+I217)*INDEX('DATA (Nominal)'!$B$158:$BX$158,1,MATCH(I$1,'DATA (Nominal)'!$B$1:$BX$1,0))</f>
        <v>21002295.260742188</v>
      </c>
      <c r="J225" s="71">
        <f>(J216+J217)*INDEX('DATA (Nominal)'!$B$158:$BX$158,1,MATCH(J$1,'DATA (Nominal)'!$B$1:$BX$1,0))</f>
        <v>24098356.695495602</v>
      </c>
      <c r="K225" s="71">
        <f>(K216+K217)*INDEX('DATA (Nominal)'!$B$158:$BX$158,1,MATCH(K$1,'DATA (Nominal)'!$B$1:$BX$1,0))</f>
        <v>22664115.525665283</v>
      </c>
      <c r="L225" s="71">
        <f>(L216+L217)*INDEX('DATA (Nominal)'!$B$158:$BX$158,1,MATCH(L$1,'DATA (Nominal)'!$B$1:$BX$1,0))</f>
        <v>22037813.714324951</v>
      </c>
      <c r="M225" s="71">
        <f>(M216+M217)*INDEX('DATA (Nominal)'!$B$158:$BX$158,1,MATCH(M$1,'DATA (Nominal)'!$B$1:$BX$1,0))</f>
        <v>22751975.935699463</v>
      </c>
      <c r="N225" s="71">
        <f>(N216+N217)*INDEX('DATA (Nominal)'!$B$158:$BX$158,1,MATCH(N$1,'DATA (Nominal)'!$B$1:$BX$1,0))</f>
        <v>23123727.477752689</v>
      </c>
      <c r="O225" s="71">
        <f>(O216+O217)*INDEX('DATA (Nominal)'!$B$158:$BX$158,1,MATCH(O$1,'DATA (Nominal)'!$B$1:$BX$1,0))</f>
        <v>24048660.637786865</v>
      </c>
      <c r="P225" s="71">
        <f>(P216+P217)*INDEX('DATA (Nominal)'!$B$158:$BX$158,1,MATCH(P$1,'DATA (Nominal)'!$B$1:$BX$1,0))</f>
        <v>24459819.047058105</v>
      </c>
      <c r="Q225" s="71">
        <f>(Q216+Q217)*INDEX('DATA (Nominal)'!$B$158:$BX$158,1,MATCH(Q$1,'DATA (Nominal)'!$B$1:$BX$1,0))</f>
        <v>25642039.42388916</v>
      </c>
      <c r="R225" s="71">
        <f>(R216+R217)*INDEX('DATA (Nominal)'!$B$158:$BX$158,1,MATCH(R$1,'DATA (Nominal)'!$B$1:$BX$1,0))</f>
        <v>25453961.377777103</v>
      </c>
      <c r="S225" s="71">
        <f>(S216+S217)*INDEX('DATA (Nominal)'!$B$158:$BX$158,1,MATCH(S$1,'DATA (Nominal)'!$B$1:$BX$1,0))</f>
        <v>26234757.523742676</v>
      </c>
      <c r="T225" s="71">
        <f>(T216+T217)*INDEX('DATA (Nominal)'!$B$158:$BX$158,1,MATCH(T$1,'DATA (Nominal)'!$B$1:$BX$1,0))</f>
        <v>27745540.051269531</v>
      </c>
      <c r="U225" s="71">
        <f>(U216+U217)*INDEX('DATA (Nominal)'!$B$158:$BX$158,1,MATCH(U$1,'DATA (Nominal)'!$B$1:$BX$1,0))</f>
        <v>27890157.916748051</v>
      </c>
      <c r="V225" s="71">
        <f>(V216+V217)*INDEX('DATA (Nominal)'!$B$158:$BX$158,1,MATCH(V$1,'DATA (Nominal)'!$B$1:$BX$1,0))</f>
        <v>29027396.182800293</v>
      </c>
      <c r="W225" s="71">
        <f>(W216+W217)*INDEX('DATA (Nominal)'!$B$158:$BX$158,1,MATCH(W$1,'DATA (Nominal)'!$B$1:$BX$1,0))</f>
        <v>29695133.242370605</v>
      </c>
      <c r="X225" s="72">
        <f>(X216+X217)*INDEX('DATA (Nominal)'!$B$158:$BX$158,1,MATCH(X$1,'DATA (Nominal)'!$B$1:$BX$1,0))</f>
        <v>33386745.563720707</v>
      </c>
    </row>
    <row r="226" spans="1:24" ht="15" hidden="1" customHeight="1" outlineLevel="1">
      <c r="C226" s="79" t="s">
        <v>93</v>
      </c>
      <c r="D226" s="71">
        <f>-PMT(Discount_Rate,20,NPV(Discount_Rate,E226:X226))</f>
        <v>12270.981697096515</v>
      </c>
      <c r="E226" s="73">
        <f t="shared" ref="E226:X226" si="217">SUM(E224:E224)*Misc_Fees</f>
        <v>10349.979342273376</v>
      </c>
      <c r="F226" s="73">
        <f t="shared" si="217"/>
        <v>10581.128880917482</v>
      </c>
      <c r="G226" s="73">
        <f t="shared" si="217"/>
        <v>10817.440759257974</v>
      </c>
      <c r="H226" s="73">
        <f t="shared" si="217"/>
        <v>11055.424455961649</v>
      </c>
      <c r="I226" s="73">
        <f t="shared" si="217"/>
        <v>11298.643793992806</v>
      </c>
      <c r="J226" s="73">
        <f t="shared" si="217"/>
        <v>11547.213957460646</v>
      </c>
      <c r="K226" s="73">
        <f t="shared" si="217"/>
        <v>11801.252664524782</v>
      </c>
      <c r="L226" s="73">
        <f t="shared" si="217"/>
        <v>12060.880223144328</v>
      </c>
      <c r="M226" s="73">
        <f t="shared" si="217"/>
        <v>12326.2195880535</v>
      </c>
      <c r="N226" s="73">
        <f t="shared" si="217"/>
        <v>12597.396418990678</v>
      </c>
      <c r="O226" s="73">
        <f t="shared" si="217"/>
        <v>12874.539140208472</v>
      </c>
      <c r="P226" s="73">
        <f t="shared" si="217"/>
        <v>13157.77900129306</v>
      </c>
      <c r="Q226" s="73">
        <f t="shared" si="217"/>
        <v>13447.250139321504</v>
      </c>
      <c r="R226" s="73">
        <f t="shared" si="217"/>
        <v>13743.08964238658</v>
      </c>
      <c r="S226" s="73">
        <f t="shared" si="217"/>
        <v>14045.437614519085</v>
      </c>
      <c r="T226" s="73">
        <f t="shared" si="217"/>
        <v>14354.437242038504</v>
      </c>
      <c r="U226" s="73">
        <f t="shared" si="217"/>
        <v>14670.234861363351</v>
      </c>
      <c r="V226" s="73">
        <f t="shared" si="217"/>
        <v>14992.980028313346</v>
      </c>
      <c r="W226" s="73">
        <f t="shared" si="217"/>
        <v>15322.825588936237</v>
      </c>
      <c r="X226" s="74">
        <f t="shared" si="217"/>
        <v>15659.927751892836</v>
      </c>
    </row>
    <row r="227" spans="1:24" ht="15" hidden="1" customHeight="1" outlineLevel="1">
      <c r="C227" s="79" t="s">
        <v>99</v>
      </c>
      <c r="D227" s="71">
        <f>-PMT(Discount_Rate,20,NPV(Discount_Rate,E227:X227))</f>
        <v>24551484.188972428</v>
      </c>
      <c r="E227" s="71">
        <f t="shared" ref="E227:X227" si="218">SUM(E224:E226)</f>
        <v>25410294.932134207</v>
      </c>
      <c r="F227" s="71">
        <f t="shared" si="218"/>
        <v>23709358.352416348</v>
      </c>
      <c r="G227" s="71">
        <f t="shared" si="218"/>
        <v>21365210.61117797</v>
      </c>
      <c r="H227" s="71">
        <f t="shared" si="218"/>
        <v>21325879.813181017</v>
      </c>
      <c r="I227" s="71">
        <f t="shared" si="218"/>
        <v>21401144.285066906</v>
      </c>
      <c r="J227" s="71">
        <f t="shared" si="218"/>
        <v>24505980.398355465</v>
      </c>
      <c r="K227" s="71">
        <f t="shared" si="218"/>
        <v>23080706.949988063</v>
      </c>
      <c r="L227" s="71">
        <f t="shared" si="218"/>
        <v>22463570.149982832</v>
      </c>
      <c r="M227" s="71">
        <f t="shared" si="218"/>
        <v>23187099.012941815</v>
      </c>
      <c r="N227" s="71">
        <f t="shared" si="218"/>
        <v>23568423.262694377</v>
      </c>
      <c r="O227" s="71">
        <f t="shared" si="218"/>
        <v>24503139.72999727</v>
      </c>
      <c r="P227" s="71">
        <f t="shared" si="218"/>
        <v>24924296.679297138</v>
      </c>
      <c r="Q227" s="71">
        <f t="shared" si="218"/>
        <v>26116735.564037453</v>
      </c>
      <c r="R227" s="71">
        <f t="shared" si="218"/>
        <v>25939100.833008658</v>
      </c>
      <c r="S227" s="71">
        <f t="shared" si="218"/>
        <v>26730570.046989325</v>
      </c>
      <c r="T227" s="71">
        <f t="shared" si="218"/>
        <v>28252260.450027607</v>
      </c>
      <c r="U227" s="71">
        <f t="shared" si="218"/>
        <v>28408026.164278802</v>
      </c>
      <c r="V227" s="71">
        <f t="shared" si="218"/>
        <v>29556657.531776723</v>
      </c>
      <c r="W227" s="71">
        <f t="shared" si="218"/>
        <v>30236038.341024518</v>
      </c>
      <c r="X227" s="72">
        <f t="shared" si="218"/>
        <v>33939550.574545003</v>
      </c>
    </row>
    <row r="228" spans="1:24" ht="15" hidden="1" customHeight="1" outlineLevel="1">
      <c r="C228" s="79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2"/>
    </row>
    <row r="229" spans="1:24" ht="15.75" hidden="1" customHeight="1" outlineLevel="1" thickBot="1">
      <c r="C229" s="81" t="s">
        <v>100</v>
      </c>
      <c r="D229" s="71">
        <f>-PMT(Discount_Rate,20,NPV(Discount_Rate,E229:X229))</f>
        <v>72420313.564365938</v>
      </c>
      <c r="E229" s="75">
        <f t="shared" ref="E229:X229" si="219">E222+E227</f>
        <v>84165990.231475458</v>
      </c>
      <c r="F229" s="75">
        <f t="shared" si="219"/>
        <v>79804456.545158193</v>
      </c>
      <c r="G229" s="75">
        <f t="shared" si="219"/>
        <v>74829982.060653761</v>
      </c>
      <c r="H229" s="75">
        <f t="shared" si="219"/>
        <v>72907821.194292054</v>
      </c>
      <c r="I229" s="75">
        <f t="shared" si="219"/>
        <v>71381535.491189182</v>
      </c>
      <c r="J229" s="75">
        <f t="shared" si="219"/>
        <v>73096080.660047531</v>
      </c>
      <c r="K229" s="75">
        <f t="shared" si="219"/>
        <v>70701934.854616091</v>
      </c>
      <c r="L229" s="75">
        <f t="shared" si="219"/>
        <v>69327234.955491811</v>
      </c>
      <c r="M229" s="75">
        <f t="shared" si="219"/>
        <v>69294401.204144239</v>
      </c>
      <c r="N229" s="75">
        <f t="shared" si="219"/>
        <v>68920589.735068619</v>
      </c>
      <c r="O229" s="75">
        <f t="shared" si="219"/>
        <v>69101424.370722249</v>
      </c>
      <c r="P229" s="75">
        <f t="shared" si="219"/>
        <v>68769980.961069643</v>
      </c>
      <c r="Q229" s="75">
        <f t="shared" si="219"/>
        <v>69211129.151953697</v>
      </c>
      <c r="R229" s="75">
        <f t="shared" si="219"/>
        <v>68283542.20479691</v>
      </c>
      <c r="S229" s="75">
        <f t="shared" si="219"/>
        <v>68326427.126887888</v>
      </c>
      <c r="T229" s="75">
        <f t="shared" si="219"/>
        <v>69100931.256608024</v>
      </c>
      <c r="U229" s="75">
        <f t="shared" si="219"/>
        <v>68510939.472521186</v>
      </c>
      <c r="V229" s="75">
        <f t="shared" si="219"/>
        <v>68915273.549710765</v>
      </c>
      <c r="W229" s="75">
        <f t="shared" si="219"/>
        <v>68851849.401256561</v>
      </c>
      <c r="X229" s="76">
        <f t="shared" si="219"/>
        <v>71814081.840998709</v>
      </c>
    </row>
    <row r="230" spans="1:24" ht="15" hidden="1" customHeight="1" outlineLevel="1">
      <c r="A230" s="95"/>
      <c r="C230" s="35" t="s">
        <v>118</v>
      </c>
      <c r="D230" s="77">
        <f>D222/'Resource Options'!$E$37/1000</f>
        <v>478.68829375393523</v>
      </c>
      <c r="E230" s="24"/>
      <c r="F230" s="24"/>
      <c r="G230" s="24"/>
      <c r="H230" s="24"/>
      <c r="I230" s="24"/>
      <c r="J230" s="24"/>
      <c r="K230" s="24"/>
      <c r="L230" s="24"/>
      <c r="M230" s="24"/>
      <c r="N230" s="24"/>
    </row>
    <row r="231" spans="1:24" ht="15" hidden="1" customHeight="1" outlineLevel="1">
      <c r="C231" s="32" t="s">
        <v>119</v>
      </c>
      <c r="D231" s="44">
        <f>D222/'Resource Options'!$D$37/1000</f>
        <v>29.918018359620952</v>
      </c>
      <c r="E231" s="24"/>
    </row>
    <row r="232" spans="1:24" ht="15" hidden="1" customHeight="1" outlineLevel="1">
      <c r="C232" s="32" t="s">
        <v>120</v>
      </c>
      <c r="D232" s="5">
        <f>D227/E216</f>
        <v>42.04021265235005</v>
      </c>
    </row>
    <row r="233" spans="1:24" ht="15.75" hidden="1" customHeight="1" outlineLevel="1" thickBot="1">
      <c r="C233" s="34" t="s">
        <v>121</v>
      </c>
      <c r="D233" s="20">
        <f>D229/(E216-E217)</f>
        <v>155.0092328004408</v>
      </c>
      <c r="E233" s="24"/>
    </row>
    <row r="234" spans="1:24" ht="15" hidden="1" customHeight="1" outlineLevel="1"/>
    <row r="235" spans="1:24" ht="15.75" collapsed="1" thickBot="1"/>
    <row r="236" spans="1:24" ht="18.75" thickBot="1">
      <c r="A236" s="263"/>
      <c r="C236" s="499" t="s">
        <v>25</v>
      </c>
      <c r="D236" s="500"/>
      <c r="E236" s="500"/>
      <c r="F236" s="501"/>
    </row>
    <row r="237" spans="1:24" ht="15" hidden="1" customHeight="1" outlineLevel="1">
      <c r="C237" s="78" t="s">
        <v>44</v>
      </c>
      <c r="D237" s="67"/>
      <c r="E237" s="67">
        <f>'Resource Options'!$D$38*365</f>
        <v>876000</v>
      </c>
      <c r="F237" s="67">
        <f>E237</f>
        <v>876000</v>
      </c>
      <c r="G237" s="67">
        <f t="shared" ref="G237:X238" si="220">F237</f>
        <v>876000</v>
      </c>
      <c r="H237" s="67">
        <f t="shared" si="220"/>
        <v>876000</v>
      </c>
      <c r="I237" s="67">
        <f t="shared" si="220"/>
        <v>876000</v>
      </c>
      <c r="J237" s="67">
        <f t="shared" si="220"/>
        <v>876000</v>
      </c>
      <c r="K237" s="67">
        <f t="shared" si="220"/>
        <v>876000</v>
      </c>
      <c r="L237" s="67">
        <f t="shared" si="220"/>
        <v>876000</v>
      </c>
      <c r="M237" s="67">
        <f t="shared" si="220"/>
        <v>876000</v>
      </c>
      <c r="N237" s="67">
        <f t="shared" si="220"/>
        <v>876000</v>
      </c>
      <c r="O237" s="67">
        <f t="shared" si="220"/>
        <v>876000</v>
      </c>
      <c r="P237" s="67">
        <f t="shared" si="220"/>
        <v>876000</v>
      </c>
      <c r="Q237" s="67">
        <f t="shared" si="220"/>
        <v>876000</v>
      </c>
      <c r="R237" s="67">
        <f t="shared" si="220"/>
        <v>876000</v>
      </c>
      <c r="S237" s="67">
        <f t="shared" si="220"/>
        <v>876000</v>
      </c>
      <c r="T237" s="67">
        <f t="shared" si="220"/>
        <v>876000</v>
      </c>
      <c r="U237" s="67">
        <f t="shared" si="220"/>
        <v>876000</v>
      </c>
      <c r="V237" s="67">
        <f t="shared" si="220"/>
        <v>876000</v>
      </c>
      <c r="W237" s="67">
        <f t="shared" si="220"/>
        <v>876000</v>
      </c>
      <c r="X237" s="68">
        <f t="shared" si="220"/>
        <v>876000</v>
      </c>
    </row>
    <row r="238" spans="1:24" ht="15" hidden="1" customHeight="1" outlineLevel="1">
      <c r="C238" s="79" t="s">
        <v>115</v>
      </c>
      <c r="D238" s="69"/>
      <c r="E238" s="69">
        <f>E237*(1-INDEX('DATA (Nominal)'!$B$221:$BX$221,1,MATCH($B$1,'DATA (Nominal)'!$B$1:$BX$1,0)))</f>
        <v>175199.99999999997</v>
      </c>
      <c r="F238" s="69">
        <f>E238</f>
        <v>175199.99999999997</v>
      </c>
      <c r="G238" s="69">
        <f t="shared" si="220"/>
        <v>175199.99999999997</v>
      </c>
      <c r="H238" s="69">
        <f t="shared" si="220"/>
        <v>175199.99999999997</v>
      </c>
      <c r="I238" s="69">
        <f t="shared" si="220"/>
        <v>175199.99999999997</v>
      </c>
      <c r="J238" s="69">
        <f t="shared" si="220"/>
        <v>175199.99999999997</v>
      </c>
      <c r="K238" s="69">
        <f t="shared" si="220"/>
        <v>175199.99999999997</v>
      </c>
      <c r="L238" s="69">
        <f t="shared" si="220"/>
        <v>175199.99999999997</v>
      </c>
      <c r="M238" s="69">
        <f t="shared" si="220"/>
        <v>175199.99999999997</v>
      </c>
      <c r="N238" s="69">
        <f t="shared" si="220"/>
        <v>175199.99999999997</v>
      </c>
      <c r="O238" s="69">
        <f t="shared" si="220"/>
        <v>175199.99999999997</v>
      </c>
      <c r="P238" s="69">
        <f t="shared" si="220"/>
        <v>175199.99999999997</v>
      </c>
      <c r="Q238" s="69">
        <f t="shared" si="220"/>
        <v>175199.99999999997</v>
      </c>
      <c r="R238" s="69">
        <f t="shared" si="220"/>
        <v>175199.99999999997</v>
      </c>
      <c r="S238" s="69">
        <f t="shared" si="220"/>
        <v>175199.99999999997</v>
      </c>
      <c r="T238" s="69">
        <f t="shared" si="220"/>
        <v>175199.99999999997</v>
      </c>
      <c r="U238" s="69">
        <f t="shared" si="220"/>
        <v>175199.99999999997</v>
      </c>
      <c r="V238" s="69">
        <f t="shared" si="220"/>
        <v>175199.99999999997</v>
      </c>
      <c r="W238" s="69">
        <f t="shared" si="220"/>
        <v>175199.99999999997</v>
      </c>
      <c r="X238" s="70">
        <f t="shared" si="220"/>
        <v>175199.99999999997</v>
      </c>
    </row>
    <row r="239" spans="1:24" ht="15" hidden="1" customHeight="1" outlineLevel="1">
      <c r="C239" s="7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70"/>
    </row>
    <row r="240" spans="1:24" ht="15" hidden="1" customHeight="1" outlineLevel="1">
      <c r="C240" s="79" t="s">
        <v>47</v>
      </c>
      <c r="D240" s="71">
        <f>-PMT(Discount_Rate,20,NPV(Discount_Rate,E240:X240))</f>
        <v>2506006.2035657917</v>
      </c>
      <c r="E240" s="73">
        <f>INDEX('DATA (Nominal)'!$B$173:$BX$173,1,MATCH(E$1,'DATA (Nominal)'!$B$1:$BX$1,0))*'Resource Options'!$E$38*1000</f>
        <v>2113694.9820935638</v>
      </c>
      <c r="F240" s="73">
        <f>INDEX('DATA (Nominal)'!$B$173:$BX$173,1,MATCH(F$1,'DATA (Nominal)'!$B$1:$BX$1,0))*'Resource Options'!$E$38*1000</f>
        <v>2160900.8366936538</v>
      </c>
      <c r="G240" s="73">
        <f>INDEX('DATA (Nominal)'!$B$173:$BX$173,1,MATCH(G$1,'DATA (Nominal)'!$B$1:$BX$1,0))*'Resource Options'!$E$38*1000</f>
        <v>2209160.9553798116</v>
      </c>
      <c r="H240" s="73">
        <f>INDEX('DATA (Nominal)'!$B$173:$BX$173,1,MATCH(H$1,'DATA (Nominal)'!$B$1:$BX$1,0))*'Resource Options'!$E$38*1000</f>
        <v>2257762.4963981682</v>
      </c>
      <c r="I240" s="73">
        <f>INDEX('DATA (Nominal)'!$B$173:$BX$173,1,MATCH(I$1,'DATA (Nominal)'!$B$1:$BX$1,0))*'Resource Options'!$E$38*1000</f>
        <v>2307433.2713189274</v>
      </c>
      <c r="J240" s="73">
        <f>INDEX('DATA (Nominal)'!$B$173:$BX$173,1,MATCH(J$1,'DATA (Nominal)'!$B$1:$BX$1,0))*'Resource Options'!$E$38*1000</f>
        <v>2358196.8032879438</v>
      </c>
      <c r="K240" s="73">
        <f>INDEX('DATA (Nominal)'!$B$173:$BX$173,1,MATCH(K$1,'DATA (Nominal)'!$B$1:$BX$1,0))*'Resource Options'!$E$38*1000</f>
        <v>2410077.1329602785</v>
      </c>
      <c r="L240" s="73">
        <f>INDEX('DATA (Nominal)'!$B$173:$BX$173,1,MATCH(L$1,'DATA (Nominal)'!$B$1:$BX$1,0))*'Resource Options'!$E$38*1000</f>
        <v>2463098.829885405</v>
      </c>
      <c r="M240" s="73">
        <f>INDEX('DATA (Nominal)'!$B$173:$BX$173,1,MATCH(M$1,'DATA (Nominal)'!$B$1:$BX$1,0))*'Resource Options'!$E$38*1000</f>
        <v>2517287.0041428837</v>
      </c>
      <c r="N240" s="73">
        <f>INDEX('DATA (Nominal)'!$B$173:$BX$173,1,MATCH(N$1,'DATA (Nominal)'!$B$1:$BX$1,0))*'Resource Options'!$E$38*1000</f>
        <v>2572667.3182340274</v>
      </c>
      <c r="O240" s="73">
        <f>INDEX('DATA (Nominal)'!$B$173:$BX$173,1,MATCH(O$1,'DATA (Nominal)'!$B$1:$BX$1,0))*'Resource Options'!$E$38*1000</f>
        <v>2629265.9992351755</v>
      </c>
      <c r="P240" s="73">
        <f>INDEX('DATA (Nominal)'!$B$173:$BX$173,1,MATCH(P$1,'DATA (Nominal)'!$B$1:$BX$1,0))*'Resource Options'!$E$38*1000</f>
        <v>2687109.8512183493</v>
      </c>
      <c r="Q240" s="73">
        <f>INDEX('DATA (Nominal)'!$B$173:$BX$173,1,MATCH(Q$1,'DATA (Nominal)'!$B$1:$BX$1,0))*'Resource Options'!$E$38*1000</f>
        <v>2746226.2679451532</v>
      </c>
      <c r="R240" s="73">
        <f>INDEX('DATA (Nominal)'!$B$173:$BX$173,1,MATCH(R$1,'DATA (Nominal)'!$B$1:$BX$1,0))*'Resource Options'!$E$38*1000</f>
        <v>2806643.2458399469</v>
      </c>
      <c r="S240" s="73">
        <f>INDEX('DATA (Nominal)'!$B$173:$BX$173,1,MATCH(S$1,'DATA (Nominal)'!$B$1:$BX$1,0))*'Resource Options'!$E$38*1000</f>
        <v>2868389.3972484255</v>
      </c>
      <c r="T240" s="73">
        <f>INDEX('DATA (Nominal)'!$B$173:$BX$173,1,MATCH(T$1,'DATA (Nominal)'!$B$1:$BX$1,0))*'Resource Options'!$E$38*1000</f>
        <v>2931493.9639878911</v>
      </c>
      <c r="U240" s="73">
        <f>INDEX('DATA (Nominal)'!$B$173:$BX$173,1,MATCH(U$1,'DATA (Nominal)'!$B$1:$BX$1,0))*'Resource Options'!$E$38*1000</f>
        <v>2995986.8311956241</v>
      </c>
      <c r="V240" s="73">
        <f>INDEX('DATA (Nominal)'!$B$173:$BX$173,1,MATCH(V$1,'DATA (Nominal)'!$B$1:$BX$1,0))*'Resource Options'!$E$38*1000</f>
        <v>3061898.5414819284</v>
      </c>
      <c r="W240" s="73">
        <f>INDEX('DATA (Nominal)'!$B$173:$BX$173,1,MATCH(W$1,'DATA (Nominal)'!$B$1:$BX$1,0))*'Resource Options'!$E$38*1000</f>
        <v>3129260.309394531</v>
      </c>
      <c r="X240" s="74">
        <f>INDEX('DATA (Nominal)'!$B$173:$BX$173,1,MATCH(X$1,'DATA (Nominal)'!$B$1:$BX$1,0))*'Resource Options'!$E$38*1000</f>
        <v>3198104.0362012102</v>
      </c>
    </row>
    <row r="241" spans="1:24" ht="15" hidden="1" customHeight="1" outlineLevel="1">
      <c r="C241" s="80" t="s">
        <v>92</v>
      </c>
      <c r="D241" s="71">
        <f>-PMT(Discount_Rate,20,NPV(Discount_Rate,E241:X241))</f>
        <v>40657436.661128335</v>
      </c>
      <c r="E241" s="71">
        <f>INDEX('DATA (Nominal)'!$B$54:$BX$54,1,MATCH($B$1,'DATA (Nominal)'!$B$1:$BX$1,0))*Assumptions!AG$38*(1+AFUDC!$C$38)*1000000*'Resource Options'!$E$38/1000</f>
        <v>50793224.890977569</v>
      </c>
      <c r="F241" s="73">
        <f>INDEX('DATA (Nominal)'!$B$54:$BX$54,1,MATCH($B$1,'DATA (Nominal)'!$B$1:$BX$1,0))*Assumptions!AH$38*(1+AFUDC!$C$38)*1000000*'Resource Options'!$E$38/1000</f>
        <v>48361145.889093578</v>
      </c>
      <c r="G241" s="71">
        <f>INDEX('DATA (Nominal)'!$B$54:$BX$54,1,MATCH($B$1,'DATA (Nominal)'!$B$1:$BX$1,0))*Assumptions!AI$38*(1+AFUDC!$C$38)*1000000*'Resource Options'!$E$38/1000</f>
        <v>45955267.113854326</v>
      </c>
      <c r="H241" s="71">
        <f>INDEX('DATA (Nominal)'!$B$54:$BX$54,1,MATCH($B$1,'DATA (Nominal)'!$B$1:$BX$1,0))*Assumptions!AJ$38*(1+AFUDC!$C$38)*1000000*'Resource Options'!$E$38/1000</f>
        <v>44220114.140721008</v>
      </c>
      <c r="I241" s="71">
        <f>INDEX('DATA (Nominal)'!$B$54:$BX$54,1,MATCH($B$1,'DATA (Nominal)'!$B$1:$BX$1,0))*Assumptions!AK$38*(1+AFUDC!$C$38)*1000000*'Resource Options'!$E$38/1000</f>
        <v>42736483.343377404</v>
      </c>
      <c r="J241" s="71">
        <f>INDEX('DATA (Nominal)'!$B$54:$BX$54,1,MATCH($B$1,'DATA (Nominal)'!$B$1:$BX$1,0))*Assumptions!AL$38*(1+AFUDC!$C$38)*1000000*'Resource Options'!$E$38/1000</f>
        <v>41441494.177876085</v>
      </c>
      <c r="K241" s="71">
        <f>INDEX('DATA (Nominal)'!$B$54:$BX$54,1,MATCH($B$1,'DATA (Nominal)'!$B$1:$BX$1,0))*Assumptions!AM$38*(1+AFUDC!$C$38)*1000000*'Resource Options'!$E$38/1000</f>
        <v>40523788.276059359</v>
      </c>
      <c r="L241" s="71">
        <f>INDEX('DATA (Nominal)'!$B$54:$BX$54,1,MATCH($B$1,'DATA (Nominal)'!$B$1:$BX$1,0))*Assumptions!AN$38*(1+AFUDC!$C$38)*1000000*'Resource Options'!$E$38/1000</f>
        <v>39794724.006084912</v>
      </c>
      <c r="M241" s="71">
        <f>INDEX('DATA (Nominal)'!$B$54:$BX$54,1,MATCH($B$1,'DATA (Nominal)'!$B$1:$BX$1,0))*Assumptions!AO$38*(1+AFUDC!$C$38)*1000000*'Resource Options'!$E$38/1000</f>
        <v>39065659.736110479</v>
      </c>
      <c r="N241" s="71">
        <f>INDEX('DATA (Nominal)'!$B$54:$BX$54,1,MATCH($B$1,'DATA (Nominal)'!$B$1:$BX$1,0))*Assumptions!AP$38*(1+AFUDC!$C$38)*1000000*'Resource Options'!$E$38/1000</f>
        <v>38336595.466136023</v>
      </c>
      <c r="O241" s="71">
        <f>INDEX('DATA (Nominal)'!$B$54:$BX$54,1,MATCH($B$1,'DATA (Nominal)'!$B$1:$BX$1,0))*Assumptions!AQ$38*(1+AFUDC!$C$38)*1000000*'Resource Options'!$E$38/1000</f>
        <v>37607531.196161591</v>
      </c>
      <c r="P241" s="71">
        <f>INDEX('DATA (Nominal)'!$B$54:$BX$54,1,MATCH($B$1,'DATA (Nominal)'!$B$1:$BX$1,0))*Assumptions!AR$38*(1+AFUDC!$C$38)*1000000*'Resource Options'!$E$38/1000</f>
        <v>36878466.92618715</v>
      </c>
      <c r="Q241" s="71">
        <f>INDEX('DATA (Nominal)'!$B$54:$BX$54,1,MATCH($B$1,'DATA (Nominal)'!$B$1:$BX$1,0))*Assumptions!AS$38*(1+AFUDC!$C$38)*1000000*'Resource Options'!$E$38/1000</f>
        <v>36149402.65621271</v>
      </c>
      <c r="R241" s="71">
        <f>INDEX('DATA (Nominal)'!$B$54:$BX$54,1,MATCH($B$1,'DATA (Nominal)'!$B$1:$BX$1,0))*Assumptions!AT$38*(1+AFUDC!$C$38)*1000000*'Resource Options'!$E$38/1000</f>
        <v>35420338.386238262</v>
      </c>
      <c r="S241" s="71">
        <f>INDEX('DATA (Nominal)'!$B$54:$BX$54,1,MATCH($B$1,'DATA (Nominal)'!$B$1:$BX$1,0))*Assumptions!AU$38*(1+AFUDC!$C$38)*1000000*'Resource Options'!$E$38/1000</f>
        <v>34691274.116263807</v>
      </c>
      <c r="T241" s="71">
        <f>INDEX('DATA (Nominal)'!$B$54:$BX$54,1,MATCH($B$1,'DATA (Nominal)'!$B$1:$BX$1,0))*Assumptions!AV$38*(1+AFUDC!$C$38)*1000000*'Resource Options'!$E$38/1000</f>
        <v>33962209.846289366</v>
      </c>
      <c r="U241" s="71">
        <f>INDEX('DATA (Nominal)'!$B$54:$BX$54,1,MATCH($B$1,'DATA (Nominal)'!$B$1:$BX$1,0))*Assumptions!AW$38*(1+AFUDC!$C$38)*1000000*'Resource Options'!$E$38/1000</f>
        <v>33233145.576314937</v>
      </c>
      <c r="V241" s="71">
        <f>INDEX('DATA (Nominal)'!$B$54:$BX$54,1,MATCH($B$1,'DATA (Nominal)'!$B$1:$BX$1,0))*Assumptions!AX$38*(1+AFUDC!$C$38)*1000000*'Resource Options'!$E$38/1000</f>
        <v>32504081.306340493</v>
      </c>
      <c r="W241" s="71">
        <f>INDEX('DATA (Nominal)'!$B$54:$BX$54,1,MATCH($B$1,'DATA (Nominal)'!$B$1:$BX$1,0))*Assumptions!AY$38*(1+AFUDC!$C$38)*1000000*'Resource Options'!$E$38/1000</f>
        <v>31775017.036366049</v>
      </c>
      <c r="X241" s="72">
        <f>INDEX('DATA (Nominal)'!$B$54:$BX$54,1,MATCH($B$1,'DATA (Nominal)'!$B$1:$BX$1,0))*Assumptions!AZ$38*(1+AFUDC!$C$38)*1000000*'Resource Options'!$E$38/1000</f>
        <v>31045952.766391609</v>
      </c>
    </row>
    <row r="242" spans="1:24" ht="15" hidden="1" customHeight="1" outlineLevel="1">
      <c r="C242" s="79" t="s">
        <v>93</v>
      </c>
      <c r="D242" s="71">
        <f>-PMT(Discount_Rate,20,NPV(Discount_Rate,E242:X242))</f>
        <v>73060.104858757069</v>
      </c>
      <c r="E242" s="71">
        <f t="shared" ref="E242:X242" si="221">E240*Misc_Fees</f>
        <v>61622.66350795576</v>
      </c>
      <c r="F242" s="71">
        <f t="shared" si="221"/>
        <v>62998.902992966781</v>
      </c>
      <c r="G242" s="71">
        <f t="shared" si="221"/>
        <v>64405.878493143027</v>
      </c>
      <c r="H242" s="71">
        <f t="shared" si="221"/>
        <v>65822.807819992187</v>
      </c>
      <c r="I242" s="71">
        <f t="shared" si="221"/>
        <v>67270.909592032011</v>
      </c>
      <c r="J242" s="71">
        <f t="shared" si="221"/>
        <v>68750.869603056708</v>
      </c>
      <c r="K242" s="71">
        <f t="shared" si="221"/>
        <v>70263.388734323962</v>
      </c>
      <c r="L242" s="71">
        <f t="shared" si="221"/>
        <v>71809.183286479092</v>
      </c>
      <c r="M242" s="71">
        <f t="shared" si="221"/>
        <v>73388.985318781633</v>
      </c>
      <c r="N242" s="71">
        <f t="shared" si="221"/>
        <v>75003.542995794836</v>
      </c>
      <c r="O242" s="71">
        <f t="shared" si="221"/>
        <v>76653.620941702306</v>
      </c>
      <c r="P242" s="71">
        <f t="shared" si="221"/>
        <v>78340.00060241975</v>
      </c>
      <c r="Q242" s="71">
        <f t="shared" si="221"/>
        <v>80063.48061567299</v>
      </c>
      <c r="R242" s="71">
        <f t="shared" si="221"/>
        <v>81824.877189217805</v>
      </c>
      <c r="S242" s="71">
        <f t="shared" si="221"/>
        <v>83625.024487380593</v>
      </c>
      <c r="T242" s="71">
        <f t="shared" si="221"/>
        <v>85464.775026102972</v>
      </c>
      <c r="U242" s="71">
        <f t="shared" si="221"/>
        <v>87345.000076677228</v>
      </c>
      <c r="V242" s="71">
        <f t="shared" si="221"/>
        <v>89266.590078364141</v>
      </c>
      <c r="W242" s="71">
        <f t="shared" si="221"/>
        <v>91230.455060088148</v>
      </c>
      <c r="X242" s="72">
        <f t="shared" si="221"/>
        <v>93237.525071410084</v>
      </c>
    </row>
    <row r="243" spans="1:24" ht="15" hidden="1" customHeight="1" outlineLevel="1">
      <c r="C243" s="79" t="s">
        <v>94</v>
      </c>
      <c r="D243" s="71">
        <f>-PMT(Discount_Rate,20,NPV(Discount_Rate,E243:X243))</f>
        <v>43236502.969552889</v>
      </c>
      <c r="E243" s="71">
        <f t="shared" ref="E243:X243" si="222">SUM(E240:E242)</f>
        <v>52968542.536579087</v>
      </c>
      <c r="F243" s="71">
        <f t="shared" si="222"/>
        <v>50585045.628780194</v>
      </c>
      <c r="G243" s="71">
        <f t="shared" si="222"/>
        <v>48228833.947727285</v>
      </c>
      <c r="H243" s="71">
        <f t="shared" si="222"/>
        <v>46543699.444939166</v>
      </c>
      <c r="I243" s="71">
        <f t="shared" si="222"/>
        <v>45111187.524288364</v>
      </c>
      <c r="J243" s="71">
        <f t="shared" si="222"/>
        <v>43868441.850767091</v>
      </c>
      <c r="K243" s="71">
        <f t="shared" si="222"/>
        <v>43004128.79775396</v>
      </c>
      <c r="L243" s="71">
        <f t="shared" si="222"/>
        <v>42329632.0192568</v>
      </c>
      <c r="M243" s="71">
        <f t="shared" si="222"/>
        <v>41656335.725572139</v>
      </c>
      <c r="N243" s="71">
        <f t="shared" si="222"/>
        <v>40984266.327365845</v>
      </c>
      <c r="O243" s="71">
        <f t="shared" si="222"/>
        <v>40313450.816338472</v>
      </c>
      <c r="P243" s="71">
        <f t="shared" si="222"/>
        <v>39643916.778007917</v>
      </c>
      <c r="Q243" s="71">
        <f t="shared" si="222"/>
        <v>38975692.404773541</v>
      </c>
      <c r="R243" s="71">
        <f t="shared" si="222"/>
        <v>38308806.509267427</v>
      </c>
      <c r="S243" s="71">
        <f t="shared" si="222"/>
        <v>37643288.537999615</v>
      </c>
      <c r="T243" s="71">
        <f t="shared" si="222"/>
        <v>36979168.585303366</v>
      </c>
      <c r="U243" s="71">
        <f t="shared" si="222"/>
        <v>36316477.407587238</v>
      </c>
      <c r="V243" s="71">
        <f t="shared" si="222"/>
        <v>35655246.437900782</v>
      </c>
      <c r="W243" s="71">
        <f t="shared" si="222"/>
        <v>34995507.800820671</v>
      </c>
      <c r="X243" s="72">
        <f t="shared" si="222"/>
        <v>34337294.327664234</v>
      </c>
    </row>
    <row r="244" spans="1:24" ht="15" hidden="1" customHeight="1" outlineLevel="1">
      <c r="C244" s="79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2"/>
    </row>
    <row r="245" spans="1:24" ht="15" hidden="1" customHeight="1" outlineLevel="1">
      <c r="C245" s="79" t="s">
        <v>116</v>
      </c>
      <c r="D245" s="71">
        <f>-PMT(Discount_Rate,20,NPV(Discount_Rate,E245:X245))</f>
        <v>631353.24640340172</v>
      </c>
      <c r="E245" s="71">
        <f>E237*INDEX('DATA (Nominal)'!$B$102:$BX$102,1,MATCH(E$1,'DATA (Nominal)'!$B$1:$BX$1,0))</f>
        <v>532515.91594326904</v>
      </c>
      <c r="F245" s="71">
        <f>F237*INDEX('DATA (Nominal)'!$B$102:$BX$102,1,MATCH(F$1,'DATA (Nominal)'!$B$1:$BX$1,0))</f>
        <v>544408.77139933547</v>
      </c>
      <c r="G245" s="71">
        <f>G237*INDEX('DATA (Nominal)'!$B$102:$BX$102,1,MATCH(G$1,'DATA (Nominal)'!$B$1:$BX$1,0))</f>
        <v>556567.23396058718</v>
      </c>
      <c r="H245" s="71">
        <f>H237*INDEX('DATA (Nominal)'!$B$102:$BX$102,1,MATCH(H$1,'DATA (Nominal)'!$B$1:$BX$1,0))</f>
        <v>568811.71310772025</v>
      </c>
      <c r="I245" s="71">
        <f>I237*INDEX('DATA (Nominal)'!$B$102:$BX$102,1,MATCH(I$1,'DATA (Nominal)'!$B$1:$BX$1,0))</f>
        <v>581325.57079609006</v>
      </c>
      <c r="J245" s="71">
        <f>J237*INDEX('DATA (Nominal)'!$B$102:$BX$102,1,MATCH(J$1,'DATA (Nominal)'!$B$1:$BX$1,0))</f>
        <v>594114.73335360398</v>
      </c>
      <c r="K245" s="71">
        <f>K237*INDEX('DATA (Nominal)'!$B$102:$BX$102,1,MATCH(K$1,'DATA (Nominal)'!$B$1:$BX$1,0))</f>
        <v>607185.25748738321</v>
      </c>
      <c r="L245" s="71">
        <f>L237*INDEX('DATA (Nominal)'!$B$102:$BX$102,1,MATCH(L$1,'DATA (Nominal)'!$B$1:$BX$1,0))</f>
        <v>620543.3331521058</v>
      </c>
      <c r="M245" s="71">
        <f>M237*INDEX('DATA (Nominal)'!$B$102:$BX$102,1,MATCH(M$1,'DATA (Nominal)'!$B$1:$BX$1,0))</f>
        <v>634195.28648145206</v>
      </c>
      <c r="N245" s="71">
        <f>N237*INDEX('DATA (Nominal)'!$B$102:$BX$102,1,MATCH(N$1,'DATA (Nominal)'!$B$1:$BX$1,0))</f>
        <v>648147.58278404397</v>
      </c>
      <c r="O245" s="71">
        <f>O237*INDEX('DATA (Nominal)'!$B$102:$BX$102,1,MATCH(O$1,'DATA (Nominal)'!$B$1:$BX$1,0))</f>
        <v>662406.82960529288</v>
      </c>
      <c r="P245" s="71">
        <f>P237*INDEX('DATA (Nominal)'!$B$102:$BX$102,1,MATCH(P$1,'DATA (Nominal)'!$B$1:$BX$1,0))</f>
        <v>676979.77985660941</v>
      </c>
      <c r="Q245" s="71">
        <f>Q237*INDEX('DATA (Nominal)'!$B$102:$BX$102,1,MATCH(Q$1,'DATA (Nominal)'!$B$1:$BX$1,0))</f>
        <v>691873.33501345466</v>
      </c>
      <c r="R245" s="71">
        <f>R237*INDEX('DATA (Nominal)'!$B$102:$BX$102,1,MATCH(R$1,'DATA (Nominal)'!$B$1:$BX$1,0))</f>
        <v>707094.54838375072</v>
      </c>
      <c r="S245" s="71">
        <f>S237*INDEX('DATA (Nominal)'!$B$102:$BX$102,1,MATCH(S$1,'DATA (Nominal)'!$B$1:$BX$1,0))</f>
        <v>722650.62844819331</v>
      </c>
      <c r="T245" s="71">
        <f>T237*INDEX('DATA (Nominal)'!$B$102:$BX$102,1,MATCH(T$1,'DATA (Nominal)'!$B$1:$BX$1,0))</f>
        <v>738548.94227405358</v>
      </c>
      <c r="U245" s="71">
        <f>U237*INDEX('DATA (Nominal)'!$B$102:$BX$102,1,MATCH(U$1,'DATA (Nominal)'!$B$1:$BX$1,0))</f>
        <v>754797.01900408266</v>
      </c>
      <c r="V245" s="71">
        <f>V237*INDEX('DATA (Nominal)'!$B$102:$BX$102,1,MATCH(V$1,'DATA (Nominal)'!$B$1:$BX$1,0))</f>
        <v>771402.55342217255</v>
      </c>
      <c r="W245" s="71">
        <f>W237*INDEX('DATA (Nominal)'!$B$102:$BX$102,1,MATCH(W$1,'DATA (Nominal)'!$B$1:$BX$1,0))</f>
        <v>788373.40959746041</v>
      </c>
      <c r="X245" s="72">
        <f>X237*INDEX('DATA (Nominal)'!$B$102:$BX$102,1,MATCH(X$1,'DATA (Nominal)'!$B$1:$BX$1,0))</f>
        <v>805717.62460860447</v>
      </c>
    </row>
    <row r="246" spans="1:24" s="263" customFormat="1" ht="15" hidden="1" customHeight="1" outlineLevel="1">
      <c r="C246" s="79" t="s">
        <v>224</v>
      </c>
      <c r="D246" s="71">
        <f>-PMT(Discount_Rate,20,NPV(Discount_Rate,E246:X246))</f>
        <v>36177466.564509585</v>
      </c>
      <c r="E246" s="71">
        <f>(E237+E238)*INDEX('DATA (Nominal)'!$B$159:$BX$159,1,MATCH(E$1,'DATA (Nominal)'!$B$1:$BX$1,0))</f>
        <v>37567401.513244629</v>
      </c>
      <c r="F246" s="71">
        <f>(F237+F238)*INDEX('DATA (Nominal)'!$B$159:$BX$159,1,MATCH(F$1,'DATA (Nominal)'!$B$1:$BX$1,0))</f>
        <v>35003757.063903809</v>
      </c>
      <c r="G246" s="71">
        <f>(G237+G238)*INDEX('DATA (Nominal)'!$B$159:$BX$159,1,MATCH(G$1,'DATA (Nominal)'!$B$1:$BX$1,0))</f>
        <v>31475022.52166748</v>
      </c>
      <c r="H246" s="71">
        <f>(H237+H238)*INDEX('DATA (Nominal)'!$B$159:$BX$159,1,MATCH(H$1,'DATA (Nominal)'!$B$1:$BX$1,0))</f>
        <v>31403424.869979858</v>
      </c>
      <c r="I246" s="71">
        <f>(I237+I238)*INDEX('DATA (Nominal)'!$B$159:$BX$159,1,MATCH(I$1,'DATA (Nominal)'!$B$1:$BX$1,0))</f>
        <v>31503442.891113281</v>
      </c>
      <c r="J246" s="71">
        <f>(J237+J238)*INDEX('DATA (Nominal)'!$B$159:$BX$159,1,MATCH(J$1,'DATA (Nominal)'!$B$1:$BX$1,0))</f>
        <v>36147535.043243408</v>
      </c>
      <c r="K246" s="71">
        <f>(K237+K238)*INDEX('DATA (Nominal)'!$B$159:$BX$159,1,MATCH(K$1,'DATA (Nominal)'!$B$1:$BX$1,0))</f>
        <v>33996173.288497925</v>
      </c>
      <c r="L246" s="71">
        <f>(L237+L238)*INDEX('DATA (Nominal)'!$B$159:$BX$159,1,MATCH(L$1,'DATA (Nominal)'!$B$1:$BX$1,0))</f>
        <v>33056720.571487427</v>
      </c>
      <c r="M246" s="71">
        <f>(M237+M238)*INDEX('DATA (Nominal)'!$B$159:$BX$159,1,MATCH(M$1,'DATA (Nominal)'!$B$1:$BX$1,0))</f>
        <v>34127963.903549194</v>
      </c>
      <c r="N246" s="71">
        <f>(N237+N238)*INDEX('DATA (Nominal)'!$B$159:$BX$159,1,MATCH(N$1,'DATA (Nominal)'!$B$1:$BX$1,0))</f>
        <v>34685591.216629028</v>
      </c>
      <c r="O246" s="71">
        <f>(O237+O238)*INDEX('DATA (Nominal)'!$B$159:$BX$159,1,MATCH(O$1,'DATA (Nominal)'!$B$1:$BX$1,0))</f>
        <v>36072990.956680298</v>
      </c>
      <c r="P246" s="71">
        <f>(P237+P238)*INDEX('DATA (Nominal)'!$B$159:$BX$159,1,MATCH(P$1,'DATA (Nominal)'!$B$1:$BX$1,0))</f>
        <v>36689728.570587158</v>
      </c>
      <c r="Q246" s="71">
        <f>(Q237+Q238)*INDEX('DATA (Nominal)'!$B$159:$BX$159,1,MATCH(Q$1,'DATA (Nominal)'!$B$1:$BX$1,0))</f>
        <v>38463059.13583374</v>
      </c>
      <c r="R246" s="71">
        <f>(R237+R238)*INDEX('DATA (Nominal)'!$B$159:$BX$159,1,MATCH(R$1,'DATA (Nominal)'!$B$1:$BX$1,0))</f>
        <v>38180942.066665649</v>
      </c>
      <c r="S246" s="71">
        <f>(S237+S238)*INDEX('DATA (Nominal)'!$B$159:$BX$159,1,MATCH(S$1,'DATA (Nominal)'!$B$1:$BX$1,0))</f>
        <v>39352136.285614014</v>
      </c>
      <c r="T246" s="71">
        <f>(T237+T238)*INDEX('DATA (Nominal)'!$B$159:$BX$159,1,MATCH(T$1,'DATA (Nominal)'!$B$1:$BX$1,0))</f>
        <v>41618310.076904297</v>
      </c>
      <c r="U246" s="71">
        <f>(U237+U238)*INDEX('DATA (Nominal)'!$B$159:$BX$159,1,MATCH(U$1,'DATA (Nominal)'!$B$1:$BX$1,0))</f>
        <v>41835236.87512207</v>
      </c>
      <c r="V246" s="71">
        <f>(V237+V238)*INDEX('DATA (Nominal)'!$B$159:$BX$159,1,MATCH(V$1,'DATA (Nominal)'!$B$1:$BX$1,0))</f>
        <v>43541094.274200439</v>
      </c>
      <c r="W246" s="71">
        <f>(W237+W238)*INDEX('DATA (Nominal)'!$B$159:$BX$159,1,MATCH(W$1,'DATA (Nominal)'!$B$1:$BX$1,0))</f>
        <v>44542699.863555908</v>
      </c>
      <c r="X246" s="72">
        <f>(X237+X238)*INDEX('DATA (Nominal)'!$B$159:$BX$159,1,MATCH(X$1,'DATA (Nominal)'!$B$1:$BX$1,0))</f>
        <v>50080118.345581055</v>
      </c>
    </row>
    <row r="247" spans="1:24" ht="15" hidden="1" customHeight="1" outlineLevel="1">
      <c r="C247" s="79" t="s">
        <v>93</v>
      </c>
      <c r="D247" s="71">
        <f>-PMT(Discount_Rate,20,NPV(Discount_Rate,E247:X247))</f>
        <v>18406.472545644774</v>
      </c>
      <c r="E247" s="73">
        <f t="shared" ref="E247:X247" si="223">SUM(E245:E245)*Misc_Fees</f>
        <v>15524.969013410066</v>
      </c>
      <c r="F247" s="73">
        <f t="shared" si="223"/>
        <v>15871.693321376226</v>
      </c>
      <c r="G247" s="73">
        <f t="shared" si="223"/>
        <v>16226.161138886959</v>
      </c>
      <c r="H247" s="73">
        <f t="shared" si="223"/>
        <v>16583.136683942477</v>
      </c>
      <c r="I247" s="73">
        <f t="shared" si="223"/>
        <v>16947.965690989211</v>
      </c>
      <c r="J247" s="73">
        <f t="shared" si="223"/>
        <v>17320.820936190968</v>
      </c>
      <c r="K247" s="73">
        <f t="shared" si="223"/>
        <v>17701.878996787171</v>
      </c>
      <c r="L247" s="73">
        <f t="shared" si="223"/>
        <v>18091.320334716493</v>
      </c>
      <c r="M247" s="73">
        <f t="shared" si="223"/>
        <v>18489.329382080254</v>
      </c>
      <c r="N247" s="73">
        <f t="shared" si="223"/>
        <v>18896.094628486018</v>
      </c>
      <c r="O247" s="73">
        <f t="shared" si="223"/>
        <v>19311.808710312707</v>
      </c>
      <c r="P247" s="73">
        <f t="shared" si="223"/>
        <v>19736.668501939592</v>
      </c>
      <c r="Q247" s="73">
        <f t="shared" si="223"/>
        <v>20170.875208982256</v>
      </c>
      <c r="R247" s="73">
        <f t="shared" si="223"/>
        <v>20614.634463579867</v>
      </c>
      <c r="S247" s="73">
        <f t="shared" si="223"/>
        <v>21068.156421778629</v>
      </c>
      <c r="T247" s="73">
        <f t="shared" si="223"/>
        <v>21531.655863057757</v>
      </c>
      <c r="U247" s="73">
        <f t="shared" si="223"/>
        <v>22005.352292045027</v>
      </c>
      <c r="V247" s="73">
        <f t="shared" si="223"/>
        <v>22489.470042470017</v>
      </c>
      <c r="W247" s="73">
        <f t="shared" si="223"/>
        <v>22984.238383404361</v>
      </c>
      <c r="X247" s="74">
        <f t="shared" si="223"/>
        <v>23489.891627839253</v>
      </c>
    </row>
    <row r="248" spans="1:24" ht="15" hidden="1" customHeight="1" outlineLevel="1">
      <c r="C248" s="79" t="s">
        <v>99</v>
      </c>
      <c r="D248" s="71">
        <f>-PMT(Discount_Rate,20,NPV(Discount_Rate,E248:X248))</f>
        <v>36827226.283458635</v>
      </c>
      <c r="E248" s="71">
        <f t="shared" ref="E248:X248" si="224">SUM(E245:E247)</f>
        <v>38115442.398201309</v>
      </c>
      <c r="F248" s="71">
        <f t="shared" si="224"/>
        <v>35564037.52862452</v>
      </c>
      <c r="G248" s="71">
        <f t="shared" si="224"/>
        <v>32047815.916766956</v>
      </c>
      <c r="H248" s="71">
        <f t="shared" si="224"/>
        <v>31988819.719771519</v>
      </c>
      <c r="I248" s="71">
        <f t="shared" si="224"/>
        <v>32101716.427600361</v>
      </c>
      <c r="J248" s="71">
        <f t="shared" si="224"/>
        <v>36758970.597533204</v>
      </c>
      <c r="K248" s="71">
        <f t="shared" si="224"/>
        <v>34621060.424982101</v>
      </c>
      <c r="L248" s="71">
        <f t="shared" si="224"/>
        <v>33695355.224974252</v>
      </c>
      <c r="M248" s="71">
        <f t="shared" si="224"/>
        <v>34780648.519412726</v>
      </c>
      <c r="N248" s="71">
        <f t="shared" si="224"/>
        <v>35352634.894041553</v>
      </c>
      <c r="O248" s="71">
        <f t="shared" si="224"/>
        <v>36754709.594995908</v>
      </c>
      <c r="P248" s="71">
        <f t="shared" si="224"/>
        <v>37386445.018945701</v>
      </c>
      <c r="Q248" s="71">
        <f t="shared" si="224"/>
        <v>39175103.346056178</v>
      </c>
      <c r="R248" s="71">
        <f t="shared" si="224"/>
        <v>38908651.249512978</v>
      </c>
      <c r="S248" s="71">
        <f t="shared" si="224"/>
        <v>40095855.07048399</v>
      </c>
      <c r="T248" s="71">
        <f t="shared" si="224"/>
        <v>42378390.675041407</v>
      </c>
      <c r="U248" s="71">
        <f t="shared" si="224"/>
        <v>42612039.2464182</v>
      </c>
      <c r="V248" s="71">
        <f t="shared" si="224"/>
        <v>44334986.297665082</v>
      </c>
      <c r="W248" s="71">
        <f t="shared" si="224"/>
        <v>45354057.511536777</v>
      </c>
      <c r="X248" s="72">
        <f t="shared" si="224"/>
        <v>50909325.861817501</v>
      </c>
    </row>
    <row r="249" spans="1:24" ht="15" hidden="1" customHeight="1" outlineLevel="1">
      <c r="C249" s="79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2"/>
    </row>
    <row r="250" spans="1:24" ht="15.75" hidden="1" customHeight="1" outlineLevel="1" thickBot="1">
      <c r="C250" s="81" t="s">
        <v>100</v>
      </c>
      <c r="D250" s="71">
        <f>-PMT(Discount_Rate,20,NPV(Discount_Rate,E250:X250))</f>
        <v>80063729.25301151</v>
      </c>
      <c r="E250" s="75">
        <f t="shared" ref="E250:X250" si="225">E243+E248</f>
        <v>91083984.934780389</v>
      </c>
      <c r="F250" s="75">
        <f t="shared" si="225"/>
        <v>86149083.157404721</v>
      </c>
      <c r="G250" s="75">
        <f t="shared" si="225"/>
        <v>80276649.864494234</v>
      </c>
      <c r="H250" s="75">
        <f t="shared" si="225"/>
        <v>78532519.164710686</v>
      </c>
      <c r="I250" s="75">
        <f t="shared" si="225"/>
        <v>77212903.951888725</v>
      </c>
      <c r="J250" s="75">
        <f t="shared" si="225"/>
        <v>80627412.448300302</v>
      </c>
      <c r="K250" s="75">
        <f t="shared" si="225"/>
        <v>77625189.222736061</v>
      </c>
      <c r="L250" s="75">
        <f t="shared" si="225"/>
        <v>76024987.244231045</v>
      </c>
      <c r="M250" s="75">
        <f t="shared" si="225"/>
        <v>76436984.244984865</v>
      </c>
      <c r="N250" s="75">
        <f t="shared" si="225"/>
        <v>76336901.221407399</v>
      </c>
      <c r="O250" s="75">
        <f t="shared" si="225"/>
        <v>77068160.411334381</v>
      </c>
      <c r="P250" s="75">
        <f t="shared" si="225"/>
        <v>77030361.796953619</v>
      </c>
      <c r="Q250" s="75">
        <f t="shared" si="225"/>
        <v>78150795.750829726</v>
      </c>
      <c r="R250" s="75">
        <f t="shared" si="225"/>
        <v>77217457.758780405</v>
      </c>
      <c r="S250" s="75">
        <f t="shared" si="225"/>
        <v>77739143.608483613</v>
      </c>
      <c r="T250" s="75">
        <f t="shared" si="225"/>
        <v>79357559.260344774</v>
      </c>
      <c r="U250" s="75">
        <f t="shared" si="225"/>
        <v>78928516.654005438</v>
      </c>
      <c r="V250" s="75">
        <f t="shared" si="225"/>
        <v>79990232.735565871</v>
      </c>
      <c r="W250" s="75">
        <f t="shared" si="225"/>
        <v>80349565.312357455</v>
      </c>
      <c r="X250" s="76">
        <f t="shared" si="225"/>
        <v>85246620.189481735</v>
      </c>
    </row>
    <row r="251" spans="1:24" ht="15" hidden="1" customHeight="1" outlineLevel="1">
      <c r="A251" s="95"/>
      <c r="C251" s="35" t="s">
        <v>118</v>
      </c>
      <c r="D251" s="77">
        <f>D243/'Resource Options'!$E$38/1000</f>
        <v>432.3650296955289</v>
      </c>
      <c r="E251" s="24"/>
      <c r="F251" s="24"/>
      <c r="G251" s="24"/>
      <c r="H251" s="24"/>
      <c r="I251" s="24"/>
      <c r="J251" s="24"/>
      <c r="K251" s="24"/>
      <c r="L251" s="24"/>
      <c r="M251" s="24"/>
      <c r="N251" s="24"/>
    </row>
    <row r="252" spans="1:24" ht="15" hidden="1" customHeight="1" outlineLevel="1">
      <c r="C252" s="32" t="s">
        <v>119</v>
      </c>
      <c r="D252" s="44">
        <f>D243/'Resource Options'!$D$38/1000</f>
        <v>18.015209570647038</v>
      </c>
      <c r="E252" s="24"/>
    </row>
    <row r="253" spans="1:24" ht="15" hidden="1" customHeight="1" outlineLevel="1">
      <c r="C253" s="32" t="s">
        <v>120</v>
      </c>
      <c r="D253" s="5">
        <f>D248/E237</f>
        <v>42.040212652350043</v>
      </c>
    </row>
    <row r="254" spans="1:24" ht="15.75" hidden="1" customHeight="1" outlineLevel="1" thickBot="1">
      <c r="C254" s="34" t="s">
        <v>121</v>
      </c>
      <c r="D254" s="20">
        <f>D250/(E237-E238)</f>
        <v>114.24618900258491</v>
      </c>
      <c r="E254" s="24"/>
    </row>
    <row r="255" spans="1:24" ht="15" hidden="1" customHeight="1" outlineLevel="1"/>
    <row r="256" spans="1:24" collapsed="1"/>
  </sheetData>
  <mergeCells count="14">
    <mergeCell ref="C68:F68"/>
    <mergeCell ref="C5:F5"/>
    <mergeCell ref="A1:A2"/>
    <mergeCell ref="B1:B2"/>
    <mergeCell ref="C26:F26"/>
    <mergeCell ref="C47:F47"/>
    <mergeCell ref="C215:F215"/>
    <mergeCell ref="C236:F236"/>
    <mergeCell ref="C89:F89"/>
    <mergeCell ref="C110:F110"/>
    <mergeCell ref="C131:F131"/>
    <mergeCell ref="C152:F152"/>
    <mergeCell ref="C173:F173"/>
    <mergeCell ref="C194:F19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AC620-5DD0-4FD6-8596-7BA5F266C97E}">
  <sheetPr codeName="Sheet12">
    <tabColor theme="8" tint="0.39997558519241921"/>
  </sheetPr>
  <dimension ref="A1:Y162"/>
  <sheetViews>
    <sheetView zoomScaleNormal="100" workbookViewId="0">
      <pane ySplit="4" topLeftCell="A138" activePane="bottomLeft" state="frozen"/>
      <selection activeCell="A2" sqref="A2"/>
      <selection pane="bottomLeft" activeCell="F163" sqref="F163"/>
    </sheetView>
  </sheetViews>
  <sheetFormatPr defaultRowHeight="15" outlineLevelRow="1"/>
  <cols>
    <col min="1" max="1" width="25.7109375" bestFit="1" customWidth="1"/>
    <col min="2" max="2" width="7.140625" bestFit="1" customWidth="1"/>
    <col min="3" max="3" width="30.42578125" bestFit="1" customWidth="1"/>
    <col min="4" max="5" width="16" bestFit="1" customWidth="1"/>
    <col min="6" max="24" width="12" bestFit="1" customWidth="1"/>
    <col min="25" max="25" width="5.5703125" bestFit="1" customWidth="1"/>
  </cols>
  <sheetData>
    <row r="1" spans="1:25">
      <c r="A1" s="482" t="s">
        <v>72</v>
      </c>
      <c r="B1" s="507">
        <v>2025</v>
      </c>
      <c r="C1" s="263"/>
      <c r="E1" s="23">
        <f>B1</f>
        <v>2025</v>
      </c>
      <c r="F1" s="23">
        <f>E1+1</f>
        <v>2026</v>
      </c>
      <c r="G1" s="23">
        <f t="shared" ref="G1:Y1" si="0">F1+1</f>
        <v>2027</v>
      </c>
      <c r="H1" s="23">
        <f t="shared" si="0"/>
        <v>2028</v>
      </c>
      <c r="I1" s="23">
        <f t="shared" si="0"/>
        <v>2029</v>
      </c>
      <c r="J1" s="23">
        <f t="shared" si="0"/>
        <v>2030</v>
      </c>
      <c r="K1" s="23">
        <f t="shared" si="0"/>
        <v>2031</v>
      </c>
      <c r="L1" s="23">
        <f t="shared" si="0"/>
        <v>2032</v>
      </c>
      <c r="M1" s="23">
        <f t="shared" si="0"/>
        <v>2033</v>
      </c>
      <c r="N1" s="23">
        <f t="shared" si="0"/>
        <v>2034</v>
      </c>
      <c r="O1" s="23">
        <f t="shared" si="0"/>
        <v>2035</v>
      </c>
      <c r="P1" s="23">
        <f t="shared" si="0"/>
        <v>2036</v>
      </c>
      <c r="Q1" s="23">
        <f t="shared" si="0"/>
        <v>2037</v>
      </c>
      <c r="R1" s="23">
        <f t="shared" si="0"/>
        <v>2038</v>
      </c>
      <c r="S1" s="23">
        <f t="shared" si="0"/>
        <v>2039</v>
      </c>
      <c r="T1" s="23">
        <f t="shared" si="0"/>
        <v>2040</v>
      </c>
      <c r="U1" s="23">
        <f t="shared" si="0"/>
        <v>2041</v>
      </c>
      <c r="V1" s="23">
        <f t="shared" si="0"/>
        <v>2042</v>
      </c>
      <c r="W1" s="23">
        <f t="shared" si="0"/>
        <v>2043</v>
      </c>
      <c r="X1" s="23">
        <f t="shared" si="0"/>
        <v>2044</v>
      </c>
      <c r="Y1" s="23">
        <f t="shared" si="0"/>
        <v>2045</v>
      </c>
    </row>
    <row r="2" spans="1:25">
      <c r="A2" s="482"/>
      <c r="B2" s="507"/>
      <c r="C2" s="263"/>
      <c r="D2" s="23">
        <v>0</v>
      </c>
      <c r="E2" s="23">
        <v>1</v>
      </c>
      <c r="F2" s="23">
        <v>2</v>
      </c>
      <c r="G2" s="23">
        <v>3</v>
      </c>
      <c r="H2" s="23">
        <v>4</v>
      </c>
      <c r="I2" s="23">
        <v>5</v>
      </c>
      <c r="J2" s="23">
        <v>6</v>
      </c>
      <c r="K2" s="23">
        <v>7</v>
      </c>
      <c r="L2" s="23">
        <v>8</v>
      </c>
      <c r="M2" s="23">
        <v>9</v>
      </c>
      <c r="N2" s="23">
        <v>10</v>
      </c>
      <c r="O2" s="23">
        <v>11</v>
      </c>
      <c r="P2" s="23">
        <v>12</v>
      </c>
      <c r="Q2" s="23">
        <v>13</v>
      </c>
      <c r="R2" s="23">
        <v>14</v>
      </c>
      <c r="S2" s="23">
        <v>15</v>
      </c>
      <c r="T2" s="23">
        <v>16</v>
      </c>
      <c r="U2" s="23">
        <v>17</v>
      </c>
      <c r="V2" s="23">
        <v>18</v>
      </c>
      <c r="W2" s="23">
        <v>19</v>
      </c>
      <c r="X2" s="23">
        <v>20</v>
      </c>
      <c r="Y2" s="23">
        <v>21</v>
      </c>
    </row>
    <row r="3" spans="1:25">
      <c r="A3" s="506" t="s">
        <v>104</v>
      </c>
      <c r="B3" s="506"/>
      <c r="C3" s="263"/>
    </row>
    <row r="4" spans="1:25" ht="15.75" thickBot="1">
      <c r="A4" s="54" t="s">
        <v>106</v>
      </c>
      <c r="B4" s="53">
        <f>IF(A4=Assumptions!B8,WA_Sales_Tax_Rate,ID_Sales_Tax_Rate)</f>
        <v>0.06</v>
      </c>
    </row>
    <row r="5" spans="1:25" ht="18.75" thickBot="1">
      <c r="A5" s="263"/>
      <c r="C5" s="503" t="s">
        <v>0</v>
      </c>
      <c r="D5" s="504"/>
      <c r="E5" s="504"/>
      <c r="F5" s="505"/>
    </row>
    <row r="6" spans="1:25" hidden="1" outlineLevel="1">
      <c r="C6" s="31" t="s">
        <v>44</v>
      </c>
      <c r="D6" s="55"/>
      <c r="E6" s="56">
        <f>(1-INDEX('DATA (Nominal)'!$B$319:$BX$319,1,MATCH(E$1,'DATA (Nominal)'!$B$1:$BX$1,0)))*'Resource Options'!$E$3*8760</f>
        <v>1533702.1140000001</v>
      </c>
      <c r="F6" s="2">
        <f>(1-INDEX('DATA (Nominal)'!$B$319:$BX$319,1,MATCH(F$1,'DATA (Nominal)'!$B$1:$BX$1,0)))*'Resource Options'!$E$3*8760</f>
        <v>1533702.1140000001</v>
      </c>
      <c r="G6" s="2">
        <f>(1-INDEX('DATA (Nominal)'!$B$319:$BX$319,1,MATCH(G$1,'DATA (Nominal)'!$B$1:$BX$1,0)))*'Resource Options'!$E$3*8760</f>
        <v>1533702.1140000001</v>
      </c>
      <c r="H6" s="2">
        <f>(1-INDEX('DATA (Nominal)'!$B$319:$BX$319,1,MATCH(H$1,'DATA (Nominal)'!$B$1:$BX$1,0)))*'Resource Options'!$E$3*8760</f>
        <v>1533702.1140000001</v>
      </c>
      <c r="I6" s="2">
        <f>(1-INDEX('DATA (Nominal)'!$B$319:$BX$319,1,MATCH(I$1,'DATA (Nominal)'!$B$1:$BX$1,0)))*'Resource Options'!$E$3*8760</f>
        <v>1533702.1140000001</v>
      </c>
      <c r="J6" s="2">
        <f>(1-INDEX('DATA (Nominal)'!$B$319:$BX$319,1,MATCH(J$1,'DATA (Nominal)'!$B$1:$BX$1,0)))*'Resource Options'!$E$3*8760</f>
        <v>1533702.1140000001</v>
      </c>
      <c r="K6" s="2">
        <f>(1-INDEX('DATA (Nominal)'!$B$319:$BX$319,1,MATCH(K$1,'DATA (Nominal)'!$B$1:$BX$1,0)))*'Resource Options'!$E$3*8760</f>
        <v>1533702.1140000001</v>
      </c>
      <c r="L6" s="2">
        <f>(1-INDEX('DATA (Nominal)'!$B$319:$BX$319,1,MATCH(L$1,'DATA (Nominal)'!$B$1:$BX$1,0)))*'Resource Options'!$E$3*8760</f>
        <v>1533702.1140000001</v>
      </c>
      <c r="M6" s="2">
        <f>(1-INDEX('DATA (Nominal)'!$B$319:$BX$319,1,MATCH(M$1,'DATA (Nominal)'!$B$1:$BX$1,0)))*'Resource Options'!$E$3*8760</f>
        <v>1533702.1140000001</v>
      </c>
      <c r="N6" s="2">
        <f>(1-INDEX('DATA (Nominal)'!$B$319:$BX$319,1,MATCH(N$1,'DATA (Nominal)'!$B$1:$BX$1,0)))*'Resource Options'!$E$3*8760</f>
        <v>1533702.1140000001</v>
      </c>
      <c r="O6" s="2">
        <f>(1-INDEX('DATA (Nominal)'!$B$319:$BX$319,1,MATCH(O$1,'DATA (Nominal)'!$B$1:$BX$1,0)))*'Resource Options'!$E$3*8760</f>
        <v>1533702.1140000001</v>
      </c>
      <c r="P6" s="2">
        <f>(1-INDEX('DATA (Nominal)'!$B$319:$BX$319,1,MATCH(P$1,'DATA (Nominal)'!$B$1:$BX$1,0)))*'Resource Options'!$E$3*8760</f>
        <v>1533702.1140000001</v>
      </c>
      <c r="Q6" s="2">
        <f>(1-INDEX('DATA (Nominal)'!$B$319:$BX$319,1,MATCH(Q$1,'DATA (Nominal)'!$B$1:$BX$1,0)))*'Resource Options'!$E$3*8760</f>
        <v>1533702.1140000001</v>
      </c>
      <c r="R6" s="2">
        <f>(1-INDEX('DATA (Nominal)'!$B$319:$BX$319,1,MATCH(R$1,'DATA (Nominal)'!$B$1:$BX$1,0)))*'Resource Options'!$E$3*8760</f>
        <v>1533702.1140000001</v>
      </c>
      <c r="S6" s="2">
        <f>(1-INDEX('DATA (Nominal)'!$B$319:$BX$319,1,MATCH(S$1,'DATA (Nominal)'!$B$1:$BX$1,0)))*'Resource Options'!$E$3*8760</f>
        <v>1533702.1140000001</v>
      </c>
      <c r="T6" s="2">
        <f>(1-INDEX('DATA (Nominal)'!$B$319:$BX$319,1,MATCH(T$1,'DATA (Nominal)'!$B$1:$BX$1,0)))*'Resource Options'!$E$3*8760</f>
        <v>1533702.1140000001</v>
      </c>
      <c r="U6" s="2">
        <f>(1-INDEX('DATA (Nominal)'!$B$319:$BX$319,1,MATCH(U$1,'DATA (Nominal)'!$B$1:$BX$1,0)))*'Resource Options'!$E$3*8760</f>
        <v>1533702.1140000001</v>
      </c>
      <c r="V6" s="2">
        <f>(1-INDEX('DATA (Nominal)'!$B$319:$BX$319,1,MATCH(V$1,'DATA (Nominal)'!$B$1:$BX$1,0)))*'Resource Options'!$E$3*8760</f>
        <v>1533702.1140000001</v>
      </c>
      <c r="W6" s="2">
        <f>(1-INDEX('DATA (Nominal)'!$B$319:$BX$319,1,MATCH(W$1,'DATA (Nominal)'!$B$1:$BX$1,0)))*'Resource Options'!$E$3*8760</f>
        <v>1533702.1140000001</v>
      </c>
      <c r="X6" s="16">
        <f>(1-INDEX('DATA (Nominal)'!$B$319:$BX$319,1,MATCH(X$1,'DATA (Nominal)'!$B$1:$BX$1,0)))*'Resource Options'!$E$3*8760</f>
        <v>1533702.1140000001</v>
      </c>
    </row>
    <row r="7" spans="1:25" hidden="1" outlineLevel="1">
      <c r="C7" s="33" t="s">
        <v>82</v>
      </c>
      <c r="D7" s="57"/>
      <c r="E7" s="58">
        <f t="shared" ref="E7:X7" si="1">E6*$E10/1000</f>
        <v>15398369.224560002</v>
      </c>
      <c r="F7" s="3">
        <f t="shared" si="1"/>
        <v>15398369.224560002</v>
      </c>
      <c r="G7" s="3">
        <f t="shared" si="1"/>
        <v>15398369.224560002</v>
      </c>
      <c r="H7" s="3">
        <f t="shared" si="1"/>
        <v>15398369.224560002</v>
      </c>
      <c r="I7" s="3">
        <f t="shared" si="1"/>
        <v>15398369.224560002</v>
      </c>
      <c r="J7" s="3">
        <f t="shared" si="1"/>
        <v>15398369.224560002</v>
      </c>
      <c r="K7" s="3">
        <f t="shared" si="1"/>
        <v>15398369.224560002</v>
      </c>
      <c r="L7" s="3">
        <f t="shared" si="1"/>
        <v>15398369.224560002</v>
      </c>
      <c r="M7" s="3">
        <f t="shared" si="1"/>
        <v>15398369.224560002</v>
      </c>
      <c r="N7" s="3">
        <f t="shared" si="1"/>
        <v>15398369.224560002</v>
      </c>
      <c r="O7" s="3">
        <f t="shared" si="1"/>
        <v>15398369.224560002</v>
      </c>
      <c r="P7" s="3">
        <f t="shared" si="1"/>
        <v>15398369.224560002</v>
      </c>
      <c r="Q7" s="3">
        <f t="shared" si="1"/>
        <v>15398369.224560002</v>
      </c>
      <c r="R7" s="3">
        <f t="shared" si="1"/>
        <v>15398369.224560002</v>
      </c>
      <c r="S7" s="3">
        <f t="shared" si="1"/>
        <v>15398369.224560002</v>
      </c>
      <c r="T7" s="3">
        <f t="shared" si="1"/>
        <v>15398369.224560002</v>
      </c>
      <c r="U7" s="3">
        <f t="shared" si="1"/>
        <v>15398369.224560002</v>
      </c>
      <c r="V7" s="3">
        <f t="shared" si="1"/>
        <v>15398369.224560002</v>
      </c>
      <c r="W7" s="3">
        <f t="shared" si="1"/>
        <v>15398369.224560002</v>
      </c>
      <c r="X7" s="5">
        <f t="shared" si="1"/>
        <v>15398369.224560002</v>
      </c>
    </row>
    <row r="8" spans="1:25" hidden="1" outlineLevel="1">
      <c r="C8" s="33"/>
      <c r="D8" s="57"/>
      <c r="E8" s="5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5"/>
    </row>
    <row r="9" spans="1:25" hidden="1" outlineLevel="1">
      <c r="C9" s="33"/>
      <c r="D9" s="57"/>
      <c r="E9" s="59" t="s">
        <v>85</v>
      </c>
      <c r="F9" s="254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5"/>
    </row>
    <row r="10" spans="1:25" hidden="1" outlineLevel="1">
      <c r="C10" s="33" t="s">
        <v>86</v>
      </c>
      <c r="D10" s="57"/>
      <c r="E10" s="58">
        <f>INDEX('DATA (Nominal)'!$B$36:$BX$36,1,MATCH($B$1,'DATA (Nominal)'!$B$1:$BX$1,0))*1000</f>
        <v>10040</v>
      </c>
      <c r="F10" s="254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5"/>
    </row>
    <row r="11" spans="1:25" hidden="1" outlineLevel="1">
      <c r="C11" s="33" t="s">
        <v>87</v>
      </c>
      <c r="D11" s="57"/>
      <c r="E11" s="58">
        <f>'Resource Options'!$E$3</f>
        <v>180.495</v>
      </c>
      <c r="F11" s="254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5"/>
    </row>
    <row r="12" spans="1:25" hidden="1" outlineLevel="1">
      <c r="C12" s="33" t="s">
        <v>88</v>
      </c>
      <c r="D12" s="57"/>
      <c r="E12" s="41">
        <f>INDEX('DATA (Nominal)'!$B$84:$BX$84,1,MATCH($B$1,'DATA (Nominal)'!$B$1:$BX$1,0))*'Resource Options'!$E$3/1000</f>
        <v>145.06327930709094</v>
      </c>
      <c r="F12" s="254">
        <f>INDEX('DATA (Nominal)'!$B$84:$BX$84,1,MATCH($B$1,'DATA (Nominal)'!$B$1:$BX$1,0))</f>
        <v>803.69694067476075</v>
      </c>
      <c r="X12" s="42"/>
    </row>
    <row r="13" spans="1:25" hidden="1" outlineLevel="1">
      <c r="C13" s="33" t="s">
        <v>81</v>
      </c>
      <c r="D13" s="57"/>
      <c r="E13" s="41">
        <f>E12*AFUDC!$C$3</f>
        <v>8.4992575346024601</v>
      </c>
      <c r="F13" s="254">
        <f>E12*AFUDC!$C$3</f>
        <v>8.4992575346024601</v>
      </c>
      <c r="X13" s="42"/>
    </row>
    <row r="14" spans="1:25" hidden="1" outlineLevel="1">
      <c r="C14" s="33" t="s">
        <v>89</v>
      </c>
      <c r="D14" s="57"/>
      <c r="E14" s="41">
        <f>E12*$B$4</f>
        <v>8.7037967584254563</v>
      </c>
      <c r="F14" s="130">
        <f>F12*$B$4</f>
        <v>48.221816440485647</v>
      </c>
      <c r="X14" s="42"/>
    </row>
    <row r="15" spans="1:25" hidden="1" outlineLevel="1">
      <c r="C15" s="33" t="s">
        <v>90</v>
      </c>
      <c r="D15" s="57"/>
      <c r="E15" s="41">
        <f>SUM(E12:E14)</f>
        <v>162.26633360011886</v>
      </c>
      <c r="F15" s="130">
        <f>SUM(F12:F14)</f>
        <v>860.41801464984883</v>
      </c>
      <c r="X15" s="42"/>
    </row>
    <row r="16" spans="1:25" hidden="1" outlineLevel="1">
      <c r="C16" s="33"/>
      <c r="D16" s="57"/>
      <c r="E16" s="60"/>
      <c r="X16" s="42"/>
    </row>
    <row r="17" spans="3:24" hidden="1" outlineLevel="1">
      <c r="C17" s="33" t="s">
        <v>91</v>
      </c>
      <c r="D17" s="57"/>
      <c r="E17" s="60"/>
      <c r="X17" s="42"/>
    </row>
    <row r="18" spans="3:24" hidden="1" outlineLevel="1">
      <c r="C18" s="33" t="s">
        <v>47</v>
      </c>
      <c r="D18" s="4">
        <f>-PMT(Discount_Rate,20,NPV(Discount_Rate,E18:X18))</f>
        <v>1161276.3717849436</v>
      </c>
      <c r="E18" s="4">
        <f>$E11*1000*INDEX('DATA (Nominal)'!$B$203:$BX$203,MATCH(E$1,'DATA (Nominal)'!$B$1:$BX$1,0))</f>
        <v>979480.43239998072</v>
      </c>
      <c r="F18" s="4">
        <f>$E11*1000*INDEX('DATA (Nominal)'!$B$203:$BX$203,MATCH(F$1,'DATA (Nominal)'!$B$1:$BX$1,0))</f>
        <v>1001355.495390247</v>
      </c>
      <c r="G18" s="4">
        <f>$E11*1000*INDEX('DATA (Nominal)'!$B$203:$BX$203,MATCH(G$1,'DATA (Nominal)'!$B$1:$BX$1,0))</f>
        <v>1023719.1014539626</v>
      </c>
      <c r="H18" s="4">
        <f>$E11*1000*INDEX('DATA (Nominal)'!$B$203:$BX$203,MATCH(H$1,'DATA (Nominal)'!$B$1:$BX$1,0))</f>
        <v>1046240.9216859498</v>
      </c>
      <c r="I18" s="4">
        <f>$E11*1000*INDEX('DATA (Nominal)'!$B$203:$BX$203,MATCH(I$1,'DATA (Nominal)'!$B$1:$BX$1,0))</f>
        <v>1069258.2219630408</v>
      </c>
      <c r="J18" s="4">
        <f>$E11*1000*INDEX('DATA (Nominal)'!$B$203:$BX$203,MATCH(J$1,'DATA (Nominal)'!$B$1:$BX$1,0))</f>
        <v>1092781.9028462276</v>
      </c>
      <c r="K18" s="4">
        <f>$E11*1000*INDEX('DATA (Nominal)'!$B$203:$BX$203,MATCH(K$1,'DATA (Nominal)'!$B$1:$BX$1,0))</f>
        <v>1116823.1047088446</v>
      </c>
      <c r="L18" s="4">
        <f>$E11*1000*INDEX('DATA (Nominal)'!$B$203:$BX$203,MATCH(L$1,'DATA (Nominal)'!$B$1:$BX$1,0))</f>
        <v>1141393.2130124392</v>
      </c>
      <c r="M18" s="4">
        <f>$E11*1000*INDEX('DATA (Nominal)'!$B$203:$BX$203,MATCH(M$1,'DATA (Nominal)'!$B$1:$BX$1,0))</f>
        <v>1166503.8636987128</v>
      </c>
      <c r="N18" s="4">
        <f>$E11*1000*INDEX('DATA (Nominal)'!$B$203:$BX$203,MATCH(N$1,'DATA (Nominal)'!$B$1:$BX$1,0))</f>
        <v>1192166.9487000846</v>
      </c>
      <c r="O18" s="4">
        <f>$E11*1000*INDEX('DATA (Nominal)'!$B$203:$BX$203,MATCH(O$1,'DATA (Nominal)'!$B$1:$BX$1,0))</f>
        <v>1218394.6215714864</v>
      </c>
      <c r="P18" s="4">
        <f>$E11*1000*INDEX('DATA (Nominal)'!$B$203:$BX$203,MATCH(P$1,'DATA (Nominal)'!$B$1:$BX$1,0))</f>
        <v>1245199.303246059</v>
      </c>
      <c r="Q18" s="4">
        <f>$E11*1000*INDEX('DATA (Nominal)'!$B$203:$BX$203,MATCH(Q$1,'DATA (Nominal)'!$B$1:$BX$1,0))</f>
        <v>1272593.6879174723</v>
      </c>
      <c r="R18" s="4">
        <f>$E11*1000*INDEX('DATA (Nominal)'!$B$203:$BX$203,MATCH(R$1,'DATA (Nominal)'!$B$1:$BX$1,0))</f>
        <v>1300590.7490516568</v>
      </c>
      <c r="S18" s="4">
        <f>$E11*1000*INDEX('DATA (Nominal)'!$B$203:$BX$203,MATCH(S$1,'DATA (Nominal)'!$B$1:$BX$1,0))</f>
        <v>1329203.7455307932</v>
      </c>
      <c r="T18" s="4">
        <f>$E11*1000*INDEX('DATA (Nominal)'!$B$203:$BX$203,MATCH(T$1,'DATA (Nominal)'!$B$1:$BX$1,0))</f>
        <v>1358446.2279324706</v>
      </c>
      <c r="U18" s="4">
        <f>$E11*1000*INDEX('DATA (Nominal)'!$B$203:$BX$203,MATCH(U$1,'DATA (Nominal)'!$B$1:$BX$1,0))</f>
        <v>1388332.0449469851</v>
      </c>
      <c r="V18" s="4">
        <f>$E11*1000*INDEX('DATA (Nominal)'!$B$203:$BX$203,MATCH(V$1,'DATA (Nominal)'!$B$1:$BX$1,0))</f>
        <v>1418875.3499358187</v>
      </c>
      <c r="W18" s="4">
        <f>$E11*1000*INDEX('DATA (Nominal)'!$B$203:$BX$203,MATCH(W$1,'DATA (Nominal)'!$B$1:$BX$1,0))</f>
        <v>1450090.607634407</v>
      </c>
      <c r="X18" s="43">
        <f>$E11*1000*INDEX('DATA (Nominal)'!$B$203:$BX$203,MATCH(X$1,'DATA (Nominal)'!$B$1:$BX$1,0))</f>
        <v>1481992.6010023635</v>
      </c>
    </row>
    <row r="19" spans="3:24" hidden="1" outlineLevel="1">
      <c r="C19" s="33" t="s">
        <v>92</v>
      </c>
      <c r="D19" s="4">
        <f>-PMT(Discount_Rate,20,NPV(Discount_Rate,E19:X19))</f>
        <v>18028337.611025825</v>
      </c>
      <c r="E19" s="4">
        <f>$E15*Assumptions!AG$3*1000000</f>
        <v>22824565.78040123</v>
      </c>
      <c r="F19" s="4">
        <f>$E15*Assumptions!AH$3*1000000</f>
        <v>22177311.404207103</v>
      </c>
      <c r="G19" s="4">
        <f>$E15*Assumptions!AI$3*1000000</f>
        <v>21484396.94811504</v>
      </c>
      <c r="H19" s="4">
        <f>$E15*Assumptions!AJ$3*1000000</f>
        <v>20807716.147478491</v>
      </c>
      <c r="I19" s="4">
        <f>$E15*Assumptions!AK$3*1000000</f>
        <v>20146052.647710014</v>
      </c>
      <c r="J19" s="4">
        <f>$E15*Assumptions!AL$3*1000000</f>
        <v>19498299.254249249</v>
      </c>
      <c r="K19" s="4">
        <f>$E15*Assumptions!AM$3*1000000</f>
        <v>18863411.149694148</v>
      </c>
      <c r="L19" s="4">
        <f>$E15*Assumptions!AN$3*1000000</f>
        <v>18240421.488090593</v>
      </c>
      <c r="M19" s="4">
        <f>$E15*Assumptions!AO$3*1000000</f>
        <v>17624121.776717994</v>
      </c>
      <c r="N19" s="4">
        <f>$E15*Assumptions!AP$3*1000000</f>
        <v>17008788.911299512</v>
      </c>
      <c r="O19" s="4">
        <f>$E15*Assumptions!AQ$3*1000000</f>
        <v>16393456.045881039</v>
      </c>
      <c r="P19" s="4">
        <f>$E15*Assumptions!AR$3*1000000</f>
        <v>15778123.180462556</v>
      </c>
      <c r="Q19" s="4">
        <f>$E15*Assumptions!AS$3*1000000</f>
        <v>15162790.315044072</v>
      </c>
      <c r="R19" s="4">
        <f>$E15*Assumptions!AT$3*1000000</f>
        <v>14547457.449625598</v>
      </c>
      <c r="S19" s="4">
        <f>$E15*Assumptions!AU$3*1000000</f>
        <v>13932124.584207116</v>
      </c>
      <c r="T19" s="4">
        <f>$E15*Assumptions!AV$3*1000000</f>
        <v>13316791.718788641</v>
      </c>
      <c r="U19" s="4">
        <f>$E15*Assumptions!AW$3*1000000</f>
        <v>12701458.85337016</v>
      </c>
      <c r="V19" s="4">
        <f>$E15*Assumptions!AX$3*1000000</f>
        <v>12086125.987951687</v>
      </c>
      <c r="W19" s="4">
        <f>$E15*Assumptions!AY$3*1000000</f>
        <v>11470793.122533208</v>
      </c>
      <c r="X19" s="43">
        <f>$E15*Assumptions!AZ$3*1000000</f>
        <v>10855460.257114733</v>
      </c>
    </row>
    <row r="20" spans="3:24" hidden="1" outlineLevel="1">
      <c r="C20" s="33" t="s">
        <v>93</v>
      </c>
      <c r="D20" s="4">
        <f>-PMT(Discount_Rate,20,NPV(Discount_Rate,E20:X20))</f>
        <v>33855.851343018236</v>
      </c>
      <c r="E20" s="4">
        <f t="shared" ref="E20:X20" si="2">E18*Misc_Fees</f>
        <v>28555.772526189037</v>
      </c>
      <c r="F20" s="4">
        <f t="shared" si="2"/>
        <v>29193.51811260726</v>
      </c>
      <c r="G20" s="4">
        <f t="shared" si="2"/>
        <v>29845.506683788826</v>
      </c>
      <c r="H20" s="4">
        <f t="shared" si="2"/>
        <v>30502.107830832178</v>
      </c>
      <c r="I20" s="4">
        <f t="shared" si="2"/>
        <v>31173.154203110491</v>
      </c>
      <c r="J20" s="4">
        <f t="shared" si="2"/>
        <v>31858.96359557892</v>
      </c>
      <c r="K20" s="4">
        <f t="shared" si="2"/>
        <v>32559.860794681652</v>
      </c>
      <c r="L20" s="4">
        <f t="shared" si="2"/>
        <v>33276.177732164651</v>
      </c>
      <c r="M20" s="4">
        <f t="shared" si="2"/>
        <v>34008.25364227227</v>
      </c>
      <c r="N20" s="4">
        <f t="shared" si="2"/>
        <v>34756.435222402266</v>
      </c>
      <c r="O20" s="4">
        <f t="shared" si="2"/>
        <v>35521.076797295114</v>
      </c>
      <c r="P20" s="4">
        <f t="shared" si="2"/>
        <v>36302.540486835605</v>
      </c>
      <c r="Q20" s="4">
        <f t="shared" si="2"/>
        <v>37101.196377545988</v>
      </c>
      <c r="R20" s="4">
        <f t="shared" si="2"/>
        <v>37917.422697852002</v>
      </c>
      <c r="S20" s="4">
        <f t="shared" si="2"/>
        <v>38751.605997204744</v>
      </c>
      <c r="T20" s="4">
        <f t="shared" si="2"/>
        <v>39604.141329143247</v>
      </c>
      <c r="U20" s="4">
        <f t="shared" si="2"/>
        <v>40475.4324383844</v>
      </c>
      <c r="V20" s="4">
        <f t="shared" si="2"/>
        <v>41365.891952028855</v>
      </c>
      <c r="W20" s="4">
        <f t="shared" si="2"/>
        <v>42275.941574973498</v>
      </c>
      <c r="X20" s="43">
        <f t="shared" si="2"/>
        <v>43206.012289622908</v>
      </c>
    </row>
    <row r="21" spans="3:24" hidden="1" outlineLevel="1">
      <c r="C21" s="33" t="s">
        <v>94</v>
      </c>
      <c r="D21" s="4">
        <f>-PMT(Discount_Rate,20,NPV(Discount_Rate,E21:X21))</f>
        <v>19223469.83415379</v>
      </c>
      <c r="E21" s="4">
        <f t="shared" ref="E21:X21" si="3">SUM(E18:E20)</f>
        <v>23832601.9853274</v>
      </c>
      <c r="F21" s="4">
        <f t="shared" si="3"/>
        <v>23207860.417709958</v>
      </c>
      <c r="G21" s="4">
        <f t="shared" si="3"/>
        <v>22537961.556252792</v>
      </c>
      <c r="H21" s="4">
        <f t="shared" si="3"/>
        <v>21884459.176995274</v>
      </c>
      <c r="I21" s="4">
        <f t="shared" si="3"/>
        <v>21246484.023876164</v>
      </c>
      <c r="J21" s="4">
        <f t="shared" si="3"/>
        <v>20622940.120691057</v>
      </c>
      <c r="K21" s="4">
        <f t="shared" si="3"/>
        <v>20012794.115197673</v>
      </c>
      <c r="L21" s="4">
        <f t="shared" si="3"/>
        <v>19415090.878835198</v>
      </c>
      <c r="M21" s="4">
        <f t="shared" si="3"/>
        <v>18824633.89405898</v>
      </c>
      <c r="N21" s="4">
        <f t="shared" si="3"/>
        <v>18235712.295221999</v>
      </c>
      <c r="O21" s="4">
        <f t="shared" si="3"/>
        <v>17647371.744249821</v>
      </c>
      <c r="P21" s="4">
        <f t="shared" si="3"/>
        <v>17059625.024195451</v>
      </c>
      <c r="Q21" s="4">
        <f t="shared" si="3"/>
        <v>16472485.19933909</v>
      </c>
      <c r="R21" s="4">
        <f t="shared" si="3"/>
        <v>15885965.621375106</v>
      </c>
      <c r="S21" s="4">
        <f t="shared" si="3"/>
        <v>15300079.935735114</v>
      </c>
      <c r="T21" s="4">
        <f t="shared" si="3"/>
        <v>14714842.088050254</v>
      </c>
      <c r="U21" s="4">
        <f t="shared" si="3"/>
        <v>14130266.33075553</v>
      </c>
      <c r="V21" s="4">
        <f t="shared" si="3"/>
        <v>13546367.229839534</v>
      </c>
      <c r="W21" s="4">
        <f t="shared" si="3"/>
        <v>12963159.671742588</v>
      </c>
      <c r="X21" s="43">
        <f t="shared" si="3"/>
        <v>12380658.870406719</v>
      </c>
    </row>
    <row r="22" spans="3:24" hidden="1" outlineLevel="1">
      <c r="C22" s="33"/>
      <c r="D22" s="4"/>
      <c r="E22" s="4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44"/>
    </row>
    <row r="23" spans="3:24" hidden="1" outlineLevel="1">
      <c r="C23" s="33" t="s">
        <v>95</v>
      </c>
      <c r="D23" s="4"/>
      <c r="E23" s="4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44"/>
    </row>
    <row r="24" spans="3:24" hidden="1" outlineLevel="1">
      <c r="C24" s="33" t="s">
        <v>48</v>
      </c>
      <c r="D24" s="4">
        <f t="shared" ref="D24:D29" si="4">-PMT(Discount_Rate,20,NPV(Discount_Rate,E24:X24))</f>
        <v>5889169.2795386743</v>
      </c>
      <c r="E24" s="4">
        <f>E6*INDEX('DATA (Nominal)'!$B$125:$BX$125,1,MATCH(E$1,'DATA (Nominal)'!$B$1:$BX$1,0))</f>
        <v>4967229.3457008842</v>
      </c>
      <c r="F24" s="4">
        <f>F6*INDEX('DATA (Nominal)'!$B$125:$BX$125,1,MATCH(F$1,'DATA (Nominal)'!$B$1:$BX$1,0))</f>
        <v>5078164.1344215376</v>
      </c>
      <c r="G24" s="4">
        <f>G6*INDEX('DATA (Nominal)'!$B$125:$BX$125,1,MATCH(G$1,'DATA (Nominal)'!$B$1:$BX$1,0))</f>
        <v>5191576.466756952</v>
      </c>
      <c r="H24" s="4">
        <f>H6*INDEX('DATA (Nominal)'!$B$125:$BX$125,1,MATCH(H$1,'DATA (Nominal)'!$B$1:$BX$1,0))</f>
        <v>5305791.1490256051</v>
      </c>
      <c r="I24" s="4">
        <f>I6*INDEX('DATA (Nominal)'!$B$125:$BX$125,1,MATCH(I$1,'DATA (Nominal)'!$B$1:$BX$1,0))</f>
        <v>5422518.5543041676</v>
      </c>
      <c r="J24" s="4">
        <f>J6*INDEX('DATA (Nominal)'!$B$125:$BX$125,1,MATCH(J$1,'DATA (Nominal)'!$B$1:$BX$1,0))</f>
        <v>5541813.9624988604</v>
      </c>
      <c r="K24" s="4">
        <f>K6*INDEX('DATA (Nominal)'!$B$125:$BX$125,1,MATCH(K$1,'DATA (Nominal)'!$B$1:$BX$1,0))</f>
        <v>5663733.8696738342</v>
      </c>
      <c r="L24" s="4">
        <f>L6*INDEX('DATA (Nominal)'!$B$125:$BX$125,1,MATCH(L$1,'DATA (Nominal)'!$B$1:$BX$1,0))</f>
        <v>5788336.0148066599</v>
      </c>
      <c r="M24" s="4">
        <f>M6*INDEX('DATA (Nominal)'!$B$125:$BX$125,1,MATCH(M$1,'DATA (Nominal)'!$B$1:$BX$1,0))</f>
        <v>5915679.4071324067</v>
      </c>
      <c r="N24" s="4">
        <f>N6*INDEX('DATA (Nominal)'!$B$125:$BX$125,1,MATCH(N$1,'DATA (Nominal)'!$B$1:$BX$1,0))</f>
        <v>6045824.3540893197</v>
      </c>
      <c r="O24" s="4">
        <f>O6*INDEX('DATA (Nominal)'!$B$125:$BX$125,1,MATCH(O$1,'DATA (Nominal)'!$B$1:$BX$1,0))</f>
        <v>6178832.4898792841</v>
      </c>
      <c r="P24" s="4">
        <f>P6*INDEX('DATA (Nominal)'!$B$125:$BX$125,1,MATCH(P$1,'DATA (Nominal)'!$B$1:$BX$1,0))</f>
        <v>6314766.8046566285</v>
      </c>
      <c r="Q24" s="4">
        <f>Q6*INDEX('DATA (Nominal)'!$B$125:$BX$125,1,MATCH(Q$1,'DATA (Nominal)'!$B$1:$BX$1,0))</f>
        <v>6453691.6743590729</v>
      </c>
      <c r="R24" s="4">
        <f>R6*INDEX('DATA (Nominal)'!$B$125:$BX$125,1,MATCH(R$1,'DATA (Nominal)'!$B$1:$BX$1,0))</f>
        <v>6595672.891194975</v>
      </c>
      <c r="S24" s="4">
        <f>S6*INDEX('DATA (Nominal)'!$B$125:$BX$125,1,MATCH(S$1,'DATA (Nominal)'!$B$1:$BX$1,0))</f>
        <v>6740777.6948012635</v>
      </c>
      <c r="T24" s="4">
        <f>T6*INDEX('DATA (Nominal)'!$B$125:$BX$125,1,MATCH(T$1,'DATA (Nominal)'!$B$1:$BX$1,0))</f>
        <v>6889074.8040868919</v>
      </c>
      <c r="U24" s="4">
        <f>U6*INDEX('DATA (Nominal)'!$B$125:$BX$125,1,MATCH(U$1,'DATA (Nominal)'!$B$1:$BX$1,0))</f>
        <v>7040634.4497768022</v>
      </c>
      <c r="V24" s="4">
        <f>V6*INDEX('DATA (Nominal)'!$B$125:$BX$125,1,MATCH(V$1,'DATA (Nominal)'!$B$1:$BX$1,0))</f>
        <v>7195528.407671893</v>
      </c>
      <c r="W24" s="4">
        <f>W6*INDEX('DATA (Nominal)'!$B$125:$BX$125,1,MATCH(W$1,'DATA (Nominal)'!$B$1:$BX$1,0))</f>
        <v>7353830.0326406732</v>
      </c>
      <c r="X24" s="43">
        <f>X6*INDEX('DATA (Nominal)'!$B$125:$BX$125,1,MATCH(X$1,'DATA (Nominal)'!$B$1:$BX$1,0))</f>
        <v>7515614.2933587693</v>
      </c>
    </row>
    <row r="25" spans="3:24" hidden="1" outlineLevel="1">
      <c r="C25" s="33" t="s">
        <v>96</v>
      </c>
      <c r="D25" s="4">
        <f t="shared" si="4"/>
        <v>64625681.360653341</v>
      </c>
      <c r="E25" s="4">
        <f>E7*INDEX('DATA (Nominal)'!$B$133:$BX$133,1,MATCH(E$1,'DATA (Nominal)'!$B$1:$BX$1,0))</f>
        <v>62422221.358701944</v>
      </c>
      <c r="F25" s="4">
        <f>F7*INDEX('DATA (Nominal)'!$B$133:$BX$133,1,MATCH(F$1,'DATA (Nominal)'!$B$1:$BX$1,0))</f>
        <v>57300455.6825772</v>
      </c>
      <c r="G25" s="4">
        <f>G7*INDEX('DATA (Nominal)'!$B$133:$BX$133,1,MATCH(G$1,'DATA (Nominal)'!$B$1:$BX$1,0))</f>
        <v>54782827.70289249</v>
      </c>
      <c r="H25" s="4">
        <f>H7*INDEX('DATA (Nominal)'!$B$133:$BX$133,1,MATCH(H$1,'DATA (Nominal)'!$B$1:$BX$1,0))</f>
        <v>54672237.808895931</v>
      </c>
      <c r="I25" s="4">
        <f>I7*INDEX('DATA (Nominal)'!$B$133:$BX$133,1,MATCH(I$1,'DATA (Nominal)'!$B$1:$BX$1,0))</f>
        <v>55917504.138686694</v>
      </c>
      <c r="J25" s="4">
        <f>J7*INDEX('DATA (Nominal)'!$B$133:$BX$133,1,MATCH(J$1,'DATA (Nominal)'!$B$1:$BX$1,0))</f>
        <v>58417017.067516893</v>
      </c>
      <c r="K25" s="4">
        <f>K7*INDEX('DATA (Nominal)'!$B$133:$BX$133,1,MATCH(K$1,'DATA (Nominal)'!$B$1:$BX$1,0))</f>
        <v>61010758.485106356</v>
      </c>
      <c r="L25" s="4">
        <f>L7*INDEX('DATA (Nominal)'!$B$133:$BX$133,1,MATCH(L$1,'DATA (Nominal)'!$B$1:$BX$1,0))</f>
        <v>62572054.163498223</v>
      </c>
      <c r="M25" s="4">
        <f>M7*INDEX('DATA (Nominal)'!$B$133:$BX$133,1,MATCH(M$1,'DATA (Nominal)'!$B$1:$BX$1,0))</f>
        <v>64906032.925060518</v>
      </c>
      <c r="N25" s="4">
        <f>N7*INDEX('DATA (Nominal)'!$B$133:$BX$133,1,MATCH(N$1,'DATA (Nominal)'!$B$1:$BX$1,0))</f>
        <v>65666554.113207452</v>
      </c>
      <c r="O25" s="4">
        <f>O7*INDEX('DATA (Nominal)'!$B$133:$BX$133,1,MATCH(O$1,'DATA (Nominal)'!$B$1:$BX$1,0))</f>
        <v>67444961.457451984</v>
      </c>
      <c r="P25" s="4">
        <f>P7*INDEX('DATA (Nominal)'!$B$133:$BX$133,1,MATCH(P$1,'DATA (Nominal)'!$B$1:$BX$1,0))</f>
        <v>68723097.008589402</v>
      </c>
      <c r="Q25" s="4">
        <f>Q7*INDEX('DATA (Nominal)'!$B$133:$BX$133,1,MATCH(Q$1,'DATA (Nominal)'!$B$1:$BX$1,0))</f>
        <v>70228892.321719497</v>
      </c>
      <c r="R25" s="4">
        <f>R7*INDEX('DATA (Nominal)'!$B$133:$BX$133,1,MATCH(R$1,'DATA (Nominal)'!$B$1:$BX$1,0))</f>
        <v>71233533.234938279</v>
      </c>
      <c r="S25" s="4">
        <f>S7*INDEX('DATA (Nominal)'!$B$133:$BX$133,1,MATCH(S$1,'DATA (Nominal)'!$B$1:$BX$1,0))</f>
        <v>73494336.771682501</v>
      </c>
      <c r="T25" s="4">
        <f>T7*INDEX('DATA (Nominal)'!$B$133:$BX$133,1,MATCH(T$1,'DATA (Nominal)'!$B$1:$BX$1,0))</f>
        <v>77053640.349983767</v>
      </c>
      <c r="U25" s="4">
        <f>U7*INDEX('DATA (Nominal)'!$B$133:$BX$133,1,MATCH(U$1,'DATA (Nominal)'!$B$1:$BX$1,0))</f>
        <v>78870067.147424877</v>
      </c>
      <c r="V25" s="4">
        <f>V7*INDEX('DATA (Nominal)'!$B$133:$BX$133,1,MATCH(V$1,'DATA (Nominal)'!$B$1:$BX$1,0))</f>
        <v>80345274.29894045</v>
      </c>
      <c r="W25" s="4">
        <f>W7*INDEX('DATA (Nominal)'!$B$133:$BX$133,1,MATCH(W$1,'DATA (Nominal)'!$B$1:$BX$1,0))</f>
        <v>83322011.895074725</v>
      </c>
      <c r="X25" s="43">
        <f>X7*INDEX('DATA (Nominal)'!$B$133:$BX$133,1,MATCH(X$1,'DATA (Nominal)'!$B$1:$BX$1,0))</f>
        <v>85065462.14300634</v>
      </c>
    </row>
    <row r="26" spans="3:24" hidden="1" outlineLevel="1">
      <c r="C26" s="33" t="s">
        <v>98</v>
      </c>
      <c r="D26" s="4">
        <f t="shared" si="4"/>
        <v>3231.2840680326667</v>
      </c>
      <c r="E26" s="4">
        <f>E25*INDEX('DATA (Nominal)'!$B$134:$BX$134,1,MATCH(E$1,'DATA (Nominal)'!$B$1:$BX$1,0))</f>
        <v>3121.1110679350973</v>
      </c>
      <c r="F26" s="4">
        <f>F25*INDEX('DATA (Nominal)'!$B$134:$BX$134,1,MATCH(F$1,'DATA (Nominal)'!$B$1:$BX$1,0))</f>
        <v>2865.0227841288602</v>
      </c>
      <c r="G26" s="4">
        <f>G25*INDEX('DATA (Nominal)'!$B$134:$BX$134,1,MATCH(G$1,'DATA (Nominal)'!$B$1:$BX$1,0))</f>
        <v>2739.1413851446246</v>
      </c>
      <c r="H26" s="4">
        <f>H25*INDEX('DATA (Nominal)'!$B$134:$BX$134,1,MATCH(H$1,'DATA (Nominal)'!$B$1:$BX$1,0))</f>
        <v>2733.6118904447967</v>
      </c>
      <c r="I26" s="4">
        <f>I25*INDEX('DATA (Nominal)'!$B$134:$BX$134,1,MATCH(I$1,'DATA (Nominal)'!$B$1:$BX$1,0))</f>
        <v>2795.875206934335</v>
      </c>
      <c r="J26" s="4">
        <f>J25*INDEX('DATA (Nominal)'!$B$134:$BX$134,1,MATCH(J$1,'DATA (Nominal)'!$B$1:$BX$1,0))</f>
        <v>2920.850853375845</v>
      </c>
      <c r="K26" s="4">
        <f>K25*INDEX('DATA (Nominal)'!$B$134:$BX$134,1,MATCH(K$1,'DATA (Nominal)'!$B$1:$BX$1,0))</f>
        <v>3050.5379242553181</v>
      </c>
      <c r="L26" s="4">
        <f>L25*INDEX('DATA (Nominal)'!$B$134:$BX$134,1,MATCH(L$1,'DATA (Nominal)'!$B$1:$BX$1,0))</f>
        <v>3128.6027081749112</v>
      </c>
      <c r="M26" s="4">
        <f>M25*INDEX('DATA (Nominal)'!$B$134:$BX$134,1,MATCH(M$1,'DATA (Nominal)'!$B$1:$BX$1,0))</f>
        <v>3245.3016462530259</v>
      </c>
      <c r="N26" s="4">
        <f>N25*INDEX('DATA (Nominal)'!$B$134:$BX$134,1,MATCH(N$1,'DATA (Nominal)'!$B$1:$BX$1,0))</f>
        <v>3283.3277056603729</v>
      </c>
      <c r="O26" s="4">
        <f>O25*INDEX('DATA (Nominal)'!$B$134:$BX$134,1,MATCH(O$1,'DATA (Nominal)'!$B$1:$BX$1,0))</f>
        <v>3372.2480728725996</v>
      </c>
      <c r="P26" s="4">
        <f>P25*INDEX('DATA (Nominal)'!$B$134:$BX$134,1,MATCH(P$1,'DATA (Nominal)'!$B$1:$BX$1,0))</f>
        <v>3436.1548504294701</v>
      </c>
      <c r="Q26" s="4">
        <f>Q25*INDEX('DATA (Nominal)'!$B$134:$BX$134,1,MATCH(Q$1,'DATA (Nominal)'!$B$1:$BX$1,0))</f>
        <v>3511.4446160859752</v>
      </c>
      <c r="R26" s="4">
        <f>R25*INDEX('DATA (Nominal)'!$B$134:$BX$134,1,MATCH(R$1,'DATA (Nominal)'!$B$1:$BX$1,0))</f>
        <v>3561.6766617469143</v>
      </c>
      <c r="S26" s="4">
        <f>S25*INDEX('DATA (Nominal)'!$B$134:$BX$134,1,MATCH(S$1,'DATA (Nominal)'!$B$1:$BX$1,0))</f>
        <v>3674.7168385841251</v>
      </c>
      <c r="T26" s="4">
        <f>T25*INDEX('DATA (Nominal)'!$B$134:$BX$134,1,MATCH(T$1,'DATA (Nominal)'!$B$1:$BX$1,0))</f>
        <v>3852.6820174991885</v>
      </c>
      <c r="U26" s="4">
        <f>U25*INDEX('DATA (Nominal)'!$B$134:$BX$134,1,MATCH(U$1,'DATA (Nominal)'!$B$1:$BX$1,0))</f>
        <v>3943.503357371244</v>
      </c>
      <c r="V26" s="4">
        <f>V25*INDEX('DATA (Nominal)'!$B$134:$BX$134,1,MATCH(V$1,'DATA (Nominal)'!$B$1:$BX$1,0))</f>
        <v>4017.2637149470229</v>
      </c>
      <c r="W26" s="4">
        <f>W25*INDEX('DATA (Nominal)'!$B$134:$BX$134,1,MATCH(W$1,'DATA (Nominal)'!$B$1:$BX$1,0))</f>
        <v>4166.100594753736</v>
      </c>
      <c r="X26" s="43">
        <f>X25*INDEX('DATA (Nominal)'!$B$134:$BX$134,1,MATCH(X$1,'DATA (Nominal)'!$B$1:$BX$1,0))</f>
        <v>4253.2731071503176</v>
      </c>
    </row>
    <row r="27" spans="3:24" s="263" customFormat="1" hidden="1" outlineLevel="1">
      <c r="C27" s="258" t="s">
        <v>242</v>
      </c>
      <c r="D27" s="255">
        <f t="shared" si="4"/>
        <v>0</v>
      </c>
      <c r="E27" s="255">
        <f>IF($A$4="Washington Sales Tax Rate:",SUM(E25:E26)*0.03852,0)</f>
        <v>0</v>
      </c>
      <c r="F27" s="255">
        <f t="shared" ref="F27:X27" si="5">IF($A$4="Washington Sales Tax Rate:",SUM(F25:F26)*0.03852,0)</f>
        <v>0</v>
      </c>
      <c r="G27" s="255">
        <f t="shared" si="5"/>
        <v>0</v>
      </c>
      <c r="H27" s="255">
        <f t="shared" si="5"/>
        <v>0</v>
      </c>
      <c r="I27" s="255">
        <f t="shared" si="5"/>
        <v>0</v>
      </c>
      <c r="J27" s="255">
        <f t="shared" si="5"/>
        <v>0</v>
      </c>
      <c r="K27" s="255">
        <f t="shared" si="5"/>
        <v>0</v>
      </c>
      <c r="L27" s="255">
        <f t="shared" si="5"/>
        <v>0</v>
      </c>
      <c r="M27" s="255">
        <f t="shared" si="5"/>
        <v>0</v>
      </c>
      <c r="N27" s="255">
        <f t="shared" si="5"/>
        <v>0</v>
      </c>
      <c r="O27" s="255">
        <f t="shared" si="5"/>
        <v>0</v>
      </c>
      <c r="P27" s="255">
        <f t="shared" si="5"/>
        <v>0</v>
      </c>
      <c r="Q27" s="255">
        <f t="shared" si="5"/>
        <v>0</v>
      </c>
      <c r="R27" s="255">
        <f t="shared" si="5"/>
        <v>0</v>
      </c>
      <c r="S27" s="255">
        <f t="shared" si="5"/>
        <v>0</v>
      </c>
      <c r="T27" s="255">
        <f t="shared" si="5"/>
        <v>0</v>
      </c>
      <c r="U27" s="255">
        <f t="shared" si="5"/>
        <v>0</v>
      </c>
      <c r="V27" s="255">
        <f t="shared" si="5"/>
        <v>0</v>
      </c>
      <c r="W27" s="255">
        <f t="shared" si="5"/>
        <v>0</v>
      </c>
      <c r="X27" s="132">
        <f t="shared" si="5"/>
        <v>0</v>
      </c>
    </row>
    <row r="28" spans="3:24" hidden="1" outlineLevel="1">
      <c r="C28" s="33" t="s">
        <v>93</v>
      </c>
      <c r="D28" s="4">
        <f t="shared" si="4"/>
        <v>2055884.1604198779</v>
      </c>
      <c r="E28" s="255">
        <f t="shared" ref="E28:X28" si="6">SUM(E24:E27)*Misc_Fees</f>
        <v>1964763.0387082347</v>
      </c>
      <c r="F28" s="255">
        <f t="shared" si="6"/>
        <v>1818669.8090190296</v>
      </c>
      <c r="G28" s="255">
        <f t="shared" si="6"/>
        <v>1748573.6360899024</v>
      </c>
      <c r="H28" s="255">
        <f t="shared" si="6"/>
        <v>1748679.1519602984</v>
      </c>
      <c r="I28" s="255">
        <f t="shared" si="6"/>
        <v>1788388.5325372384</v>
      </c>
      <c r="J28" s="255">
        <f t="shared" si="6"/>
        <v>1864740.9143348585</v>
      </c>
      <c r="K28" s="255">
        <f t="shared" si="6"/>
        <v>1943917.0854939052</v>
      </c>
      <c r="L28" s="255">
        <f t="shared" si="6"/>
        <v>1993070.0265416547</v>
      </c>
      <c r="M28" s="255">
        <f t="shared" si="6"/>
        <v>2064830.8148569472</v>
      </c>
      <c r="N28" s="255">
        <f t="shared" si="6"/>
        <v>2090798.4039715012</v>
      </c>
      <c r="O28" s="255">
        <f t="shared" si="6"/>
        <v>2146526.4032608122</v>
      </c>
      <c r="P28" s="255">
        <f t="shared" si="6"/>
        <v>2187754.0592698837</v>
      </c>
      <c r="Q28" s="255">
        <f t="shared" si="6"/>
        <v>2235706.4264780115</v>
      </c>
      <c r="R28" s="255">
        <f t="shared" si="6"/>
        <v>2269136.5125226853</v>
      </c>
      <c r="S28" s="255">
        <f t="shared" si="6"/>
        <v>2339281.6598505797</v>
      </c>
      <c r="T28" s="255">
        <f t="shared" si="6"/>
        <v>2447378.2386933141</v>
      </c>
      <c r="U28" s="255">
        <f t="shared" si="6"/>
        <v>2504755.563261698</v>
      </c>
      <c r="V28" s="255">
        <f t="shared" si="6"/>
        <v>2552281.6814149222</v>
      </c>
      <c r="W28" s="255">
        <f t="shared" si="6"/>
        <v>2643684.954057354</v>
      </c>
      <c r="X28" s="132">
        <f t="shared" si="6"/>
        <v>2699232.7023499543</v>
      </c>
    </row>
    <row r="29" spans="3:24" hidden="1" outlineLevel="1">
      <c r="C29" s="33" t="s">
        <v>99</v>
      </c>
      <c r="D29" s="4">
        <f t="shared" si="4"/>
        <v>72573966.084679917</v>
      </c>
      <c r="E29" s="4">
        <f t="shared" ref="E29:X29" si="7">SUM(E24:E28)</f>
        <v>69357334.85417901</v>
      </c>
      <c r="F29" s="4">
        <f t="shared" si="7"/>
        <v>64200154.648801893</v>
      </c>
      <c r="G29" s="4">
        <f t="shared" si="7"/>
        <v>61725716.947124496</v>
      </c>
      <c r="H29" s="4">
        <f t="shared" si="7"/>
        <v>61729441.721772276</v>
      </c>
      <c r="I29" s="4">
        <f t="shared" si="7"/>
        <v>63131207.100735031</v>
      </c>
      <c r="J29" s="4">
        <f t="shared" si="7"/>
        <v>65826492.795203984</v>
      </c>
      <c r="K29" s="4">
        <f t="shared" si="7"/>
        <v>68621459.978198349</v>
      </c>
      <c r="L29" s="4">
        <f t="shared" si="7"/>
        <v>70356588.807554707</v>
      </c>
      <c r="M29" s="4">
        <f t="shared" si="7"/>
        <v>72889788.448696122</v>
      </c>
      <c r="N29" s="4">
        <f t="shared" si="7"/>
        <v>73806460.198973954</v>
      </c>
      <c r="O29" s="4">
        <f t="shared" si="7"/>
        <v>75773692.598664954</v>
      </c>
      <c r="P29" s="4">
        <f t="shared" si="7"/>
        <v>77229054.02736634</v>
      </c>
      <c r="Q29" s="4">
        <f t="shared" si="7"/>
        <v>78921801.867172658</v>
      </c>
      <c r="R29" s="4">
        <f t="shared" si="7"/>
        <v>80101904.315317675</v>
      </c>
      <c r="S29" s="4">
        <f t="shared" si="7"/>
        <v>82578070.843172938</v>
      </c>
      <c r="T29" s="4">
        <f t="shared" si="7"/>
        <v>86393946.074781477</v>
      </c>
      <c r="U29" s="4">
        <f t="shared" si="7"/>
        <v>88419400.663820744</v>
      </c>
      <c r="V29" s="4">
        <f t="shared" si="7"/>
        <v>90097101.65174222</v>
      </c>
      <c r="W29" s="4">
        <f t="shared" si="7"/>
        <v>93323692.982367501</v>
      </c>
      <c r="X29" s="43">
        <f t="shared" si="7"/>
        <v>95284562.41182223</v>
      </c>
    </row>
    <row r="30" spans="3:24" hidden="1" outlineLevel="1">
      <c r="C30" s="33"/>
      <c r="D30" s="4"/>
      <c r="E30" s="4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44"/>
    </row>
    <row r="31" spans="3:24" ht="15.75" hidden="1" outlineLevel="1" thickBot="1">
      <c r="C31" s="61" t="s">
        <v>100</v>
      </c>
      <c r="D31" s="46">
        <f>-PMT(Discount_Rate,20,NPV(Discount_Rate,E31:X31))</f>
        <v>91797435.918833748</v>
      </c>
      <c r="E31" s="46">
        <f t="shared" ref="E31:X31" si="8">E29+E21</f>
        <v>93189936.839506418</v>
      </c>
      <c r="F31" s="46">
        <f t="shared" si="8"/>
        <v>87408015.066511855</v>
      </c>
      <c r="G31" s="46">
        <f t="shared" si="8"/>
        <v>84263678.503377289</v>
      </c>
      <c r="H31" s="46">
        <f t="shared" si="8"/>
        <v>83613900.898767546</v>
      </c>
      <c r="I31" s="46">
        <f t="shared" si="8"/>
        <v>84377691.124611199</v>
      </c>
      <c r="J31" s="46">
        <f t="shared" si="8"/>
        <v>86449432.915895045</v>
      </c>
      <c r="K31" s="46">
        <f t="shared" si="8"/>
        <v>88634254.093396023</v>
      </c>
      <c r="L31" s="46">
        <f t="shared" si="8"/>
        <v>89771679.686389908</v>
      </c>
      <c r="M31" s="46">
        <f t="shared" si="8"/>
        <v>91714422.342755109</v>
      </c>
      <c r="N31" s="46">
        <f t="shared" si="8"/>
        <v>92042172.494195953</v>
      </c>
      <c r="O31" s="46">
        <f t="shared" si="8"/>
        <v>93421064.342914775</v>
      </c>
      <c r="P31" s="46">
        <f t="shared" si="8"/>
        <v>94288679.051561788</v>
      </c>
      <c r="Q31" s="46">
        <f t="shared" si="8"/>
        <v>95394287.06651175</v>
      </c>
      <c r="R31" s="46">
        <f t="shared" si="8"/>
        <v>95987869.936692774</v>
      </c>
      <c r="S31" s="46">
        <f t="shared" si="8"/>
        <v>97878150.778908044</v>
      </c>
      <c r="T31" s="46">
        <f t="shared" si="8"/>
        <v>101108788.16283172</v>
      </c>
      <c r="U31" s="46">
        <f t="shared" si="8"/>
        <v>102549666.99457628</v>
      </c>
      <c r="V31" s="46">
        <f t="shared" si="8"/>
        <v>103643468.88158175</v>
      </c>
      <c r="W31" s="46">
        <f t="shared" si="8"/>
        <v>106286852.65411009</v>
      </c>
      <c r="X31" s="47">
        <f t="shared" si="8"/>
        <v>107665221.28222895</v>
      </c>
    </row>
    <row r="32" spans="3:24" hidden="1" outlineLevel="1">
      <c r="C32" s="39" t="s">
        <v>101</v>
      </c>
      <c r="D32" s="49">
        <f>D31/AVERAGE(E6:X6)</f>
        <v>59.853497677863764</v>
      </c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</row>
    <row r="33" spans="1:24" hidden="1" outlineLevel="1">
      <c r="C33" s="39" t="s">
        <v>102</v>
      </c>
      <c r="D33" s="50">
        <f>D21/E11/1000</f>
        <v>106.50416817171551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</row>
    <row r="34" spans="1:24" ht="15.75" hidden="1" outlineLevel="1" thickBot="1">
      <c r="C34" s="45" t="s">
        <v>103</v>
      </c>
      <c r="D34" s="51">
        <f>D29/AVERAGE(E6:X6)</f>
        <v>47.319466682745876</v>
      </c>
    </row>
    <row r="35" spans="1:24" collapsed="1"/>
    <row r="36" spans="1:24" ht="15.75" thickBot="1"/>
    <row r="37" spans="1:24" ht="18.75" thickBot="1">
      <c r="A37" s="263"/>
      <c r="C37" s="503" t="s">
        <v>1</v>
      </c>
      <c r="D37" s="504"/>
      <c r="E37" s="504"/>
      <c r="F37" s="505"/>
    </row>
    <row r="38" spans="1:24" hidden="1" outlineLevel="1">
      <c r="C38" s="124" t="s">
        <v>44</v>
      </c>
      <c r="D38" s="141"/>
      <c r="E38" s="142">
        <f>(1-INDEX('DATA (Nominal)'!$B$320:$BX$320,1,MATCH(E$1,'DATA (Nominal)'!$B$1:$BX$1,0)))*'Resource Options'!$E$4*8760</f>
        <v>1575703.7736</v>
      </c>
      <c r="F38" s="98">
        <f>(1-INDEX('DATA (Nominal)'!$B$320:$BX$320,1,MATCH(F$1,'DATA (Nominal)'!$B$1:$BX$1,0)))*'Resource Options'!$E$4*8760</f>
        <v>1575703.7736</v>
      </c>
      <c r="G38" s="98">
        <f>(1-INDEX('DATA (Nominal)'!$B$320:$BX$320,1,MATCH(G$1,'DATA (Nominal)'!$B$1:$BX$1,0)))*'Resource Options'!$E$4*8760</f>
        <v>1575703.7736</v>
      </c>
      <c r="H38" s="98">
        <f>(1-INDEX('DATA (Nominal)'!$B$320:$BX$320,1,MATCH(H$1,'DATA (Nominal)'!$B$1:$BX$1,0)))*'Resource Options'!$E$4*8760</f>
        <v>1575703.7736</v>
      </c>
      <c r="I38" s="98">
        <f>(1-INDEX('DATA (Nominal)'!$B$320:$BX$320,1,MATCH(I$1,'DATA (Nominal)'!$B$1:$BX$1,0)))*'Resource Options'!$E$4*8760</f>
        <v>1575703.7736</v>
      </c>
      <c r="J38" s="98">
        <f>(1-INDEX('DATA (Nominal)'!$B$320:$BX$320,1,MATCH(J$1,'DATA (Nominal)'!$B$1:$BX$1,0)))*'Resource Options'!$E$4*8760</f>
        <v>1575703.7736</v>
      </c>
      <c r="K38" s="98">
        <f>(1-INDEX('DATA (Nominal)'!$B$320:$BX$320,1,MATCH(K$1,'DATA (Nominal)'!$B$1:$BX$1,0)))*'Resource Options'!$E$4*8760</f>
        <v>1575703.7736</v>
      </c>
      <c r="L38" s="98">
        <f>(1-INDEX('DATA (Nominal)'!$B$320:$BX$320,1,MATCH(L$1,'DATA (Nominal)'!$B$1:$BX$1,0)))*'Resource Options'!$E$4*8760</f>
        <v>1575703.7736</v>
      </c>
      <c r="M38" s="98">
        <f>(1-INDEX('DATA (Nominal)'!$B$320:$BX$320,1,MATCH(M$1,'DATA (Nominal)'!$B$1:$BX$1,0)))*'Resource Options'!$E$4*8760</f>
        <v>1575703.7736</v>
      </c>
      <c r="N38" s="98">
        <f>(1-INDEX('DATA (Nominal)'!$B$320:$BX$320,1,MATCH(N$1,'DATA (Nominal)'!$B$1:$BX$1,0)))*'Resource Options'!$E$4*8760</f>
        <v>1575703.7736</v>
      </c>
      <c r="O38" s="98">
        <f>(1-INDEX('DATA (Nominal)'!$B$320:$BX$320,1,MATCH(O$1,'DATA (Nominal)'!$B$1:$BX$1,0)))*'Resource Options'!$E$4*8760</f>
        <v>1575703.7736</v>
      </c>
      <c r="P38" s="98">
        <f>(1-INDEX('DATA (Nominal)'!$B$320:$BX$320,1,MATCH(P$1,'DATA (Nominal)'!$B$1:$BX$1,0)))*'Resource Options'!$E$4*8760</f>
        <v>1575703.7736</v>
      </c>
      <c r="Q38" s="98">
        <f>(1-INDEX('DATA (Nominal)'!$B$320:$BX$320,1,MATCH(Q$1,'DATA (Nominal)'!$B$1:$BX$1,0)))*'Resource Options'!$E$4*8760</f>
        <v>1575703.7736</v>
      </c>
      <c r="R38" s="98">
        <f>(1-INDEX('DATA (Nominal)'!$B$320:$BX$320,1,MATCH(R$1,'DATA (Nominal)'!$B$1:$BX$1,0)))*'Resource Options'!$E$4*8760</f>
        <v>1575703.7736</v>
      </c>
      <c r="S38" s="98">
        <f>(1-INDEX('DATA (Nominal)'!$B$320:$BX$320,1,MATCH(S$1,'DATA (Nominal)'!$B$1:$BX$1,0)))*'Resource Options'!$E$4*8760</f>
        <v>1575703.7736</v>
      </c>
      <c r="T38" s="98">
        <f>(1-INDEX('DATA (Nominal)'!$B$320:$BX$320,1,MATCH(T$1,'DATA (Nominal)'!$B$1:$BX$1,0)))*'Resource Options'!$E$4*8760</f>
        <v>1575703.7736</v>
      </c>
      <c r="U38" s="98">
        <f>(1-INDEX('DATA (Nominal)'!$B$320:$BX$320,1,MATCH(U$1,'DATA (Nominal)'!$B$1:$BX$1,0)))*'Resource Options'!$E$4*8760</f>
        <v>1575703.7736</v>
      </c>
      <c r="V38" s="98">
        <f>(1-INDEX('DATA (Nominal)'!$B$320:$BX$320,1,MATCH(V$1,'DATA (Nominal)'!$B$1:$BX$1,0)))*'Resource Options'!$E$4*8760</f>
        <v>1575703.7736</v>
      </c>
      <c r="W38" s="98">
        <f>(1-INDEX('DATA (Nominal)'!$B$320:$BX$320,1,MATCH(W$1,'DATA (Nominal)'!$B$1:$BX$1,0)))*'Resource Options'!$E$4*8760</f>
        <v>1575703.7736</v>
      </c>
      <c r="X38" s="111">
        <f>(1-INDEX('DATA (Nominal)'!$B$320:$BX$320,1,MATCH(X$1,'DATA (Nominal)'!$B$1:$BX$1,0)))*'Resource Options'!$E$4*8760</f>
        <v>1575703.7736</v>
      </c>
    </row>
    <row r="39" spans="1:24" hidden="1" outlineLevel="1">
      <c r="C39" s="126" t="s">
        <v>82</v>
      </c>
      <c r="D39" s="143"/>
      <c r="E39" s="144">
        <f t="shared" ref="E39:X39" si="9">E38*$E42/1000</f>
        <v>12905013.905783998</v>
      </c>
      <c r="F39" s="99">
        <f t="shared" si="9"/>
        <v>12905013.905783998</v>
      </c>
      <c r="G39" s="99">
        <f t="shared" si="9"/>
        <v>12905013.905783998</v>
      </c>
      <c r="H39" s="99">
        <f t="shared" si="9"/>
        <v>12905013.905783998</v>
      </c>
      <c r="I39" s="99">
        <f t="shared" si="9"/>
        <v>12905013.905783998</v>
      </c>
      <c r="J39" s="99">
        <f t="shared" si="9"/>
        <v>12905013.905783998</v>
      </c>
      <c r="K39" s="99">
        <f t="shared" si="9"/>
        <v>12905013.905783998</v>
      </c>
      <c r="L39" s="99">
        <f t="shared" si="9"/>
        <v>12905013.905783998</v>
      </c>
      <c r="M39" s="99">
        <f t="shared" si="9"/>
        <v>12905013.905783998</v>
      </c>
      <c r="N39" s="99">
        <f t="shared" si="9"/>
        <v>12905013.905783998</v>
      </c>
      <c r="O39" s="99">
        <f t="shared" si="9"/>
        <v>12905013.905783998</v>
      </c>
      <c r="P39" s="99">
        <f t="shared" si="9"/>
        <v>12905013.905783998</v>
      </c>
      <c r="Q39" s="99">
        <f t="shared" si="9"/>
        <v>12905013.905783998</v>
      </c>
      <c r="R39" s="99">
        <f t="shared" si="9"/>
        <v>12905013.905783998</v>
      </c>
      <c r="S39" s="99">
        <f t="shared" si="9"/>
        <v>12905013.905783998</v>
      </c>
      <c r="T39" s="99">
        <f t="shared" si="9"/>
        <v>12905013.905783998</v>
      </c>
      <c r="U39" s="99">
        <f t="shared" si="9"/>
        <v>12905013.905783998</v>
      </c>
      <c r="V39" s="99">
        <f t="shared" si="9"/>
        <v>12905013.905783998</v>
      </c>
      <c r="W39" s="99">
        <f t="shared" si="9"/>
        <v>12905013.905783998</v>
      </c>
      <c r="X39" s="101">
        <f t="shared" si="9"/>
        <v>12905013.905783998</v>
      </c>
    </row>
    <row r="40" spans="1:24" hidden="1" outlineLevel="1">
      <c r="C40" s="126"/>
      <c r="D40" s="143"/>
      <c r="E40" s="144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101"/>
    </row>
    <row r="41" spans="1:24" hidden="1" outlineLevel="1">
      <c r="C41" s="126"/>
      <c r="D41" s="143"/>
      <c r="E41" s="145" t="s">
        <v>85</v>
      </c>
      <c r="F41" s="254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101"/>
    </row>
    <row r="42" spans="1:24" hidden="1" outlineLevel="1">
      <c r="C42" s="126" t="s">
        <v>86</v>
      </c>
      <c r="D42" s="143"/>
      <c r="E42" s="144">
        <f>INDEX('DATA (Nominal)'!$B$37:$BX$37,1,MATCH($B$1,'DATA (Nominal)'!$B$1:$BX$1,0))*1000</f>
        <v>8189.9999999999991</v>
      </c>
      <c r="F42" s="254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101"/>
    </row>
    <row r="43" spans="1:24" hidden="1" outlineLevel="1">
      <c r="C43" s="126" t="s">
        <v>87</v>
      </c>
      <c r="D43" s="143"/>
      <c r="E43" s="144">
        <f>'Resource Options'!$E$4</f>
        <v>185.43799999999999</v>
      </c>
      <c r="F43" s="254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101"/>
    </row>
    <row r="44" spans="1:24" hidden="1" outlineLevel="1">
      <c r="C44" s="126" t="s">
        <v>88</v>
      </c>
      <c r="D44" s="143"/>
      <c r="E44" s="130">
        <f>INDEX('DATA (Nominal)'!$B$85:$BX$85,1,MATCH($B$1,'DATA (Nominal)'!$B$1:$BX$1,0))*'Resource Options'!$E$4/1000</f>
        <v>228.08566783254076</v>
      </c>
      <c r="F44" s="254">
        <f>INDEX('DATA (Nominal)'!$B$85:$BX$85,1,MATCH($B$1,'DATA (Nominal)'!$B$1:$BX$1,0))</f>
        <v>1229.9834329131072</v>
      </c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131"/>
    </row>
    <row r="45" spans="1:24" hidden="1" outlineLevel="1">
      <c r="C45" s="126" t="s">
        <v>81</v>
      </c>
      <c r="D45" s="143"/>
      <c r="E45" s="130">
        <f>E44*AFUDC!$C$4</f>
        <v>13.363539278308567</v>
      </c>
      <c r="F45" s="130">
        <f>F44*AFUDC!$C$4</f>
        <v>72.064729334378967</v>
      </c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131"/>
    </row>
    <row r="46" spans="1:24" hidden="1" outlineLevel="1">
      <c r="C46" s="126" t="s">
        <v>89</v>
      </c>
      <c r="D46" s="143"/>
      <c r="E46" s="130">
        <f>E44*$B$4</f>
        <v>13.685140069952446</v>
      </c>
      <c r="F46" s="130">
        <f>F44*$B$4</f>
        <v>73.799005974786425</v>
      </c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131"/>
    </row>
    <row r="47" spans="1:24" hidden="1" outlineLevel="1">
      <c r="C47" s="126" t="s">
        <v>90</v>
      </c>
      <c r="D47" s="143"/>
      <c r="E47" s="130">
        <f>SUM(E44:E46)</f>
        <v>255.13434718080177</v>
      </c>
      <c r="F47" s="130">
        <f>SUM(F44:F46)</f>
        <v>1375.8471682222728</v>
      </c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131"/>
    </row>
    <row r="48" spans="1:24" hidden="1" outlineLevel="1">
      <c r="C48" s="126"/>
      <c r="D48" s="143"/>
      <c r="E48" s="146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131"/>
    </row>
    <row r="49" spans="3:24" hidden="1" outlineLevel="1">
      <c r="C49" s="126" t="s">
        <v>91</v>
      </c>
      <c r="D49" s="143"/>
      <c r="E49" s="146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131"/>
    </row>
    <row r="50" spans="3:24" hidden="1" outlineLevel="1">
      <c r="C50" s="126" t="s">
        <v>47</v>
      </c>
      <c r="D50" s="100">
        <f>-PMT(Discount_Rate,20,NPV(Discount_Rate,E50:X50))</f>
        <v>1184617.3022748469</v>
      </c>
      <c r="E50" s="100">
        <f>$E43*1000*INDEX('DATA (Nominal)'!$B$204:$BX$204,MATCH(E$1,'DATA (Nominal)'!$B$1:$BX$1,0))</f>
        <v>999167.37794054009</v>
      </c>
      <c r="F50" s="100">
        <f>$E43*1000*INDEX('DATA (Nominal)'!$B$204:$BX$204,MATCH(F$1,'DATA (Nominal)'!$B$1:$BX$1,0))</f>
        <v>1021482.1160478787</v>
      </c>
      <c r="G50" s="100">
        <f>$E43*1000*INDEX('DATA (Nominal)'!$B$204:$BX$204,MATCH(G$1,'DATA (Nominal)'!$B$1:$BX$1,0))</f>
        <v>1044295.2166396148</v>
      </c>
      <c r="H50" s="100">
        <f>$E43*1000*INDEX('DATA (Nominal)'!$B$204:$BX$204,MATCH(H$1,'DATA (Nominal)'!$B$1:$BX$1,0))</f>
        <v>1067269.7114056863</v>
      </c>
      <c r="I50" s="100">
        <f>$E43*1000*INDEX('DATA (Nominal)'!$B$204:$BX$204,MATCH(I$1,'DATA (Nominal)'!$B$1:$BX$1,0))</f>
        <v>1090749.6450566114</v>
      </c>
      <c r="J50" s="100">
        <f>$E43*1000*INDEX('DATA (Nominal)'!$B$204:$BX$204,MATCH(J$1,'DATA (Nominal)'!$B$1:$BX$1,0))</f>
        <v>1114746.1372478569</v>
      </c>
      <c r="K50" s="100">
        <f>$E43*1000*INDEX('DATA (Nominal)'!$B$204:$BX$204,MATCH(K$1,'DATA (Nominal)'!$B$1:$BX$1,0))</f>
        <v>1139270.5522673097</v>
      </c>
      <c r="L50" s="100">
        <f>$E43*1000*INDEX('DATA (Nominal)'!$B$204:$BX$204,MATCH(L$1,'DATA (Nominal)'!$B$1:$BX$1,0))</f>
        <v>1164334.5044171906</v>
      </c>
      <c r="M50" s="100">
        <f>$E43*1000*INDEX('DATA (Nominal)'!$B$204:$BX$204,MATCH(M$1,'DATA (Nominal)'!$B$1:$BX$1,0))</f>
        <v>1189949.8635143689</v>
      </c>
      <c r="N50" s="100">
        <f>$E43*1000*INDEX('DATA (Nominal)'!$B$204:$BX$204,MATCH(N$1,'DATA (Nominal)'!$B$1:$BX$1,0))</f>
        <v>1216128.7605116849</v>
      </c>
      <c r="O50" s="100">
        <f>$E43*1000*INDEX('DATA (Nominal)'!$B$204:$BX$204,MATCH(O$1,'DATA (Nominal)'!$B$1:$BX$1,0))</f>
        <v>1242883.5932429419</v>
      </c>
      <c r="P50" s="100">
        <f>$E43*1000*INDEX('DATA (Nominal)'!$B$204:$BX$204,MATCH(P$1,'DATA (Nominal)'!$B$1:$BX$1,0))</f>
        <v>1270227.0322942866</v>
      </c>
      <c r="Q50" s="100">
        <f>$E43*1000*INDEX('DATA (Nominal)'!$B$204:$BX$204,MATCH(Q$1,'DATA (Nominal)'!$B$1:$BX$1,0))</f>
        <v>1298172.0270047609</v>
      </c>
      <c r="R50" s="100">
        <f>$E43*1000*INDEX('DATA (Nominal)'!$B$204:$BX$204,MATCH(R$1,'DATA (Nominal)'!$B$1:$BX$1,0))</f>
        <v>1326731.8115988658</v>
      </c>
      <c r="S50" s="100">
        <f>$E43*1000*INDEX('DATA (Nominal)'!$B$204:$BX$204,MATCH(S$1,'DATA (Nominal)'!$B$1:$BX$1,0))</f>
        <v>1355919.911454041</v>
      </c>
      <c r="T50" s="100">
        <f>$E43*1000*INDEX('DATA (Nominal)'!$B$204:$BX$204,MATCH(T$1,'DATA (Nominal)'!$B$1:$BX$1,0))</f>
        <v>1385750.1495060297</v>
      </c>
      <c r="U50" s="100">
        <f>$E43*1000*INDEX('DATA (Nominal)'!$B$204:$BX$204,MATCH(U$1,'DATA (Nominal)'!$B$1:$BX$1,0))</f>
        <v>1416236.6527951623</v>
      </c>
      <c r="V50" s="100">
        <f>$E43*1000*INDEX('DATA (Nominal)'!$B$204:$BX$204,MATCH(V$1,'DATA (Nominal)'!$B$1:$BX$1,0))</f>
        <v>1447393.8591566561</v>
      </c>
      <c r="W50" s="100">
        <f>$E43*1000*INDEX('DATA (Nominal)'!$B$204:$BX$204,MATCH(W$1,'DATA (Nominal)'!$B$1:$BX$1,0))</f>
        <v>1479236.5240581024</v>
      </c>
      <c r="X50" s="132">
        <f>$E43*1000*INDEX('DATA (Nominal)'!$B$204:$BX$204,MATCH(X$1,'DATA (Nominal)'!$B$1:$BX$1,0))</f>
        <v>1511779.7275873807</v>
      </c>
    </row>
    <row r="51" spans="3:24" hidden="1" outlineLevel="1">
      <c r="C51" s="126" t="s">
        <v>92</v>
      </c>
      <c r="D51" s="100">
        <f>-PMT(Discount_Rate,20,NPV(Discount_Rate,E51:X51))</f>
        <v>28346287.520609885</v>
      </c>
      <c r="E51" s="100">
        <f>$E47*Assumptions!AG$4*1000000</f>
        <v>35887485.474458702</v>
      </c>
      <c r="F51" s="100">
        <f>$E47*Assumptions!AH$4*1000000</f>
        <v>34869795.488702565</v>
      </c>
      <c r="G51" s="100">
        <f>$E47*Assumptions!AI$4*1000000</f>
        <v>33780313.317725241</v>
      </c>
      <c r="H51" s="100">
        <f>$E47*Assumptions!AJ$4*1000000</f>
        <v>32716355.62243617</v>
      </c>
      <c r="I51" s="100">
        <f>$E47*Assumptions!AK$4*1000000</f>
        <v>31676009.906097934</v>
      </c>
      <c r="J51" s="100">
        <f>$E47*Assumptions!AL$4*1000000</f>
        <v>30657535.306295671</v>
      </c>
      <c r="K51" s="100">
        <f>$E47*Assumptions!AM$4*1000000</f>
        <v>29659289.037370279</v>
      </c>
      <c r="L51" s="100">
        <f>$E47*Assumptions!AN$4*1000000</f>
        <v>28679750.909607373</v>
      </c>
      <c r="M51" s="100">
        <f>$E47*Assumptions!AO$4*1000000</f>
        <v>27710731.513900451</v>
      </c>
      <c r="N51" s="100">
        <f>$E47*Assumptions!AP$4*1000000</f>
        <v>26743232.307907909</v>
      </c>
      <c r="O51" s="100">
        <f>$E47*Assumptions!AQ$4*1000000</f>
        <v>25775733.101915374</v>
      </c>
      <c r="P51" s="100">
        <f>$E47*Assumptions!AR$4*1000000</f>
        <v>24808233.895922828</v>
      </c>
      <c r="Q51" s="100">
        <f>$E47*Assumptions!AS$4*1000000</f>
        <v>23840734.689930279</v>
      </c>
      <c r="R51" s="100">
        <f>$E47*Assumptions!AT$4*1000000</f>
        <v>22873235.483937748</v>
      </c>
      <c r="S51" s="100">
        <f>$E47*Assumptions!AU$4*1000000</f>
        <v>21905736.277945202</v>
      </c>
      <c r="T51" s="100">
        <f>$E47*Assumptions!AV$4*1000000</f>
        <v>20938237.071952663</v>
      </c>
      <c r="U51" s="100">
        <f>$E47*Assumptions!AW$4*1000000</f>
        <v>19970737.865960121</v>
      </c>
      <c r="V51" s="100">
        <f>$E47*Assumptions!AX$4*1000000</f>
        <v>19003238.659967586</v>
      </c>
      <c r="W51" s="100">
        <f>$E47*Assumptions!AY$4*1000000</f>
        <v>18035739.453975048</v>
      </c>
      <c r="X51" s="132">
        <f>$E47*Assumptions!AZ$4*1000000</f>
        <v>17068240.247982513</v>
      </c>
    </row>
    <row r="52" spans="3:24" hidden="1" outlineLevel="1">
      <c r="C52" s="126" t="s">
        <v>93</v>
      </c>
      <c r="D52" s="100">
        <f>-PMT(Discount_Rate,20,NPV(Discount_Rate,E52:X52))</f>
        <v>34536.332830520892</v>
      </c>
      <c r="E52" s="100">
        <f>E50*Misc_Fees</f>
        <v>29129.725736478504</v>
      </c>
      <c r="F52" s="100">
        <f t="shared" ref="F52:X52" si="10">F50*Misc_Fees</f>
        <v>29780.289611259857</v>
      </c>
      <c r="G52" s="100">
        <f t="shared" si="10"/>
        <v>30445.382745911327</v>
      </c>
      <c r="H52" s="100">
        <f t="shared" si="10"/>
        <v>31115.181166321378</v>
      </c>
      <c r="I52" s="100">
        <f t="shared" si="10"/>
        <v>31799.715151980447</v>
      </c>
      <c r="J52" s="100">
        <f t="shared" si="10"/>
        <v>32499.308885324019</v>
      </c>
      <c r="K52" s="100">
        <f t="shared" si="10"/>
        <v>33214.293680801151</v>
      </c>
      <c r="L52" s="100">
        <f t="shared" si="10"/>
        <v>33945.008141778773</v>
      </c>
      <c r="M52" s="100">
        <f t="shared" si="10"/>
        <v>34691.798320897913</v>
      </c>
      <c r="N52" s="100">
        <f t="shared" si="10"/>
        <v>35455.017883957662</v>
      </c>
      <c r="O52" s="100">
        <f t="shared" si="10"/>
        <v>36235.02827740473</v>
      </c>
      <c r="P52" s="100">
        <f t="shared" si="10"/>
        <v>37032.198899507632</v>
      </c>
      <c r="Q52" s="100">
        <f t="shared" si="10"/>
        <v>37846.907275296799</v>
      </c>
      <c r="R52" s="100">
        <f t="shared" si="10"/>
        <v>38679.539235353332</v>
      </c>
      <c r="S52" s="100">
        <f t="shared" si="10"/>
        <v>39530.489098531114</v>
      </c>
      <c r="T52" s="100">
        <f t="shared" si="10"/>
        <v>40400.159858698789</v>
      </c>
      <c r="U52" s="100">
        <f t="shared" si="10"/>
        <v>41288.96337559016</v>
      </c>
      <c r="V52" s="100">
        <f t="shared" si="10"/>
        <v>42197.320569853153</v>
      </c>
      <c r="W52" s="100">
        <f t="shared" si="10"/>
        <v>43125.661622389918</v>
      </c>
      <c r="X52" s="132">
        <f t="shared" si="10"/>
        <v>44074.426178082496</v>
      </c>
    </row>
    <row r="53" spans="3:24" hidden="1" outlineLevel="1">
      <c r="C53" s="126" t="s">
        <v>94</v>
      </c>
      <c r="D53" s="100">
        <f>-PMT(Discount_Rate,20,NPV(Discount_Rate,E53:X53))</f>
        <v>29565441.155715249</v>
      </c>
      <c r="E53" s="100">
        <f t="shared" ref="E53:X53" si="11">SUM(E50:E52)</f>
        <v>36915782.578135721</v>
      </c>
      <c r="F53" s="100">
        <f t="shared" si="11"/>
        <v>35921057.894361705</v>
      </c>
      <c r="G53" s="100">
        <f t="shared" si="11"/>
        <v>34855053.917110771</v>
      </c>
      <c r="H53" s="100">
        <f t="shared" si="11"/>
        <v>33814740.515008174</v>
      </c>
      <c r="I53" s="100">
        <f t="shared" si="11"/>
        <v>32798559.266306527</v>
      </c>
      <c r="J53" s="100">
        <f t="shared" si="11"/>
        <v>31804780.752428852</v>
      </c>
      <c r="K53" s="100">
        <f t="shared" si="11"/>
        <v>30831773.883318391</v>
      </c>
      <c r="L53" s="100">
        <f t="shared" si="11"/>
        <v>29878030.422166344</v>
      </c>
      <c r="M53" s="100">
        <f t="shared" si="11"/>
        <v>28935373.175735716</v>
      </c>
      <c r="N53" s="100">
        <f t="shared" si="11"/>
        <v>27994816.086303551</v>
      </c>
      <c r="O53" s="100">
        <f t="shared" si="11"/>
        <v>27054851.723435722</v>
      </c>
      <c r="P53" s="100">
        <f t="shared" si="11"/>
        <v>26115493.127116624</v>
      </c>
      <c r="Q53" s="100">
        <f t="shared" si="11"/>
        <v>25176753.624210335</v>
      </c>
      <c r="R53" s="100">
        <f t="shared" si="11"/>
        <v>24238646.834771968</v>
      </c>
      <c r="S53" s="100">
        <f t="shared" si="11"/>
        <v>23301186.678497773</v>
      </c>
      <c r="T53" s="100">
        <f t="shared" si="11"/>
        <v>22364387.381317392</v>
      </c>
      <c r="U53" s="100">
        <f t="shared" si="11"/>
        <v>21428263.482130874</v>
      </c>
      <c r="V53" s="100">
        <f t="shared" si="11"/>
        <v>20492829.839694098</v>
      </c>
      <c r="W53" s="100">
        <f t="shared" si="11"/>
        <v>19558101.639655542</v>
      </c>
      <c r="X53" s="132">
        <f t="shared" si="11"/>
        <v>18624094.401747975</v>
      </c>
    </row>
    <row r="54" spans="3:24" hidden="1" outlineLevel="1">
      <c r="C54" s="126"/>
      <c r="D54" s="100"/>
      <c r="E54" s="100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33"/>
    </row>
    <row r="55" spans="3:24" hidden="1" outlineLevel="1">
      <c r="C55" s="126" t="s">
        <v>95</v>
      </c>
      <c r="D55" s="100"/>
      <c r="E55" s="100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33"/>
    </row>
    <row r="56" spans="3:24" hidden="1" outlineLevel="1">
      <c r="C56" s="126" t="s">
        <v>48</v>
      </c>
      <c r="D56" s="100">
        <f t="shared" ref="D56:D61" si="12">-PMT(Discount_Rate,20,NPV(Discount_Rate,E56:X56))</f>
        <v>11596693.71070257</v>
      </c>
      <c r="E56" s="100">
        <f>E38*INDEX('DATA (Nominal)'!$B$126:$BX$126,1,MATCH(E$1,'DATA (Nominal)'!$B$1:$BX$1,0))</f>
        <v>9781250.0505027156</v>
      </c>
      <c r="F56" s="100">
        <f>F38*INDEX('DATA (Nominal)'!$B$126:$BX$126,1,MATCH(F$1,'DATA (Nominal)'!$B$1:$BX$1,0))</f>
        <v>9999697.9682972766</v>
      </c>
      <c r="G56" s="100">
        <f>G38*INDEX('DATA (Nominal)'!$B$126:$BX$126,1,MATCH(G$1,'DATA (Nominal)'!$B$1:$BX$1,0))</f>
        <v>10223024.556255916</v>
      </c>
      <c r="H56" s="100">
        <f>H38*INDEX('DATA (Nominal)'!$B$126:$BX$126,1,MATCH(H$1,'DATA (Nominal)'!$B$1:$BX$1,0))</f>
        <v>10447931.096493546</v>
      </c>
      <c r="I56" s="100">
        <f>I38*INDEX('DATA (Nominal)'!$B$126:$BX$126,1,MATCH(I$1,'DATA (Nominal)'!$B$1:$BX$1,0))</f>
        <v>10677785.580616405</v>
      </c>
      <c r="J56" s="100">
        <f>J38*INDEX('DATA (Nominal)'!$B$126:$BX$126,1,MATCH(J$1,'DATA (Nominal)'!$B$1:$BX$1,0))</f>
        <v>10912696.863389965</v>
      </c>
      <c r="K56" s="100">
        <f>K38*INDEX('DATA (Nominal)'!$B$126:$BX$126,1,MATCH(K$1,'DATA (Nominal)'!$B$1:$BX$1,0))</f>
        <v>11152776.194384543</v>
      </c>
      <c r="L56" s="100">
        <f>L38*INDEX('DATA (Nominal)'!$B$126:$BX$126,1,MATCH(L$1,'DATA (Nominal)'!$B$1:$BX$1,0))</f>
        <v>11398137.270661006</v>
      </c>
      <c r="M56" s="100">
        <f>M38*INDEX('DATA (Nominal)'!$B$126:$BX$126,1,MATCH(M$1,'DATA (Nominal)'!$B$1:$BX$1,0))</f>
        <v>11648896.290615549</v>
      </c>
      <c r="N56" s="100">
        <f>N38*INDEX('DATA (Nominal)'!$B$126:$BX$126,1,MATCH(N$1,'DATA (Nominal)'!$B$1:$BX$1,0))</f>
        <v>11905172.009009089</v>
      </c>
      <c r="O56" s="100">
        <f>O38*INDEX('DATA (Nominal)'!$B$126:$BX$126,1,MATCH(O$1,'DATA (Nominal)'!$B$1:$BX$1,0))</f>
        <v>12167085.79320729</v>
      </c>
      <c r="P56" s="100">
        <f>P38*INDEX('DATA (Nominal)'!$B$126:$BX$126,1,MATCH(P$1,'DATA (Nominal)'!$B$1:$BX$1,0))</f>
        <v>12434761.680657851</v>
      </c>
      <c r="Q56" s="100">
        <f>Q38*INDEX('DATA (Nominal)'!$B$126:$BX$126,1,MATCH(Q$1,'DATA (Nominal)'!$B$1:$BX$1,0))</f>
        <v>12708326.43763232</v>
      </c>
      <c r="R56" s="100">
        <f>R38*INDEX('DATA (Nominal)'!$B$126:$BX$126,1,MATCH(R$1,'DATA (Nominal)'!$B$1:$BX$1,0))</f>
        <v>12987909.619260233</v>
      </c>
      <c r="S56" s="100">
        <f>S38*INDEX('DATA (Nominal)'!$B$126:$BX$126,1,MATCH(S$1,'DATA (Nominal)'!$B$1:$BX$1,0))</f>
        <v>13273643.63088396</v>
      </c>
      <c r="T56" s="100">
        <f>T38*INDEX('DATA (Nominal)'!$B$126:$BX$126,1,MATCH(T$1,'DATA (Nominal)'!$B$1:$BX$1,0))</f>
        <v>13565663.790763406</v>
      </c>
      <c r="U56" s="100">
        <f>U38*INDEX('DATA (Nominal)'!$B$126:$BX$126,1,MATCH(U$1,'DATA (Nominal)'!$B$1:$BX$1,0))</f>
        <v>13864108.394160198</v>
      </c>
      <c r="V56" s="100">
        <f>V38*INDEX('DATA (Nominal)'!$B$126:$BX$126,1,MATCH(V$1,'DATA (Nominal)'!$B$1:$BX$1,0))</f>
        <v>14169118.778831726</v>
      </c>
      <c r="W56" s="100">
        <f>W38*INDEX('DATA (Nominal)'!$B$126:$BX$126,1,MATCH(W$1,'DATA (Nominal)'!$B$1:$BX$1,0))</f>
        <v>14480839.391966024</v>
      </c>
      <c r="X56" s="132">
        <f>X38*INDEX('DATA (Nominal)'!$B$126:$BX$126,1,MATCH(X$1,'DATA (Nominal)'!$B$1:$BX$1,0))</f>
        <v>14799417.858589275</v>
      </c>
    </row>
    <row r="57" spans="3:24" hidden="1" outlineLevel="1">
      <c r="C57" s="126" t="s">
        <v>96</v>
      </c>
      <c r="D57" s="100">
        <f t="shared" si="12"/>
        <v>54161275.422581524</v>
      </c>
      <c r="E57" s="100">
        <f>E39*INDEX('DATA (Nominal)'!$B$135:$BX$135,1,MATCH(E$1,'DATA (Nominal)'!$B$1:$BX$1,0))</f>
        <v>52314607.015600629</v>
      </c>
      <c r="F57" s="100">
        <f>F39*INDEX('DATA (Nominal)'!$B$135:$BX$135,1,MATCH(F$1,'DATA (Nominal)'!$B$1:$BX$1,0))</f>
        <v>48022174.725619242</v>
      </c>
      <c r="G57" s="100">
        <f>G39*INDEX('DATA (Nominal)'!$B$135:$BX$135,1,MATCH(G$1,'DATA (Nominal)'!$B$1:$BX$1,0))</f>
        <v>45912209.468025513</v>
      </c>
      <c r="H57" s="100">
        <f>H39*INDEX('DATA (Nominal)'!$B$135:$BX$135,1,MATCH(H$1,'DATA (Nominal)'!$B$1:$BX$1,0))</f>
        <v>45819526.658628501</v>
      </c>
      <c r="I57" s="100">
        <f>I39*INDEX('DATA (Nominal)'!$B$135:$BX$135,1,MATCH(I$1,'DATA (Nominal)'!$B$1:$BX$1,0))</f>
        <v>46863155.309688695</v>
      </c>
      <c r="J57" s="100">
        <f>J39*INDEX('DATA (Nominal)'!$B$135:$BX$135,1,MATCH(J$1,'DATA (Nominal)'!$B$1:$BX$1,0))</f>
        <v>48957938.765899934</v>
      </c>
      <c r="K57" s="100">
        <f>K39*INDEX('DATA (Nominal)'!$B$135:$BX$135,1,MATCH(K$1,'DATA (Nominal)'!$B$1:$BX$1,0))</f>
        <v>51131692.919593856</v>
      </c>
      <c r="L57" s="100">
        <f>L39*INDEX('DATA (Nominal)'!$B$135:$BX$135,1,MATCH(L$1,'DATA (Nominal)'!$B$1:$BX$1,0))</f>
        <v>52440178.392753646</v>
      </c>
      <c r="M57" s="100">
        <f>M39*INDEX('DATA (Nominal)'!$B$135:$BX$135,1,MATCH(M$1,'DATA (Nominal)'!$B$1:$BX$1,0))</f>
        <v>54396231.526336469</v>
      </c>
      <c r="N57" s="100">
        <f>N39*INDEX('DATA (Nominal)'!$B$135:$BX$135,1,MATCH(N$1,'DATA (Nominal)'!$B$1:$BX$1,0))</f>
        <v>55033606.586354226</v>
      </c>
      <c r="O57" s="100">
        <f>O39*INDEX('DATA (Nominal)'!$B$135:$BX$135,1,MATCH(O$1,'DATA (Nominal)'!$B$1:$BX$1,0))</f>
        <v>56524048.280077145</v>
      </c>
      <c r="P57" s="100">
        <f>P39*INDEX('DATA (Nominal)'!$B$135:$BX$135,1,MATCH(P$1,'DATA (Nominal)'!$B$1:$BX$1,0))</f>
        <v>57595223.858501211</v>
      </c>
      <c r="Q57" s="100">
        <f>Q39*INDEX('DATA (Nominal)'!$B$135:$BX$135,1,MATCH(Q$1,'DATA (Nominal)'!$B$1:$BX$1,0))</f>
        <v>58857195.770709559</v>
      </c>
      <c r="R57" s="100">
        <f>R39*INDEX('DATA (Nominal)'!$B$135:$BX$135,1,MATCH(R$1,'DATA (Nominal)'!$B$1:$BX$1,0))</f>
        <v>59699161.875453249</v>
      </c>
      <c r="S57" s="100">
        <f>S39*INDEX('DATA (Nominal)'!$B$135:$BX$135,1,MATCH(S$1,'DATA (Nominal)'!$B$1:$BX$1,0))</f>
        <v>61593888.560756743</v>
      </c>
      <c r="T57" s="100">
        <f>T39*INDEX('DATA (Nominal)'!$B$135:$BX$135,1,MATCH(T$1,'DATA (Nominal)'!$B$1:$BX$1,0))</f>
        <v>64576857.828672647</v>
      </c>
      <c r="U57" s="100">
        <f>U39*INDEX('DATA (Nominal)'!$B$135:$BX$135,1,MATCH(U$1,'DATA (Nominal)'!$B$1:$BX$1,0))</f>
        <v>66099162.738885365</v>
      </c>
      <c r="V57" s="100">
        <f>V39*INDEX('DATA (Nominal)'!$B$135:$BX$135,1,MATCH(V$1,'DATA (Nominal)'!$B$1:$BX$1,0))</f>
        <v>67335499.426659822</v>
      </c>
      <c r="W57" s="100">
        <f>W39*INDEX('DATA (Nominal)'!$B$135:$BX$135,1,MATCH(W$1,'DATA (Nominal)'!$B$1:$BX$1,0))</f>
        <v>69830233.739869565</v>
      </c>
      <c r="X57" s="132">
        <f>X39*INDEX('DATA (Nominal)'!$B$135:$BX$135,1,MATCH(X$1,'DATA (Nominal)'!$B$1:$BX$1,0))</f>
        <v>71291378.706942722</v>
      </c>
    </row>
    <row r="58" spans="3:24" hidden="1" outlineLevel="1">
      <c r="C58" s="126" t="s">
        <v>98</v>
      </c>
      <c r="D58" s="100">
        <f t="shared" si="12"/>
        <v>2708.063771129076</v>
      </c>
      <c r="E58" s="100">
        <f>E57*INDEX('DATA (Nominal)'!$B$136:$BX$136,1,MATCH(E$1,'DATA (Nominal)'!$B$1:$BX$1,0))</f>
        <v>2615.7303507800316</v>
      </c>
      <c r="F58" s="100">
        <f>F57*INDEX('DATA (Nominal)'!$B$136:$BX$136,1,MATCH(F$1,'DATA (Nominal)'!$B$1:$BX$1,0))</f>
        <v>2401.1087362809621</v>
      </c>
      <c r="G58" s="100">
        <f>G57*INDEX('DATA (Nominal)'!$B$136:$BX$136,1,MATCH(G$1,'DATA (Nominal)'!$B$1:$BX$1,0))</f>
        <v>2295.6104734012756</v>
      </c>
      <c r="H58" s="100">
        <f>H57*INDEX('DATA (Nominal)'!$B$136:$BX$136,1,MATCH(H$1,'DATA (Nominal)'!$B$1:$BX$1,0))</f>
        <v>2290.9763329314251</v>
      </c>
      <c r="I58" s="100">
        <f>I57*INDEX('DATA (Nominal)'!$B$136:$BX$136,1,MATCH(I$1,'DATA (Nominal)'!$B$1:$BX$1,0))</f>
        <v>2343.157765484435</v>
      </c>
      <c r="J58" s="100">
        <f>J57*INDEX('DATA (Nominal)'!$B$136:$BX$136,1,MATCH(J$1,'DATA (Nominal)'!$B$1:$BX$1,0))</f>
        <v>2447.8969382949967</v>
      </c>
      <c r="K58" s="100">
        <f>K57*INDEX('DATA (Nominal)'!$B$136:$BX$136,1,MATCH(K$1,'DATA (Nominal)'!$B$1:$BX$1,0))</f>
        <v>2556.5846459796931</v>
      </c>
      <c r="L58" s="100">
        <f>L57*INDEX('DATA (Nominal)'!$B$136:$BX$136,1,MATCH(L$1,'DATA (Nominal)'!$B$1:$BX$1,0))</f>
        <v>2622.0089196376825</v>
      </c>
      <c r="M58" s="100">
        <f>M57*INDEX('DATA (Nominal)'!$B$136:$BX$136,1,MATCH(M$1,'DATA (Nominal)'!$B$1:$BX$1,0))</f>
        <v>2719.8115763168234</v>
      </c>
      <c r="N58" s="100">
        <f>N57*INDEX('DATA (Nominal)'!$B$136:$BX$136,1,MATCH(N$1,'DATA (Nominal)'!$B$1:$BX$1,0))</f>
        <v>2751.6803293177113</v>
      </c>
      <c r="O58" s="100">
        <f>O57*INDEX('DATA (Nominal)'!$B$136:$BX$136,1,MATCH(O$1,'DATA (Nominal)'!$B$1:$BX$1,0))</f>
        <v>2826.2024140038575</v>
      </c>
      <c r="P58" s="100">
        <f>P57*INDEX('DATA (Nominal)'!$B$136:$BX$136,1,MATCH(P$1,'DATA (Nominal)'!$B$1:$BX$1,0))</f>
        <v>2879.7611929250606</v>
      </c>
      <c r="Q58" s="100">
        <f>Q57*INDEX('DATA (Nominal)'!$B$136:$BX$136,1,MATCH(Q$1,'DATA (Nominal)'!$B$1:$BX$1,0))</f>
        <v>2942.8597885354779</v>
      </c>
      <c r="R58" s="100">
        <f>R57*INDEX('DATA (Nominal)'!$B$136:$BX$136,1,MATCH(R$1,'DATA (Nominal)'!$B$1:$BX$1,0))</f>
        <v>2984.9580937726628</v>
      </c>
      <c r="S58" s="100">
        <f>S57*INDEX('DATA (Nominal)'!$B$136:$BX$136,1,MATCH(S$1,'DATA (Nominal)'!$B$1:$BX$1,0))</f>
        <v>3079.6944280378375</v>
      </c>
      <c r="T58" s="100">
        <f>T57*INDEX('DATA (Nominal)'!$B$136:$BX$136,1,MATCH(T$1,'DATA (Nominal)'!$B$1:$BX$1,0))</f>
        <v>3228.8428914336323</v>
      </c>
      <c r="U58" s="100">
        <f>U57*INDEX('DATA (Nominal)'!$B$136:$BX$136,1,MATCH(U$1,'DATA (Nominal)'!$B$1:$BX$1,0))</f>
        <v>3304.9581369442685</v>
      </c>
      <c r="V58" s="100">
        <f>V57*INDEX('DATA (Nominal)'!$B$136:$BX$136,1,MATCH(V$1,'DATA (Nominal)'!$B$1:$BX$1,0))</f>
        <v>3366.7749713329913</v>
      </c>
      <c r="W58" s="100">
        <f>W57*INDEX('DATA (Nominal)'!$B$136:$BX$136,1,MATCH(W$1,'DATA (Nominal)'!$B$1:$BX$1,0))</f>
        <v>3491.5116869934782</v>
      </c>
      <c r="X58" s="132">
        <f>X57*INDEX('DATA (Nominal)'!$B$136:$BX$136,1,MATCH(X$1,'DATA (Nominal)'!$B$1:$BX$1,0))</f>
        <v>3564.5689353471362</v>
      </c>
    </row>
    <row r="59" spans="3:24" s="263" customFormat="1" hidden="1" outlineLevel="1">
      <c r="C59" s="258" t="s">
        <v>242</v>
      </c>
      <c r="D59" s="255">
        <f t="shared" si="12"/>
        <v>0</v>
      </c>
      <c r="E59" s="255">
        <f>IF($A$4="Washington Sales Tax Rate:",SUM(E57:E58)*0.03852,0)</f>
        <v>0</v>
      </c>
      <c r="F59" s="255">
        <f t="shared" ref="F59" si="13">IF($A$4="Washington Sales Tax Rate:",SUM(F57:F58)*0.03852,0)</f>
        <v>0</v>
      </c>
      <c r="G59" s="255">
        <f t="shared" ref="G59" si="14">IF($A$4="Washington Sales Tax Rate:",SUM(G57:G58)*0.03852,0)</f>
        <v>0</v>
      </c>
      <c r="H59" s="255">
        <f t="shared" ref="H59" si="15">IF($A$4="Washington Sales Tax Rate:",SUM(H57:H58)*0.03852,0)</f>
        <v>0</v>
      </c>
      <c r="I59" s="255">
        <f t="shared" ref="I59" si="16">IF($A$4="Washington Sales Tax Rate:",SUM(I57:I58)*0.03852,0)</f>
        <v>0</v>
      </c>
      <c r="J59" s="255">
        <f t="shared" ref="J59" si="17">IF($A$4="Washington Sales Tax Rate:",SUM(J57:J58)*0.03852,0)</f>
        <v>0</v>
      </c>
      <c r="K59" s="255">
        <f t="shared" ref="K59" si="18">IF($A$4="Washington Sales Tax Rate:",SUM(K57:K58)*0.03852,0)</f>
        <v>0</v>
      </c>
      <c r="L59" s="255">
        <f t="shared" ref="L59" si="19">IF($A$4="Washington Sales Tax Rate:",SUM(L57:L58)*0.03852,0)</f>
        <v>0</v>
      </c>
      <c r="M59" s="255">
        <f t="shared" ref="M59" si="20">IF($A$4="Washington Sales Tax Rate:",SUM(M57:M58)*0.03852,0)</f>
        <v>0</v>
      </c>
      <c r="N59" s="255">
        <f t="shared" ref="N59" si="21">IF($A$4="Washington Sales Tax Rate:",SUM(N57:N58)*0.03852,0)</f>
        <v>0</v>
      </c>
      <c r="O59" s="255">
        <f t="shared" ref="O59" si="22">IF($A$4="Washington Sales Tax Rate:",SUM(O57:O58)*0.03852,0)</f>
        <v>0</v>
      </c>
      <c r="P59" s="255">
        <f t="shared" ref="P59" si="23">IF($A$4="Washington Sales Tax Rate:",SUM(P57:P58)*0.03852,0)</f>
        <v>0</v>
      </c>
      <c r="Q59" s="255">
        <f t="shared" ref="Q59" si="24">IF($A$4="Washington Sales Tax Rate:",SUM(Q57:Q58)*0.03852,0)</f>
        <v>0</v>
      </c>
      <c r="R59" s="255">
        <f t="shared" ref="R59" si="25">IF($A$4="Washington Sales Tax Rate:",SUM(R57:R58)*0.03852,0)</f>
        <v>0</v>
      </c>
      <c r="S59" s="255">
        <f t="shared" ref="S59" si="26">IF($A$4="Washington Sales Tax Rate:",SUM(S57:S58)*0.03852,0)</f>
        <v>0</v>
      </c>
      <c r="T59" s="255">
        <f t="shared" ref="T59" si="27">IF($A$4="Washington Sales Tax Rate:",SUM(T57:T58)*0.03852,0)</f>
        <v>0</v>
      </c>
      <c r="U59" s="255">
        <f t="shared" ref="U59" si="28">IF($A$4="Washington Sales Tax Rate:",SUM(U57:U58)*0.03852,0)</f>
        <v>0</v>
      </c>
      <c r="V59" s="255">
        <f t="shared" ref="V59" si="29">IF($A$4="Washington Sales Tax Rate:",SUM(V57:V58)*0.03852,0)</f>
        <v>0</v>
      </c>
      <c r="W59" s="255">
        <f t="shared" ref="W59" si="30">IF($A$4="Washington Sales Tax Rate:",SUM(W57:W58)*0.03852,0)</f>
        <v>0</v>
      </c>
      <c r="X59" s="132">
        <f t="shared" ref="X59" si="31">IF($A$4="Washington Sales Tax Rate:",SUM(X57:X58)*0.03852,0)</f>
        <v>0</v>
      </c>
    </row>
    <row r="60" spans="3:24" hidden="1" outlineLevel="1">
      <c r="C60" s="126" t="s">
        <v>93</v>
      </c>
      <c r="D60" s="100">
        <f t="shared" si="12"/>
        <v>1917186.7830029477</v>
      </c>
      <c r="E60" s="255">
        <f t="shared" ref="E60:X60" si="32">SUM(E56:E59)*Misc_Fees</f>
        <v>1810418.8759078234</v>
      </c>
      <c r="F60" s="255">
        <f t="shared" si="32"/>
        <v>1691639.6784425396</v>
      </c>
      <c r="G60" s="255">
        <f t="shared" si="32"/>
        <v>1636633.5389716423</v>
      </c>
      <c r="H60" s="255">
        <f t="shared" si="32"/>
        <v>1640488.2545168386</v>
      </c>
      <c r="I60" s="255">
        <f t="shared" si="32"/>
        <v>1677616.9031374499</v>
      </c>
      <c r="J60" s="255">
        <f t="shared" si="32"/>
        <v>1745539.8771236567</v>
      </c>
      <c r="K60" s="255">
        <f t="shared" si="32"/>
        <v>1815915.9472176952</v>
      </c>
      <c r="L60" s="255">
        <f t="shared" si="32"/>
        <v>1861218.6968992339</v>
      </c>
      <c r="M60" s="255">
        <f t="shared" si="32"/>
        <v>1925558.949762115</v>
      </c>
      <c r="N60" s="255">
        <f t="shared" si="32"/>
        <v>1951613.373657543</v>
      </c>
      <c r="O60" s="255">
        <f t="shared" si="32"/>
        <v>2002703.7178777123</v>
      </c>
      <c r="P60" s="255">
        <f t="shared" si="32"/>
        <v>2041738.1549664615</v>
      </c>
      <c r="Q60" s="255">
        <f t="shared" si="32"/>
        <v>2086507.0305962742</v>
      </c>
      <c r="R60" s="255">
        <f t="shared" si="32"/>
        <v>2119205.9058251427</v>
      </c>
      <c r="S60" s="255">
        <f t="shared" si="32"/>
        <v>2182777.818926448</v>
      </c>
      <c r="T60" s="255">
        <f t="shared" si="32"/>
        <v>2278261.2089786958</v>
      </c>
      <c r="U60" s="255">
        <f t="shared" si="32"/>
        <v>2331345.5593623351</v>
      </c>
      <c r="V60" s="255">
        <f t="shared" si="32"/>
        <v>2376283.7941204146</v>
      </c>
      <c r="W60" s="255">
        <f t="shared" si="32"/>
        <v>2458106.8176172576</v>
      </c>
      <c r="X60" s="132">
        <f t="shared" si="32"/>
        <v>2509995.0045142611</v>
      </c>
    </row>
    <row r="61" spans="3:24" hidden="1" outlineLevel="1">
      <c r="C61" s="126" t="s">
        <v>99</v>
      </c>
      <c r="D61" s="100">
        <f t="shared" si="12"/>
        <v>67677863.980058163</v>
      </c>
      <c r="E61" s="100">
        <f t="shared" ref="E61:X61" si="33">SUM(E56:E60)</f>
        <v>63908891.672361948</v>
      </c>
      <c r="F61" s="100">
        <f t="shared" si="33"/>
        <v>59715913.481095336</v>
      </c>
      <c r="G61" s="100">
        <f t="shared" si="33"/>
        <v>57774163.173726469</v>
      </c>
      <c r="H61" s="100">
        <f t="shared" si="33"/>
        <v>57910236.985971823</v>
      </c>
      <c r="I61" s="100">
        <f t="shared" si="33"/>
        <v>59220900.95120804</v>
      </c>
      <c r="J61" s="100">
        <f t="shared" si="33"/>
        <v>61618623.403351843</v>
      </c>
      <c r="K61" s="100">
        <f t="shared" si="33"/>
        <v>64102941.645842075</v>
      </c>
      <c r="L61" s="100">
        <f t="shared" si="33"/>
        <v>65702156.369233526</v>
      </c>
      <c r="M61" s="100">
        <f t="shared" si="33"/>
        <v>67973406.578290448</v>
      </c>
      <c r="N61" s="100">
        <f t="shared" si="33"/>
        <v>68893143.649350181</v>
      </c>
      <c r="O61" s="100">
        <f t="shared" si="33"/>
        <v>70696663.993576154</v>
      </c>
      <c r="P61" s="100">
        <f t="shared" si="33"/>
        <v>72074603.455318436</v>
      </c>
      <c r="Q61" s="100">
        <f t="shared" si="33"/>
        <v>73654972.09872669</v>
      </c>
      <c r="R61" s="100">
        <f t="shared" si="33"/>
        <v>74809262.358632401</v>
      </c>
      <c r="S61" s="100">
        <f t="shared" si="33"/>
        <v>77053389.7049952</v>
      </c>
      <c r="T61" s="100">
        <f t="shared" si="33"/>
        <v>80424011.671306193</v>
      </c>
      <c r="U61" s="100">
        <f t="shared" si="33"/>
        <v>82297921.650544852</v>
      </c>
      <c r="V61" s="100">
        <f t="shared" si="33"/>
        <v>83884268.774583295</v>
      </c>
      <c r="W61" s="100">
        <f t="shared" si="33"/>
        <v>86772671.461139843</v>
      </c>
      <c r="X61" s="132">
        <f t="shared" si="33"/>
        <v>88604356.138981611</v>
      </c>
    </row>
    <row r="62" spans="3:24" hidden="1" outlineLevel="1">
      <c r="C62" s="126"/>
      <c r="D62" s="100"/>
      <c r="E62" s="100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33"/>
    </row>
    <row r="63" spans="3:24" ht="15.75" hidden="1" outlineLevel="1" thickBot="1">
      <c r="C63" s="147" t="s">
        <v>100</v>
      </c>
      <c r="D63" s="135">
        <f>-PMT(Discount_Rate,20,NPV(Discount_Rate,E63:X63))</f>
        <v>97243305.135773376</v>
      </c>
      <c r="E63" s="135">
        <f t="shared" ref="E63:X63" si="34">E61+E53</f>
        <v>100824674.25049767</v>
      </c>
      <c r="F63" s="135">
        <f t="shared" si="34"/>
        <v>95636971.375457048</v>
      </c>
      <c r="G63" s="135">
        <f t="shared" si="34"/>
        <v>92629217.09083724</v>
      </c>
      <c r="H63" s="135">
        <f t="shared" si="34"/>
        <v>91724977.50097999</v>
      </c>
      <c r="I63" s="135">
        <f t="shared" si="34"/>
        <v>92019460.217514575</v>
      </c>
      <c r="J63" s="135">
        <f t="shared" si="34"/>
        <v>93423404.155780703</v>
      </c>
      <c r="K63" s="135">
        <f t="shared" si="34"/>
        <v>94934715.52916047</v>
      </c>
      <c r="L63" s="135">
        <f t="shared" si="34"/>
        <v>95580186.791399866</v>
      </c>
      <c r="M63" s="135">
        <f t="shared" si="34"/>
        <v>96908779.75402616</v>
      </c>
      <c r="N63" s="135">
        <f t="shared" si="34"/>
        <v>96887959.735653728</v>
      </c>
      <c r="O63" s="135">
        <f t="shared" si="34"/>
        <v>97751515.717011869</v>
      </c>
      <c r="P63" s="135">
        <f t="shared" si="34"/>
        <v>98190096.582435057</v>
      </c>
      <c r="Q63" s="135">
        <f t="shared" si="34"/>
        <v>98831725.722937018</v>
      </c>
      <c r="R63" s="135">
        <f t="shared" si="34"/>
        <v>99047909.193404377</v>
      </c>
      <c r="S63" s="135">
        <f t="shared" si="34"/>
        <v>100354576.38349298</v>
      </c>
      <c r="T63" s="135">
        <f t="shared" si="34"/>
        <v>102788399.05262358</v>
      </c>
      <c r="U63" s="135">
        <f t="shared" si="34"/>
        <v>103726185.13267572</v>
      </c>
      <c r="V63" s="135">
        <f t="shared" si="34"/>
        <v>104377098.61427739</v>
      </c>
      <c r="W63" s="135">
        <f t="shared" si="34"/>
        <v>106330773.10079539</v>
      </c>
      <c r="X63" s="136">
        <f t="shared" si="34"/>
        <v>107228450.54072958</v>
      </c>
    </row>
    <row r="64" spans="3:24" hidden="1" outlineLevel="1">
      <c r="C64" s="129" t="s">
        <v>101</v>
      </c>
      <c r="D64" s="138">
        <f>D63/AVERAGE(E38:X38)</f>
        <v>61.714204639874801</v>
      </c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1:24" hidden="1" outlineLevel="1">
      <c r="C65" s="129" t="s">
        <v>102</v>
      </c>
      <c r="D65" s="139">
        <f>D53/E43/1000</f>
        <v>159.43572059510592</v>
      </c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</row>
    <row r="66" spans="1:24" ht="15.75" hidden="1" outlineLevel="1" thickBot="1">
      <c r="C66" s="134" t="s">
        <v>103</v>
      </c>
      <c r="D66" s="140">
        <f>D61/AVERAGE(E38:X38)</f>
        <v>42.950880180628737</v>
      </c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</row>
    <row r="67" spans="1:24" collapsed="1"/>
    <row r="68" spans="1:24" ht="15.75" thickBot="1"/>
    <row r="69" spans="1:24" ht="18.75" thickBot="1">
      <c r="A69" s="263"/>
      <c r="C69" s="503" t="s">
        <v>2</v>
      </c>
      <c r="D69" s="504"/>
      <c r="E69" s="504"/>
      <c r="F69" s="505"/>
    </row>
    <row r="70" spans="1:24" hidden="1" outlineLevel="1">
      <c r="C70" s="124" t="s">
        <v>44</v>
      </c>
      <c r="D70" s="141"/>
      <c r="E70" s="142">
        <f>(1-INDEX('DATA (Nominal)'!$B$321:$BX$321,1,MATCH(E$1,'DATA (Nominal)'!$B$1:$BX$1,0)))*'Resource Options'!$E$5*8760</f>
        <v>2647183.6991999997</v>
      </c>
      <c r="F70" s="98">
        <f>(1-INDEX('DATA (Nominal)'!$B$321:$BX$321,1,MATCH(F$1,'DATA (Nominal)'!$B$1:$BX$1,0)))*'Resource Options'!$E$5*8760</f>
        <v>2647183.6991999997</v>
      </c>
      <c r="G70" s="98">
        <f>(1-INDEX('DATA (Nominal)'!$B$321:$BX$321,1,MATCH(G$1,'DATA (Nominal)'!$B$1:$BX$1,0)))*'Resource Options'!$E$5*8760</f>
        <v>2647183.6991999997</v>
      </c>
      <c r="H70" s="98">
        <f>(1-INDEX('DATA (Nominal)'!$B$321:$BX$321,1,MATCH(H$1,'DATA (Nominal)'!$B$1:$BX$1,0)))*'Resource Options'!$E$5*8760</f>
        <v>2647183.6991999997</v>
      </c>
      <c r="I70" s="98">
        <f>(1-INDEX('DATA (Nominal)'!$B$321:$BX$321,1,MATCH(I$1,'DATA (Nominal)'!$B$1:$BX$1,0)))*'Resource Options'!$E$5*8760</f>
        <v>2647183.6991999997</v>
      </c>
      <c r="J70" s="98">
        <f>(1-INDEX('DATA (Nominal)'!$B$321:$BX$321,1,MATCH(J$1,'DATA (Nominal)'!$B$1:$BX$1,0)))*'Resource Options'!$E$5*8760</f>
        <v>2647183.6991999997</v>
      </c>
      <c r="K70" s="98">
        <f>(1-INDEX('DATA (Nominal)'!$B$321:$BX$321,1,MATCH(K$1,'DATA (Nominal)'!$B$1:$BX$1,0)))*'Resource Options'!$E$5*8760</f>
        <v>2647183.6991999997</v>
      </c>
      <c r="L70" s="98">
        <f>(1-INDEX('DATA (Nominal)'!$B$321:$BX$321,1,MATCH(L$1,'DATA (Nominal)'!$B$1:$BX$1,0)))*'Resource Options'!$E$5*8760</f>
        <v>2647183.6991999997</v>
      </c>
      <c r="M70" s="98">
        <f>(1-INDEX('DATA (Nominal)'!$B$321:$BX$321,1,MATCH(M$1,'DATA (Nominal)'!$B$1:$BX$1,0)))*'Resource Options'!$E$5*8760</f>
        <v>2647183.6991999997</v>
      </c>
      <c r="N70" s="98">
        <f>(1-INDEX('DATA (Nominal)'!$B$321:$BX$321,1,MATCH(N$1,'DATA (Nominal)'!$B$1:$BX$1,0)))*'Resource Options'!$E$5*8760</f>
        <v>2647183.6991999997</v>
      </c>
      <c r="O70" s="98">
        <f>(1-INDEX('DATA (Nominal)'!$B$321:$BX$321,1,MATCH(O$1,'DATA (Nominal)'!$B$1:$BX$1,0)))*'Resource Options'!$E$5*8760</f>
        <v>2647183.6991999997</v>
      </c>
      <c r="P70" s="98">
        <f>(1-INDEX('DATA (Nominal)'!$B$321:$BX$321,1,MATCH(P$1,'DATA (Nominal)'!$B$1:$BX$1,0)))*'Resource Options'!$E$5*8760</f>
        <v>2647183.6991999997</v>
      </c>
      <c r="Q70" s="98">
        <f>(1-INDEX('DATA (Nominal)'!$B$321:$BX$321,1,MATCH(Q$1,'DATA (Nominal)'!$B$1:$BX$1,0)))*'Resource Options'!$E$5*8760</f>
        <v>2647183.6991999997</v>
      </c>
      <c r="R70" s="98">
        <f>(1-INDEX('DATA (Nominal)'!$B$321:$BX$321,1,MATCH(R$1,'DATA (Nominal)'!$B$1:$BX$1,0)))*'Resource Options'!$E$5*8760</f>
        <v>2647183.6991999997</v>
      </c>
      <c r="S70" s="98">
        <f>(1-INDEX('DATA (Nominal)'!$B$321:$BX$321,1,MATCH(S$1,'DATA (Nominal)'!$B$1:$BX$1,0)))*'Resource Options'!$E$5*8760</f>
        <v>2647183.6991999997</v>
      </c>
      <c r="T70" s="98">
        <f>(1-INDEX('DATA (Nominal)'!$B$321:$BX$321,1,MATCH(T$1,'DATA (Nominal)'!$B$1:$BX$1,0)))*'Resource Options'!$E$5*8760</f>
        <v>2647183.6991999997</v>
      </c>
      <c r="U70" s="98">
        <f>(1-INDEX('DATA (Nominal)'!$B$321:$BX$321,1,MATCH(U$1,'DATA (Nominal)'!$B$1:$BX$1,0)))*'Resource Options'!$E$5*8760</f>
        <v>2647183.6991999997</v>
      </c>
      <c r="V70" s="98">
        <f>(1-INDEX('DATA (Nominal)'!$B$321:$BX$321,1,MATCH(V$1,'DATA (Nominal)'!$B$1:$BX$1,0)))*'Resource Options'!$E$5*8760</f>
        <v>2647183.6991999997</v>
      </c>
      <c r="W70" s="98">
        <f>(1-INDEX('DATA (Nominal)'!$B$321:$BX$321,1,MATCH(W$1,'DATA (Nominal)'!$B$1:$BX$1,0)))*'Resource Options'!$E$5*8760</f>
        <v>2647183.6991999997</v>
      </c>
      <c r="X70" s="111">
        <f>(1-INDEX('DATA (Nominal)'!$B$321:$BX$321,1,MATCH(X$1,'DATA (Nominal)'!$B$1:$BX$1,0)))*'Resource Options'!$E$5*8760</f>
        <v>2647183.6991999997</v>
      </c>
    </row>
    <row r="71" spans="1:24" hidden="1" outlineLevel="1">
      <c r="C71" s="126" t="s">
        <v>82</v>
      </c>
      <c r="D71" s="143"/>
      <c r="E71" s="144">
        <f t="shared" ref="E71:X71" si="35">E70*$E74/1000</f>
        <v>18053792.828543998</v>
      </c>
      <c r="F71" s="99">
        <f t="shared" si="35"/>
        <v>18053792.828543998</v>
      </c>
      <c r="G71" s="99">
        <f t="shared" si="35"/>
        <v>18053792.828543998</v>
      </c>
      <c r="H71" s="99">
        <f t="shared" si="35"/>
        <v>18053792.828543998</v>
      </c>
      <c r="I71" s="99">
        <f t="shared" si="35"/>
        <v>18053792.828543998</v>
      </c>
      <c r="J71" s="99">
        <f t="shared" si="35"/>
        <v>18053792.828543998</v>
      </c>
      <c r="K71" s="99">
        <f t="shared" si="35"/>
        <v>18053792.828543998</v>
      </c>
      <c r="L71" s="99">
        <f t="shared" si="35"/>
        <v>18053792.828543998</v>
      </c>
      <c r="M71" s="99">
        <f t="shared" si="35"/>
        <v>18053792.828543998</v>
      </c>
      <c r="N71" s="99">
        <f t="shared" si="35"/>
        <v>18053792.828543998</v>
      </c>
      <c r="O71" s="99">
        <f t="shared" si="35"/>
        <v>18053792.828543998</v>
      </c>
      <c r="P71" s="99">
        <f t="shared" si="35"/>
        <v>18053792.828543998</v>
      </c>
      <c r="Q71" s="99">
        <f t="shared" si="35"/>
        <v>18053792.828543998</v>
      </c>
      <c r="R71" s="99">
        <f t="shared" si="35"/>
        <v>18053792.828543998</v>
      </c>
      <c r="S71" s="99">
        <f t="shared" si="35"/>
        <v>18053792.828543998</v>
      </c>
      <c r="T71" s="99">
        <f t="shared" si="35"/>
        <v>18053792.828543998</v>
      </c>
      <c r="U71" s="99">
        <f t="shared" si="35"/>
        <v>18053792.828543998</v>
      </c>
      <c r="V71" s="99">
        <f t="shared" si="35"/>
        <v>18053792.828543998</v>
      </c>
      <c r="W71" s="99">
        <f t="shared" si="35"/>
        <v>18053792.828543998</v>
      </c>
      <c r="X71" s="101">
        <f t="shared" si="35"/>
        <v>18053792.828543998</v>
      </c>
    </row>
    <row r="72" spans="1:24" hidden="1" outlineLevel="1">
      <c r="C72" s="126"/>
      <c r="D72" s="143"/>
      <c r="E72" s="144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101"/>
    </row>
    <row r="73" spans="1:24" hidden="1" outlineLevel="1">
      <c r="C73" s="126"/>
      <c r="D73" s="143"/>
      <c r="E73" s="145" t="s">
        <v>85</v>
      </c>
      <c r="F73" s="254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101"/>
    </row>
    <row r="74" spans="1:24" hidden="1" outlineLevel="1">
      <c r="C74" s="126" t="s">
        <v>86</v>
      </c>
      <c r="D74" s="143"/>
      <c r="E74" s="144">
        <f>INDEX('DATA (Nominal)'!$B$38:$BX$38,1,MATCH($B$1,'DATA (Nominal)'!$B$1:$BX$1,0))*1000</f>
        <v>6820</v>
      </c>
      <c r="F74" s="254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101"/>
    </row>
    <row r="75" spans="1:24" hidden="1" outlineLevel="1">
      <c r="C75" s="126" t="s">
        <v>87</v>
      </c>
      <c r="D75" s="143"/>
      <c r="E75" s="144">
        <f>'Resource Options'!$E$5</f>
        <v>311.536</v>
      </c>
      <c r="F75" s="254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101"/>
    </row>
    <row r="76" spans="1:24" hidden="1" outlineLevel="1">
      <c r="C76" s="126" t="s">
        <v>88</v>
      </c>
      <c r="D76" s="143"/>
      <c r="E76" s="130">
        <f>INDEX('DATA (Nominal)'!$B$86:$BX$86,1,MATCH($B$1,'DATA (Nominal)'!$B$1:$BX$1,0))*'Resource Options'!$E$5/1000</f>
        <v>383.11340426210938</v>
      </c>
      <c r="F76" s="254">
        <f>INDEX('DATA (Nominal)'!$B$86:$BX$86,1,MATCH($B$1,'DATA (Nominal)'!$B$1:$BX$1,0))</f>
        <v>1229.7564463243714</v>
      </c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131"/>
    </row>
    <row r="77" spans="1:24" hidden="1" outlineLevel="1">
      <c r="C77" s="126" t="s">
        <v>81</v>
      </c>
      <c r="D77" s="143"/>
      <c r="E77" s="130">
        <f>E76*AFUDC!$C$5</f>
        <v>22.446614355716996</v>
      </c>
      <c r="F77" s="130">
        <f>F76*AFUDC!$C$5</f>
        <v>72.051430190144941</v>
      </c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131"/>
    </row>
    <row r="78" spans="1:24" hidden="1" outlineLevel="1">
      <c r="C78" s="126" t="s">
        <v>89</v>
      </c>
      <c r="D78" s="143"/>
      <c r="E78" s="130">
        <f>E76*$B$4</f>
        <v>22.986804255726561</v>
      </c>
      <c r="F78" s="130">
        <f>F76*$B$4</f>
        <v>73.785386779462286</v>
      </c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131"/>
    </row>
    <row r="79" spans="1:24" hidden="1" outlineLevel="1">
      <c r="C79" s="126" t="s">
        <v>90</v>
      </c>
      <c r="D79" s="143"/>
      <c r="E79" s="130">
        <f>SUM(E76:E78)</f>
        <v>428.54682287355291</v>
      </c>
      <c r="F79" s="130">
        <f>SUM(F76:F78)</f>
        <v>1375.5932632939785</v>
      </c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131"/>
    </row>
    <row r="80" spans="1:24" hidden="1" outlineLevel="1">
      <c r="C80" s="126"/>
      <c r="D80" s="143"/>
      <c r="E80" s="146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131"/>
    </row>
    <row r="81" spans="1:24" hidden="1" outlineLevel="1">
      <c r="C81" s="126" t="s">
        <v>91</v>
      </c>
      <c r="D81" s="143"/>
      <c r="E81" s="146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131"/>
    </row>
    <row r="82" spans="1:24" hidden="1" outlineLevel="1">
      <c r="C82" s="126" t="s">
        <v>47</v>
      </c>
      <c r="D82" s="100">
        <f>-PMT(Discount_Rate,20,NPV(Discount_Rate,E82:X82))</f>
        <v>11785037.537176853</v>
      </c>
      <c r="E82" s="100">
        <f>$E75*1000*INDEX('DATA (Nominal)'!$B$205:$BX$205,MATCH(E$1,'DATA (Nominal)'!$B$1:$BX$1,0))</f>
        <v>9940108.9553053211</v>
      </c>
      <c r="F82" s="100">
        <f>$E75*1000*INDEX('DATA (Nominal)'!$B$205:$BX$205,MATCH(F$1,'DATA (Nominal)'!$B$1:$BX$1,0))</f>
        <v>10162104.721973805</v>
      </c>
      <c r="G82" s="100">
        <f>$E75*1000*INDEX('DATA (Nominal)'!$B$205:$BX$205,MATCH(G$1,'DATA (Nominal)'!$B$1:$BX$1,0))</f>
        <v>10389058.394097887</v>
      </c>
      <c r="H82" s="100">
        <f>$E75*1000*INDEX('DATA (Nominal)'!$B$205:$BX$205,MATCH(H$1,'DATA (Nominal)'!$B$1:$BX$1,0))</f>
        <v>10617617.678768042</v>
      </c>
      <c r="I82" s="100">
        <f>$E75*1000*INDEX('DATA (Nominal)'!$B$205:$BX$205,MATCH(I$1,'DATA (Nominal)'!$B$1:$BX$1,0))</f>
        <v>10851205.267700939</v>
      </c>
      <c r="J82" s="100">
        <f>$E75*1000*INDEX('DATA (Nominal)'!$B$205:$BX$205,MATCH(J$1,'DATA (Nominal)'!$B$1:$BX$1,0))</f>
        <v>11089931.783590358</v>
      </c>
      <c r="K82" s="100">
        <f>$E75*1000*INDEX('DATA (Nominal)'!$B$205:$BX$205,MATCH(K$1,'DATA (Nominal)'!$B$1:$BX$1,0))</f>
        <v>11333910.282829348</v>
      </c>
      <c r="L82" s="100">
        <f>$E75*1000*INDEX('DATA (Nominal)'!$B$205:$BX$205,MATCH(L$1,'DATA (Nominal)'!$B$1:$BX$1,0))</f>
        <v>11583256.309051594</v>
      </c>
      <c r="M82" s="100">
        <f>$E75*1000*INDEX('DATA (Nominal)'!$B$205:$BX$205,MATCH(M$1,'DATA (Nominal)'!$B$1:$BX$1,0))</f>
        <v>11838087.94785073</v>
      </c>
      <c r="N82" s="100">
        <f>$E75*1000*INDEX('DATA (Nominal)'!$B$205:$BX$205,MATCH(N$1,'DATA (Nominal)'!$B$1:$BX$1,0))</f>
        <v>12098525.882703446</v>
      </c>
      <c r="O82" s="100">
        <f>$E75*1000*INDEX('DATA (Nominal)'!$B$205:$BX$205,MATCH(O$1,'DATA (Nominal)'!$B$1:$BX$1,0))</f>
        <v>12364693.452122921</v>
      </c>
      <c r="P82" s="100">
        <f>$E75*1000*INDEX('DATA (Nominal)'!$B$205:$BX$205,MATCH(P$1,'DATA (Nominal)'!$B$1:$BX$1,0))</f>
        <v>12636716.708069624</v>
      </c>
      <c r="Q82" s="100">
        <f>$E75*1000*INDEX('DATA (Nominal)'!$B$205:$BX$205,MATCH(Q$1,'DATA (Nominal)'!$B$1:$BX$1,0))</f>
        <v>12914724.475647155</v>
      </c>
      <c r="R82" s="100">
        <f>$E75*1000*INDEX('DATA (Nominal)'!$B$205:$BX$205,MATCH(R$1,'DATA (Nominal)'!$B$1:$BX$1,0))</f>
        <v>13198848.414111393</v>
      </c>
      <c r="S82" s="100">
        <f>$E75*1000*INDEX('DATA (Nominal)'!$B$205:$BX$205,MATCH(S$1,'DATA (Nominal)'!$B$1:$BX$1,0))</f>
        <v>13489223.079221845</v>
      </c>
      <c r="T82" s="100">
        <f>$E75*1000*INDEX('DATA (Nominal)'!$B$205:$BX$205,MATCH(T$1,'DATA (Nominal)'!$B$1:$BX$1,0))</f>
        <v>13785985.986964725</v>
      </c>
      <c r="U82" s="100">
        <f>$E75*1000*INDEX('DATA (Nominal)'!$B$205:$BX$205,MATCH(U$1,'DATA (Nominal)'!$B$1:$BX$1,0))</f>
        <v>14089277.678677946</v>
      </c>
      <c r="V82" s="100">
        <f>$E75*1000*INDEX('DATA (Nominal)'!$B$205:$BX$205,MATCH(V$1,'DATA (Nominal)'!$B$1:$BX$1,0))</f>
        <v>14399241.787608864</v>
      </c>
      <c r="W82" s="100">
        <f>$E75*1000*INDEX('DATA (Nominal)'!$B$205:$BX$205,MATCH(W$1,'DATA (Nominal)'!$B$1:$BX$1,0))</f>
        <v>14716025.106936257</v>
      </c>
      <c r="X82" s="132">
        <f>$E75*1000*INDEX('DATA (Nominal)'!$B$205:$BX$205,MATCH(X$1,'DATA (Nominal)'!$B$1:$BX$1,0))</f>
        <v>15039777.659288855</v>
      </c>
    </row>
    <row r="83" spans="1:24" hidden="1" outlineLevel="1">
      <c r="C83" s="126" t="s">
        <v>92</v>
      </c>
      <c r="D83" s="100">
        <f>-PMT(Discount_Rate,20,NPV(Discount_Rate,E83:X83))</f>
        <v>47612999.156907298</v>
      </c>
      <c r="E83" s="100">
        <f>$E79*Assumptions!AG$5*1000000</f>
        <v>60279880.192302555</v>
      </c>
      <c r="F83" s="100">
        <f>$E79*Assumptions!AH$5*1000000</f>
        <v>58570475.657455817</v>
      </c>
      <c r="G83" s="100">
        <f>$E79*Assumptions!AI$5*1000000</f>
        <v>56740482.447569236</v>
      </c>
      <c r="H83" s="100">
        <f>$E79*Assumptions!AJ$5*1000000</f>
        <v>54953362.465386346</v>
      </c>
      <c r="I83" s="100">
        <f>$E79*Assumptions!AK$5*1000000</f>
        <v>53205903.307678677</v>
      </c>
      <c r="J83" s="100">
        <f>$E79*Assumptions!AL$5*1000000</f>
        <v>51495180.863815114</v>
      </c>
      <c r="K83" s="100">
        <f>$E79*Assumptions!AM$5*1000000</f>
        <v>49818435.761791691</v>
      </c>
      <c r="L83" s="100">
        <f>$E79*Assumptions!AN$5*1000000</f>
        <v>48173114.552888267</v>
      </c>
      <c r="M83" s="100">
        <f>$E79*Assumptions!AO$5*1000000</f>
        <v>46545461.561741732</v>
      </c>
      <c r="N83" s="100">
        <f>$E79*Assumptions!AP$5*1000000</f>
        <v>44920362.019315295</v>
      </c>
      <c r="O83" s="100">
        <f>$E79*Assumptions!AQ$5*1000000</f>
        <v>43295262.476888865</v>
      </c>
      <c r="P83" s="100">
        <f>$E79*Assumptions!AR$5*1000000</f>
        <v>41670162.934462421</v>
      </c>
      <c r="Q83" s="100">
        <f>$E79*Assumptions!AS$5*1000000</f>
        <v>40045063.392035969</v>
      </c>
      <c r="R83" s="100">
        <f>$E79*Assumptions!AT$5*1000000</f>
        <v>38419963.849609546</v>
      </c>
      <c r="S83" s="100">
        <f>$E79*Assumptions!AU$5*1000000</f>
        <v>36794864.307183102</v>
      </c>
      <c r="T83" s="100">
        <f>$E79*Assumptions!AV$5*1000000</f>
        <v>35169764.764756672</v>
      </c>
      <c r="U83" s="100">
        <f>$E79*Assumptions!AW$5*1000000</f>
        <v>33544665.222330231</v>
      </c>
      <c r="V83" s="100">
        <f>$E79*Assumptions!AX$5*1000000</f>
        <v>31919565.679903805</v>
      </c>
      <c r="W83" s="100">
        <f>$E79*Assumptions!AY$5*1000000</f>
        <v>30294466.137477372</v>
      </c>
      <c r="X83" s="132">
        <f>$E79*Assumptions!AZ$5*1000000</f>
        <v>28669366.595050946</v>
      </c>
    </row>
    <row r="84" spans="1:24" hidden="1" outlineLevel="1">
      <c r="C84" s="126" t="s">
        <v>93</v>
      </c>
      <c r="D84" s="100">
        <f>-PMT(Discount_Rate,20,NPV(Discount_Rate,E84:X84))</f>
        <v>343580.98435885395</v>
      </c>
      <c r="E84" s="100">
        <f t="shared" ref="E84:X84" si="36">E82*Misc_Fees</f>
        <v>289793.9364829713</v>
      </c>
      <c r="F84" s="100">
        <f t="shared" si="36"/>
        <v>296266.00106442429</v>
      </c>
      <c r="G84" s="100">
        <f t="shared" si="36"/>
        <v>302882.60842152982</v>
      </c>
      <c r="H84" s="100">
        <f t="shared" si="36"/>
        <v>309546.02580680349</v>
      </c>
      <c r="I84" s="100">
        <f t="shared" si="36"/>
        <v>316356.03837455314</v>
      </c>
      <c r="J84" s="100">
        <f t="shared" si="36"/>
        <v>323315.87121879327</v>
      </c>
      <c r="K84" s="100">
        <f t="shared" si="36"/>
        <v>330428.82038560678</v>
      </c>
      <c r="L84" s="100">
        <f t="shared" si="36"/>
        <v>337698.25443409017</v>
      </c>
      <c r="M84" s="100">
        <f t="shared" si="36"/>
        <v>345127.61603164021</v>
      </c>
      <c r="N84" s="100">
        <f t="shared" si="36"/>
        <v>352720.42358433624</v>
      </c>
      <c r="O84" s="100">
        <f t="shared" si="36"/>
        <v>360480.27290319162</v>
      </c>
      <c r="P84" s="100">
        <f t="shared" si="36"/>
        <v>368410.83890706184</v>
      </c>
      <c r="Q84" s="100">
        <f t="shared" si="36"/>
        <v>376515.87736301718</v>
      </c>
      <c r="R84" s="100">
        <f t="shared" si="36"/>
        <v>384799.22666500352</v>
      </c>
      <c r="S84" s="100">
        <f t="shared" si="36"/>
        <v>393264.80965163367</v>
      </c>
      <c r="T84" s="100">
        <f t="shared" si="36"/>
        <v>401916.63546396961</v>
      </c>
      <c r="U84" s="100">
        <f t="shared" si="36"/>
        <v>410758.80144417682</v>
      </c>
      <c r="V84" s="100">
        <f t="shared" si="36"/>
        <v>419795.49507594883</v>
      </c>
      <c r="W84" s="100">
        <f t="shared" si="36"/>
        <v>429030.99596761964</v>
      </c>
      <c r="X84" s="132">
        <f t="shared" si="36"/>
        <v>438469.6778789073</v>
      </c>
    </row>
    <row r="85" spans="1:24" hidden="1" outlineLevel="1">
      <c r="C85" s="126" t="s">
        <v>94</v>
      </c>
      <c r="D85" s="100">
        <f>-PMT(Discount_Rate,20,NPV(Discount_Rate,E85:X85))</f>
        <v>59741617.678443</v>
      </c>
      <c r="E85" s="100">
        <f t="shared" ref="E85:X85" si="37">SUM(E82:E84)</f>
        <v>70509783.084090844</v>
      </c>
      <c r="F85" s="100">
        <f t="shared" si="37"/>
        <v>69028846.380494043</v>
      </c>
      <c r="G85" s="100">
        <f t="shared" si="37"/>
        <v>67432423.45008865</v>
      </c>
      <c r="H85" s="100">
        <f t="shared" si="37"/>
        <v>65880526.169961192</v>
      </c>
      <c r="I85" s="100">
        <f t="shared" si="37"/>
        <v>64373464.613754168</v>
      </c>
      <c r="J85" s="100">
        <f t="shared" si="37"/>
        <v>62908428.518624268</v>
      </c>
      <c r="K85" s="100">
        <f t="shared" si="37"/>
        <v>61482774.865006641</v>
      </c>
      <c r="L85" s="100">
        <f t="shared" si="37"/>
        <v>60094069.116373956</v>
      </c>
      <c r="M85" s="100">
        <f t="shared" si="37"/>
        <v>58728677.125624098</v>
      </c>
      <c r="N85" s="100">
        <f t="shared" si="37"/>
        <v>57371608.325603075</v>
      </c>
      <c r="O85" s="100">
        <f t="shared" si="37"/>
        <v>56020436.201914974</v>
      </c>
      <c r="P85" s="100">
        <f t="shared" si="37"/>
        <v>54675290.481439106</v>
      </c>
      <c r="Q85" s="100">
        <f t="shared" si="37"/>
        <v>53336303.745046146</v>
      </c>
      <c r="R85" s="100">
        <f t="shared" si="37"/>
        <v>52003611.490385942</v>
      </c>
      <c r="S85" s="100">
        <f t="shared" si="37"/>
        <v>50677352.196056582</v>
      </c>
      <c r="T85" s="100">
        <f t="shared" si="37"/>
        <v>49357667.387185365</v>
      </c>
      <c r="U85" s="100">
        <f t="shared" si="37"/>
        <v>48044701.702452354</v>
      </c>
      <c r="V85" s="100">
        <f t="shared" si="37"/>
        <v>46738602.962588616</v>
      </c>
      <c r="W85" s="100">
        <f t="shared" si="37"/>
        <v>45439522.240381248</v>
      </c>
      <c r="X85" s="132">
        <f t="shared" si="37"/>
        <v>44147613.932218708</v>
      </c>
    </row>
    <row r="86" spans="1:24" hidden="1" outlineLevel="1">
      <c r="C86" s="126"/>
      <c r="D86" s="100"/>
      <c r="E86" s="100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33"/>
    </row>
    <row r="87" spans="1:24" hidden="1" outlineLevel="1">
      <c r="C87" s="126" t="s">
        <v>95</v>
      </c>
      <c r="D87" s="100"/>
      <c r="E87" s="100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33"/>
    </row>
    <row r="88" spans="1:24" hidden="1" outlineLevel="1">
      <c r="C88" s="126" t="s">
        <v>48</v>
      </c>
      <c r="D88" s="100">
        <f t="shared" ref="D88:D93" si="38">-PMT(Discount_Rate,20,NPV(Discount_Rate,E88:X88))</f>
        <v>15585964.35189092</v>
      </c>
      <c r="E88" s="100">
        <f>E70*INDEX('DATA (Nominal)'!$B$127:$BX$127,1,MATCH(E$1,'DATA (Nominal)'!$B$1:$BX$1,0))</f>
        <v>13146006.819458421</v>
      </c>
      <c r="F88" s="100">
        <f>F70*INDEX('DATA (Nominal)'!$B$127:$BX$127,1,MATCH(F$1,'DATA (Nominal)'!$B$1:$BX$1,0))</f>
        <v>13439600.971759658</v>
      </c>
      <c r="G88" s="100">
        <f>G70*INDEX('DATA (Nominal)'!$B$127:$BX$127,1,MATCH(G$1,'DATA (Nominal)'!$B$1:$BX$1,0))</f>
        <v>13739752.060128961</v>
      </c>
      <c r="H88" s="100">
        <f>H70*INDEX('DATA (Nominal)'!$B$127:$BX$127,1,MATCH(H$1,'DATA (Nominal)'!$B$1:$BX$1,0))</f>
        <v>14042026.605451796</v>
      </c>
      <c r="I88" s="100">
        <f>I70*INDEX('DATA (Nominal)'!$B$127:$BX$127,1,MATCH(I$1,'DATA (Nominal)'!$B$1:$BX$1,0))</f>
        <v>14350951.190771736</v>
      </c>
      <c r="J88" s="100">
        <f>J70*INDEX('DATA (Nominal)'!$B$127:$BX$127,1,MATCH(J$1,'DATA (Nominal)'!$B$1:$BX$1,0))</f>
        <v>14666672.116968716</v>
      </c>
      <c r="K88" s="100">
        <f>K70*INDEX('DATA (Nominal)'!$B$127:$BX$127,1,MATCH(K$1,'DATA (Nominal)'!$B$1:$BX$1,0))</f>
        <v>14989338.903542027</v>
      </c>
      <c r="L88" s="100">
        <f>L70*INDEX('DATA (Nominal)'!$B$127:$BX$127,1,MATCH(L$1,'DATA (Nominal)'!$B$1:$BX$1,0))</f>
        <v>15319104.359419953</v>
      </c>
      <c r="M88" s="100">
        <f>M70*INDEX('DATA (Nominal)'!$B$127:$BX$127,1,MATCH(M$1,'DATA (Nominal)'!$B$1:$BX$1,0))</f>
        <v>15656124.655327192</v>
      </c>
      <c r="N88" s="100">
        <f>N70*INDEX('DATA (Nominal)'!$B$127:$BX$127,1,MATCH(N$1,'DATA (Nominal)'!$B$1:$BX$1,0))</f>
        <v>16000559.397744389</v>
      </c>
      <c r="O88" s="100">
        <f>O70*INDEX('DATA (Nominal)'!$B$127:$BX$127,1,MATCH(O$1,'DATA (Nominal)'!$B$1:$BX$1,0))</f>
        <v>16352571.704494765</v>
      </c>
      <c r="P88" s="100">
        <f>P70*INDEX('DATA (Nominal)'!$B$127:$BX$127,1,MATCH(P$1,'DATA (Nominal)'!$B$1:$BX$1,0))</f>
        <v>16712328.28199365</v>
      </c>
      <c r="Q88" s="100">
        <f>Q70*INDEX('DATA (Nominal)'!$B$127:$BX$127,1,MATCH(Q$1,'DATA (Nominal)'!$B$1:$BX$1,0))</f>
        <v>17079999.504197508</v>
      </c>
      <c r="R88" s="100">
        <f>R70*INDEX('DATA (Nominal)'!$B$127:$BX$127,1,MATCH(R$1,'DATA (Nominal)'!$B$1:$BX$1,0))</f>
        <v>17455759.493289858</v>
      </c>
      <c r="S88" s="100">
        <f>S70*INDEX('DATA (Nominal)'!$B$127:$BX$127,1,MATCH(S$1,'DATA (Nominal)'!$B$1:$BX$1,0))</f>
        <v>17839786.202142235</v>
      </c>
      <c r="T88" s="100">
        <f>T70*INDEX('DATA (Nominal)'!$B$127:$BX$127,1,MATCH(T$1,'DATA (Nominal)'!$B$1:$BX$1,0))</f>
        <v>18232261.498589363</v>
      </c>
      <c r="U88" s="100">
        <f>U70*INDEX('DATA (Nominal)'!$B$127:$BX$127,1,MATCH(U$1,'DATA (Nominal)'!$B$1:$BX$1,0))</f>
        <v>18633371.25155833</v>
      </c>
      <c r="V88" s="100">
        <f>V70*INDEX('DATA (Nominal)'!$B$127:$BX$127,1,MATCH(V$1,'DATA (Nominal)'!$B$1:$BX$1,0))</f>
        <v>19043305.41909261</v>
      </c>
      <c r="W88" s="100">
        <f>W70*INDEX('DATA (Nominal)'!$B$127:$BX$127,1,MATCH(W$1,'DATA (Nominal)'!$B$1:$BX$1,0))</f>
        <v>19462258.138312649</v>
      </c>
      <c r="X88" s="132">
        <f>X70*INDEX('DATA (Nominal)'!$B$127:$BX$127,1,MATCH(X$1,'DATA (Nominal)'!$B$1:$BX$1,0))</f>
        <v>19890427.817355528</v>
      </c>
    </row>
    <row r="89" spans="1:24" hidden="1" outlineLevel="1">
      <c r="C89" s="126" t="s">
        <v>96</v>
      </c>
      <c r="D89" s="100">
        <f t="shared" si="38"/>
        <v>75770274.479963422</v>
      </c>
      <c r="E89" s="100">
        <f>E71*INDEX('DATA (Nominal)'!$B$137:$BX$137,1,MATCH(E$1,'DATA (Nominal)'!$B$1:$BX$1,0))</f>
        <v>73186831.40225333</v>
      </c>
      <c r="F89" s="100">
        <f>F71*INDEX('DATA (Nominal)'!$B$137:$BX$137,1,MATCH(F$1,'DATA (Nominal)'!$B$1:$BX$1,0))</f>
        <v>67181825.606859043</v>
      </c>
      <c r="G89" s="100">
        <f>G71*INDEX('DATA (Nominal)'!$B$137:$BX$137,1,MATCH(G$1,'DATA (Nominal)'!$B$1:$BX$1,0))</f>
        <v>64230036.797166288</v>
      </c>
      <c r="H89" s="100">
        <f>H71*INDEX('DATA (Nominal)'!$B$137:$BX$137,1,MATCH(H$1,'DATA (Nominal)'!$B$1:$BX$1,0))</f>
        <v>64100375.856710337</v>
      </c>
      <c r="I89" s="100">
        <f>I71*INDEX('DATA (Nominal)'!$B$137:$BX$137,1,MATCH(I$1,'DATA (Nominal)'!$B$1:$BX$1,0))</f>
        <v>65560386.329673015</v>
      </c>
      <c r="J89" s="100">
        <f>J71*INDEX('DATA (Nominal)'!$B$137:$BX$137,1,MATCH(J$1,'DATA (Nominal)'!$B$1:$BX$1,0))</f>
        <v>68490936.177600622</v>
      </c>
      <c r="K89" s="100">
        <f>K71*INDEX('DATA (Nominal)'!$B$137:$BX$137,1,MATCH(K$1,'DATA (Nominal)'!$B$1:$BX$1,0))</f>
        <v>71531964.063156635</v>
      </c>
      <c r="L89" s="100">
        <f>L71*INDEX('DATA (Nominal)'!$B$137:$BX$137,1,MATCH(L$1,'DATA (Nominal)'!$B$1:$BX$1,0))</f>
        <v>73362502.629333481</v>
      </c>
      <c r="M89" s="100">
        <f>M71*INDEX('DATA (Nominal)'!$B$137:$BX$137,1,MATCH(M$1,'DATA (Nominal)'!$B$1:$BX$1,0))</f>
        <v>76098972.213415131</v>
      </c>
      <c r="N89" s="100">
        <f>N71*INDEX('DATA (Nominal)'!$B$137:$BX$137,1,MATCH(N$1,'DATA (Nominal)'!$B$1:$BX$1,0))</f>
        <v>76990644.037378371</v>
      </c>
      <c r="O89" s="100">
        <f>O71*INDEX('DATA (Nominal)'!$B$137:$BX$137,1,MATCH(O$1,'DATA (Nominal)'!$B$1:$BX$1,0))</f>
        <v>79075734.821312949</v>
      </c>
      <c r="P89" s="100">
        <f>P71*INDEX('DATA (Nominal)'!$B$137:$BX$137,1,MATCH(P$1,'DATA (Nominal)'!$B$1:$BX$1,0))</f>
        <v>80574282.759118438</v>
      </c>
      <c r="Q89" s="100">
        <f>Q71*INDEX('DATA (Nominal)'!$B$137:$BX$137,1,MATCH(Q$1,'DATA (Nominal)'!$B$1:$BX$1,0))</f>
        <v>82339750.012760028</v>
      </c>
      <c r="R89" s="100">
        <f>R71*INDEX('DATA (Nominal)'!$B$137:$BX$137,1,MATCH(R$1,'DATA (Nominal)'!$B$1:$BX$1,0))</f>
        <v>83517639.609367594</v>
      </c>
      <c r="S89" s="100">
        <f>S71*INDEX('DATA (Nominal)'!$B$137:$BX$137,1,MATCH(S$1,'DATA (Nominal)'!$B$1:$BX$1,0))</f>
        <v>86168315.020716935</v>
      </c>
      <c r="T89" s="100">
        <f>T71*INDEX('DATA (Nominal)'!$B$137:$BX$137,1,MATCH(T$1,'DATA (Nominal)'!$B$1:$BX$1,0))</f>
        <v>90341414.683378294</v>
      </c>
      <c r="U89" s="100">
        <f>U71*INDEX('DATA (Nominal)'!$B$137:$BX$137,1,MATCH(U$1,'DATA (Nominal)'!$B$1:$BX$1,0))</f>
        <v>92471081.313070014</v>
      </c>
      <c r="V89" s="100">
        <f>V71*INDEX('DATA (Nominal)'!$B$137:$BX$137,1,MATCH(V$1,'DATA (Nominal)'!$B$1:$BX$1,0))</f>
        <v>94200685.526623338</v>
      </c>
      <c r="W89" s="100">
        <f>W71*INDEX('DATA (Nominal)'!$B$137:$BX$137,1,MATCH(W$1,'DATA (Nominal)'!$B$1:$BX$1,0))</f>
        <v>97690756.655703038</v>
      </c>
      <c r="X89" s="132">
        <f>X71*INDEX('DATA (Nominal)'!$B$137:$BX$137,1,MATCH(X$1,'DATA (Nominal)'!$B$1:$BX$1,0))</f>
        <v>99734862.049203262</v>
      </c>
    </row>
    <row r="90" spans="1:24" hidden="1" outlineLevel="1">
      <c r="C90" s="126" t="s">
        <v>98</v>
      </c>
      <c r="D90" s="100">
        <f t="shared" si="38"/>
        <v>3788.5137239981723</v>
      </c>
      <c r="E90" s="100">
        <f>E89*INDEX('DATA (Nominal)'!$B$138:$BX$138,1,MATCH(E$1,'DATA (Nominal)'!$B$1:$BX$1,0))</f>
        <v>3659.3415701126669</v>
      </c>
      <c r="F90" s="100">
        <f>F89*INDEX('DATA (Nominal)'!$B$138:$BX$138,1,MATCH(F$1,'DATA (Nominal)'!$B$1:$BX$1,0))</f>
        <v>3359.0912803429524</v>
      </c>
      <c r="G90" s="100">
        <f>G89*INDEX('DATA (Nominal)'!$B$138:$BX$138,1,MATCH(G$1,'DATA (Nominal)'!$B$1:$BX$1,0))</f>
        <v>3211.5018398583147</v>
      </c>
      <c r="H90" s="100">
        <f>H89*INDEX('DATA (Nominal)'!$B$138:$BX$138,1,MATCH(H$1,'DATA (Nominal)'!$B$1:$BX$1,0))</f>
        <v>3205.0187928355172</v>
      </c>
      <c r="I90" s="100">
        <f>I89*INDEX('DATA (Nominal)'!$B$138:$BX$138,1,MATCH(I$1,'DATA (Nominal)'!$B$1:$BX$1,0))</f>
        <v>3278.019316483651</v>
      </c>
      <c r="J90" s="100">
        <f>J89*INDEX('DATA (Nominal)'!$B$138:$BX$138,1,MATCH(J$1,'DATA (Nominal)'!$B$1:$BX$1,0))</f>
        <v>3424.5468088800312</v>
      </c>
      <c r="K90" s="100">
        <f>K89*INDEX('DATA (Nominal)'!$B$138:$BX$138,1,MATCH(K$1,'DATA (Nominal)'!$B$1:$BX$1,0))</f>
        <v>3576.5982031578319</v>
      </c>
      <c r="L90" s="100">
        <f>L89*INDEX('DATA (Nominal)'!$B$138:$BX$138,1,MATCH(L$1,'DATA (Nominal)'!$B$1:$BX$1,0))</f>
        <v>3668.1251314666742</v>
      </c>
      <c r="M90" s="100">
        <f>M89*INDEX('DATA (Nominal)'!$B$138:$BX$138,1,MATCH(M$1,'DATA (Nominal)'!$B$1:$BX$1,0))</f>
        <v>3804.9486106707568</v>
      </c>
      <c r="N90" s="100">
        <f>N89*INDEX('DATA (Nominal)'!$B$138:$BX$138,1,MATCH(N$1,'DATA (Nominal)'!$B$1:$BX$1,0))</f>
        <v>3849.5322018689189</v>
      </c>
      <c r="O90" s="100">
        <f>O89*INDEX('DATA (Nominal)'!$B$138:$BX$138,1,MATCH(O$1,'DATA (Nominal)'!$B$1:$BX$1,0))</f>
        <v>3953.7867410656477</v>
      </c>
      <c r="P90" s="100">
        <f>P89*INDEX('DATA (Nominal)'!$B$138:$BX$138,1,MATCH(P$1,'DATA (Nominal)'!$B$1:$BX$1,0))</f>
        <v>4028.7141379559221</v>
      </c>
      <c r="Q90" s="100">
        <f>Q89*INDEX('DATA (Nominal)'!$B$138:$BX$138,1,MATCH(Q$1,'DATA (Nominal)'!$B$1:$BX$1,0))</f>
        <v>4116.9875006380016</v>
      </c>
      <c r="R90" s="100">
        <f>R89*INDEX('DATA (Nominal)'!$B$138:$BX$138,1,MATCH(R$1,'DATA (Nominal)'!$B$1:$BX$1,0))</f>
        <v>4175.8819804683799</v>
      </c>
      <c r="S90" s="100">
        <f>S89*INDEX('DATA (Nominal)'!$B$138:$BX$138,1,MATCH(S$1,'DATA (Nominal)'!$B$1:$BX$1,0))</f>
        <v>4308.4157510358473</v>
      </c>
      <c r="T90" s="100">
        <f>T89*INDEX('DATA (Nominal)'!$B$138:$BX$138,1,MATCH(T$1,'DATA (Nominal)'!$B$1:$BX$1,0))</f>
        <v>4517.0707341689149</v>
      </c>
      <c r="U90" s="100">
        <f>U89*INDEX('DATA (Nominal)'!$B$138:$BX$138,1,MATCH(U$1,'DATA (Nominal)'!$B$1:$BX$1,0))</f>
        <v>4623.5540656535013</v>
      </c>
      <c r="V90" s="100">
        <f>V89*INDEX('DATA (Nominal)'!$B$138:$BX$138,1,MATCH(V$1,'DATA (Nominal)'!$B$1:$BX$1,0))</f>
        <v>4710.0342763311673</v>
      </c>
      <c r="W90" s="100">
        <f>W89*INDEX('DATA (Nominal)'!$B$138:$BX$138,1,MATCH(W$1,'DATA (Nominal)'!$B$1:$BX$1,0))</f>
        <v>4884.5378327851522</v>
      </c>
      <c r="X90" s="132">
        <f>X89*INDEX('DATA (Nominal)'!$B$138:$BX$138,1,MATCH(X$1,'DATA (Nominal)'!$B$1:$BX$1,0))</f>
        <v>4986.7431024601638</v>
      </c>
    </row>
    <row r="91" spans="1:24" s="263" customFormat="1" hidden="1" outlineLevel="1">
      <c r="C91" s="258" t="s">
        <v>242</v>
      </c>
      <c r="D91" s="255">
        <f t="shared" si="38"/>
        <v>0</v>
      </c>
      <c r="E91" s="255">
        <f>IF($A$4="Washington Sales Tax Rate:",SUM(E89:E90)*0.03852,0)</f>
        <v>0</v>
      </c>
      <c r="F91" s="255">
        <f t="shared" ref="F91" si="39">IF($A$4="Washington Sales Tax Rate:",SUM(F89:F90)*0.03852,0)</f>
        <v>0</v>
      </c>
      <c r="G91" s="255">
        <f t="shared" ref="G91" si="40">IF($A$4="Washington Sales Tax Rate:",SUM(G89:G90)*0.03852,0)</f>
        <v>0</v>
      </c>
      <c r="H91" s="255">
        <f t="shared" ref="H91" si="41">IF($A$4="Washington Sales Tax Rate:",SUM(H89:H90)*0.03852,0)</f>
        <v>0</v>
      </c>
      <c r="I91" s="255">
        <f t="shared" ref="I91" si="42">IF($A$4="Washington Sales Tax Rate:",SUM(I89:I90)*0.03852,0)</f>
        <v>0</v>
      </c>
      <c r="J91" s="255">
        <f t="shared" ref="J91" si="43">IF($A$4="Washington Sales Tax Rate:",SUM(J89:J90)*0.03852,0)</f>
        <v>0</v>
      </c>
      <c r="K91" s="255">
        <f t="shared" ref="K91" si="44">IF($A$4="Washington Sales Tax Rate:",SUM(K89:K90)*0.03852,0)</f>
        <v>0</v>
      </c>
      <c r="L91" s="255">
        <f t="shared" ref="L91" si="45">IF($A$4="Washington Sales Tax Rate:",SUM(L89:L90)*0.03852,0)</f>
        <v>0</v>
      </c>
      <c r="M91" s="255">
        <f t="shared" ref="M91" si="46">IF($A$4="Washington Sales Tax Rate:",SUM(M89:M90)*0.03852,0)</f>
        <v>0</v>
      </c>
      <c r="N91" s="255">
        <f t="shared" ref="N91" si="47">IF($A$4="Washington Sales Tax Rate:",SUM(N89:N90)*0.03852,0)</f>
        <v>0</v>
      </c>
      <c r="O91" s="255">
        <f t="shared" ref="O91" si="48">IF($A$4="Washington Sales Tax Rate:",SUM(O89:O90)*0.03852,0)</f>
        <v>0</v>
      </c>
      <c r="P91" s="255">
        <f t="shared" ref="P91" si="49">IF($A$4="Washington Sales Tax Rate:",SUM(P89:P90)*0.03852,0)</f>
        <v>0</v>
      </c>
      <c r="Q91" s="255">
        <f t="shared" ref="Q91" si="50">IF($A$4="Washington Sales Tax Rate:",SUM(Q89:Q90)*0.03852,0)</f>
        <v>0</v>
      </c>
      <c r="R91" s="255">
        <f t="shared" ref="R91" si="51">IF($A$4="Washington Sales Tax Rate:",SUM(R89:R90)*0.03852,0)</f>
        <v>0</v>
      </c>
      <c r="S91" s="255">
        <f t="shared" ref="S91" si="52">IF($A$4="Washington Sales Tax Rate:",SUM(S89:S90)*0.03852,0)</f>
        <v>0</v>
      </c>
      <c r="T91" s="255">
        <f t="shared" ref="T91" si="53">IF($A$4="Washington Sales Tax Rate:",SUM(T89:T90)*0.03852,0)</f>
        <v>0</v>
      </c>
      <c r="U91" s="255">
        <f t="shared" ref="U91" si="54">IF($A$4="Washington Sales Tax Rate:",SUM(U89:U90)*0.03852,0)</f>
        <v>0</v>
      </c>
      <c r="V91" s="255">
        <f t="shared" ref="V91" si="55">IF($A$4="Washington Sales Tax Rate:",SUM(V89:V90)*0.03852,0)</f>
        <v>0</v>
      </c>
      <c r="W91" s="255">
        <f t="shared" ref="W91" si="56">IF($A$4="Washington Sales Tax Rate:",SUM(W89:W90)*0.03852,0)</f>
        <v>0</v>
      </c>
      <c r="X91" s="132">
        <f t="shared" ref="X91" si="57">IF($A$4="Washington Sales Tax Rate:",SUM(X89:X90)*0.03852,0)</f>
        <v>0</v>
      </c>
    </row>
    <row r="92" spans="1:24" hidden="1" outlineLevel="1">
      <c r="C92" s="126" t="s">
        <v>93</v>
      </c>
      <c r="D92" s="100">
        <f t="shared" si="38"/>
        <v>2663510.237232991</v>
      </c>
      <c r="E92" s="100">
        <f t="shared" ref="E92:X92" si="58">SUM(E88:E91)*Misc_Fees</f>
        <v>2517054.2499599196</v>
      </c>
      <c r="F92" s="100">
        <f t="shared" si="58"/>
        <v>2350535.0014202367</v>
      </c>
      <c r="G92" s="100">
        <f t="shared" si="58"/>
        <v>2273224.8524702247</v>
      </c>
      <c r="H92" s="100">
        <f t="shared" si="58"/>
        <v>2278257.0404997612</v>
      </c>
      <c r="I92" s="100">
        <f t="shared" si="58"/>
        <v>2329830.7014461989</v>
      </c>
      <c r="J92" s="100">
        <f t="shared" si="58"/>
        <v>2424476.7514575408</v>
      </c>
      <c r="K92" s="100">
        <f t="shared" si="58"/>
        <v>2522546.3388351472</v>
      </c>
      <c r="L92" s="100">
        <f t="shared" si="58"/>
        <v>2585530.5106702005</v>
      </c>
      <c r="M92" s="100">
        <f t="shared" si="58"/>
        <v>2675139.0235831086</v>
      </c>
      <c r="N92" s="100">
        <f t="shared" si="58"/>
        <v>2711177.774209382</v>
      </c>
      <c r="O92" s="100">
        <f t="shared" si="58"/>
        <v>2782232.1171520469</v>
      </c>
      <c r="P92" s="100">
        <f t="shared" si="58"/>
        <v>2836411.3114245599</v>
      </c>
      <c r="Q92" s="100">
        <f t="shared" si="58"/>
        <v>2898603.4040709734</v>
      </c>
      <c r="R92" s="100">
        <f t="shared" si="58"/>
        <v>2943900.2211021339</v>
      </c>
      <c r="S92" s="100">
        <f t="shared" si="58"/>
        <v>3032377.7906040419</v>
      </c>
      <c r="T92" s="100">
        <f t="shared" si="58"/>
        <v>3165488.6460892693</v>
      </c>
      <c r="U92" s="100">
        <f t="shared" si="58"/>
        <v>3239274.0051644049</v>
      </c>
      <c r="V92" s="100">
        <f t="shared" si="58"/>
        <v>3301652.6283706948</v>
      </c>
      <c r="W92" s="100">
        <f t="shared" si="58"/>
        <v>3415621.3971207105</v>
      </c>
      <c r="X92" s="132">
        <f t="shared" si="58"/>
        <v>3487701.0842780638</v>
      </c>
    </row>
    <row r="93" spans="1:24" hidden="1" outlineLevel="1">
      <c r="C93" s="126" t="s">
        <v>99</v>
      </c>
      <c r="D93" s="100">
        <f t="shared" si="38"/>
        <v>94023537.582811326</v>
      </c>
      <c r="E93" s="100">
        <f t="shared" ref="E93:X93" si="59">SUM(E88:E92)</f>
        <v>88853551.81324178</v>
      </c>
      <c r="F93" s="100">
        <f t="shared" si="59"/>
        <v>82975320.671319276</v>
      </c>
      <c r="G93" s="100">
        <f t="shared" si="59"/>
        <v>80246225.211605325</v>
      </c>
      <c r="H93" s="100">
        <f t="shared" si="59"/>
        <v>80423864.521454737</v>
      </c>
      <c r="I93" s="100">
        <f t="shared" si="59"/>
        <v>82244446.241207436</v>
      </c>
      <c r="J93" s="100">
        <f t="shared" si="59"/>
        <v>85585509.592835769</v>
      </c>
      <c r="K93" s="100">
        <f t="shared" si="59"/>
        <v>89047425.903736964</v>
      </c>
      <c r="L93" s="100">
        <f t="shared" si="59"/>
        <v>91270805.624555111</v>
      </c>
      <c r="M93" s="100">
        <f t="shared" si="59"/>
        <v>94434040.840936095</v>
      </c>
      <c r="N93" s="100">
        <f t="shared" si="59"/>
        <v>95706230.74153401</v>
      </c>
      <c r="O93" s="100">
        <f t="shared" si="59"/>
        <v>98214492.429700822</v>
      </c>
      <c r="P93" s="100">
        <f t="shared" si="59"/>
        <v>100127051.06667461</v>
      </c>
      <c r="Q93" s="100">
        <f t="shared" si="59"/>
        <v>102322469.90852915</v>
      </c>
      <c r="R93" s="100">
        <f t="shared" si="59"/>
        <v>103921475.20574005</v>
      </c>
      <c r="S93" s="100">
        <f t="shared" si="59"/>
        <v>107044787.42921425</v>
      </c>
      <c r="T93" s="100">
        <f t="shared" si="59"/>
        <v>111743681.8987911</v>
      </c>
      <c r="U93" s="100">
        <f t="shared" si="59"/>
        <v>114348350.12385841</v>
      </c>
      <c r="V93" s="100">
        <f t="shared" si="59"/>
        <v>116550353.60836297</v>
      </c>
      <c r="W93" s="100">
        <f t="shared" si="59"/>
        <v>120573520.72896919</v>
      </c>
      <c r="X93" s="132">
        <f t="shared" si="59"/>
        <v>123117977.69393931</v>
      </c>
    </row>
    <row r="94" spans="1:24" hidden="1" outlineLevel="1">
      <c r="C94" s="126"/>
      <c r="D94" s="100"/>
      <c r="E94" s="100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33"/>
    </row>
    <row r="95" spans="1:24" ht="15.75" hidden="1" outlineLevel="1" thickBot="1">
      <c r="C95" s="147" t="s">
        <v>100</v>
      </c>
      <c r="D95" s="135">
        <f>-PMT(Discount_Rate,20,NPV(Discount_Rate,E95:X95))</f>
        <v>153765155.26125431</v>
      </c>
      <c r="E95" s="135">
        <f t="shared" ref="E95:X95" si="60">E93+E85</f>
        <v>159363334.89733261</v>
      </c>
      <c r="F95" s="135">
        <f t="shared" si="60"/>
        <v>152004167.0518133</v>
      </c>
      <c r="G95" s="135">
        <f t="shared" si="60"/>
        <v>147678648.66169399</v>
      </c>
      <c r="H95" s="135">
        <f t="shared" si="60"/>
        <v>146304390.69141594</v>
      </c>
      <c r="I95" s="135">
        <f t="shared" si="60"/>
        <v>146617910.8549616</v>
      </c>
      <c r="J95" s="135">
        <f t="shared" si="60"/>
        <v>148493938.11146003</v>
      </c>
      <c r="K95" s="135">
        <f t="shared" si="60"/>
        <v>150530200.7687436</v>
      </c>
      <c r="L95" s="135">
        <f t="shared" si="60"/>
        <v>151364874.74092907</v>
      </c>
      <c r="M95" s="135">
        <f t="shared" si="60"/>
        <v>153162717.96656018</v>
      </c>
      <c r="N95" s="135">
        <f t="shared" si="60"/>
        <v>153077839.06713709</v>
      </c>
      <c r="O95" s="135">
        <f t="shared" si="60"/>
        <v>154234928.63161579</v>
      </c>
      <c r="P95" s="135">
        <f t="shared" si="60"/>
        <v>154802341.5481137</v>
      </c>
      <c r="Q95" s="135">
        <f t="shared" si="60"/>
        <v>155658773.6535753</v>
      </c>
      <c r="R95" s="135">
        <f t="shared" si="60"/>
        <v>155925086.69612598</v>
      </c>
      <c r="S95" s="135">
        <f t="shared" si="60"/>
        <v>157722139.62527084</v>
      </c>
      <c r="T95" s="135">
        <f t="shared" si="60"/>
        <v>161101349.28597647</v>
      </c>
      <c r="U95" s="135">
        <f t="shared" si="60"/>
        <v>162393051.82631075</v>
      </c>
      <c r="V95" s="135">
        <f t="shared" si="60"/>
        <v>163288956.57095158</v>
      </c>
      <c r="W95" s="135">
        <f t="shared" si="60"/>
        <v>166013042.96935043</v>
      </c>
      <c r="X95" s="136">
        <f t="shared" si="60"/>
        <v>167265591.62615803</v>
      </c>
    </row>
    <row r="96" spans="1:24" hidden="1" outlineLevel="1">
      <c r="A96" s="95"/>
      <c r="C96" s="129" t="s">
        <v>101</v>
      </c>
      <c r="D96" s="138">
        <f>D95/AVERAGE(E70:X70)</f>
        <v>58.086318417465101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1:24" hidden="1" outlineLevel="1">
      <c r="A97" s="95"/>
      <c r="C97" s="129" t="s">
        <v>102</v>
      </c>
      <c r="D97" s="139">
        <f>D85/E75/1000</f>
        <v>191.76473241757932</v>
      </c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</row>
    <row r="98" spans="1:24" ht="15.75" hidden="1" outlineLevel="1" thickBot="1">
      <c r="A98" s="95"/>
      <c r="C98" s="134" t="s">
        <v>103</v>
      </c>
      <c r="D98" s="140">
        <f>D93/AVERAGE(E70:X70)</f>
        <v>35.518327500742018</v>
      </c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</row>
    <row r="99" spans="1:24" collapsed="1">
      <c r="A99" s="95"/>
    </row>
    <row r="100" spans="1:24" ht="15.75" thickBot="1">
      <c r="A100" s="95"/>
    </row>
    <row r="101" spans="1:24" ht="18.75" thickBot="1">
      <c r="A101" s="95"/>
      <c r="C101" s="503" t="s">
        <v>20</v>
      </c>
      <c r="D101" s="504"/>
      <c r="E101" s="504"/>
      <c r="F101" s="505"/>
    </row>
    <row r="102" spans="1:24" hidden="1" outlineLevel="1">
      <c r="A102" s="95"/>
      <c r="C102" s="124" t="s">
        <v>44</v>
      </c>
      <c r="D102" s="141"/>
      <c r="E102" s="142">
        <f>(1-INDEX('DATA (Nominal)'!$B$322:$BX$322,1,MATCH(E$1,'DATA (Nominal)'!$B$1:$BX$1,0)))*'Resource Options'!$E$33*8760</f>
        <v>212430</v>
      </c>
      <c r="F102" s="98">
        <f>(1-INDEX('DATA (Nominal)'!$B$322:$BX$322,1,MATCH(F$1,'DATA (Nominal)'!$B$1:$BX$1,0)))*'Resource Options'!$E$33*8760</f>
        <v>212430</v>
      </c>
      <c r="G102" s="98">
        <f>(1-INDEX('DATA (Nominal)'!$B$322:$BX$322,1,MATCH(G$1,'DATA (Nominal)'!$B$1:$BX$1,0)))*'Resource Options'!$E$33*8760</f>
        <v>212430</v>
      </c>
      <c r="H102" s="98">
        <f>(1-INDEX('DATA (Nominal)'!$B$322:$BX$322,1,MATCH(H$1,'DATA (Nominal)'!$B$1:$BX$1,0)))*'Resource Options'!$E$33*8760</f>
        <v>212430</v>
      </c>
      <c r="I102" s="98">
        <f>(1-INDEX('DATA (Nominal)'!$B$322:$BX$322,1,MATCH(I$1,'DATA (Nominal)'!$B$1:$BX$1,0)))*'Resource Options'!$E$33*8760</f>
        <v>212430</v>
      </c>
      <c r="J102" s="98">
        <f>(1-INDEX('DATA (Nominal)'!$B$322:$BX$322,1,MATCH(J$1,'DATA (Nominal)'!$B$1:$BX$1,0)))*'Resource Options'!$E$33*8760</f>
        <v>212430</v>
      </c>
      <c r="K102" s="98">
        <f>(1-INDEX('DATA (Nominal)'!$B$322:$BX$322,1,MATCH(K$1,'DATA (Nominal)'!$B$1:$BX$1,0)))*'Resource Options'!$E$33*8760</f>
        <v>212430</v>
      </c>
      <c r="L102" s="98">
        <f>(1-INDEX('DATA (Nominal)'!$B$322:$BX$322,1,MATCH(L$1,'DATA (Nominal)'!$B$1:$BX$1,0)))*'Resource Options'!$E$33*8760</f>
        <v>212430</v>
      </c>
      <c r="M102" s="98">
        <f>(1-INDEX('DATA (Nominal)'!$B$322:$BX$322,1,MATCH(M$1,'DATA (Nominal)'!$B$1:$BX$1,0)))*'Resource Options'!$E$33*8760</f>
        <v>212430</v>
      </c>
      <c r="N102" s="98">
        <f>(1-INDEX('DATA (Nominal)'!$B$322:$BX$322,1,MATCH(N$1,'DATA (Nominal)'!$B$1:$BX$1,0)))*'Resource Options'!$E$33*8760</f>
        <v>212430</v>
      </c>
      <c r="O102" s="98">
        <f>(1-INDEX('DATA (Nominal)'!$B$322:$BX$322,1,MATCH(O$1,'DATA (Nominal)'!$B$1:$BX$1,0)))*'Resource Options'!$E$33*8760</f>
        <v>212430</v>
      </c>
      <c r="P102" s="98">
        <f>(1-INDEX('DATA (Nominal)'!$B$322:$BX$322,1,MATCH(P$1,'DATA (Nominal)'!$B$1:$BX$1,0)))*'Resource Options'!$E$33*8760</f>
        <v>212430</v>
      </c>
      <c r="Q102" s="98">
        <f>(1-INDEX('DATA (Nominal)'!$B$322:$BX$322,1,MATCH(Q$1,'DATA (Nominal)'!$B$1:$BX$1,0)))*'Resource Options'!$E$33*8760</f>
        <v>212430</v>
      </c>
      <c r="R102" s="98">
        <f>(1-INDEX('DATA (Nominal)'!$B$322:$BX$322,1,MATCH(R$1,'DATA (Nominal)'!$B$1:$BX$1,0)))*'Resource Options'!$E$33*8760</f>
        <v>212430</v>
      </c>
      <c r="S102" s="98">
        <f>(1-INDEX('DATA (Nominal)'!$B$322:$BX$322,1,MATCH(S$1,'DATA (Nominal)'!$B$1:$BX$1,0)))*'Resource Options'!$E$33*8760</f>
        <v>212430</v>
      </c>
      <c r="T102" s="98">
        <f>(1-INDEX('DATA (Nominal)'!$B$322:$BX$322,1,MATCH(T$1,'DATA (Nominal)'!$B$1:$BX$1,0)))*'Resource Options'!$E$33*8760</f>
        <v>212430</v>
      </c>
      <c r="U102" s="98">
        <f>(1-INDEX('DATA (Nominal)'!$B$322:$BX$322,1,MATCH(U$1,'DATA (Nominal)'!$B$1:$BX$1,0)))*'Resource Options'!$E$33*8760</f>
        <v>212430</v>
      </c>
      <c r="V102" s="98">
        <f>(1-INDEX('DATA (Nominal)'!$B$322:$BX$322,1,MATCH(V$1,'DATA (Nominal)'!$B$1:$BX$1,0)))*'Resource Options'!$E$33*8760</f>
        <v>212430</v>
      </c>
      <c r="W102" s="98">
        <f>(1-INDEX('DATA (Nominal)'!$B$322:$BX$322,1,MATCH(W$1,'DATA (Nominal)'!$B$1:$BX$1,0)))*'Resource Options'!$E$33*8760</f>
        <v>212430</v>
      </c>
      <c r="X102" s="111">
        <f>(1-INDEX('DATA (Nominal)'!$B$322:$BX$322,1,MATCH(X$1,'DATA (Nominal)'!$B$1:$BX$1,0)))*'Resource Options'!$E$33*8760</f>
        <v>212430</v>
      </c>
    </row>
    <row r="103" spans="1:24" hidden="1" outlineLevel="1">
      <c r="A103" s="95"/>
      <c r="C103" s="126" t="s">
        <v>82</v>
      </c>
      <c r="D103" s="143"/>
      <c r="E103" s="144">
        <f t="shared" ref="E103:X103" si="61">E102*$E107/1000</f>
        <v>1208089.4099999999</v>
      </c>
      <c r="F103" s="99">
        <f t="shared" si="61"/>
        <v>1208089.4099999999</v>
      </c>
      <c r="G103" s="99">
        <f t="shared" si="61"/>
        <v>1208089.4099999999</v>
      </c>
      <c r="H103" s="99">
        <f t="shared" si="61"/>
        <v>1208089.4099999999</v>
      </c>
      <c r="I103" s="99">
        <f t="shared" si="61"/>
        <v>1208089.4099999999</v>
      </c>
      <c r="J103" s="99">
        <f t="shared" si="61"/>
        <v>1208089.4099999999</v>
      </c>
      <c r="K103" s="99">
        <f t="shared" si="61"/>
        <v>1208089.4099999999</v>
      </c>
      <c r="L103" s="99">
        <f t="shared" si="61"/>
        <v>1208089.4099999999</v>
      </c>
      <c r="M103" s="99">
        <f t="shared" si="61"/>
        <v>1208089.4099999999</v>
      </c>
      <c r="N103" s="99">
        <f t="shared" si="61"/>
        <v>1208089.4099999999</v>
      </c>
      <c r="O103" s="99">
        <f t="shared" si="61"/>
        <v>1208089.4099999999</v>
      </c>
      <c r="P103" s="99">
        <f t="shared" si="61"/>
        <v>1208089.4099999999</v>
      </c>
      <c r="Q103" s="99">
        <f t="shared" si="61"/>
        <v>1208089.4099999999</v>
      </c>
      <c r="R103" s="99">
        <f t="shared" si="61"/>
        <v>1208089.4099999999</v>
      </c>
      <c r="S103" s="99">
        <f t="shared" si="61"/>
        <v>1208089.4099999999</v>
      </c>
      <c r="T103" s="99">
        <f t="shared" si="61"/>
        <v>1208089.4099999999</v>
      </c>
      <c r="U103" s="99">
        <f t="shared" si="61"/>
        <v>1208089.4099999999</v>
      </c>
      <c r="V103" s="99">
        <f t="shared" si="61"/>
        <v>1208089.4099999999</v>
      </c>
      <c r="W103" s="99">
        <f t="shared" si="61"/>
        <v>1208089.4099999999</v>
      </c>
      <c r="X103" s="101">
        <f t="shared" si="61"/>
        <v>1208089.4099999999</v>
      </c>
    </row>
    <row r="104" spans="1:24" hidden="1" outlineLevel="1">
      <c r="A104" s="95"/>
      <c r="C104" s="126" t="s">
        <v>200</v>
      </c>
      <c r="D104" s="143"/>
      <c r="E104" s="144">
        <f t="shared" ref="E104:X104" si="62">E103*0.003</f>
        <v>3624.2682299999997</v>
      </c>
      <c r="F104" s="99">
        <f t="shared" si="62"/>
        <v>3624.2682299999997</v>
      </c>
      <c r="G104" s="99">
        <f t="shared" si="62"/>
        <v>3624.2682299999997</v>
      </c>
      <c r="H104" s="99">
        <f t="shared" si="62"/>
        <v>3624.2682299999997</v>
      </c>
      <c r="I104" s="99">
        <f t="shared" si="62"/>
        <v>3624.2682299999997</v>
      </c>
      <c r="J104" s="99">
        <f t="shared" si="62"/>
        <v>3624.2682299999997</v>
      </c>
      <c r="K104" s="99">
        <f t="shared" si="62"/>
        <v>3624.2682299999997</v>
      </c>
      <c r="L104" s="99">
        <f t="shared" si="62"/>
        <v>3624.2682299999997</v>
      </c>
      <c r="M104" s="99">
        <f t="shared" si="62"/>
        <v>3624.2682299999997</v>
      </c>
      <c r="N104" s="99">
        <f t="shared" si="62"/>
        <v>3624.2682299999997</v>
      </c>
      <c r="O104" s="99">
        <f t="shared" si="62"/>
        <v>3624.2682299999997</v>
      </c>
      <c r="P104" s="99">
        <f t="shared" si="62"/>
        <v>3624.2682299999997</v>
      </c>
      <c r="Q104" s="99">
        <f t="shared" si="62"/>
        <v>3624.2682299999997</v>
      </c>
      <c r="R104" s="99">
        <f t="shared" si="62"/>
        <v>3624.2682299999997</v>
      </c>
      <c r="S104" s="99">
        <f t="shared" si="62"/>
        <v>3624.2682299999997</v>
      </c>
      <c r="T104" s="99">
        <f t="shared" si="62"/>
        <v>3624.2682299999997</v>
      </c>
      <c r="U104" s="99">
        <f t="shared" si="62"/>
        <v>3624.2682299999997</v>
      </c>
      <c r="V104" s="99">
        <f t="shared" si="62"/>
        <v>3624.2682299999997</v>
      </c>
      <c r="W104" s="99">
        <f t="shared" si="62"/>
        <v>3624.2682299999997</v>
      </c>
      <c r="X104" s="101">
        <f t="shared" si="62"/>
        <v>3624.2682299999997</v>
      </c>
    </row>
    <row r="105" spans="1:24" s="263" customFormat="1" hidden="1" outlineLevel="1">
      <c r="C105" s="258"/>
      <c r="D105" s="260"/>
      <c r="E105" s="261"/>
      <c r="F105" s="254"/>
      <c r="G105" s="254"/>
      <c r="H105" s="254"/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6"/>
    </row>
    <row r="106" spans="1:24" hidden="1" outlineLevel="1">
      <c r="A106" s="95"/>
      <c r="C106" s="126"/>
      <c r="D106" s="143"/>
      <c r="E106" s="145" t="s">
        <v>85</v>
      </c>
      <c r="F106" s="254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101"/>
    </row>
    <row r="107" spans="1:24" hidden="1" outlineLevel="1">
      <c r="A107" s="95"/>
      <c r="C107" s="126" t="s">
        <v>86</v>
      </c>
      <c r="D107" s="143"/>
      <c r="E107" s="144">
        <f>INDEX('DATA (Nominal)'!$B$39:$BX$39,1,MATCH($B$1,'DATA (Nominal)'!$B$1:$BX$1,0))*1000</f>
        <v>5687</v>
      </c>
      <c r="F107" s="254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101"/>
    </row>
    <row r="108" spans="1:24" hidden="1" outlineLevel="1">
      <c r="A108" s="95"/>
      <c r="C108" s="126" t="s">
        <v>87</v>
      </c>
      <c r="D108" s="143"/>
      <c r="E108" s="144">
        <f>'Resource Options'!$E$33</f>
        <v>25</v>
      </c>
      <c r="F108" s="254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101"/>
    </row>
    <row r="109" spans="1:24" hidden="1" outlineLevel="1">
      <c r="A109" s="95"/>
      <c r="C109" s="126" t="s">
        <v>88</v>
      </c>
      <c r="D109" s="143"/>
      <c r="E109" s="130">
        <f>INDEX('DATA (Nominal)'!$B$87:$BX$87,1,MATCH($B$1,'DATA (Nominal)'!$B$1:$BX$1,0))*'Resource Options'!$E$33/1000</f>
        <v>158.82365774541427</v>
      </c>
      <c r="F109" s="254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131"/>
    </row>
    <row r="110" spans="1:24" hidden="1" outlineLevel="1">
      <c r="A110" s="95"/>
      <c r="C110" s="126" t="s">
        <v>81</v>
      </c>
      <c r="D110" s="143"/>
      <c r="E110" s="130">
        <f>E109*AFUDC!$C$33</f>
        <v>9.3054781073038253</v>
      </c>
      <c r="F110" s="254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131"/>
    </row>
    <row r="111" spans="1:24" hidden="1" outlineLevel="1">
      <c r="A111" s="95"/>
      <c r="C111" s="126" t="s">
        <v>89</v>
      </c>
      <c r="D111" s="143"/>
      <c r="E111" s="130">
        <f>E109*$B$4</f>
        <v>9.5294194647248549</v>
      </c>
      <c r="F111" s="254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131"/>
    </row>
    <row r="112" spans="1:24" hidden="1" outlineLevel="1">
      <c r="A112" s="95"/>
      <c r="C112" s="126" t="s">
        <v>90</v>
      </c>
      <c r="D112" s="143"/>
      <c r="E112" s="130">
        <f>SUM(E109:E111)</f>
        <v>177.65855531744296</v>
      </c>
      <c r="F112" s="254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131"/>
    </row>
    <row r="113" spans="1:24" hidden="1" outlineLevel="1">
      <c r="A113" s="95"/>
      <c r="C113" s="126"/>
      <c r="D113" s="143"/>
      <c r="E113" s="146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131"/>
    </row>
    <row r="114" spans="1:24" hidden="1" outlineLevel="1">
      <c r="A114" s="95"/>
      <c r="C114" s="126" t="s">
        <v>91</v>
      </c>
      <c r="D114" s="143"/>
      <c r="E114" s="146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131"/>
    </row>
    <row r="115" spans="1:24" hidden="1" outlineLevel="1">
      <c r="A115" s="95"/>
      <c r="C115" s="126" t="s">
        <v>47</v>
      </c>
      <c r="D115" s="100">
        <f>-PMT(Discount_Rate,20,NPV(Discount_Rate,E115:X115))</f>
        <v>5618770.8622247828</v>
      </c>
      <c r="E115" s="100">
        <f>$E108*1000*INDEX('DATA (Nominal)'!$B$206:$BX$206,MATCH(E$1,'DATA (Nominal)'!$B$1:$BX$1,0))</f>
        <v>4739161.3636547225</v>
      </c>
      <c r="F115" s="100">
        <f>$E108*1000*INDEX('DATA (Nominal)'!$B$206:$BX$206,MATCH(F$1,'DATA (Nominal)'!$B$1:$BX$1,0))</f>
        <v>4845002.6341096777</v>
      </c>
      <c r="G115" s="100">
        <f>$E108*1000*INDEX('DATA (Nominal)'!$B$206:$BX$206,MATCH(G$1,'DATA (Nominal)'!$B$1:$BX$1,0))</f>
        <v>4953207.6929381276</v>
      </c>
      <c r="H115" s="100">
        <f>$E108*1000*INDEX('DATA (Nominal)'!$B$206:$BX$206,MATCH(H$1,'DATA (Nominal)'!$B$1:$BX$1,0))</f>
        <v>5062178.2621827666</v>
      </c>
      <c r="I115" s="100">
        <f>$E108*1000*INDEX('DATA (Nominal)'!$B$206:$BX$206,MATCH(I$1,'DATA (Nominal)'!$B$1:$BX$1,0))</f>
        <v>5173546.1839507874</v>
      </c>
      <c r="J115" s="100">
        <f>$E108*1000*INDEX('DATA (Nominal)'!$B$206:$BX$206,MATCH(J$1,'DATA (Nominal)'!$B$1:$BX$1,0))</f>
        <v>5287364.1999977054</v>
      </c>
      <c r="K115" s="100">
        <f>$E108*1000*INDEX('DATA (Nominal)'!$B$206:$BX$206,MATCH(K$1,'DATA (Nominal)'!$B$1:$BX$1,0))</f>
        <v>5403686.2123976536</v>
      </c>
      <c r="L115" s="100">
        <f>$E108*1000*INDEX('DATA (Nominal)'!$B$206:$BX$206,MATCH(L$1,'DATA (Nominal)'!$B$1:$BX$1,0))</f>
        <v>5522567.3090704028</v>
      </c>
      <c r="M115" s="100">
        <f>$E108*1000*INDEX('DATA (Nominal)'!$B$206:$BX$206,MATCH(M$1,'DATA (Nominal)'!$B$1:$BX$1,0))</f>
        <v>5644063.789869952</v>
      </c>
      <c r="N115" s="100">
        <f>$E108*1000*INDEX('DATA (Nominal)'!$B$206:$BX$206,MATCH(N$1,'DATA (Nominal)'!$B$1:$BX$1,0))</f>
        <v>5768233.193247091</v>
      </c>
      <c r="O115" s="100">
        <f>$E108*1000*INDEX('DATA (Nominal)'!$B$206:$BX$206,MATCH(O$1,'DATA (Nominal)'!$B$1:$BX$1,0))</f>
        <v>5895134.3234985275</v>
      </c>
      <c r="P115" s="100">
        <f>$E108*1000*INDEX('DATA (Nominal)'!$B$206:$BX$206,MATCH(P$1,'DATA (Nominal)'!$B$1:$BX$1,0))</f>
        <v>6024827.2786154943</v>
      </c>
      <c r="Q115" s="100">
        <f>$E108*1000*INDEX('DATA (Nominal)'!$B$206:$BX$206,MATCH(Q$1,'DATA (Nominal)'!$B$1:$BX$1,0))</f>
        <v>6157373.4787450349</v>
      </c>
      <c r="R115" s="100">
        <f>$E108*1000*INDEX('DATA (Nominal)'!$B$206:$BX$206,MATCH(R$1,'DATA (Nominal)'!$B$1:$BX$1,0))</f>
        <v>6292835.6952774255</v>
      </c>
      <c r="S115" s="100">
        <f>$E108*1000*INDEX('DATA (Nominal)'!$B$206:$BX$206,MATCH(S$1,'DATA (Nominal)'!$B$1:$BX$1,0))</f>
        <v>6431278.080573529</v>
      </c>
      <c r="T115" s="100">
        <f>$E108*1000*INDEX('DATA (Nominal)'!$B$206:$BX$206,MATCH(T$1,'DATA (Nominal)'!$B$1:$BX$1,0))</f>
        <v>6572766.1983461473</v>
      </c>
      <c r="U115" s="100">
        <f>$E108*1000*INDEX('DATA (Nominal)'!$B$206:$BX$206,MATCH(U$1,'DATA (Nominal)'!$B$1:$BX$1,0))</f>
        <v>6717367.0547097633</v>
      </c>
      <c r="V115" s="100">
        <f>$E108*1000*INDEX('DATA (Nominal)'!$B$206:$BX$206,MATCH(V$1,'DATA (Nominal)'!$B$1:$BX$1,0))</f>
        <v>6865149.1299133785</v>
      </c>
      <c r="W115" s="100">
        <f>$E108*1000*INDEX('DATA (Nominal)'!$B$206:$BX$206,MATCH(W$1,'DATA (Nominal)'!$B$1:$BX$1,0))</f>
        <v>7016182.4107714724</v>
      </c>
      <c r="X115" s="132">
        <f>$E108*1000*INDEX('DATA (Nominal)'!$B$206:$BX$206,MATCH(X$1,'DATA (Nominal)'!$B$1:$BX$1,0))</f>
        <v>7170538.4238084434</v>
      </c>
    </row>
    <row r="116" spans="1:24" hidden="1" outlineLevel="1">
      <c r="A116" s="95"/>
      <c r="C116" s="126" t="s">
        <v>92</v>
      </c>
      <c r="D116" s="100">
        <f>-PMT(Discount_Rate,20,NPV(Discount_Rate,E116:X116))</f>
        <v>19738465.420948066</v>
      </c>
      <c r="E116" s="100">
        <f>$E112*Assumptions!AG$33*1000000</f>
        <v>24989653.074228685</v>
      </c>
      <c r="F116" s="100">
        <f>$E112*Assumptions!AH$33*1000000</f>
        <v>24281001.594612971</v>
      </c>
      <c r="G116" s="100">
        <f>$E112*Assumptions!AI$33*1000000</f>
        <v>23522358.821976881</v>
      </c>
      <c r="H116" s="100">
        <f>$E112*Assumptions!AJ$33*1000000</f>
        <v>22781489.593068313</v>
      </c>
      <c r="I116" s="100">
        <f>$E112*Assumptions!AK$33*1000000</f>
        <v>22057062.17262239</v>
      </c>
      <c r="J116" s="100">
        <f>$E112*Assumptions!AL$33*1000000</f>
        <v>21347864.340077497</v>
      </c>
      <c r="K116" s="100">
        <f>$E112*Assumptions!AM$33*1000000</f>
        <v>20652752.168988142</v>
      </c>
      <c r="L116" s="100">
        <f>$E112*Assumptions!AN$33*1000000</f>
        <v>19970667.100554023</v>
      </c>
      <c r="M116" s="100">
        <f>$E112*Assumptions!AO$33*1000000</f>
        <v>19295906.576076798</v>
      </c>
      <c r="N116" s="100">
        <f>$E112*Assumptions!AP$33*1000000</f>
        <v>18622204.610399857</v>
      </c>
      <c r="O116" s="100">
        <f>$E112*Assumptions!AQ$33*1000000</f>
        <v>17948502.644722927</v>
      </c>
      <c r="P116" s="100">
        <f>$E112*Assumptions!AR$33*1000000</f>
        <v>17274800.67904599</v>
      </c>
      <c r="Q116" s="100">
        <f>$E112*Assumptions!AS$33*1000000</f>
        <v>16601098.713369047</v>
      </c>
      <c r="R116" s="100">
        <f>$E112*Assumptions!AT$33*1000000</f>
        <v>15927396.747692116</v>
      </c>
      <c r="S116" s="100">
        <f>$E112*Assumptions!AU$33*1000000</f>
        <v>15253694.782015176</v>
      </c>
      <c r="T116" s="100">
        <f>$E112*Assumptions!AV$33*1000000</f>
        <v>14579992.816338245</v>
      </c>
      <c r="U116" s="100">
        <f>$E112*Assumptions!AW$33*1000000</f>
        <v>13906290.850661308</v>
      </c>
      <c r="V116" s="100">
        <f>$E112*Assumptions!AX$33*1000000</f>
        <v>13232588.884984376</v>
      </c>
      <c r="W116" s="100">
        <f>$E112*Assumptions!AY$33*1000000</f>
        <v>12558886.919307441</v>
      </c>
      <c r="X116" s="132">
        <f>$E112*Assumptions!AZ$33*1000000</f>
        <v>11885184.953630509</v>
      </c>
    </row>
    <row r="117" spans="1:24" hidden="1" outlineLevel="1">
      <c r="A117" s="95"/>
      <c r="C117" s="126" t="s">
        <v>93</v>
      </c>
      <c r="D117" s="100">
        <f>-PMT(Discount_Rate,20,NPV(Discount_Rate,E117:X117))</f>
        <v>163809.64571730129</v>
      </c>
      <c r="E117" s="100">
        <f t="shared" ref="E117:X117" si="63">E115*Misc_Fees</f>
        <v>138165.51039598978</v>
      </c>
      <c r="F117" s="100">
        <f t="shared" si="63"/>
        <v>141251.20679483353</v>
      </c>
      <c r="G117" s="100">
        <f t="shared" si="63"/>
        <v>144405.81707991817</v>
      </c>
      <c r="H117" s="100">
        <f t="shared" si="63"/>
        <v>147582.74505567638</v>
      </c>
      <c r="I117" s="100">
        <f t="shared" si="63"/>
        <v>150829.56544690125</v>
      </c>
      <c r="J117" s="100">
        <f t="shared" si="63"/>
        <v>154147.81588673309</v>
      </c>
      <c r="K117" s="100">
        <f t="shared" si="63"/>
        <v>157539.06783624119</v>
      </c>
      <c r="L117" s="100">
        <f t="shared" si="63"/>
        <v>161004.92732863853</v>
      </c>
      <c r="M117" s="100">
        <f t="shared" si="63"/>
        <v>164547.03572986857</v>
      </c>
      <c r="N117" s="100">
        <f t="shared" si="63"/>
        <v>168167.07051592568</v>
      </c>
      <c r="O117" s="100">
        <f t="shared" si="63"/>
        <v>171866.74606727608</v>
      </c>
      <c r="P117" s="100">
        <f t="shared" si="63"/>
        <v>175647.81448075612</v>
      </c>
      <c r="Q117" s="100">
        <f t="shared" si="63"/>
        <v>179512.06639933275</v>
      </c>
      <c r="R117" s="100">
        <f t="shared" si="63"/>
        <v>183461.33186011805</v>
      </c>
      <c r="S117" s="100">
        <f t="shared" si="63"/>
        <v>187497.48116104066</v>
      </c>
      <c r="T117" s="100">
        <f t="shared" si="63"/>
        <v>191622.42574658358</v>
      </c>
      <c r="U117" s="100">
        <f t="shared" si="63"/>
        <v>195838.11911300843</v>
      </c>
      <c r="V117" s="100">
        <f t="shared" si="63"/>
        <v>200146.55773349464</v>
      </c>
      <c r="W117" s="100">
        <f t="shared" si="63"/>
        <v>204549.7820036315</v>
      </c>
      <c r="X117" s="132">
        <f t="shared" si="63"/>
        <v>209049.87720771134</v>
      </c>
    </row>
    <row r="118" spans="1:24" hidden="1" outlineLevel="1">
      <c r="A118" s="95"/>
      <c r="C118" s="126" t="s">
        <v>94</v>
      </c>
      <c r="D118" s="100">
        <f>-PMT(Discount_Rate,20,NPV(Discount_Rate,E118:X118))</f>
        <v>25521045.928890135</v>
      </c>
      <c r="E118" s="100">
        <f t="shared" ref="E118:X118" si="64">SUM(E115:E117)</f>
        <v>29866979.948279396</v>
      </c>
      <c r="F118" s="100">
        <f t="shared" si="64"/>
        <v>29267255.435517479</v>
      </c>
      <c r="G118" s="100">
        <f t="shared" si="64"/>
        <v>28619972.331994925</v>
      </c>
      <c r="H118" s="100">
        <f t="shared" si="64"/>
        <v>27991250.600306757</v>
      </c>
      <c r="I118" s="100">
        <f t="shared" si="64"/>
        <v>27381437.922020081</v>
      </c>
      <c r="J118" s="100">
        <f t="shared" si="64"/>
        <v>26789376.355961934</v>
      </c>
      <c r="K118" s="100">
        <f t="shared" si="64"/>
        <v>26213977.449222036</v>
      </c>
      <c r="L118" s="100">
        <f t="shared" si="64"/>
        <v>25654239.336953066</v>
      </c>
      <c r="M118" s="100">
        <f t="shared" si="64"/>
        <v>25104517.401676621</v>
      </c>
      <c r="N118" s="100">
        <f t="shared" si="64"/>
        <v>24558604.874162875</v>
      </c>
      <c r="O118" s="100">
        <f t="shared" si="64"/>
        <v>24015503.71428873</v>
      </c>
      <c r="P118" s="100">
        <f t="shared" si="64"/>
        <v>23475275.772142239</v>
      </c>
      <c r="Q118" s="100">
        <f t="shared" si="64"/>
        <v>22937984.258513413</v>
      </c>
      <c r="R118" s="100">
        <f t="shared" si="64"/>
        <v>22403693.77482966</v>
      </c>
      <c r="S118" s="100">
        <f t="shared" si="64"/>
        <v>21872470.343749743</v>
      </c>
      <c r="T118" s="100">
        <f t="shared" si="64"/>
        <v>21344381.440430976</v>
      </c>
      <c r="U118" s="100">
        <f t="shared" si="64"/>
        <v>20819496.024484079</v>
      </c>
      <c r="V118" s="100">
        <f t="shared" si="64"/>
        <v>20297884.572631251</v>
      </c>
      <c r="W118" s="100">
        <f t="shared" si="64"/>
        <v>19779619.112082545</v>
      </c>
      <c r="X118" s="132">
        <f t="shared" si="64"/>
        <v>19264773.254646663</v>
      </c>
    </row>
    <row r="119" spans="1:24" hidden="1" outlineLevel="1">
      <c r="A119" s="95"/>
      <c r="C119" s="126"/>
      <c r="D119" s="100"/>
      <c r="E119" s="100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33"/>
    </row>
    <row r="120" spans="1:24" hidden="1" outlineLevel="1">
      <c r="A120" s="95"/>
      <c r="C120" s="126" t="s">
        <v>95</v>
      </c>
      <c r="D120" s="100"/>
      <c r="E120" s="100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33"/>
    </row>
    <row r="121" spans="1:24" hidden="1" outlineLevel="1">
      <c r="A121" s="95"/>
      <c r="C121" s="126" t="s">
        <v>48</v>
      </c>
      <c r="D121" s="100">
        <f>-PMT(Discount_Rate,20,NPV(Discount_Rate,E121:X121))</f>
        <v>0</v>
      </c>
      <c r="E121" s="100">
        <f>E102*INDEX('DATA (Nominal)'!$B$128:$BX$128,1,MATCH(E$1,'DATA (Nominal)'!$B$1:$BX$1,0))</f>
        <v>0</v>
      </c>
      <c r="F121" s="100">
        <f>F102*INDEX('DATA (Nominal)'!$B$128:$BX$128,1,MATCH(F$1,'DATA (Nominal)'!$B$1:$BX$1,0))</f>
        <v>0</v>
      </c>
      <c r="G121" s="100">
        <f>G102*INDEX('DATA (Nominal)'!$B$128:$BX$128,1,MATCH(G$1,'DATA (Nominal)'!$B$1:$BX$1,0))</f>
        <v>0</v>
      </c>
      <c r="H121" s="100">
        <f>H102*INDEX('DATA (Nominal)'!$B$128:$BX$128,1,MATCH(H$1,'DATA (Nominal)'!$B$1:$BX$1,0))</f>
        <v>0</v>
      </c>
      <c r="I121" s="100">
        <f>I102*INDEX('DATA (Nominal)'!$B$128:$BX$128,1,MATCH(I$1,'DATA (Nominal)'!$B$1:$BX$1,0))</f>
        <v>0</v>
      </c>
      <c r="J121" s="100">
        <f>J102*INDEX('DATA (Nominal)'!$B$128:$BX$128,1,MATCH(J$1,'DATA (Nominal)'!$B$1:$BX$1,0))</f>
        <v>0</v>
      </c>
      <c r="K121" s="100">
        <f>K102*INDEX('DATA (Nominal)'!$B$128:$BX$128,1,MATCH(K$1,'DATA (Nominal)'!$B$1:$BX$1,0))</f>
        <v>0</v>
      </c>
      <c r="L121" s="100">
        <f>L102*INDEX('DATA (Nominal)'!$B$128:$BX$128,1,MATCH(L$1,'DATA (Nominal)'!$B$1:$BX$1,0))</f>
        <v>0</v>
      </c>
      <c r="M121" s="100">
        <f>M102*INDEX('DATA (Nominal)'!$B$128:$BX$128,1,MATCH(M$1,'DATA (Nominal)'!$B$1:$BX$1,0))</f>
        <v>0</v>
      </c>
      <c r="N121" s="100">
        <f>N102*INDEX('DATA (Nominal)'!$B$128:$BX$128,1,MATCH(N$1,'DATA (Nominal)'!$B$1:$BX$1,0))</f>
        <v>0</v>
      </c>
      <c r="O121" s="100">
        <f>O102*INDEX('DATA (Nominal)'!$B$128:$BX$128,1,MATCH(O$1,'DATA (Nominal)'!$B$1:$BX$1,0))</f>
        <v>0</v>
      </c>
      <c r="P121" s="100">
        <f>P102*INDEX('DATA (Nominal)'!$B$128:$BX$128,1,MATCH(P$1,'DATA (Nominal)'!$B$1:$BX$1,0))</f>
        <v>0</v>
      </c>
      <c r="Q121" s="100">
        <f>Q102*INDEX('DATA (Nominal)'!$B$128:$BX$128,1,MATCH(Q$1,'DATA (Nominal)'!$B$1:$BX$1,0))</f>
        <v>0</v>
      </c>
      <c r="R121" s="100">
        <f>R102*INDEX('DATA (Nominal)'!$B$128:$BX$128,1,MATCH(R$1,'DATA (Nominal)'!$B$1:$BX$1,0))</f>
        <v>0</v>
      </c>
      <c r="S121" s="100">
        <f>S102*INDEX('DATA (Nominal)'!$B$128:$BX$128,1,MATCH(S$1,'DATA (Nominal)'!$B$1:$BX$1,0))</f>
        <v>0</v>
      </c>
      <c r="T121" s="100">
        <f>T102*INDEX('DATA (Nominal)'!$B$128:$BX$128,1,MATCH(T$1,'DATA (Nominal)'!$B$1:$BX$1,0))</f>
        <v>0</v>
      </c>
      <c r="U121" s="100">
        <f>U102*INDEX('DATA (Nominal)'!$B$128:$BX$128,1,MATCH(U$1,'DATA (Nominal)'!$B$1:$BX$1,0))</f>
        <v>0</v>
      </c>
      <c r="V121" s="100">
        <f>V102*INDEX('DATA (Nominal)'!$B$128:$BX$128,1,MATCH(V$1,'DATA (Nominal)'!$B$1:$BX$1,0))</f>
        <v>0</v>
      </c>
      <c r="W121" s="100">
        <f>W102*INDEX('DATA (Nominal)'!$B$128:$BX$128,1,MATCH(W$1,'DATA (Nominal)'!$B$1:$BX$1,0))</f>
        <v>0</v>
      </c>
      <c r="X121" s="132">
        <f>X102*INDEX('DATA (Nominal)'!$B$128:$BX$128,1,MATCH(X$1,'DATA (Nominal)'!$B$1:$BX$1,0))</f>
        <v>0</v>
      </c>
    </row>
    <row r="122" spans="1:24" hidden="1" outlineLevel="1">
      <c r="A122" s="95"/>
      <c r="C122" s="126" t="s">
        <v>96</v>
      </c>
      <c r="D122" s="100">
        <f>-PMT(Discount_Rate,20,NPV(Discount_Rate,E122:X122))</f>
        <v>28684091.185961362</v>
      </c>
      <c r="E122" s="100">
        <f>E103*INDEX('DATA (Nominal)'!$B$139:$BX$139,1,MATCH(E$1,'DATA (Nominal)'!$B$1:$BX$1,0))</f>
        <v>42780729.268396698</v>
      </c>
      <c r="F122" s="100">
        <f>F103*INDEX('DATA (Nominal)'!$B$139:$BX$139,1,MATCH(F$1,'DATA (Nominal)'!$B$1:$BX$1,0))</f>
        <v>40503420.238250174</v>
      </c>
      <c r="G122" s="100">
        <f>G103*INDEX('DATA (Nominal)'!$B$139:$BX$139,1,MATCH(G$1,'DATA (Nominal)'!$B$1:$BX$1,0))</f>
        <v>38136079.212738596</v>
      </c>
      <c r="H122" s="100">
        <f>H103*INDEX('DATA (Nominal)'!$B$139:$BX$139,1,MATCH(H$1,'DATA (Nominal)'!$B$1:$BX$1,0))</f>
        <v>35672749.30583173</v>
      </c>
      <c r="I122" s="100">
        <f>I103*INDEX('DATA (Nominal)'!$B$139:$BX$139,1,MATCH(I$1,'DATA (Nominal)'!$B$1:$BX$1,0))</f>
        <v>33106524.017566696</v>
      </c>
      <c r="J122" s="100">
        <f>J103*INDEX('DATA (Nominal)'!$B$139:$BX$139,1,MATCH(J$1,'DATA (Nominal)'!$B$1:$BX$1,0))</f>
        <v>30434551.933622789</v>
      </c>
      <c r="K122" s="100">
        <f>K103*INDEX('DATA (Nominal)'!$B$139:$BX$139,1,MATCH(K$1,'DATA (Nominal)'!$B$1:$BX$1,0))</f>
        <v>27636039.121740691</v>
      </c>
      <c r="L122" s="100">
        <f>L103*INDEX('DATA (Nominal)'!$B$139:$BX$139,1,MATCH(L$1,'DATA (Nominal)'!$B$1:$BX$1,0))</f>
        <v>24686767.913900189</v>
      </c>
      <c r="M122" s="100">
        <f>M103*INDEX('DATA (Nominal)'!$B$139:$BX$139,1,MATCH(M$1,'DATA (Nominal)'!$B$1:$BX$1,0))</f>
        <v>24161284.049424756</v>
      </c>
      <c r="N122" s="100">
        <f>N103*INDEX('DATA (Nominal)'!$B$139:$BX$139,1,MATCH(N$1,'DATA (Nominal)'!$B$1:$BX$1,0))</f>
        <v>23600730.499242079</v>
      </c>
      <c r="O122" s="100">
        <f>O103*INDEX('DATA (Nominal)'!$B$139:$BX$139,1,MATCH(O$1,'DATA (Nominal)'!$B$1:$BX$1,0))</f>
        <v>23003818.531371444</v>
      </c>
      <c r="P122" s="100">
        <f>P103*INDEX('DATA (Nominal)'!$B$139:$BX$139,1,MATCH(P$1,'DATA (Nominal)'!$B$1:$BX$1,0))</f>
        <v>22369219.683352858</v>
      </c>
      <c r="Q122" s="100">
        <f>Q103*INDEX('DATA (Nominal)'!$B$139:$BX$139,1,MATCH(Q$1,'DATA (Nominal)'!$B$1:$BX$1,0))</f>
        <v>21695564.637852285</v>
      </c>
      <c r="R122" s="100">
        <f>R103*INDEX('DATA (Nominal)'!$B$139:$BX$139,1,MATCH(R$1,'DATA (Nominal)'!$B$1:$BX$1,0))</f>
        <v>20981442.068022933</v>
      </c>
      <c r="S122" s="100">
        <f>S103*INDEX('DATA (Nominal)'!$B$139:$BX$139,1,MATCH(S$1,'DATA (Nominal)'!$B$1:$BX$1,0))</f>
        <v>20225397.451836377</v>
      </c>
      <c r="T122" s="100">
        <f>T103*INDEX('DATA (Nominal)'!$B$139:$BX$139,1,MATCH(T$1,'DATA (Nominal)'!$B$1:$BX$1,0))</f>
        <v>19425931.854576685</v>
      </c>
      <c r="U122" s="100">
        <f>U103*INDEX('DATA (Nominal)'!$B$139:$BX$139,1,MATCH(U$1,'DATA (Nominal)'!$B$1:$BX$1,0))</f>
        <v>18581500.678670876</v>
      </c>
      <c r="V122" s="100">
        <f>V103*INDEX('DATA (Nominal)'!$B$139:$BX$139,1,MATCH(V$1,'DATA (Nominal)'!$B$1:$BX$1,0))</f>
        <v>17690512.380007602</v>
      </c>
      <c r="W122" s="100">
        <f>W103*INDEX('DATA (Nominal)'!$B$139:$BX$139,1,MATCH(W$1,'DATA (Nominal)'!$B$1:$BX$1,0))</f>
        <v>16751327.149874659</v>
      </c>
      <c r="X122" s="132">
        <f>X103*INDEX('DATA (Nominal)'!$B$139:$BX$139,1,MATCH(X$1,'DATA (Nominal)'!$B$1:$BX$1,0))</f>
        <v>15762255.561623944</v>
      </c>
    </row>
    <row r="123" spans="1:24" s="263" customFormat="1" hidden="1" outlineLevel="1">
      <c r="C123" s="258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132"/>
    </row>
    <row r="124" spans="1:24" hidden="1" outlineLevel="1">
      <c r="A124" s="95"/>
      <c r="C124" s="126" t="s">
        <v>84</v>
      </c>
      <c r="D124" s="100">
        <f>-PMT(Discount_Rate,20,NPV(Discount_Rate,E124:X124))</f>
        <v>86052.273557884109</v>
      </c>
      <c r="E124" s="255">
        <f>E104*INDEX('DATA (Nominal)'!$B$139:$BX$139,1,MATCH(E$1,'DATA (Nominal)'!$B$1:$BX$1,0))</f>
        <v>128342.1878051901</v>
      </c>
      <c r="F124" s="100">
        <f>F104*INDEX('DATA (Nominal)'!$B$139:$BX$139,1,MATCH(F$1,'DATA (Nominal)'!$B$1:$BX$1,0))</f>
        <v>121510.26071475052</v>
      </c>
      <c r="G124" s="100">
        <f>G104*INDEX('DATA (Nominal)'!$B$139:$BX$139,1,MATCH(G$1,'DATA (Nominal)'!$B$1:$BX$1,0))</f>
        <v>114408.23763821578</v>
      </c>
      <c r="H124" s="100">
        <f>H104*INDEX('DATA (Nominal)'!$B$139:$BX$139,1,MATCH(H$1,'DATA (Nominal)'!$B$1:$BX$1,0))</f>
        <v>107018.2479174952</v>
      </c>
      <c r="I124" s="100">
        <f>I104*INDEX('DATA (Nominal)'!$B$139:$BX$139,1,MATCH(I$1,'DATA (Nominal)'!$B$1:$BX$1,0))</f>
        <v>99319.572052700081</v>
      </c>
      <c r="J124" s="100">
        <f>J104*INDEX('DATA (Nominal)'!$B$139:$BX$139,1,MATCH(J$1,'DATA (Nominal)'!$B$1:$BX$1,0))</f>
        <v>91303.655800868364</v>
      </c>
      <c r="K124" s="100">
        <f>K104*INDEX('DATA (Nominal)'!$B$139:$BX$139,1,MATCH(K$1,'DATA (Nominal)'!$B$1:$BX$1,0))</f>
        <v>82908.117365222075</v>
      </c>
      <c r="L124" s="100">
        <f>L104*INDEX('DATA (Nominal)'!$B$139:$BX$139,1,MATCH(L$1,'DATA (Nominal)'!$B$1:$BX$1,0))</f>
        <v>74060.303741700569</v>
      </c>
      <c r="M124" s="100">
        <f>M104*INDEX('DATA (Nominal)'!$B$139:$BX$139,1,MATCH(M$1,'DATA (Nominal)'!$B$1:$BX$1,0))</f>
        <v>72483.852148274265</v>
      </c>
      <c r="N124" s="100">
        <f>N104*INDEX('DATA (Nominal)'!$B$139:$BX$139,1,MATCH(N$1,'DATA (Nominal)'!$B$1:$BX$1,0))</f>
        <v>70802.191497726235</v>
      </c>
      <c r="O124" s="100">
        <f>O104*INDEX('DATA (Nominal)'!$B$139:$BX$139,1,MATCH(O$1,'DATA (Nominal)'!$B$1:$BX$1,0))</f>
        <v>69011.455594114334</v>
      </c>
      <c r="P124" s="100">
        <f>P104*INDEX('DATA (Nominal)'!$B$139:$BX$139,1,MATCH(P$1,'DATA (Nominal)'!$B$1:$BX$1,0))</f>
        <v>67107.659050058573</v>
      </c>
      <c r="Q124" s="100">
        <f>Q104*INDEX('DATA (Nominal)'!$B$139:$BX$139,1,MATCH(Q$1,'DATA (Nominal)'!$B$1:$BX$1,0))</f>
        <v>65086.693913556861</v>
      </c>
      <c r="R124" s="100">
        <f>R104*INDEX('DATA (Nominal)'!$B$139:$BX$139,1,MATCH(R$1,'DATA (Nominal)'!$B$1:$BX$1,0))</f>
        <v>62944.326204068806</v>
      </c>
      <c r="S124" s="100">
        <f>S104*INDEX('DATA (Nominal)'!$B$139:$BX$139,1,MATCH(S$1,'DATA (Nominal)'!$B$1:$BX$1,0))</f>
        <v>60676.192355509134</v>
      </c>
      <c r="T124" s="100">
        <f>T104*INDEX('DATA (Nominal)'!$B$139:$BX$139,1,MATCH(T$1,'DATA (Nominal)'!$B$1:$BX$1,0))</f>
        <v>58277.795563730055</v>
      </c>
      <c r="U124" s="100">
        <f>U104*INDEX('DATA (Nominal)'!$B$139:$BX$139,1,MATCH(U$1,'DATA (Nominal)'!$B$1:$BX$1,0))</f>
        <v>55744.502036012629</v>
      </c>
      <c r="V124" s="100">
        <f>V104*INDEX('DATA (Nominal)'!$B$139:$BX$139,1,MATCH(V$1,'DATA (Nominal)'!$B$1:$BX$1,0))</f>
        <v>53071.537140022803</v>
      </c>
      <c r="W124" s="100">
        <f>W104*INDEX('DATA (Nominal)'!$B$139:$BX$139,1,MATCH(W$1,'DATA (Nominal)'!$B$1:$BX$1,0))</f>
        <v>50253.981449623978</v>
      </c>
      <c r="X124" s="132">
        <f>X104*INDEX('DATA (Nominal)'!$B$139:$BX$139,1,MATCH(X$1,'DATA (Nominal)'!$B$1:$BX$1,0))</f>
        <v>47286.766684871829</v>
      </c>
    </row>
    <row r="125" spans="1:24" hidden="1" outlineLevel="1">
      <c r="A125" s="95"/>
      <c r="C125" s="126" t="s">
        <v>93</v>
      </c>
      <c r="D125" s="100">
        <f>-PMT(Discount_Rate,20,NPV(Discount_Rate,E125:X125))</f>
        <v>838764.76241882436</v>
      </c>
      <c r="E125" s="100">
        <f t="shared" ref="E125:X125" si="65">SUM(E121:E124)*Misc_Fees</f>
        <v>1250971.0692341099</v>
      </c>
      <c r="F125" s="100">
        <f t="shared" si="65"/>
        <v>1184379.2237668233</v>
      </c>
      <c r="G125" s="100">
        <f t="shared" si="65"/>
        <v>1115154.7111282854</v>
      </c>
      <c r="H125" s="100">
        <f t="shared" si="65"/>
        <v>1043123.3432620049</v>
      </c>
      <c r="I125" s="100">
        <f t="shared" si="65"/>
        <v>968083.16401176376</v>
      </c>
      <c r="J125" s="100">
        <f t="shared" si="65"/>
        <v>889950.79385405721</v>
      </c>
      <c r="K125" s="100">
        <f t="shared" si="65"/>
        <v>808118.18780889374</v>
      </c>
      <c r="L125" s="100">
        <f t="shared" si="65"/>
        <v>721877.18585713161</v>
      </c>
      <c r="M125" s="100">
        <f t="shared" si="65"/>
        <v>706511.2694024602</v>
      </c>
      <c r="N125" s="100">
        <f t="shared" si="65"/>
        <v>690119.86406582815</v>
      </c>
      <c r="O125" s="100">
        <f t="shared" si="65"/>
        <v>672665.28543999395</v>
      </c>
      <c r="P125" s="100">
        <f t="shared" si="65"/>
        <v>654108.68734041462</v>
      </c>
      <c r="Q125" s="100">
        <f t="shared" si="65"/>
        <v>634410.02892630128</v>
      </c>
      <c r="R125" s="100">
        <f t="shared" si="65"/>
        <v>613528.04093729402</v>
      </c>
      <c r="S125" s="100">
        <f t="shared" si="65"/>
        <v>591420.19102277025</v>
      </c>
      <c r="T125" s="100">
        <f t="shared" si="65"/>
        <v>568042.64814019366</v>
      </c>
      <c r="U125" s="100">
        <f t="shared" si="65"/>
        <v>543350.24599832867</v>
      </c>
      <c r="V125" s="100">
        <f t="shared" si="65"/>
        <v>517296.44552052184</v>
      </c>
      <c r="W125" s="100">
        <f t="shared" si="65"/>
        <v>489833.29630262818</v>
      </c>
      <c r="X125" s="132">
        <f t="shared" si="65"/>
        <v>460911.3970395152</v>
      </c>
    </row>
    <row r="126" spans="1:24" hidden="1" outlineLevel="1">
      <c r="A126" s="95"/>
      <c r="C126" s="126" t="s">
        <v>99</v>
      </c>
      <c r="D126" s="100">
        <f>-PMT(Discount_Rate,20,NPV(Discount_Rate,E126:X126))</f>
        <v>29608908.221938074</v>
      </c>
      <c r="E126" s="100">
        <f t="shared" ref="E126:X126" si="66">SUM(E121:E125)</f>
        <v>44160042.525435999</v>
      </c>
      <c r="F126" s="100">
        <f t="shared" si="66"/>
        <v>41809309.722731747</v>
      </c>
      <c r="G126" s="100">
        <f t="shared" si="66"/>
        <v>39365642.161505096</v>
      </c>
      <c r="H126" s="100">
        <f t="shared" si="66"/>
        <v>36822890.897011228</v>
      </c>
      <c r="I126" s="100">
        <f t="shared" si="66"/>
        <v>34173926.75363116</v>
      </c>
      <c r="J126" s="100">
        <f t="shared" si="66"/>
        <v>31415806.383277714</v>
      </c>
      <c r="K126" s="100">
        <f t="shared" si="66"/>
        <v>28527065.426914807</v>
      </c>
      <c r="L126" s="100">
        <f t="shared" si="66"/>
        <v>25482705.403499022</v>
      </c>
      <c r="M126" s="100">
        <f t="shared" si="66"/>
        <v>24940279.170975491</v>
      </c>
      <c r="N126" s="100">
        <f t="shared" si="66"/>
        <v>24361652.554805633</v>
      </c>
      <c r="O126" s="100">
        <f t="shared" si="66"/>
        <v>23745495.272405554</v>
      </c>
      <c r="P126" s="100">
        <f t="shared" si="66"/>
        <v>23090436.029743332</v>
      </c>
      <c r="Q126" s="100">
        <f t="shared" si="66"/>
        <v>22395061.360692143</v>
      </c>
      <c r="R126" s="100">
        <f t="shared" si="66"/>
        <v>21657914.435164295</v>
      </c>
      <c r="S126" s="100">
        <f t="shared" si="66"/>
        <v>20877493.835214656</v>
      </c>
      <c r="T126" s="100">
        <f t="shared" si="66"/>
        <v>20052252.298280608</v>
      </c>
      <c r="U126" s="100">
        <f t="shared" si="66"/>
        <v>19180595.426705219</v>
      </c>
      <c r="V126" s="100">
        <f t="shared" si="66"/>
        <v>18260880.362668145</v>
      </c>
      <c r="W126" s="100">
        <f t="shared" si="66"/>
        <v>17291414.427626912</v>
      </c>
      <c r="X126" s="132">
        <f t="shared" si="66"/>
        <v>16270453.725348331</v>
      </c>
    </row>
    <row r="127" spans="1:24" hidden="1" outlineLevel="1">
      <c r="A127" s="95"/>
      <c r="C127" s="126"/>
      <c r="D127" s="100"/>
      <c r="E127" s="100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33"/>
    </row>
    <row r="128" spans="1:24" ht="15.75" hidden="1" outlineLevel="1" thickBot="1">
      <c r="A128" s="95"/>
      <c r="C128" s="147" t="s">
        <v>100</v>
      </c>
      <c r="D128" s="135">
        <f>-PMT(Discount_Rate,20,NPV(Discount_Rate,E128:X128))</f>
        <v>55129954.150828235</v>
      </c>
      <c r="E128" s="135">
        <f t="shared" ref="E128:X128" si="67">E126+E118</f>
        <v>74027022.473715395</v>
      </c>
      <c r="F128" s="135">
        <f t="shared" si="67"/>
        <v>71076565.158249229</v>
      </c>
      <c r="G128" s="135">
        <f t="shared" si="67"/>
        <v>67985614.493500024</v>
      </c>
      <c r="H128" s="135">
        <f t="shared" si="67"/>
        <v>64814141.497317985</v>
      </c>
      <c r="I128" s="135">
        <f t="shared" si="67"/>
        <v>61555364.675651237</v>
      </c>
      <c r="J128" s="135">
        <f t="shared" si="67"/>
        <v>58205182.739239648</v>
      </c>
      <c r="K128" s="135">
        <f t="shared" si="67"/>
        <v>54741042.876136839</v>
      </c>
      <c r="L128" s="135">
        <f t="shared" si="67"/>
        <v>51136944.740452088</v>
      </c>
      <c r="M128" s="135">
        <f t="shared" si="67"/>
        <v>50044796.572652116</v>
      </c>
      <c r="N128" s="135">
        <f t="shared" si="67"/>
        <v>48920257.428968504</v>
      </c>
      <c r="O128" s="135">
        <f t="shared" si="67"/>
        <v>47760998.986694284</v>
      </c>
      <c r="P128" s="135">
        <f t="shared" si="67"/>
        <v>46565711.801885575</v>
      </c>
      <c r="Q128" s="135">
        <f t="shared" si="67"/>
        <v>45333045.619205557</v>
      </c>
      <c r="R128" s="135">
        <f t="shared" si="67"/>
        <v>44061608.209993958</v>
      </c>
      <c r="S128" s="135">
        <f t="shared" si="67"/>
        <v>42749964.178964399</v>
      </c>
      <c r="T128" s="135">
        <f t="shared" si="67"/>
        <v>41396633.738711581</v>
      </c>
      <c r="U128" s="135">
        <f t="shared" si="67"/>
        <v>40000091.451189294</v>
      </c>
      <c r="V128" s="135">
        <f t="shared" si="67"/>
        <v>38558764.935299397</v>
      </c>
      <c r="W128" s="135">
        <f t="shared" si="67"/>
        <v>37071033.539709456</v>
      </c>
      <c r="X128" s="136">
        <f t="shared" si="67"/>
        <v>35535226.979994997</v>
      </c>
    </row>
    <row r="129" spans="1:24" hidden="1" outlineLevel="1">
      <c r="A129" s="95"/>
      <c r="C129" s="129" t="s">
        <v>101</v>
      </c>
      <c r="D129" s="138">
        <f>D128/AVERAGE(E102:X102)</f>
        <v>259.52056748495141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</row>
    <row r="130" spans="1:24" hidden="1" outlineLevel="1">
      <c r="A130" s="95"/>
      <c r="C130" s="129" t="s">
        <v>102</v>
      </c>
      <c r="D130" s="139">
        <f>D118/E108/1000</f>
        <v>1020.8418371556054</v>
      </c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</row>
    <row r="131" spans="1:24" ht="15.75" hidden="1" outlineLevel="1" thickBot="1">
      <c r="A131" s="95"/>
      <c r="C131" s="134" t="s">
        <v>103</v>
      </c>
      <c r="D131" s="140">
        <f>D126/AVERAGE(E102:X102)</f>
        <v>139.38195274649567</v>
      </c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</row>
    <row r="132" spans="1:24" collapsed="1">
      <c r="A132" s="95"/>
    </row>
    <row r="133" spans="1:24" ht="15.75" thickBot="1">
      <c r="A133" s="95"/>
    </row>
    <row r="134" spans="1:24" ht="18.75" thickBot="1">
      <c r="A134" s="263"/>
      <c r="C134" s="503" t="s">
        <v>21</v>
      </c>
      <c r="D134" s="504"/>
      <c r="E134" s="504"/>
      <c r="F134" s="505"/>
    </row>
    <row r="135" spans="1:24" outlineLevel="1">
      <c r="A135" s="95"/>
      <c r="C135" s="124" t="s">
        <v>44</v>
      </c>
      <c r="D135" s="141"/>
      <c r="E135" s="142">
        <f>(1-INDEX('DATA (Nominal)'!$B$323:$BX$323,1,MATCH(E$1,'DATA (Nominal)'!$B$1:$BX$1,0)))*'Resource Options'!$E$34*8760</f>
        <v>628792.80000000005</v>
      </c>
      <c r="F135" s="98">
        <f>(1-INDEX('DATA (Nominal)'!$B$323:$BX$323,1,MATCH(F$1,'DATA (Nominal)'!$B$1:$BX$1,0)))*'Resource Options'!$E$34*8760</f>
        <v>628792.80000000005</v>
      </c>
      <c r="G135" s="98">
        <f>(1-INDEX('DATA (Nominal)'!$B$323:$BX$323,1,MATCH(G$1,'DATA (Nominal)'!$B$1:$BX$1,0)))*'Resource Options'!$E$34*8760</f>
        <v>628792.80000000005</v>
      </c>
      <c r="H135" s="98">
        <f>(1-INDEX('DATA (Nominal)'!$B$323:$BX$323,1,MATCH(H$1,'DATA (Nominal)'!$B$1:$BX$1,0)))*'Resource Options'!$E$34*8760</f>
        <v>628792.80000000005</v>
      </c>
      <c r="I135" s="98">
        <f>(1-INDEX('DATA (Nominal)'!$B$323:$BX$323,1,MATCH(I$1,'DATA (Nominal)'!$B$1:$BX$1,0)))*'Resource Options'!$E$34*8760</f>
        <v>628792.80000000005</v>
      </c>
      <c r="J135" s="98">
        <f>(1-INDEX('DATA (Nominal)'!$B$323:$BX$323,1,MATCH(J$1,'DATA (Nominal)'!$B$1:$BX$1,0)))*'Resource Options'!$E$34*8760</f>
        <v>628792.80000000005</v>
      </c>
      <c r="K135" s="98">
        <f>(1-INDEX('DATA (Nominal)'!$B$323:$BX$323,1,MATCH(K$1,'DATA (Nominal)'!$B$1:$BX$1,0)))*'Resource Options'!$E$34*8760</f>
        <v>628792.80000000005</v>
      </c>
      <c r="L135" s="98">
        <f>(1-INDEX('DATA (Nominal)'!$B$323:$BX$323,1,MATCH(L$1,'DATA (Nominal)'!$B$1:$BX$1,0)))*'Resource Options'!$E$34*8760</f>
        <v>628792.80000000005</v>
      </c>
      <c r="M135" s="98">
        <f>(1-INDEX('DATA (Nominal)'!$B$323:$BX$323,1,MATCH(M$1,'DATA (Nominal)'!$B$1:$BX$1,0)))*'Resource Options'!$E$34*8760</f>
        <v>628792.80000000005</v>
      </c>
      <c r="N135" s="98">
        <f>(1-INDEX('DATA (Nominal)'!$B$323:$BX$323,1,MATCH(N$1,'DATA (Nominal)'!$B$1:$BX$1,0)))*'Resource Options'!$E$34*8760</f>
        <v>628792.80000000005</v>
      </c>
      <c r="O135" s="98">
        <f>(1-INDEX('DATA (Nominal)'!$B$323:$BX$323,1,MATCH(O$1,'DATA (Nominal)'!$B$1:$BX$1,0)))*'Resource Options'!$E$34*8760</f>
        <v>628792.80000000005</v>
      </c>
      <c r="P135" s="98">
        <f>(1-INDEX('DATA (Nominal)'!$B$323:$BX$323,1,MATCH(P$1,'DATA (Nominal)'!$B$1:$BX$1,0)))*'Resource Options'!$E$34*8760</f>
        <v>628792.80000000005</v>
      </c>
      <c r="Q135" s="98">
        <f>(1-INDEX('DATA (Nominal)'!$B$323:$BX$323,1,MATCH(Q$1,'DATA (Nominal)'!$B$1:$BX$1,0)))*'Resource Options'!$E$34*8760</f>
        <v>628792.80000000005</v>
      </c>
      <c r="R135" s="98">
        <f>(1-INDEX('DATA (Nominal)'!$B$323:$BX$323,1,MATCH(R$1,'DATA (Nominal)'!$B$1:$BX$1,0)))*'Resource Options'!$E$34*8760</f>
        <v>628792.80000000005</v>
      </c>
      <c r="S135" s="98">
        <f>(1-INDEX('DATA (Nominal)'!$B$323:$BX$323,1,MATCH(S$1,'DATA (Nominal)'!$B$1:$BX$1,0)))*'Resource Options'!$E$34*8760</f>
        <v>628792.80000000005</v>
      </c>
      <c r="T135" s="98">
        <f>(1-INDEX('DATA (Nominal)'!$B$323:$BX$323,1,MATCH(T$1,'DATA (Nominal)'!$B$1:$BX$1,0)))*'Resource Options'!$E$34*8760</f>
        <v>628792.80000000005</v>
      </c>
      <c r="U135" s="98">
        <f>(1-INDEX('DATA (Nominal)'!$B$323:$BX$323,1,MATCH(U$1,'DATA (Nominal)'!$B$1:$BX$1,0)))*'Resource Options'!$E$34*8760</f>
        <v>628792.80000000005</v>
      </c>
      <c r="V135" s="98">
        <f>(1-INDEX('DATA (Nominal)'!$B$323:$BX$323,1,MATCH(V$1,'DATA (Nominal)'!$B$1:$BX$1,0)))*'Resource Options'!$E$34*8760</f>
        <v>628792.80000000005</v>
      </c>
      <c r="W135" s="98">
        <f>(1-INDEX('DATA (Nominal)'!$B$323:$BX$323,1,MATCH(W$1,'DATA (Nominal)'!$B$1:$BX$1,0)))*'Resource Options'!$E$34*8760</f>
        <v>628792.80000000005</v>
      </c>
      <c r="X135" s="111">
        <f>(1-INDEX('DATA (Nominal)'!$B$323:$BX$323,1,MATCH(X$1,'DATA (Nominal)'!$B$1:$BX$1,0)))*'Resource Options'!$E$34*8760</f>
        <v>628792.80000000005</v>
      </c>
    </row>
    <row r="136" spans="1:24" outlineLevel="1">
      <c r="A136" s="95"/>
      <c r="C136" s="126" t="s">
        <v>82</v>
      </c>
      <c r="D136" s="143"/>
      <c r="E136" s="144">
        <f>E135*$E140/1000</f>
        <v>6313079.7120000003</v>
      </c>
      <c r="F136" s="99">
        <f t="shared" ref="F136" si="68">F135*$E140/1000</f>
        <v>6313079.7120000003</v>
      </c>
      <c r="G136" s="99">
        <f t="shared" ref="G136" si="69">G135*$E140/1000</f>
        <v>6313079.7120000003</v>
      </c>
      <c r="H136" s="99">
        <f t="shared" ref="H136" si="70">H135*$E140/1000</f>
        <v>6313079.7120000003</v>
      </c>
      <c r="I136" s="99">
        <f>I135*$E140/1000</f>
        <v>6313079.7120000003</v>
      </c>
      <c r="J136" s="99">
        <f t="shared" ref="J136" si="71">J135*$E140/1000</f>
        <v>6313079.7120000003</v>
      </c>
      <c r="K136" s="99">
        <f t="shared" ref="K136" si="72">K135*$E140/1000</f>
        <v>6313079.7120000003</v>
      </c>
      <c r="L136" s="99">
        <f t="shared" ref="L136" si="73">L135*$E140/1000</f>
        <v>6313079.7120000003</v>
      </c>
      <c r="M136" s="99">
        <f t="shared" ref="M136" si="74">M135*$E140/1000</f>
        <v>6313079.7120000003</v>
      </c>
      <c r="N136" s="99">
        <f t="shared" ref="N136" si="75">N135*$E140/1000</f>
        <v>6313079.7120000003</v>
      </c>
      <c r="O136" s="99">
        <f t="shared" ref="O136" si="76">O135*$E140/1000</f>
        <v>6313079.7120000003</v>
      </c>
      <c r="P136" s="99">
        <f t="shared" ref="P136" si="77">P135*$E140/1000</f>
        <v>6313079.7120000003</v>
      </c>
      <c r="Q136" s="99">
        <f t="shared" ref="Q136" si="78">Q135*$E140/1000</f>
        <v>6313079.7120000003</v>
      </c>
      <c r="R136" s="99">
        <f t="shared" ref="R136" si="79">R135*$E140/1000</f>
        <v>6313079.7120000003</v>
      </c>
      <c r="S136" s="99">
        <f t="shared" ref="S136" si="80">S135*$E140/1000</f>
        <v>6313079.7120000003</v>
      </c>
      <c r="T136" s="99">
        <f t="shared" ref="T136" si="81">T135*$E140/1000</f>
        <v>6313079.7120000003</v>
      </c>
      <c r="U136" s="99">
        <f t="shared" ref="U136" si="82">U135*$E140/1000</f>
        <v>6313079.7120000003</v>
      </c>
      <c r="V136" s="99">
        <f t="shared" ref="V136" si="83">V135*$E140/1000</f>
        <v>6313079.7120000003</v>
      </c>
      <c r="W136" s="99">
        <f t="shared" ref="W136" si="84">W135*$E140/1000</f>
        <v>6313079.7120000003</v>
      </c>
      <c r="X136" s="101">
        <f t="shared" ref="X136" si="85">X135*$E140/1000</f>
        <v>6313079.7120000003</v>
      </c>
    </row>
    <row r="137" spans="1:24" outlineLevel="1">
      <c r="A137" s="95"/>
      <c r="C137" s="126" t="s">
        <v>83</v>
      </c>
      <c r="D137" s="143"/>
      <c r="E137" s="144">
        <v>777053.98096926592</v>
      </c>
      <c r="F137" s="99">
        <v>777053.98096926592</v>
      </c>
      <c r="G137" s="99">
        <v>777053.98096926592</v>
      </c>
      <c r="H137" s="99">
        <v>777053.98096926592</v>
      </c>
      <c r="I137" s="99">
        <v>777053.98096926592</v>
      </c>
      <c r="J137" s="99">
        <v>777053.98096926592</v>
      </c>
      <c r="K137" s="99">
        <v>777053.98096926592</v>
      </c>
      <c r="L137" s="99">
        <v>777053.98096926592</v>
      </c>
      <c r="M137" s="99">
        <v>777053.98096926592</v>
      </c>
      <c r="N137" s="99">
        <v>777053.98096926592</v>
      </c>
      <c r="O137" s="99">
        <v>777053.98096926592</v>
      </c>
      <c r="P137" s="99">
        <v>777053.98096926592</v>
      </c>
      <c r="Q137" s="99">
        <v>777053.98096926592</v>
      </c>
      <c r="R137" s="99">
        <v>777053.98096926592</v>
      </c>
      <c r="S137" s="99">
        <v>777053.98096926592</v>
      </c>
      <c r="T137" s="99">
        <v>777053.98096926592</v>
      </c>
      <c r="U137" s="99">
        <v>777053.98096926592</v>
      </c>
      <c r="V137" s="99">
        <v>777053.98096926592</v>
      </c>
      <c r="W137" s="99">
        <v>777053.98096926592</v>
      </c>
      <c r="X137" s="101">
        <v>777053.98096926592</v>
      </c>
    </row>
    <row r="138" spans="1:24" outlineLevel="1">
      <c r="A138" s="95"/>
      <c r="C138" s="126"/>
      <c r="D138" s="143"/>
      <c r="E138" s="144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101"/>
    </row>
    <row r="139" spans="1:24" outlineLevel="1">
      <c r="A139" s="95"/>
      <c r="C139" s="126"/>
      <c r="D139" s="143"/>
      <c r="E139" s="145" t="s">
        <v>85</v>
      </c>
      <c r="F139" s="254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101"/>
    </row>
    <row r="140" spans="1:24" outlineLevel="1">
      <c r="A140" s="95"/>
      <c r="C140" s="126" t="s">
        <v>86</v>
      </c>
      <c r="D140" s="143"/>
      <c r="E140" s="144">
        <f>INDEX('DATA (Nominal)'!$B$40:$BX$40,1,MATCH($B$1,'DATA (Nominal)'!$B$1:$BX$1,0))*1000</f>
        <v>10040</v>
      </c>
      <c r="F140" s="254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101"/>
    </row>
    <row r="141" spans="1:24" outlineLevel="1">
      <c r="A141" s="95"/>
      <c r="C141" s="126" t="s">
        <v>87</v>
      </c>
      <c r="D141" s="143"/>
      <c r="E141" s="144">
        <f>'Resource Options'!$E$34</f>
        <v>74</v>
      </c>
      <c r="F141" s="254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101"/>
    </row>
    <row r="142" spans="1:24" outlineLevel="1">
      <c r="A142" s="95"/>
      <c r="C142" s="126" t="s">
        <v>88</v>
      </c>
      <c r="D142" s="143"/>
      <c r="E142" s="130">
        <f>INDEX('DATA (Nominal)'!$B$88:$BX$88,1,MATCH($B$1,'DATA (Nominal)'!$B$1:$BX$1,0))*'Resource Options'!$E$34/1000</f>
        <v>68.325717838959733</v>
      </c>
      <c r="F142" s="254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131"/>
    </row>
    <row r="143" spans="1:24" outlineLevel="1">
      <c r="A143" s="95"/>
      <c r="C143" s="126" t="s">
        <v>81</v>
      </c>
      <c r="D143" s="143"/>
      <c r="E143" s="130">
        <f>E142*AFUDC!$C$34</f>
        <v>4.0032038081846517</v>
      </c>
      <c r="F143" s="254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131"/>
    </row>
    <row r="144" spans="1:24" outlineLevel="1">
      <c r="A144" s="95"/>
      <c r="C144" s="126" t="s">
        <v>89</v>
      </c>
      <c r="D144" s="143"/>
      <c r="E144" s="130">
        <f>E142*$B$4</f>
        <v>4.0995430703375835</v>
      </c>
      <c r="F144" s="254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131"/>
    </row>
    <row r="145" spans="1:24" outlineLevel="1">
      <c r="A145" s="95"/>
      <c r="C145" s="126" t="s">
        <v>90</v>
      </c>
      <c r="D145" s="143"/>
      <c r="E145" s="130">
        <f>SUM(E142:E144)</f>
        <v>76.428464717481972</v>
      </c>
      <c r="F145" s="254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131"/>
    </row>
    <row r="146" spans="1:24" outlineLevel="1">
      <c r="A146" s="95"/>
      <c r="C146" s="126"/>
      <c r="D146" s="143"/>
      <c r="E146" s="146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131"/>
    </row>
    <row r="147" spans="1:24" outlineLevel="1">
      <c r="A147" s="95"/>
      <c r="C147" s="126" t="s">
        <v>91</v>
      </c>
      <c r="D147" s="143"/>
      <c r="E147" s="146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131"/>
    </row>
    <row r="148" spans="1:24" outlineLevel="1">
      <c r="A148" s="95"/>
      <c r="C148" s="126" t="s">
        <v>47</v>
      </c>
      <c r="D148" s="100">
        <f>-PMT(Discount_Rate,20,NPV(Discount_Rate,E148:X148))</f>
        <v>1420740.4511860178</v>
      </c>
      <c r="E148" s="100">
        <f>$E141*1000*INDEX('DATA (Nominal)'!$B$207:$BX$207,MATCH(E$1,'DATA (Nominal)'!$B$1:$BX$1,0))</f>
        <v>1198325.8294637306</v>
      </c>
      <c r="F148" s="100">
        <f>$E141*1000*INDEX('DATA (Nominal)'!$B$207:$BX$207,MATCH(F$1,'DATA (Nominal)'!$B$1:$BX$1,0))</f>
        <v>1225088.4396550874</v>
      </c>
      <c r="G148" s="100">
        <f>$E141*1000*INDEX('DATA (Nominal)'!$B$207:$BX$207,MATCH(G$1,'DATA (Nominal)'!$B$1:$BX$1,0))</f>
        <v>1252448.7481407176</v>
      </c>
      <c r="H148" s="100">
        <f>$E141*1000*INDEX('DATA (Nominal)'!$B$207:$BX$207,MATCH(H$1,'DATA (Nominal)'!$B$1:$BX$1,0))</f>
        <v>1280002.6205998133</v>
      </c>
      <c r="I148" s="100">
        <f>$E141*1000*INDEX('DATA (Nominal)'!$B$207:$BX$207,MATCH(I$1,'DATA (Nominal)'!$B$1:$BX$1,0))</f>
        <v>1308162.6782530094</v>
      </c>
      <c r="J148" s="100">
        <f>$E141*1000*INDEX('DATA (Nominal)'!$B$207:$BX$207,MATCH(J$1,'DATA (Nominal)'!$B$1:$BX$1,0))</f>
        <v>1336942.2571745757</v>
      </c>
      <c r="K148" s="100">
        <f>$E141*1000*INDEX('DATA (Nominal)'!$B$207:$BX$207,MATCH(K$1,'DATA (Nominal)'!$B$1:$BX$1,0))</f>
        <v>1366354.9868324162</v>
      </c>
      <c r="L148" s="100">
        <f>$E141*1000*INDEX('DATA (Nominal)'!$B$207:$BX$207,MATCH(L$1,'DATA (Nominal)'!$B$1:$BX$1,0))</f>
        <v>1396414.7965427293</v>
      </c>
      <c r="M148" s="100">
        <f>$E141*1000*INDEX('DATA (Nominal)'!$B$207:$BX$207,MATCH(M$1,'DATA (Nominal)'!$B$1:$BX$1,0))</f>
        <v>1427135.9220666697</v>
      </c>
      <c r="N148" s="100">
        <f>$E141*1000*INDEX('DATA (Nominal)'!$B$207:$BX$207,MATCH(N$1,'DATA (Nominal)'!$B$1:$BX$1,0))</f>
        <v>1458532.9123521361</v>
      </c>
      <c r="O148" s="100">
        <f>$E141*1000*INDEX('DATA (Nominal)'!$B$207:$BX$207,MATCH(O$1,'DATA (Nominal)'!$B$1:$BX$1,0))</f>
        <v>1490620.636423883</v>
      </c>
      <c r="P148" s="100">
        <f>$E141*1000*INDEX('DATA (Nominal)'!$B$207:$BX$207,MATCH(P$1,'DATA (Nominal)'!$B$1:$BX$1,0))</f>
        <v>1523414.2904252089</v>
      </c>
      <c r="Q148" s="100">
        <f>$E141*1000*INDEX('DATA (Nominal)'!$B$207:$BX$207,MATCH(Q$1,'DATA (Nominal)'!$B$1:$BX$1,0))</f>
        <v>1556929.4048145632</v>
      </c>
      <c r="R148" s="100">
        <f>$E141*1000*INDEX('DATA (Nominal)'!$B$207:$BX$207,MATCH(R$1,'DATA (Nominal)'!$B$1:$BX$1,0))</f>
        <v>1591181.8517204835</v>
      </c>
      <c r="S148" s="100">
        <f>$E141*1000*INDEX('DATA (Nominal)'!$B$207:$BX$207,MATCH(S$1,'DATA (Nominal)'!$B$1:$BX$1,0))</f>
        <v>1626187.8524583341</v>
      </c>
      <c r="T148" s="100">
        <f>$E141*1000*INDEX('DATA (Nominal)'!$B$207:$BX$207,MATCH(T$1,'DATA (Nominal)'!$B$1:$BX$1,0))</f>
        <v>1661963.9852124176</v>
      </c>
      <c r="U148" s="100">
        <f>$E141*1000*INDEX('DATA (Nominal)'!$B$207:$BX$207,MATCH(U$1,'DATA (Nominal)'!$B$1:$BX$1,0))</f>
        <v>1698527.1928870908</v>
      </c>
      <c r="V148" s="100">
        <f>$E141*1000*INDEX('DATA (Nominal)'!$B$207:$BX$207,MATCH(V$1,'DATA (Nominal)'!$B$1:$BX$1,0))</f>
        <v>1735894.7911306066</v>
      </c>
      <c r="W148" s="100">
        <f>$E141*1000*INDEX('DATA (Nominal)'!$B$207:$BX$207,MATCH(W$1,'DATA (Nominal)'!$B$1:$BX$1,0))</f>
        <v>1774084.4765354802</v>
      </c>
      <c r="X148" s="132">
        <f>$E141*1000*INDEX('DATA (Nominal)'!$B$207:$BX$207,MATCH(X$1,'DATA (Nominal)'!$B$1:$BX$1,0))</f>
        <v>1813114.3350192609</v>
      </c>
    </row>
    <row r="149" spans="1:24" outlineLevel="1">
      <c r="A149" s="95"/>
      <c r="C149" s="126" t="s">
        <v>92</v>
      </c>
      <c r="D149" s="100">
        <f>-PMT(Discount_Rate,20,NPV(Discount_Rate,E149:X149))</f>
        <v>8491460.5170947909</v>
      </c>
      <c r="E149" s="100">
        <f>$E145*Assumptions!AG$34*1000000</f>
        <v>10750514.180829214</v>
      </c>
      <c r="F149" s="100">
        <f>$E145*Assumptions!AH$34*1000000</f>
        <v>10445653.294675857</v>
      </c>
      <c r="G149" s="100">
        <f>$E145*Assumptions!AI$34*1000000</f>
        <v>10119286.223425122</v>
      </c>
      <c r="H149" s="100">
        <f>$E145*Assumptions!AJ$34*1000000</f>
        <v>9800565.3060973268</v>
      </c>
      <c r="I149" s="100">
        <f>$E145*Assumptions!AK$34*1000000</f>
        <v>9488917.6320238933</v>
      </c>
      <c r="J149" s="100">
        <f>$E145*Assumptions!AL$34*1000000</f>
        <v>9183821.7055962496</v>
      </c>
      <c r="K149" s="100">
        <f>$E145*Assumptions!AM$34*1000000</f>
        <v>8884785.4112401009</v>
      </c>
      <c r="L149" s="100">
        <f>$E145*Assumptions!AN$34*1000000</f>
        <v>8591353.3584240098</v>
      </c>
      <c r="M149" s="100">
        <f>$E145*Assumptions!AO$34*1000000</f>
        <v>8301072.3142851004</v>
      </c>
      <c r="N149" s="100">
        <f>$E145*Assumptions!AP$34*1000000</f>
        <v>8011246.660677623</v>
      </c>
      <c r="O149" s="100">
        <f>$E145*Assumptions!AQ$34*1000000</f>
        <v>7721421.0070701493</v>
      </c>
      <c r="P149" s="100">
        <f>$E145*Assumptions!AR$34*1000000</f>
        <v>7431595.35346267</v>
      </c>
      <c r="Q149" s="100">
        <f>$E145*Assumptions!AS$34*1000000</f>
        <v>7141769.6998551916</v>
      </c>
      <c r="R149" s="100">
        <f>$E145*Assumptions!AT$34*1000000</f>
        <v>6851944.046247717</v>
      </c>
      <c r="S149" s="100">
        <f>$E145*Assumptions!AU$34*1000000</f>
        <v>6562118.3926402396</v>
      </c>
      <c r="T149" s="100">
        <f>$E145*Assumptions!AV$34*1000000</f>
        <v>6272292.739032764</v>
      </c>
      <c r="U149" s="100">
        <f>$E145*Assumptions!AW$34*1000000</f>
        <v>5982467.0854252866</v>
      </c>
      <c r="V149" s="100">
        <f>$E145*Assumptions!AX$34*1000000</f>
        <v>5692641.4318178119</v>
      </c>
      <c r="W149" s="100">
        <f>$E145*Assumptions!AY$34*1000000</f>
        <v>5402815.7782103354</v>
      </c>
      <c r="X149" s="132">
        <f>$E145*Assumptions!AZ$34*1000000</f>
        <v>5112990.1246028617</v>
      </c>
    </row>
    <row r="150" spans="1:24" outlineLevel="1">
      <c r="A150" s="95"/>
      <c r="C150" s="126" t="s">
        <v>93</v>
      </c>
      <c r="D150" s="100">
        <f>-PMT(Discount_Rate,20,NPV(Discount_Rate,E150:X150))</f>
        <v>41420.267113877155</v>
      </c>
      <c r="E150" s="100">
        <f t="shared" ref="E150:X150" si="86">E148*Misc_Fees</f>
        <v>34935.991232185603</v>
      </c>
      <c r="F150" s="100">
        <f t="shared" si="86"/>
        <v>35716.228369704419</v>
      </c>
      <c r="G150" s="100">
        <f t="shared" si="86"/>
        <v>36513.890803294482</v>
      </c>
      <c r="H150" s="100">
        <f t="shared" si="86"/>
        <v>37317.196400966954</v>
      </c>
      <c r="I150" s="100">
        <f t="shared" si="86"/>
        <v>38138.174721788237</v>
      </c>
      <c r="J150" s="100">
        <f t="shared" si="86"/>
        <v>38977.214565667578</v>
      </c>
      <c r="K150" s="100">
        <f t="shared" si="86"/>
        <v>39834.713286112259</v>
      </c>
      <c r="L150" s="100">
        <f t="shared" si="86"/>
        <v>40711.076978406731</v>
      </c>
      <c r="M150" s="100">
        <f t="shared" si="86"/>
        <v>41606.720671931689</v>
      </c>
      <c r="N150" s="100">
        <f t="shared" si="86"/>
        <v>42522.068526714174</v>
      </c>
      <c r="O150" s="100">
        <f t="shared" si="86"/>
        <v>43457.554034301887</v>
      </c>
      <c r="P150" s="100">
        <f t="shared" si="86"/>
        <v>44413.62022305654</v>
      </c>
      <c r="Q150" s="100">
        <f t="shared" si="86"/>
        <v>45390.719867963773</v>
      </c>
      <c r="R150" s="100">
        <f t="shared" si="86"/>
        <v>46389.315705058973</v>
      </c>
      <c r="S150" s="100">
        <f t="shared" si="86"/>
        <v>47409.880650570267</v>
      </c>
      <c r="T150" s="100">
        <f t="shared" si="86"/>
        <v>48452.898024882823</v>
      </c>
      <c r="U150" s="100">
        <f t="shared" si="86"/>
        <v>49518.861781430249</v>
      </c>
      <c r="V150" s="100">
        <f t="shared" si="86"/>
        <v>50608.276740621703</v>
      </c>
      <c r="W150" s="100">
        <f t="shared" si="86"/>
        <v>51721.658828915388</v>
      </c>
      <c r="X150" s="132">
        <f t="shared" si="86"/>
        <v>52859.535323151533</v>
      </c>
    </row>
    <row r="151" spans="1:24" outlineLevel="1">
      <c r="A151" s="95"/>
      <c r="C151" s="126" t="s">
        <v>94</v>
      </c>
      <c r="D151" s="100">
        <f>-PMT(Discount_Rate,20,NPV(Discount_Rate,E151:X151))</f>
        <v>9953621.235394679</v>
      </c>
      <c r="E151" s="100">
        <f t="shared" ref="E151:X151" si="87">SUM(E148:E150)</f>
        <v>11983776.001525128</v>
      </c>
      <c r="F151" s="100">
        <f t="shared" si="87"/>
        <v>11706457.962700648</v>
      </c>
      <c r="G151" s="100">
        <f t="shared" si="87"/>
        <v>11408248.862369133</v>
      </c>
      <c r="H151" s="100">
        <f t="shared" si="87"/>
        <v>11117885.123098107</v>
      </c>
      <c r="I151" s="100">
        <f t="shared" si="87"/>
        <v>10835218.484998692</v>
      </c>
      <c r="J151" s="100">
        <f t="shared" si="87"/>
        <v>10559741.177336494</v>
      </c>
      <c r="K151" s="100">
        <f t="shared" si="87"/>
        <v>10290975.11135863</v>
      </c>
      <c r="L151" s="100">
        <f t="shared" si="87"/>
        <v>10028479.231945144</v>
      </c>
      <c r="M151" s="100">
        <f t="shared" si="87"/>
        <v>9769814.9570237007</v>
      </c>
      <c r="N151" s="100">
        <f t="shared" si="87"/>
        <v>9512301.6415564734</v>
      </c>
      <c r="O151" s="100">
        <f t="shared" si="87"/>
        <v>9255499.1975283343</v>
      </c>
      <c r="P151" s="100">
        <f t="shared" si="87"/>
        <v>8999423.2641109359</v>
      </c>
      <c r="Q151" s="100">
        <f t="shared" si="87"/>
        <v>8744089.8245377187</v>
      </c>
      <c r="R151" s="100">
        <f t="shared" si="87"/>
        <v>8489515.2136732601</v>
      </c>
      <c r="S151" s="100">
        <f t="shared" si="87"/>
        <v>8235716.1257491447</v>
      </c>
      <c r="T151" s="100">
        <f t="shared" si="87"/>
        <v>7982709.6222700644</v>
      </c>
      <c r="U151" s="100">
        <f t="shared" si="87"/>
        <v>7730513.1400938081</v>
      </c>
      <c r="V151" s="100">
        <f t="shared" si="87"/>
        <v>7479144.4996890407</v>
      </c>
      <c r="W151" s="100">
        <f t="shared" si="87"/>
        <v>7228621.913574731</v>
      </c>
      <c r="X151" s="132">
        <f t="shared" si="87"/>
        <v>6978963.9949452737</v>
      </c>
    </row>
    <row r="152" spans="1:24" outlineLevel="1">
      <c r="A152" s="95"/>
      <c r="C152" s="126"/>
      <c r="D152" s="100"/>
      <c r="E152" s="100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33"/>
    </row>
    <row r="153" spans="1:24" outlineLevel="1">
      <c r="A153" s="95"/>
      <c r="C153" s="126" t="s">
        <v>95</v>
      </c>
      <c r="D153" s="100"/>
      <c r="E153" s="100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33"/>
    </row>
    <row r="154" spans="1:24" outlineLevel="1">
      <c r="A154" s="95"/>
      <c r="C154" s="126" t="s">
        <v>48</v>
      </c>
      <c r="D154" s="100">
        <f>-PMT(Discount_Rate,20,NPV(Discount_Rate,E154:X154))</f>
        <v>2414463.1523635658</v>
      </c>
      <c r="E154" s="100">
        <f>E135*INDEX('DATA (Nominal)'!$B$129:$BX$129,1,MATCH(E$1,'DATA (Nominal)'!$B$1:$BX$1,0))</f>
        <v>2036482.8476238425</v>
      </c>
      <c r="F154" s="100">
        <f>F135*INDEX('DATA (Nominal)'!$B$129:$BX$129,1,MATCH(F$1,'DATA (Nominal)'!$B$1:$BX$1,0))</f>
        <v>2081964.2978874417</v>
      </c>
      <c r="G154" s="100">
        <f>G135*INDEX('DATA (Nominal)'!$B$129:$BX$129,1,MATCH(G$1,'DATA (Nominal)'!$B$1:$BX$1,0))</f>
        <v>2128461.5005402612</v>
      </c>
      <c r="H154" s="100">
        <f>H135*INDEX('DATA (Nominal)'!$B$129:$BX$129,1,MATCH(H$1,'DATA (Nominal)'!$B$1:$BX$1,0))</f>
        <v>2175287.6535521471</v>
      </c>
      <c r="I154" s="100">
        <f>I135*INDEX('DATA (Nominal)'!$B$129:$BX$129,1,MATCH(I$1,'DATA (Nominal)'!$B$1:$BX$1,0))</f>
        <v>2223143.9819302941</v>
      </c>
      <c r="J154" s="100">
        <f>J135*INDEX('DATA (Nominal)'!$B$129:$BX$129,1,MATCH(J$1,'DATA (Nominal)'!$B$1:$BX$1,0))</f>
        <v>2272053.149532761</v>
      </c>
      <c r="K154" s="100">
        <f>K135*INDEX('DATA (Nominal)'!$B$129:$BX$129,1,MATCH(K$1,'DATA (Nominal)'!$B$1:$BX$1,0))</f>
        <v>2322038.3188224812</v>
      </c>
      <c r="L154" s="100">
        <f>L135*INDEX('DATA (Nominal)'!$B$129:$BX$129,1,MATCH(L$1,'DATA (Nominal)'!$B$1:$BX$1,0))</f>
        <v>2373123.1618365766</v>
      </c>
      <c r="M154" s="100">
        <f>M135*INDEX('DATA (Nominal)'!$B$129:$BX$129,1,MATCH(M$1,'DATA (Nominal)'!$B$1:$BX$1,0))</f>
        <v>2425331.8713969812</v>
      </c>
      <c r="N154" s="100">
        <f>N135*INDEX('DATA (Nominal)'!$B$129:$BX$129,1,MATCH(N$1,'DATA (Nominal)'!$B$1:$BX$1,0))</f>
        <v>2478689.1725677145</v>
      </c>
      <c r="O154" s="100">
        <f>O135*INDEX('DATA (Nominal)'!$B$129:$BX$129,1,MATCH(O$1,'DATA (Nominal)'!$B$1:$BX$1,0))</f>
        <v>2533220.3343642042</v>
      </c>
      <c r="P154" s="100">
        <f>P135*INDEX('DATA (Nominal)'!$B$129:$BX$129,1,MATCH(P$1,'DATA (Nominal)'!$B$1:$BX$1,0))</f>
        <v>2588951.1817202168</v>
      </c>
      <c r="Q154" s="100">
        <f>Q135*INDEX('DATA (Nominal)'!$B$129:$BX$129,1,MATCH(Q$1,'DATA (Nominal)'!$B$1:$BX$1,0))</f>
        <v>2645908.1077180612</v>
      </c>
      <c r="R154" s="100">
        <f>R135*INDEX('DATA (Nominal)'!$B$129:$BX$129,1,MATCH(R$1,'DATA (Nominal)'!$B$1:$BX$1,0))</f>
        <v>2704118.0860878592</v>
      </c>
      <c r="S154" s="100">
        <f>S135*INDEX('DATA (Nominal)'!$B$129:$BX$129,1,MATCH(S$1,'DATA (Nominal)'!$B$1:$BX$1,0))</f>
        <v>2763608.6839817921</v>
      </c>
      <c r="T154" s="100">
        <f>T135*INDEX('DATA (Nominal)'!$B$129:$BX$129,1,MATCH(T$1,'DATA (Nominal)'!$B$1:$BX$1,0))</f>
        <v>2824408.0750293918</v>
      </c>
      <c r="U154" s="100">
        <f>U135*INDEX('DATA (Nominal)'!$B$129:$BX$129,1,MATCH(U$1,'DATA (Nominal)'!$B$1:$BX$1,0))</f>
        <v>2886545.0526800375</v>
      </c>
      <c r="V154" s="100">
        <f>V135*INDEX('DATA (Nominal)'!$B$129:$BX$129,1,MATCH(V$1,'DATA (Nominal)'!$B$1:$BX$1,0))</f>
        <v>2950049.0438389988</v>
      </c>
      <c r="W154" s="100">
        <f>W135*INDEX('DATA (Nominal)'!$B$129:$BX$129,1,MATCH(W$1,'DATA (Nominal)'!$B$1:$BX$1,0))</f>
        <v>3014950.1228034561</v>
      </c>
      <c r="X154" s="132">
        <f>X135*INDEX('DATA (Nominal)'!$B$129:$BX$129,1,MATCH(X$1,'DATA (Nominal)'!$B$1:$BX$1,0))</f>
        <v>3081279.025505133</v>
      </c>
    </row>
    <row r="155" spans="1:24" outlineLevel="1">
      <c r="A155" s="95"/>
      <c r="C155" s="126" t="s">
        <v>96</v>
      </c>
      <c r="D155" s="100">
        <f>-PMT(Discount_Rate,20,NPV(Discount_Rate,E155:X155))</f>
        <v>155087359.3682842</v>
      </c>
      <c r="E155" s="100">
        <f>E136*INDEX('DATA (Nominal)'!$B$140:$BX$140,1,MATCH(E$1,'DATA (Nominal)'!$B$1:$BX$1,0))</f>
        <v>229646764.0319134</v>
      </c>
      <c r="F155" s="100">
        <f>F136*INDEX('DATA (Nominal)'!$B$140:$BX$140,1,MATCH(F$1,'DATA (Nominal)'!$B$1:$BX$1,0))</f>
        <v>217496517.2370944</v>
      </c>
      <c r="G155" s="100">
        <f>G136*INDEX('DATA (Nominal)'!$B$140:$BX$140,1,MATCH(G$1,'DATA (Nominal)'!$B$1:$BX$1,0))</f>
        <v>204898246.17999139</v>
      </c>
      <c r="H155" s="100">
        <f>H136*INDEX('DATA (Nominal)'!$B$140:$BX$140,1,MATCH(H$1,'DATA (Nominal)'!$B$1:$BX$1,0))</f>
        <v>191822026.76023719</v>
      </c>
      <c r="I155" s="100">
        <f>I136*INDEX('DATA (Nominal)'!$B$140:$BX$140,1,MATCH(I$1,'DATA (Nominal)'!$B$1:$BX$1,0))</f>
        <v>178233063.29660749</v>
      </c>
      <c r="J155" s="100">
        <f>J136*INDEX('DATA (Nominal)'!$B$140:$BX$140,1,MATCH(J$1,'DATA (Nominal)'!$B$1:$BX$1,0))</f>
        <v>164118015.46235469</v>
      </c>
      <c r="K155" s="100">
        <f>K136*INDEX('DATA (Nominal)'!$B$140:$BX$140,1,MATCH(K$1,'DATA (Nominal)'!$B$1:$BX$1,0))</f>
        <v>149369398.47167286</v>
      </c>
      <c r="L155" s="100">
        <f>L136*INDEX('DATA (Nominal)'!$B$140:$BX$140,1,MATCH(L$1,'DATA (Nominal)'!$B$1:$BX$1,0))</f>
        <v>133862205.00618432</v>
      </c>
      <c r="M155" s="100">
        <f>M136*INDEX('DATA (Nominal)'!$B$140:$BX$140,1,MATCH(M$1,'DATA (Nominal)'!$B$1:$BX$1,0))</f>
        <v>131088818.31593266</v>
      </c>
      <c r="N155" s="100">
        <f>N136*INDEX('DATA (Nominal)'!$B$140:$BX$140,1,MATCH(N$1,'DATA (Nominal)'!$B$1:$BX$1,0))</f>
        <v>128140232.65972614</v>
      </c>
      <c r="O155" s="100">
        <f>O136*INDEX('DATA (Nominal)'!$B$140:$BX$140,1,MATCH(O$1,'DATA (Nominal)'!$B$1:$BX$1,0))</f>
        <v>125010319.66337615</v>
      </c>
      <c r="P155" s="100">
        <f>P136*INDEX('DATA (Nominal)'!$B$140:$BX$140,1,MATCH(P$1,'DATA (Nominal)'!$B$1:$BX$1,0))</f>
        <v>121692770.97585557</v>
      </c>
      <c r="Q155" s="100">
        <f>Q136*INDEX('DATA (Nominal)'!$B$140:$BX$140,1,MATCH(Q$1,'DATA (Nominal)'!$B$1:$BX$1,0))</f>
        <v>118181093.41625118</v>
      </c>
      <c r="R155" s="100">
        <f>R136*INDEX('DATA (Nominal)'!$B$140:$BX$140,1,MATCH(R$1,'DATA (Nominal)'!$B$1:$BX$1,0))</f>
        <v>114468603.99633242</v>
      </c>
      <c r="S155" s="100">
        <f>S136*INDEX('DATA (Nominal)'!$B$140:$BX$140,1,MATCH(S$1,'DATA (Nominal)'!$B$1:$BX$1,0))</f>
        <v>110548424.81565528</v>
      </c>
      <c r="T155" s="100">
        <f>T136*INDEX('DATA (Nominal)'!$B$140:$BX$140,1,MATCH(T$1,'DATA (Nominal)'!$B$1:$BX$1,0))</f>
        <v>106413477.82604335</v>
      </c>
      <c r="U155" s="100">
        <f>U136*INDEX('DATA (Nominal)'!$B$140:$BX$140,1,MATCH(U$1,'DATA (Nominal)'!$B$1:$BX$1,0))</f>
        <v>102056479.46221411</v>
      </c>
      <c r="V155" s="100">
        <f>V136*INDEX('DATA (Nominal)'!$B$140:$BX$140,1,MATCH(V$1,'DATA (Nominal)'!$B$1:$BX$1,0))</f>
        <v>97469935.135238215</v>
      </c>
      <c r="W155" s="100">
        <f>W136*INDEX('DATA (Nominal)'!$B$140:$BX$140,1,MATCH(W$1,'DATA (Nominal)'!$B$1:$BX$1,0))</f>
        <v>92646133.585441038</v>
      </c>
      <c r="X155" s="132">
        <f>X136*INDEX('DATA (Nominal)'!$B$140:$BX$140,1,MATCH(X$1,'DATA (Nominal)'!$B$1:$BX$1,0))</f>
        <v>87577141.091273353</v>
      </c>
    </row>
    <row r="156" spans="1:24" outlineLevel="1">
      <c r="A156" s="95"/>
      <c r="C156" s="126" t="s">
        <v>93</v>
      </c>
      <c r="D156" s="100">
        <f>-PMT(Discount_Rate,20,NPV(Discount_Rate,E156:X156))</f>
        <v>4591808.133766965</v>
      </c>
      <c r="E156" s="100">
        <f t="shared" ref="E156:X156" si="88">SUM(E154:E155)*Misc_Fees</f>
        <v>6754493.3795260293</v>
      </c>
      <c r="F156" s="100">
        <f t="shared" si="88"/>
        <v>6401591.0506708603</v>
      </c>
      <c r="G156" s="100">
        <f t="shared" si="88"/>
        <v>6035656.6357182199</v>
      </c>
      <c r="H156" s="100">
        <f t="shared" si="88"/>
        <v>5655797.7044196138</v>
      </c>
      <c r="I156" s="100">
        <f t="shared" si="88"/>
        <v>5261020.2669984903</v>
      </c>
      <c r="J156" s="100">
        <f t="shared" si="88"/>
        <v>4850936.0603109663</v>
      </c>
      <c r="K156" s="100">
        <f t="shared" si="88"/>
        <v>4422412.1481901007</v>
      </c>
      <c r="L156" s="100">
        <f t="shared" si="88"/>
        <v>3971804.7574104816</v>
      </c>
      <c r="M156" s="100">
        <f t="shared" si="88"/>
        <v>3892471.5345614087</v>
      </c>
      <c r="N156" s="100">
        <f t="shared" si="88"/>
        <v>3808064.0470986948</v>
      </c>
      <c r="O156" s="100">
        <f t="shared" si="88"/>
        <v>3718404.3650941225</v>
      </c>
      <c r="P156" s="100">
        <f t="shared" si="88"/>
        <v>3623309.3277819646</v>
      </c>
      <c r="Q156" s="100">
        <f t="shared" si="88"/>
        <v>3522590.4024297995</v>
      </c>
      <c r="R156" s="100">
        <f t="shared" si="88"/>
        <v>3416053.5395908807</v>
      </c>
      <c r="S156" s="100">
        <f t="shared" si="88"/>
        <v>3303499.0246484191</v>
      </c>
      <c r="T156" s="100">
        <f t="shared" si="88"/>
        <v>3184721.3255598745</v>
      </c>
      <c r="U156" s="100">
        <f t="shared" si="88"/>
        <v>3059508.9367072238</v>
      </c>
      <c r="V156" s="100">
        <f t="shared" si="88"/>
        <v>2927644.2187568168</v>
      </c>
      <c r="W156" s="100">
        <f t="shared" si="88"/>
        <v>2788903.2344301599</v>
      </c>
      <c r="X156" s="132">
        <f t="shared" si="88"/>
        <v>2643055.58008456</v>
      </c>
    </row>
    <row r="157" spans="1:24" outlineLevel="1">
      <c r="A157" s="95"/>
      <c r="C157" s="126" t="s">
        <v>99</v>
      </c>
      <c r="D157" s="100">
        <f>-PMT(Discount_Rate,20,NPV(Discount_Rate,E157:X157))</f>
        <v>162093630.65441468</v>
      </c>
      <c r="E157" s="100">
        <f t="shared" ref="E157:X157" si="89">SUM(E154:E156)</f>
        <v>238437740.25906327</v>
      </c>
      <c r="F157" s="100">
        <f t="shared" si="89"/>
        <v>225980072.58565271</v>
      </c>
      <c r="G157" s="100">
        <f t="shared" si="89"/>
        <v>213062364.31624988</v>
      </c>
      <c r="H157" s="100">
        <f t="shared" si="89"/>
        <v>199653112.11820894</v>
      </c>
      <c r="I157" s="100">
        <f t="shared" si="89"/>
        <v>185717227.54553628</v>
      </c>
      <c r="J157" s="100">
        <f t="shared" si="89"/>
        <v>171241004.67219841</v>
      </c>
      <c r="K157" s="100">
        <f t="shared" si="89"/>
        <v>156113848.93868545</v>
      </c>
      <c r="L157" s="100">
        <f t="shared" si="89"/>
        <v>140207132.92543137</v>
      </c>
      <c r="M157" s="100">
        <f t="shared" si="89"/>
        <v>137406621.72189105</v>
      </c>
      <c r="N157" s="100">
        <f t="shared" si="89"/>
        <v>134426985.87939253</v>
      </c>
      <c r="O157" s="100">
        <f t="shared" si="89"/>
        <v>131261944.36283448</v>
      </c>
      <c r="P157" s="100">
        <f t="shared" si="89"/>
        <v>127905031.48535775</v>
      </c>
      <c r="Q157" s="100">
        <f t="shared" si="89"/>
        <v>124349591.92639905</v>
      </c>
      <c r="R157" s="100">
        <f t="shared" si="89"/>
        <v>120588775.62201115</v>
      </c>
      <c r="S157" s="100">
        <f t="shared" si="89"/>
        <v>116615532.52428548</v>
      </c>
      <c r="T157" s="100">
        <f t="shared" si="89"/>
        <v>112422607.22663261</v>
      </c>
      <c r="U157" s="100">
        <f t="shared" si="89"/>
        <v>108002533.45160137</v>
      </c>
      <c r="V157" s="100">
        <f t="shared" si="89"/>
        <v>103347628.39783402</v>
      </c>
      <c r="W157" s="100">
        <f t="shared" si="89"/>
        <v>98449986.942674652</v>
      </c>
      <c r="X157" s="132">
        <f t="shared" si="89"/>
        <v>93301475.696863055</v>
      </c>
    </row>
    <row r="158" spans="1:24" outlineLevel="1">
      <c r="A158" s="95"/>
      <c r="C158" s="126"/>
      <c r="D158" s="100"/>
      <c r="E158" s="100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33"/>
    </row>
    <row r="159" spans="1:24" ht="15.75" outlineLevel="1" thickBot="1">
      <c r="A159" s="95"/>
      <c r="C159" s="147" t="s">
        <v>100</v>
      </c>
      <c r="D159" s="135">
        <f>-PMT(Discount_Rate,20,NPV(Discount_Rate,E159:X159))</f>
        <v>172047251.88980937</v>
      </c>
      <c r="E159" s="135">
        <f t="shared" ref="E159:X159" si="90">E157+E151</f>
        <v>250421516.26058841</v>
      </c>
      <c r="F159" s="135">
        <f t="shared" si="90"/>
        <v>237686530.54835334</v>
      </c>
      <c r="G159" s="135">
        <f t="shared" si="90"/>
        <v>224470613.178619</v>
      </c>
      <c r="H159" s="135">
        <f t="shared" si="90"/>
        <v>210770997.24130705</v>
      </c>
      <c r="I159" s="135">
        <f t="shared" si="90"/>
        <v>196552446.03053498</v>
      </c>
      <c r="J159" s="135">
        <f t="shared" si="90"/>
        <v>181800745.8495349</v>
      </c>
      <c r="K159" s="135">
        <f t="shared" si="90"/>
        <v>166404824.05004409</v>
      </c>
      <c r="L159" s="135">
        <f t="shared" si="90"/>
        <v>150235612.15737653</v>
      </c>
      <c r="M159" s="135">
        <f t="shared" si="90"/>
        <v>147176436.67891476</v>
      </c>
      <c r="N159" s="135">
        <f t="shared" si="90"/>
        <v>143939287.52094901</v>
      </c>
      <c r="O159" s="135">
        <f t="shared" si="90"/>
        <v>140517443.56036282</v>
      </c>
      <c r="P159" s="135">
        <f t="shared" si="90"/>
        <v>136904454.74946868</v>
      </c>
      <c r="Q159" s="135">
        <f t="shared" si="90"/>
        <v>133093681.75093678</v>
      </c>
      <c r="R159" s="135">
        <f t="shared" si="90"/>
        <v>129078290.83568442</v>
      </c>
      <c r="S159" s="135">
        <f t="shared" si="90"/>
        <v>124851248.65003462</v>
      </c>
      <c r="T159" s="135">
        <f t="shared" si="90"/>
        <v>120405316.84890267</v>
      </c>
      <c r="U159" s="135">
        <f t="shared" si="90"/>
        <v>115733046.59169517</v>
      </c>
      <c r="V159" s="135">
        <f t="shared" si="90"/>
        <v>110826772.89752306</v>
      </c>
      <c r="W159" s="135">
        <f t="shared" si="90"/>
        <v>105678608.85624938</v>
      </c>
      <c r="X159" s="136">
        <f t="shared" si="90"/>
        <v>100280439.69180833</v>
      </c>
    </row>
    <row r="160" spans="1:24" outlineLevel="1">
      <c r="A160" s="95"/>
      <c r="C160" s="129" t="s">
        <v>101</v>
      </c>
      <c r="D160" s="138">
        <f>D159/AVERAGE(E135:X135)</f>
        <v>273.61517480767804</v>
      </c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</row>
    <row r="161" spans="1:24" outlineLevel="1">
      <c r="A161" s="95"/>
      <c r="C161" s="129" t="s">
        <v>102</v>
      </c>
      <c r="D161" s="139">
        <f>D151/E141/1000</f>
        <v>134.50839507290107</v>
      </c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</row>
    <row r="162" spans="1:24" ht="15.75" outlineLevel="1" thickBot="1">
      <c r="C162" s="134" t="s">
        <v>103</v>
      </c>
      <c r="D162" s="140">
        <f>D157/AVERAGE(E135:X135)</f>
        <v>257.78544324046749</v>
      </c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</row>
  </sheetData>
  <mergeCells count="8">
    <mergeCell ref="C134:F134"/>
    <mergeCell ref="A3:B3"/>
    <mergeCell ref="C5:F5"/>
    <mergeCell ref="A1:A2"/>
    <mergeCell ref="B1:B2"/>
    <mergeCell ref="C37:F37"/>
    <mergeCell ref="C69:F69"/>
    <mergeCell ref="C101:F101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03E8E7C-94F1-44CE-967E-12F4F25B39D7}">
          <x14:formula1>
            <xm:f>Assumptions!$B$8:$B$9</xm:f>
          </x14:formula1>
          <xm:sqref>A4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F9BCB-7AB7-41CE-B203-9571FE5BD77C}">
  <sheetPr codeName="Sheet7"/>
  <dimension ref="A2:AK102"/>
  <sheetViews>
    <sheetView topLeftCell="A64" zoomScale="85" zoomScaleNormal="85" workbookViewId="0">
      <selection activeCell="D80" sqref="D80"/>
    </sheetView>
  </sheetViews>
  <sheetFormatPr defaultRowHeight="15"/>
  <cols>
    <col min="1" max="1" width="39" style="468" bestFit="1" customWidth="1"/>
    <col min="2" max="2" width="15.140625" customWidth="1"/>
    <col min="3" max="3" width="21.28515625" customWidth="1"/>
    <col min="4" max="4" width="9.5703125" bestFit="1" customWidth="1"/>
    <col min="5" max="6" width="13.5703125" bestFit="1" customWidth="1"/>
    <col min="8" max="8" width="26.7109375" bestFit="1" customWidth="1"/>
    <col min="9" max="10" width="21.5703125" customWidth="1"/>
    <col min="12" max="12" width="25.85546875" bestFit="1" customWidth="1"/>
    <col min="13" max="13" width="28.42578125" bestFit="1" customWidth="1"/>
    <col min="14" max="14" width="15.7109375" bestFit="1" customWidth="1"/>
    <col min="15" max="34" width="12.28515625" bestFit="1" customWidth="1"/>
  </cols>
  <sheetData>
    <row r="2" spans="2:34">
      <c r="B2" t="s">
        <v>309</v>
      </c>
      <c r="C2" t="s">
        <v>316</v>
      </c>
    </row>
    <row r="3" spans="2:34" ht="27">
      <c r="B3" s="459" t="s">
        <v>304</v>
      </c>
      <c r="C3" s="459" t="s">
        <v>305</v>
      </c>
      <c r="D3" s="459" t="s">
        <v>306</v>
      </c>
      <c r="E3" s="459" t="s">
        <v>307</v>
      </c>
      <c r="F3" s="459" t="s">
        <v>308</v>
      </c>
      <c r="I3">
        <f>'DATA (Nominal)'!F1</f>
        <v>2020</v>
      </c>
      <c r="J3" s="263">
        <f>'DATA (Nominal)'!G1</f>
        <v>2021</v>
      </c>
      <c r="K3" s="263">
        <f>'DATA (Nominal)'!H1</f>
        <v>2022</v>
      </c>
      <c r="L3" s="263">
        <f>'DATA (Nominal)'!I1</f>
        <v>2023</v>
      </c>
      <c r="M3" s="263">
        <f>'DATA (Nominal)'!J1</f>
        <v>2024</v>
      </c>
      <c r="N3" s="263">
        <f>'DATA (Nominal)'!K1</f>
        <v>2025</v>
      </c>
      <c r="O3" s="263">
        <f>'DATA (Nominal)'!L1</f>
        <v>2026</v>
      </c>
      <c r="P3" s="263">
        <f>'DATA (Nominal)'!M1</f>
        <v>2027</v>
      </c>
      <c r="Q3" s="263">
        <f>'DATA (Nominal)'!N1</f>
        <v>2028</v>
      </c>
      <c r="R3" s="263">
        <f>'DATA (Nominal)'!O1</f>
        <v>2029</v>
      </c>
      <c r="S3" s="263">
        <f>'DATA (Nominal)'!P1</f>
        <v>2030</v>
      </c>
      <c r="T3" s="263">
        <f>'DATA (Nominal)'!Q1</f>
        <v>2031</v>
      </c>
      <c r="U3" s="263">
        <f>'DATA (Nominal)'!R1</f>
        <v>2032</v>
      </c>
      <c r="V3" s="263">
        <f>'DATA (Nominal)'!S1</f>
        <v>2033</v>
      </c>
      <c r="W3" s="263">
        <f>'DATA (Nominal)'!T1</f>
        <v>2034</v>
      </c>
      <c r="X3" s="263">
        <f>'DATA (Nominal)'!U1</f>
        <v>2035</v>
      </c>
      <c r="Y3" s="263">
        <f>'DATA (Nominal)'!V1</f>
        <v>2036</v>
      </c>
      <c r="Z3" s="263">
        <f>'DATA (Nominal)'!W1</f>
        <v>2037</v>
      </c>
      <c r="AA3" s="263">
        <f>'DATA (Nominal)'!X1</f>
        <v>2038</v>
      </c>
      <c r="AB3" s="263">
        <f>'DATA (Nominal)'!Y1</f>
        <v>2039</v>
      </c>
      <c r="AC3" s="263">
        <f>'DATA (Nominal)'!Z1</f>
        <v>2040</v>
      </c>
      <c r="AD3" s="263">
        <f>'DATA (Nominal)'!AA1</f>
        <v>2041</v>
      </c>
      <c r="AE3" s="263">
        <f>'DATA (Nominal)'!AB1</f>
        <v>2042</v>
      </c>
      <c r="AF3" s="263">
        <f>'DATA (Nominal)'!AC1</f>
        <v>2043</v>
      </c>
      <c r="AG3" s="263">
        <f>'DATA (Nominal)'!AD1</f>
        <v>2044</v>
      </c>
      <c r="AH3" s="263">
        <f>'DATA (Nominal)'!AE1</f>
        <v>2045</v>
      </c>
    </row>
    <row r="4" spans="2:34">
      <c r="B4" s="460">
        <v>2025</v>
      </c>
      <c r="C4" s="461">
        <f>'DATA (Nominal)'!K383</f>
        <v>1200.7717513890116</v>
      </c>
      <c r="D4" s="461">
        <f>'DATA (Nominal)'!K391</f>
        <v>1459.900489352015</v>
      </c>
      <c r="E4" s="461">
        <f>'DATA (Nominal)'!K393</f>
        <v>1648.8244328083399</v>
      </c>
      <c r="F4" s="461">
        <f>'DATA (Nominal)'!K394</f>
        <v>5535.122681389882</v>
      </c>
      <c r="H4" t="str">
        <f>'DATA (Nominal)'!E391</f>
        <v>NW Wind On System (Share)</v>
      </c>
      <c r="I4" s="263">
        <f>'DATA (Nominal)'!F391</f>
        <v>1492.0682954682413</v>
      </c>
      <c r="J4" s="263">
        <f>'DATA (Nominal)'!G391</f>
        <v>1475.8106703336246</v>
      </c>
      <c r="K4" s="263">
        <f>'DATA (Nominal)'!H391</f>
        <v>1524.5271413247365</v>
      </c>
      <c r="L4" s="263">
        <f>'DATA (Nominal)'!I391</f>
        <v>1513.6532216215824</v>
      </c>
      <c r="M4" s="263">
        <f>'DATA (Nominal)'!J391</f>
        <v>1488.6335320571527</v>
      </c>
      <c r="O4" s="263">
        <f>'DATA (Nominal)'!L391</f>
        <v>1429.1415400810026</v>
      </c>
      <c r="P4" s="263">
        <f>'DATA (Nominal)'!M391</f>
        <v>1396.2805251540301</v>
      </c>
      <c r="Q4" s="263">
        <f>'DATA (Nominal)'!N391</f>
        <v>1360.7950601802174</v>
      </c>
      <c r="R4" s="263">
        <f>'DATA (Nominal)'!O391</f>
        <v>1323.0724349733816</v>
      </c>
      <c r="T4" s="263">
        <f>'DATA (Nominal)'!Q391</f>
        <v>1298.1454992160195</v>
      </c>
      <c r="U4" s="263">
        <f>'DATA (Nominal)'!R391</f>
        <v>1313.3036426210067</v>
      </c>
      <c r="V4" s="263">
        <f>'DATA (Nominal)'!S391</f>
        <v>1328.5004419141926</v>
      </c>
      <c r="W4" s="263">
        <f>'DATA (Nominal)'!T391</f>
        <v>1343.73026141325</v>
      </c>
      <c r="Y4" s="263">
        <f>'DATA (Nominal)'!V391</f>
        <v>1374.2650758960833</v>
      </c>
      <c r="Z4" s="263">
        <f>'DATA (Nominal)'!W391</f>
        <v>1389.557429825735</v>
      </c>
      <c r="AA4" s="263">
        <f>'DATA (Nominal)'!X391</f>
        <v>1404.8575030315585</v>
      </c>
      <c r="AB4" s="263">
        <f>'DATA (Nominal)'!Y391</f>
        <v>1420.1582336624019</v>
      </c>
      <c r="AD4" s="263">
        <f>'DATA (Nominal)'!AA391</f>
        <v>1450.7318370884507</v>
      </c>
      <c r="AE4" s="263">
        <f>'DATA (Nominal)'!AB391</f>
        <v>1465.9889719144592</v>
      </c>
      <c r="AF4" s="263">
        <f>'DATA (Nominal)'!AC391</f>
        <v>1481.2152664636619</v>
      </c>
      <c r="AG4" s="263">
        <f>'DATA (Nominal)'!AD391</f>
        <v>1496.4019793106224</v>
      </c>
    </row>
    <row r="5" spans="2:34">
      <c r="B5" s="460">
        <v>2030</v>
      </c>
      <c r="C5" s="461">
        <f>'DATA (Nominal)'!P383</f>
        <v>1025.5444135950977</v>
      </c>
      <c r="D5" s="461">
        <f>'DATA (Nominal)'!P391</f>
        <v>1283.0313894483184</v>
      </c>
      <c r="E5" s="461">
        <f>'DATA (Nominal)'!P393</f>
        <v>1493.8091238411876</v>
      </c>
      <c r="F5" s="461">
        <f>'DATA (Nominal)'!P394</f>
        <v>5696.5913225035592</v>
      </c>
      <c r="H5" s="263" t="str">
        <f>'DATA (Nominal)'!E392</f>
        <v>NW Wind Off System</v>
      </c>
      <c r="I5" s="263">
        <f>'DATA (Nominal)'!F392</f>
        <v>1614.9531358226745</v>
      </c>
      <c r="J5" s="263">
        <f>'DATA (Nominal)'!G392</f>
        <v>1603.0739568803656</v>
      </c>
      <c r="K5" s="263">
        <f>'DATA (Nominal)'!H392</f>
        <v>1662.3423483990025</v>
      </c>
      <c r="L5" s="263">
        <f>'DATA (Nominal)'!I392</f>
        <v>1657.2846080551217</v>
      </c>
      <c r="M5" s="263">
        <f>'DATA (Nominal)'!J392</f>
        <v>1637.1222117259217</v>
      </c>
      <c r="N5" s="263">
        <f>'DATA (Nominal)'!K392</f>
        <v>1613.2171037997543</v>
      </c>
      <c r="O5" s="263">
        <f>'DATA (Nominal)'!L392</f>
        <v>1587.4276742075028</v>
      </c>
      <c r="P5" s="263">
        <f>'DATA (Nominal)'!M392</f>
        <v>1559.6816799180249</v>
      </c>
      <c r="Q5" s="263">
        <f>'DATA (Nominal)'!N392</f>
        <v>1529.4057631911464</v>
      </c>
      <c r="R5" s="263">
        <f>'DATA (Nominal)'!O392</f>
        <v>1497.0428201952056</v>
      </c>
      <c r="S5" s="263">
        <f>'DATA (Nominal)'!P392</f>
        <v>1462.5156753180577</v>
      </c>
      <c r="T5" s="263">
        <f>'DATA (Nominal)'!Q392</f>
        <v>1481.8982584188</v>
      </c>
      <c r="U5" s="263">
        <f>'DATA (Nominal)'!R392</f>
        <v>1501.4258175891205</v>
      </c>
      <c r="V5" s="263">
        <f>'DATA (Nominal)'!S392</f>
        <v>1521.0953506058606</v>
      </c>
      <c r="W5" s="263">
        <f>'DATA (Nominal)'!T392</f>
        <v>1540.9036529796238</v>
      </c>
      <c r="X5" s="263">
        <f>'DATA (Nominal)'!U392</f>
        <v>1560.8473105081393</v>
      </c>
      <c r="Y5" s="263">
        <f>'DATA (Nominal)'!V392</f>
        <v>1580.9226915998674</v>
      </c>
      <c r="Z5" s="263">
        <f>'DATA (Nominal)'!W392</f>
        <v>1601.1259393613459</v>
      </c>
      <c r="AA5" s="263">
        <f>'DATA (Nominal)'!X392</f>
        <v>1621.4529634415953</v>
      </c>
      <c r="AB5" s="263">
        <f>'DATA (Nominal)'!Y392</f>
        <v>1641.8994316267244</v>
      </c>
      <c r="AC5" s="263">
        <f>'DATA (Nominal)'!Z392</f>
        <v>1662.4607611776937</v>
      </c>
      <c r="AD5" s="263">
        <f>'DATA (Nominal)'!AA392</f>
        <v>1683.1321099039981</v>
      </c>
      <c r="AE5" s="263">
        <f>'DATA (Nominal)'!AB392</f>
        <v>1703.9083669658498</v>
      </c>
      <c r="AF5" s="263">
        <f>'DATA (Nominal)'!AC392</f>
        <v>1724.7841433972294</v>
      </c>
      <c r="AG5" s="263">
        <f>'DATA (Nominal)'!AD392</f>
        <v>1745.7537623419785</v>
      </c>
      <c r="AH5" s="263">
        <f>'DATA (Nominal)'!AE392</f>
        <v>1766.8112489948926</v>
      </c>
    </row>
    <row r="6" spans="2:34">
      <c r="B6" s="460">
        <v>2035</v>
      </c>
      <c r="C6" s="461">
        <f>'DATA (Nominal)'!U383</f>
        <v>1092.4837131334289</v>
      </c>
      <c r="D6" s="461">
        <f>'DATA (Nominal)'!U391</f>
        <v>1358.9871987563795</v>
      </c>
      <c r="E6" s="461">
        <f>'DATA (Nominal)'!U393</f>
        <v>1593.9933397460998</v>
      </c>
      <c r="F6" s="461">
        <f>'DATA (Nominal)'!U394</f>
        <v>6021.3956248869581</v>
      </c>
      <c r="H6" s="263" t="str">
        <f>'DATA (Nominal)'!E393</f>
        <v>Wind Montana</v>
      </c>
      <c r="I6" s="263">
        <f>'DATA (Nominal)'!F393</f>
        <v>1651.3450454682454</v>
      </c>
      <c r="J6" s="263">
        <f>'DATA (Nominal)'!G393</f>
        <v>1639.0693390836245</v>
      </c>
      <c r="K6" s="263">
        <f>'DATA (Nominal)'!H393</f>
        <v>1699.525937211801</v>
      </c>
      <c r="L6" s="263">
        <f>'DATA (Nominal)'!I393</f>
        <v>1694.2029793141846</v>
      </c>
      <c r="M6" s="263">
        <f>'DATA (Nominal)'!J393</f>
        <v>1673.4303466541448</v>
      </c>
      <c r="O6" s="263">
        <f>'DATA (Nominal)'!L393</f>
        <v>1622.2847849411855</v>
      </c>
      <c r="P6" s="263">
        <f>'DATA (Nominal)'!M393</f>
        <v>1593.7373024827568</v>
      </c>
      <c r="Q6" s="263">
        <f>'DATA (Nominal)'!N393</f>
        <v>1562.5958866101762</v>
      </c>
      <c r="R6" s="263">
        <f>'DATA (Nominal)'!O393</f>
        <v>1529.3128795847997</v>
      </c>
      <c r="T6" s="263">
        <f>'DATA (Nominal)'!Q393</f>
        <v>1513.5603437655318</v>
      </c>
      <c r="U6" s="263">
        <f>'DATA (Nominal)'!R393</f>
        <v>1533.4576137506083</v>
      </c>
      <c r="V6" s="263">
        <f>'DATA (Nominal)'!S393</f>
        <v>1553.4978004086454</v>
      </c>
      <c r="W6" s="263">
        <f>'DATA (Nominal)'!T393</f>
        <v>1573.6775617945809</v>
      </c>
      <c r="Y6" s="263">
        <f>'DATA (Nominal)'!V393</f>
        <v>1614.4413519875768</v>
      </c>
      <c r="Z6" s="263">
        <f>'DATA (Nominal)'!W393</f>
        <v>1635.017583991242</v>
      </c>
      <c r="AA6" s="263">
        <f>'DATA (Nominal)'!X393</f>
        <v>1655.7177805887063</v>
      </c>
      <c r="AB6" s="263">
        <f>'DATA (Nominal)'!Y393</f>
        <v>1676.5374373258073</v>
      </c>
      <c r="AD6" s="263">
        <f>'DATA (Nominal)'!AA393</f>
        <v>1718.5158132476188</v>
      </c>
      <c r="AE6" s="263">
        <f>'DATA (Nominal)'!AB393</f>
        <v>1739.6641955491293</v>
      </c>
      <c r="AF6" s="263">
        <f>'DATA (Nominal)'!AC393</f>
        <v>1760.9113450182945</v>
      </c>
      <c r="AG6" s="263">
        <f>'DATA (Nominal)'!AD393</f>
        <v>1782.251371593457</v>
      </c>
    </row>
    <row r="7" spans="2:34">
      <c r="B7" s="460">
        <v>2040</v>
      </c>
      <c r="C7" s="461">
        <f>'DATA (Nominal)'!Z383</f>
        <v>1161.2615627525861</v>
      </c>
      <c r="D7" s="461">
        <f>'DATA (Nominal)'!Z391</f>
        <v>1435.4522454095354</v>
      </c>
      <c r="E7" s="461">
        <f>'DATA (Nominal)'!Z393</f>
        <v>1697.4717915535361</v>
      </c>
      <c r="F7" s="461">
        <f>'DATA (Nominal)'!Z394</f>
        <v>6446.509352056225</v>
      </c>
      <c r="H7" s="263" t="str">
        <f>'DATA (Nominal)'!E394</f>
        <v>Off Shore Wind (Share)</v>
      </c>
      <c r="I7" s="263">
        <f>'DATA (Nominal)'!F394</f>
        <v>5808.756666228629</v>
      </c>
      <c r="J7" s="263">
        <f>'DATA (Nominal)'!G394</f>
        <v>5455.3590877340712</v>
      </c>
      <c r="K7" s="263">
        <f>'DATA (Nominal)'!H394</f>
        <v>5581.7384128827616</v>
      </c>
      <c r="L7" s="263">
        <f>'DATA (Nominal)'!I394</f>
        <v>5564.1316564419176</v>
      </c>
      <c r="M7" s="263">
        <f>'DATA (Nominal)'!J394</f>
        <v>5540.4749073936391</v>
      </c>
      <c r="O7" s="263">
        <f>'DATA (Nominal)'!L394</f>
        <v>5547.159264313751</v>
      </c>
      <c r="P7" s="263">
        <f>'DATA (Nominal)'!M394</f>
        <v>5572.2311760533012</v>
      </c>
      <c r="Q7" s="263">
        <f>'DATA (Nominal)'!N394</f>
        <v>5605.7420324845816</v>
      </c>
      <c r="R7" s="263">
        <f>'DATA (Nominal)'!O394</f>
        <v>5647.6321354669371</v>
      </c>
      <c r="T7" s="263">
        <f>'DATA (Nominal)'!Q394</f>
        <v>5751.6709846472577</v>
      </c>
      <c r="U7" s="263">
        <f>'DATA (Nominal)'!R394</f>
        <v>5812.1666631634107</v>
      </c>
      <c r="V7" s="263">
        <f>'DATA (Nominal)'!S394</f>
        <v>5877.5446582677532</v>
      </c>
      <c r="W7" s="263">
        <f>'DATA (Nominal)'!T394</f>
        <v>5947.3942655821684</v>
      </c>
      <c r="Y7" s="263">
        <f>'DATA (Nominal)'!V394</f>
        <v>6099.2974484419346</v>
      </c>
      <c r="Z7" s="263">
        <f>'DATA (Nominal)'!W394</f>
        <v>6180.9012075484607</v>
      </c>
      <c r="AA7" s="263">
        <f>'DATA (Nominal)'!X394</f>
        <v>6266.0496610710597</v>
      </c>
      <c r="AB7" s="263">
        <f>'DATA (Nominal)'!Y394</f>
        <v>6354.6183756156561</v>
      </c>
      <c r="AD7" s="263">
        <f>'DATA (Nominal)'!AA394</f>
        <v>6541.6461638612573</v>
      </c>
      <c r="AE7" s="263">
        <f>'DATA (Nominal)'!AB394</f>
        <v>6639.970199310118</v>
      </c>
      <c r="AF7" s="263">
        <f>'DATA (Nominal)'!AC394</f>
        <v>6741.4377223263209</v>
      </c>
      <c r="AG7" s="263">
        <f>'DATA (Nominal)'!AD394</f>
        <v>6846.0175489465009</v>
      </c>
    </row>
    <row r="8" spans="2:34">
      <c r="B8" s="460">
        <v>2045</v>
      </c>
      <c r="C8" s="461">
        <f>'DATA (Nominal)'!AE383</f>
        <v>1231.416169962408</v>
      </c>
      <c r="D8" s="461">
        <f>'DATA (Nominal)'!AE391</f>
        <v>1511.5399993338813</v>
      </c>
      <c r="E8" s="461">
        <f>'DATA (Nominal)'!AE393</f>
        <v>1803.6780782469382</v>
      </c>
      <c r="F8" s="461">
        <f>'DATA (Nominal)'!AE394</f>
        <v>6953.689192719401</v>
      </c>
    </row>
    <row r="10" spans="2:34">
      <c r="B10" t="s">
        <v>310</v>
      </c>
      <c r="C10" t="s">
        <v>317</v>
      </c>
    </row>
    <row r="11" spans="2:34" ht="27">
      <c r="B11" s="459" t="s">
        <v>304</v>
      </c>
      <c r="C11" s="459" t="s">
        <v>305</v>
      </c>
      <c r="D11" s="459" t="s">
        <v>306</v>
      </c>
      <c r="E11" s="459" t="s">
        <v>307</v>
      </c>
      <c r="F11" s="459" t="s">
        <v>308</v>
      </c>
    </row>
    <row r="12" spans="2:34">
      <c r="B12" s="460">
        <v>2025</v>
      </c>
      <c r="C12" s="462">
        <f>'DATA (Nominal)'!K189</f>
        <v>21.546584270197631</v>
      </c>
      <c r="D12" s="462">
        <f>'DATA (Nominal)'!K197</f>
        <v>48.601937088262503</v>
      </c>
      <c r="E12" s="462">
        <f>'DATA (Nominal)'!K199</f>
        <v>48.601937088262503</v>
      </c>
      <c r="F12" s="462">
        <f>'DATA (Nominal)'!K200</f>
        <v>97.009984554000823</v>
      </c>
      <c r="H12" t="str">
        <f>'DATA (Nominal)'!E197</f>
        <v>NW Wind On System (Share)</v>
      </c>
      <c r="I12" s="263">
        <f>'DATA (Nominal)'!F197</f>
        <v>43</v>
      </c>
      <c r="J12" s="263">
        <f>'DATA (Nominal)'!G197</f>
        <v>43.659874999999992</v>
      </c>
      <c r="K12" s="263">
        <f>'DATA (Nominal)'!H197</f>
        <v>46.354531960724032</v>
      </c>
      <c r="L12" s="263">
        <f>'DATA (Nominal)'!I197</f>
        <v>47.365805901899584</v>
      </c>
      <c r="M12" s="263">
        <f>'DATA (Nominal)'!J197</f>
        <v>48.010096815910266</v>
      </c>
      <c r="O12" s="263">
        <f>'DATA (Nominal)'!L197</f>
        <v>49.196266523379087</v>
      </c>
      <c r="P12" s="263">
        <f>'DATA (Nominal)'!M197</f>
        <v>49.79290110708763</v>
      </c>
      <c r="Q12" s="263">
        <f>'DATA (Nominal)'!N197</f>
        <v>50.375217091353058</v>
      </c>
      <c r="R12" s="263">
        <f>'DATA (Nominal)'!O197</f>
        <v>50.959055214790354</v>
      </c>
      <c r="T12" s="263">
        <f>'DATA (Nominal)'!Q197</f>
        <v>52.283086726339413</v>
      </c>
      <c r="U12" s="263">
        <f>'DATA (Nominal)'!R197</f>
        <v>53.029536438089778</v>
      </c>
      <c r="V12" s="263">
        <f>'DATA (Nominal)'!S197</f>
        <v>53.783524923181602</v>
      </c>
      <c r="W12" s="263">
        <f>'DATA (Nominal)'!T197</f>
        <v>54.545022605981437</v>
      </c>
      <c r="Y12" s="263">
        <f>'DATA (Nominal)'!V197</f>
        <v>56.090402308210869</v>
      </c>
      <c r="Z12" s="263">
        <f>'DATA (Nominal)'!W197</f>
        <v>56.874199605386849</v>
      </c>
      <c r="AA12" s="263">
        <f>'DATA (Nominal)'!X197</f>
        <v>57.665336228921412</v>
      </c>
      <c r="AB12" s="263">
        <f>'DATA (Nominal)'!Y197</f>
        <v>58.463755751282498</v>
      </c>
      <c r="AD12" s="263">
        <f>'DATA (Nominal)'!AA197</f>
        <v>60.082187368898055</v>
      </c>
      <c r="AE12" s="263">
        <f>'DATA (Nominal)'!AB197</f>
        <v>60.902055473376102</v>
      </c>
      <c r="AF12" s="263">
        <f>'DATA (Nominal)'!AC197</f>
        <v>61.72891799576464</v>
      </c>
      <c r="AG12" s="263">
        <f>'DATA (Nominal)'!AD197</f>
        <v>62.562685874289137</v>
      </c>
    </row>
    <row r="13" spans="2:34">
      <c r="B13" s="460">
        <v>2030</v>
      </c>
      <c r="C13" s="462">
        <f>'DATA (Nominal)'!P189</f>
        <v>20.143356786287214</v>
      </c>
      <c r="D13" s="462">
        <f>'DATA (Nominal)'!P197</f>
        <v>51.544200610586657</v>
      </c>
      <c r="E13" s="462">
        <f>'DATA (Nominal)'!P199</f>
        <v>51.544200610586657</v>
      </c>
      <c r="F13" s="462">
        <f>'DATA (Nominal)'!P200</f>
        <v>99.403043164050374</v>
      </c>
      <c r="H13" s="263" t="str">
        <f>'DATA (Nominal)'!E198</f>
        <v>NW Wind Off System</v>
      </c>
      <c r="I13" s="263">
        <f>'DATA (Nominal)'!F198</f>
        <v>41.951219512195124</v>
      </c>
      <c r="J13" s="263">
        <f>'DATA (Nominal)'!G198</f>
        <v>42.594999999999999</v>
      </c>
      <c r="K13" s="263">
        <f>'DATA (Nominal)'!H198</f>
        <v>45.223933620218574</v>
      </c>
      <c r="L13" s="263">
        <f>'DATA (Nominal)'!I198</f>
        <v>46.210542343316668</v>
      </c>
      <c r="M13" s="263">
        <f>'DATA (Nominal)'!J198</f>
        <v>46.839118844790498</v>
      </c>
      <c r="N13" s="263">
        <f>'DATA (Nominal)'!K198</f>
        <v>47.416523988548796</v>
      </c>
      <c r="O13" s="263">
        <f>'DATA (Nominal)'!L198</f>
        <v>47.996357583784487</v>
      </c>
      <c r="P13" s="263">
        <f>'DATA (Nominal)'!M198</f>
        <v>48.578440104475739</v>
      </c>
      <c r="Q13" s="263">
        <f>'DATA (Nominal)'!N198</f>
        <v>49.146553259856645</v>
      </c>
      <c r="R13" s="263">
        <f>'DATA (Nominal)'!O198</f>
        <v>49.716151429063757</v>
      </c>
      <c r="S13" s="263">
        <f>'DATA (Nominal)'!P198</f>
        <v>50.287024985938203</v>
      </c>
      <c r="T13" s="263">
        <f>'DATA (Nominal)'!Q198</f>
        <v>51.007889489111633</v>
      </c>
      <c r="U13" s="263">
        <f>'DATA (Nominal)'!R198</f>
        <v>51.736133110331494</v>
      </c>
      <c r="V13" s="263">
        <f>'DATA (Nominal)'!S198</f>
        <v>52.471731632372304</v>
      </c>
      <c r="W13" s="263">
        <f>'DATA (Nominal)'!T198</f>
        <v>53.214656200957506</v>
      </c>
      <c r="X13" s="263">
        <f>'DATA (Nominal)'!U198</f>
        <v>53.964873132450364</v>
      </c>
      <c r="Y13" s="263">
        <f>'DATA (Nominal)'!V198</f>
        <v>54.722343715327682</v>
      </c>
      <c r="Z13" s="263">
        <f>'DATA (Nominal)'!W198</f>
        <v>55.487024005255471</v>
      </c>
      <c r="AA13" s="263">
        <f>'DATA (Nominal)'!X198</f>
        <v>56.258864613581885</v>
      </c>
      <c r="AB13" s="263">
        <f>'DATA (Nominal)'!Y198</f>
        <v>57.037810489056099</v>
      </c>
      <c r="AC13" s="263">
        <f>'DATA (Nominal)'!Z198</f>
        <v>57.823800692578217</v>
      </c>
      <c r="AD13" s="263">
        <f>'DATA (Nominal)'!AA198</f>
        <v>58.616768164778605</v>
      </c>
      <c r="AE13" s="263">
        <f>'DATA (Nominal)'!AB198</f>
        <v>59.416639486220589</v>
      </c>
      <c r="AF13" s="263">
        <f>'DATA (Nominal)'!AC198</f>
        <v>60.223334630014286</v>
      </c>
      <c r="AG13" s="263">
        <f>'DATA (Nominal)'!AD198</f>
        <v>61.03676670662356</v>
      </c>
      <c r="AH13" s="263">
        <f>'DATA (Nominal)'!AE198</f>
        <v>61.856841700642718</v>
      </c>
    </row>
    <row r="14" spans="2:34">
      <c r="B14" s="460">
        <v>2035</v>
      </c>
      <c r="C14" s="462">
        <f>'DATA (Nominal)'!U189</f>
        <v>21.719639303801571</v>
      </c>
      <c r="D14" s="462">
        <f>'DATA (Nominal)'!U197</f>
        <v>55.313994960761626</v>
      </c>
      <c r="E14" s="462">
        <f>'DATA (Nominal)'!U199</f>
        <v>55.313994960761626</v>
      </c>
      <c r="F14" s="462">
        <f>'DATA (Nominal)'!U200</f>
        <v>104.23143057437267</v>
      </c>
      <c r="H14" s="263" t="str">
        <f>'DATA (Nominal)'!E199</f>
        <v>Wind Montana</v>
      </c>
      <c r="I14" s="263">
        <f>'DATA (Nominal)'!F199</f>
        <v>43</v>
      </c>
      <c r="J14" s="263">
        <f>'DATA (Nominal)'!G199</f>
        <v>43.659874999999992</v>
      </c>
      <c r="K14" s="263">
        <f>'DATA (Nominal)'!H199</f>
        <v>46.354531960724032</v>
      </c>
      <c r="L14" s="263">
        <f>'DATA (Nominal)'!I199</f>
        <v>47.365805901899584</v>
      </c>
      <c r="M14" s="263">
        <f>'DATA (Nominal)'!J199</f>
        <v>48.010096815910266</v>
      </c>
      <c r="O14" s="263">
        <f>'DATA (Nominal)'!L199</f>
        <v>49.196266523379087</v>
      </c>
      <c r="P14" s="263">
        <f>'DATA (Nominal)'!M199</f>
        <v>49.79290110708763</v>
      </c>
      <c r="Q14" s="263">
        <f>'DATA (Nominal)'!N199</f>
        <v>50.375217091353058</v>
      </c>
      <c r="R14" s="263">
        <f>'DATA (Nominal)'!O199</f>
        <v>50.959055214790354</v>
      </c>
      <c r="T14" s="263">
        <f>'DATA (Nominal)'!Q199</f>
        <v>52.283086726339413</v>
      </c>
      <c r="U14" s="263">
        <f>'DATA (Nominal)'!R199</f>
        <v>53.029536438089778</v>
      </c>
      <c r="V14" s="263">
        <f>'DATA (Nominal)'!S199</f>
        <v>53.783524923181602</v>
      </c>
      <c r="W14" s="263">
        <f>'DATA (Nominal)'!T199</f>
        <v>54.545022605981437</v>
      </c>
      <c r="Y14" s="263">
        <f>'DATA (Nominal)'!V199</f>
        <v>56.090402308210869</v>
      </c>
      <c r="Z14" s="263">
        <f>'DATA (Nominal)'!W199</f>
        <v>56.874199605386849</v>
      </c>
      <c r="AA14" s="263">
        <f>'DATA (Nominal)'!X199</f>
        <v>57.665336228921412</v>
      </c>
      <c r="AB14" s="263">
        <f>'DATA (Nominal)'!Y199</f>
        <v>58.463755751282498</v>
      </c>
      <c r="AD14" s="263">
        <f>'DATA (Nominal)'!AA199</f>
        <v>60.082187368898055</v>
      </c>
      <c r="AE14" s="263">
        <f>'DATA (Nominal)'!AB199</f>
        <v>60.902055473376102</v>
      </c>
      <c r="AF14" s="263">
        <f>'DATA (Nominal)'!AC199</f>
        <v>61.72891799576464</v>
      </c>
      <c r="AG14" s="263">
        <f>'DATA (Nominal)'!AD199</f>
        <v>62.562685874289137</v>
      </c>
    </row>
    <row r="15" spans="2:34">
      <c r="B15" s="460">
        <v>2040</v>
      </c>
      <c r="C15" s="462">
        <f>'DATA (Nominal)'!Z189</f>
        <v>23.402136022896652</v>
      </c>
      <c r="D15" s="462">
        <f>'DATA (Nominal)'!Z197</f>
        <v>59.26939570989267</v>
      </c>
      <c r="E15" s="462">
        <f>'DATA (Nominal)'!Z199</f>
        <v>59.26939570989267</v>
      </c>
      <c r="F15" s="462">
        <f>'DATA (Nominal)'!Z200</f>
        <v>110.67160883593542</v>
      </c>
      <c r="H15" s="263" t="str">
        <f>'DATA (Nominal)'!E200</f>
        <v>Off Shore Wind (Share)</v>
      </c>
      <c r="I15" s="263">
        <f>'DATA (Nominal)'!F200</f>
        <v>95.264231605586971</v>
      </c>
      <c r="J15" s="263">
        <f>'DATA (Nominal)'!G200</f>
        <v>93.593935971149534</v>
      </c>
      <c r="K15" s="263">
        <f>'DATA (Nominal)'!H200</f>
        <v>96.955479869504913</v>
      </c>
      <c r="L15" s="263">
        <f>'DATA (Nominal)'!I200</f>
        <v>97.190996545795727</v>
      </c>
      <c r="M15" s="263">
        <f>'DATA (Nominal)'!J200</f>
        <v>97.019620471705963</v>
      </c>
      <c r="O15" s="263">
        <f>'DATA (Nominal)'!L200</f>
        <v>97.213939547602351</v>
      </c>
      <c r="P15" s="263">
        <f>'DATA (Nominal)'!M200</f>
        <v>97.590235602248995</v>
      </c>
      <c r="Q15" s="263">
        <f>'DATA (Nominal)'!N200</f>
        <v>98.07789351403926</v>
      </c>
      <c r="R15" s="263">
        <f>'DATA (Nominal)'!O200</f>
        <v>98.687433421325764</v>
      </c>
      <c r="T15" s="263">
        <f>'DATA (Nominal)'!Q200</f>
        <v>100.21266773050286</v>
      </c>
      <c r="U15" s="263">
        <f>'DATA (Nominal)'!R200</f>
        <v>101.10695643318475</v>
      </c>
      <c r="V15" s="263">
        <f>'DATA (Nominal)'!S200</f>
        <v>102.07855416915086</v>
      </c>
      <c r="W15" s="263">
        <f>'DATA (Nominal)'!T200</f>
        <v>103.12161041819294</v>
      </c>
      <c r="Y15" s="263">
        <f>'DATA (Nominal)'!V200</f>
        <v>105.40422296900789</v>
      </c>
      <c r="Z15" s="263">
        <f>'DATA (Nominal)'!W200</f>
        <v>106.63691182501032</v>
      </c>
      <c r="AA15" s="263">
        <f>'DATA (Nominal)'!X200</f>
        <v>107.92699663073388</v>
      </c>
      <c r="AB15" s="263">
        <f>'DATA (Nominal)'!Y200</f>
        <v>109.27244482969304</v>
      </c>
      <c r="AD15" s="263">
        <f>'DATA (Nominal)'!AA200</f>
        <v>112.12316108771147</v>
      </c>
      <c r="AE15" s="263">
        <f>'DATA (Nominal)'!AB200</f>
        <v>113.62604266575238</v>
      </c>
      <c r="AF15" s="263">
        <f>'DATA (Nominal)'!AC200</f>
        <v>115.1794222427515</v>
      </c>
      <c r="AG15" s="263">
        <f>'DATA (Nominal)'!AD200</f>
        <v>116.78266299353854</v>
      </c>
    </row>
    <row r="16" spans="2:34">
      <c r="B16" s="460">
        <v>2045</v>
      </c>
      <c r="C16" s="462">
        <f>'DATA (Nominal)'!AE189</f>
        <v>25.194729191995712</v>
      </c>
      <c r="D16" s="462">
        <f>'DATA (Nominal)'!AE197</f>
        <v>63.403262743158763</v>
      </c>
      <c r="E16" s="462">
        <f>'DATA (Nominal)'!AE199</f>
        <v>63.403262743158763</v>
      </c>
      <c r="F16" s="462">
        <f>'DATA (Nominal)'!AE200</f>
        <v>118.43529570525621</v>
      </c>
      <c r="H16" t="str">
        <f>'DATA (Nominal)'!E189</f>
        <v>Solar Photovoltaic w/Single Axis Tracking (100 MW AC)</v>
      </c>
      <c r="I16" s="263">
        <f>'DATA (Nominal)'!F189</f>
        <v>22.623690239999998</v>
      </c>
      <c r="J16" s="263">
        <f>'DATA (Nominal)'!G189</f>
        <v>21.070719999999998</v>
      </c>
      <c r="K16" s="263">
        <f>'DATA (Nominal)'!H189</f>
        <v>21.921146012937939</v>
      </c>
      <c r="L16" s="263">
        <f>'DATA (Nominal)'!I189</f>
        <v>21.939408115839321</v>
      </c>
      <c r="M16" s="263">
        <f>'DATA (Nominal)'!J189</f>
        <v>21.76464969053222</v>
      </c>
      <c r="O16" s="263">
        <f>'DATA (Nominal)'!L189</f>
        <v>21.310005546657795</v>
      </c>
      <c r="P16" s="263">
        <f>'DATA (Nominal)'!M189</f>
        <v>21.054156572862766</v>
      </c>
      <c r="Q16" s="263">
        <f>'DATA (Nominal)'!N189</f>
        <v>20.771482868507427</v>
      </c>
      <c r="R16" s="263">
        <f>'DATA (Nominal)'!O189</f>
        <v>20.468151716835234</v>
      </c>
      <c r="T16" s="263">
        <f>'DATA (Nominal)'!Q189</f>
        <v>20.450315088256907</v>
      </c>
      <c r="U16" s="263">
        <f>'DATA (Nominal)'!R189</f>
        <v>20.761388343853145</v>
      </c>
      <c r="V16" s="263">
        <f>'DATA (Nominal)'!S189</f>
        <v>21.076610922157798</v>
      </c>
      <c r="W16" s="263">
        <f>'DATA (Nominal)'!T189</f>
        <v>21.396016755496007</v>
      </c>
      <c r="Y16" s="263">
        <f>'DATA (Nominal)'!V189</f>
        <v>22.047511517638615</v>
      </c>
      <c r="Z16" s="263">
        <f>'DATA (Nominal)'!W189</f>
        <v>22.379665799837571</v>
      </c>
      <c r="AA16" s="263">
        <f>'DATA (Nominal)'!X189</f>
        <v>22.716133965702333</v>
      </c>
      <c r="AB16" s="263">
        <f>'DATA (Nominal)'!Y189</f>
        <v>23.056947201744148</v>
      </c>
      <c r="AD16" s="263">
        <f>'DATA (Nominal)'!AA189</f>
        <v>23.751730228165169</v>
      </c>
      <c r="AE16" s="263">
        <f>'DATA (Nominal)'!AB189</f>
        <v>24.105758854661904</v>
      </c>
      <c r="AF16" s="263">
        <f>'DATA (Nominal)'!AC189</f>
        <v>24.464250129977554</v>
      </c>
      <c r="AG16" s="263">
        <f>'DATA (Nominal)'!AD189</f>
        <v>24.827231422838285</v>
      </c>
    </row>
    <row r="18" spans="2:37">
      <c r="B18" t="s">
        <v>311</v>
      </c>
      <c r="C18" t="s">
        <v>318</v>
      </c>
    </row>
    <row r="19" spans="2:37" ht="27">
      <c r="B19" s="459" t="s">
        <v>304</v>
      </c>
      <c r="C19" s="459" t="s">
        <v>305</v>
      </c>
      <c r="D19" s="459" t="s">
        <v>306</v>
      </c>
      <c r="E19" s="459" t="s">
        <v>307</v>
      </c>
      <c r="F19" s="459" t="s">
        <v>308</v>
      </c>
    </row>
    <row r="20" spans="2:37">
      <c r="B20" s="460">
        <v>2025</v>
      </c>
      <c r="C20" s="462">
        <f>INDEX($I$24:$AH$24,1,MATCH($B20,$I$3:$AH$3,0))</f>
        <v>33.506432662021012</v>
      </c>
      <c r="D20" s="462">
        <f>'Levelized Cost Summary'!G10</f>
        <v>42.351248474471163</v>
      </c>
      <c r="E20" s="462">
        <f>'Levelized Cost Summary'!G12</f>
        <v>32.68946872628905</v>
      </c>
      <c r="F20" s="462">
        <f>'Levelized Cost Summary'!G13</f>
        <v>124.41987348393539</v>
      </c>
      <c r="H20" t="str">
        <f>'Levelized Cost Summary'!B10</f>
        <v>NW Wind On System (Share)</v>
      </c>
      <c r="L20">
        <f>'Levelized Cost Summary'!E10</f>
        <v>44.808985938322863</v>
      </c>
      <c r="M20" s="263">
        <f>'Levelized Cost Summary'!F10</f>
        <v>43.645660965487522</v>
      </c>
      <c r="O20" s="263">
        <f>'Levelized Cost Summary'!H10</f>
        <v>40.981288694943196</v>
      </c>
      <c r="P20" s="263">
        <f>'Levelized Cost Summary'!I10</f>
        <v>38.455376989167291</v>
      </c>
      <c r="Q20" s="263">
        <f>'Levelized Cost Summary'!J10</f>
        <v>35.881561361714084</v>
      </c>
      <c r="R20" s="263">
        <f>'Levelized Cost Summary'!K10</f>
        <v>33.274869493464678</v>
      </c>
      <c r="T20" s="263">
        <f>'Levelized Cost Summary'!M10</f>
        <v>30.677357471281692</v>
      </c>
      <c r="U20" s="263">
        <f>'Levelized Cost Summary'!N10</f>
        <v>30.182825825372174</v>
      </c>
      <c r="V20" s="263">
        <f>'Levelized Cost Summary'!O10</f>
        <v>42.062865146116536</v>
      </c>
      <c r="W20" s="263">
        <f>'Levelized Cost Summary'!P10</f>
        <v>48.076007690632494</v>
      </c>
      <c r="Y20" s="263">
        <f>'Levelized Cost Summary'!R10</f>
        <v>60.767767296478013</v>
      </c>
      <c r="Z20" s="263">
        <f>'Levelized Cost Summary'!S10</f>
        <v>60.674957711836676</v>
      </c>
      <c r="AA20" s="263">
        <f>'Levelized Cost Summary'!T10</f>
        <v>60.518614586659467</v>
      </c>
      <c r="AB20" s="263">
        <f>'Levelized Cost Summary'!U10</f>
        <v>60.293681278057889</v>
      </c>
      <c r="AD20" s="263">
        <f>'Levelized Cost Summary'!W10</f>
        <v>59.615971251087281</v>
      </c>
      <c r="AE20" s="263">
        <f>'Levelized Cost Summary'!X10</f>
        <v>59.151154028740095</v>
      </c>
      <c r="AF20" s="263">
        <f>'Levelized Cost Summary'!Y10</f>
        <v>58.593607024492655</v>
      </c>
      <c r="AG20" s="263">
        <f>'Levelized Cost Summary'!Z10</f>
        <v>57.936170314809516</v>
      </c>
      <c r="AI20" s="263"/>
      <c r="AJ20" s="263"/>
      <c r="AK20" s="263"/>
    </row>
    <row r="21" spans="2:37">
      <c r="B21" s="460">
        <v>2030</v>
      </c>
      <c r="C21" s="462">
        <f t="shared" ref="C21:C24" si="0">INDEX($I$24:$AH$24,1,MATCH($B21,$I$3:$AH$3,0))</f>
        <v>20.168639070102142</v>
      </c>
      <c r="D21" s="462">
        <f>'Levelized Cost Summary'!L10</f>
        <v>30.635088449499367</v>
      </c>
      <c r="E21" s="462">
        <f>'Levelized Cost Summary'!L12</f>
        <v>23.07148946216569</v>
      </c>
      <c r="F21" s="462">
        <f>'Levelized Cost Summary'!L13</f>
        <v>120.87004436130501</v>
      </c>
      <c r="H21" s="263" t="str">
        <f>'Levelized Cost Summary'!B11</f>
        <v>NW Wind Off System</v>
      </c>
      <c r="L21" s="263">
        <f>'Levelized Cost Summary'!E11</f>
        <v>49.230375147012445</v>
      </c>
      <c r="M21" s="263">
        <f>'Levelized Cost Summary'!F11</f>
        <v>48.225880650999365</v>
      </c>
      <c r="N21" s="263">
        <f>'Levelized Cost Summary'!G11</f>
        <v>47.089239270015185</v>
      </c>
      <c r="O21" s="263">
        <f>'Levelized Cost Summary'!H11</f>
        <v>45.881738491964541</v>
      </c>
      <c r="P21" s="263">
        <f>'Levelized Cost Summary'!I11</f>
        <v>43.441298773353658</v>
      </c>
      <c r="Q21" s="263">
        <f>'Levelized Cost Summary'!J11</f>
        <v>40.951955543172865</v>
      </c>
      <c r="R21" s="263">
        <f>'Levelized Cost Summary'!K11</f>
        <v>38.430387547463411</v>
      </c>
      <c r="S21" s="263">
        <f>'Levelized Cost Summary'!L11</f>
        <v>35.876409922466429</v>
      </c>
      <c r="T21" s="263">
        <f>'Levelized Cost Summary'!M11</f>
        <v>36.042561295038887</v>
      </c>
      <c r="U21" s="263">
        <f>'Levelized Cost Summary'!N11</f>
        <v>35.687612922049226</v>
      </c>
      <c r="V21" s="263">
        <f>'Levelized Cost Summary'!O11</f>
        <v>47.711267413014752</v>
      </c>
      <c r="W21" s="263">
        <f>'Levelized Cost Summary'!P11</f>
        <v>53.872267070152624</v>
      </c>
      <c r="X21" s="263">
        <f>'Levelized Cost Summary'!Q11</f>
        <v>66.750211196279935</v>
      </c>
      <c r="Y21" s="263">
        <f>'Levelized Cost Summary'!R11</f>
        <v>66.872946210221798</v>
      </c>
      <c r="Z21" s="263">
        <f>'Levelized Cost Summary'!S11</f>
        <v>66.941574716249463</v>
      </c>
      <c r="AA21" s="263">
        <f>'Levelized Cost Summary'!T11</f>
        <v>66.951558866697539</v>
      </c>
      <c r="AB21" s="263">
        <f>'Levelized Cost Summary'!U11</f>
        <v>66.898035334541234</v>
      </c>
      <c r="AC21" s="263">
        <f>'Levelized Cost Summary'!V11</f>
        <v>66.775787054470001</v>
      </c>
      <c r="AD21" s="263">
        <f>'Levelized Cost Summary'!W11</f>
        <v>66.579217837931395</v>
      </c>
      <c r="AE21" s="263">
        <f>'Levelized Cost Summary'!X11</f>
        <v>66.302324656073196</v>
      </c>
      <c r="AF21" s="263">
        <f>'Levelized Cost Summary'!Y11</f>
        <v>65.938668074136132</v>
      </c>
      <c r="AG21" s="263">
        <f>'Levelized Cost Summary'!Z11</f>
        <v>65.481340526720217</v>
      </c>
      <c r="AH21" s="263">
        <f>'Levelized Cost Summary'!AA11</f>
        <v>64.922932270376165</v>
      </c>
      <c r="AI21" s="263"/>
      <c r="AJ21" s="263"/>
      <c r="AK21" s="263"/>
    </row>
    <row r="22" spans="2:37">
      <c r="B22" s="460">
        <v>2035</v>
      </c>
      <c r="C22" s="462">
        <f t="shared" si="0"/>
        <v>43.811254717185356</v>
      </c>
      <c r="D22" s="462">
        <f>'Levelized Cost Summary'!Q10</f>
        <v>60.801768801473642</v>
      </c>
      <c r="E22" s="462">
        <f>'Levelized Cost Summary'!Q12</f>
        <v>53.588018022369702</v>
      </c>
      <c r="F22" s="462">
        <f>'Levelized Cost Summary'!Q13</f>
        <v>151.68727428070795</v>
      </c>
      <c r="H22" s="263" t="str">
        <f>'Levelized Cost Summary'!B12</f>
        <v>Wind Montana</v>
      </c>
      <c r="L22" s="263">
        <f>'Levelized Cost Summary'!E12</f>
        <v>34.637505919817016</v>
      </c>
      <c r="M22" s="263">
        <f>'Levelized Cost Summary'!F12</f>
        <v>33.717392367760439</v>
      </c>
      <c r="O22" s="263">
        <f>'Levelized Cost Summary'!H12</f>
        <v>31.602195383154513</v>
      </c>
      <c r="P22" s="263">
        <f>'Levelized Cost Summary'!I12</f>
        <v>29.522212136246207</v>
      </c>
      <c r="Q22" s="263">
        <f>'Levelized Cost Summary'!J12</f>
        <v>27.400543985769417</v>
      </c>
      <c r="R22" s="263">
        <f>'Levelized Cost Summary'!K12</f>
        <v>25.250379378016202</v>
      </c>
      <c r="T22" s="263">
        <f>'Levelized Cost Summary'!M12</f>
        <v>23.077574526091063</v>
      </c>
      <c r="U22" s="263">
        <f>'Levelized Cost Summary'!N12</f>
        <v>22.661366086814606</v>
      </c>
      <c r="V22" s="263">
        <f>'Levelized Cost Summary'!O12</f>
        <v>34.631285600130802</v>
      </c>
      <c r="W22" s="263">
        <f>'Levelized Cost Summary'!P12</f>
        <v>40.746729662261288</v>
      </c>
      <c r="Y22" s="263">
        <f>'Levelized Cost Summary'!R12</f>
        <v>53.68375114823381</v>
      </c>
      <c r="Z22" s="263">
        <f>'Levelized Cost Summary'!S12</f>
        <v>53.73587184629023</v>
      </c>
      <c r="AA22" s="263">
        <f>'Levelized Cost Summary'!T12</f>
        <v>53.740718273509309</v>
      </c>
      <c r="AB22" s="263">
        <f>'Levelized Cost Summary'!U12</f>
        <v>53.694374064344203</v>
      </c>
      <c r="AD22" s="263">
        <f>'Levelized Cost Summary'!W12</f>
        <v>53.43100397387385</v>
      </c>
      <c r="AE22" s="263">
        <f>'Levelized Cost Summary'!X12</f>
        <v>53.204637826874105</v>
      </c>
      <c r="AF22" s="263">
        <f>'Levelized Cost Summary'!Y12</f>
        <v>52.908354404608467</v>
      </c>
      <c r="AG22" s="263">
        <f>'Levelized Cost Summary'!Z12</f>
        <v>52.536591590832792</v>
      </c>
      <c r="AI22" s="263"/>
      <c r="AJ22" s="263"/>
      <c r="AK22" s="263"/>
    </row>
    <row r="23" spans="2:37">
      <c r="B23" s="460">
        <v>2040</v>
      </c>
      <c r="C23" s="462">
        <f t="shared" si="0"/>
        <v>44.298009472597414</v>
      </c>
      <c r="D23" s="462">
        <f>'Levelized Cost Summary'!V10</f>
        <v>59.994737152354055</v>
      </c>
      <c r="E23" s="462">
        <f>'Levelized Cost Summary'!V12</f>
        <v>53.592638085528904</v>
      </c>
      <c r="F23" s="462">
        <f>'Levelized Cost Summary'!V13</f>
        <v>155.02646310858842</v>
      </c>
      <c r="H23" s="263" t="str">
        <f>'Levelized Cost Summary'!B13</f>
        <v>Off Shore Wind (Share)</v>
      </c>
      <c r="L23" s="263">
        <f>'Levelized Cost Summary'!E13</f>
        <v>128.27477932132945</v>
      </c>
      <c r="M23" s="263">
        <f>'Levelized Cost Summary'!F13</f>
        <v>126.09674008801613</v>
      </c>
      <c r="O23" s="263">
        <f>'Levelized Cost Summary'!H13</f>
        <v>123.1952398739468</v>
      </c>
      <c r="P23" s="263">
        <f>'Levelized Cost Summary'!I13</f>
        <v>122.30512885654335</v>
      </c>
      <c r="Q23" s="263">
        <f>'Levelized Cost Summary'!J13</f>
        <v>121.63315267159105</v>
      </c>
      <c r="R23" s="263">
        <f>'Levelized Cost Summary'!K13</f>
        <v>121.16721467529588</v>
      </c>
      <c r="T23" s="263">
        <f>'Levelized Cost Summary'!M13</f>
        <v>121.30539132832925</v>
      </c>
      <c r="U23" s="263">
        <f>'Levelized Cost Summary'!N13</f>
        <v>121.1866745413914</v>
      </c>
      <c r="V23" s="263">
        <f>'Levelized Cost Summary'!O13</f>
        <v>132.8439422368547</v>
      </c>
      <c r="W23" s="263">
        <f>'Levelized Cost Summary'!P13</f>
        <v>139.05900122556065</v>
      </c>
      <c r="Y23" s="263">
        <f>'Levelized Cost Summary'!R13</f>
        <v>152.35367823521952</v>
      </c>
      <c r="Z23" s="263">
        <f>'Levelized Cost Summary'!S13</f>
        <v>153.031047100899</v>
      </c>
      <c r="AA23" s="263">
        <f>'Levelized Cost Summary'!T13</f>
        <v>153.70893482299925</v>
      </c>
      <c r="AB23" s="263">
        <f>'Levelized Cost Summary'!U13</f>
        <v>154.37733084701475</v>
      </c>
      <c r="AD23" s="263">
        <f>'Levelized Cost Summary'!W13</f>
        <v>155.64663658150786</v>
      </c>
      <c r="AE23" s="263">
        <f>'Levelized Cost Summary'!X13</f>
        <v>156.22809796881992</v>
      </c>
      <c r="AF23" s="263">
        <f>'Levelized Cost Summary'!Y13</f>
        <v>156.76091904989019</v>
      </c>
      <c r="AG23" s="263">
        <f>'Levelized Cost Summary'!Z13</f>
        <v>157.23489326552723</v>
      </c>
      <c r="AI23" s="263"/>
      <c r="AJ23" s="263"/>
      <c r="AK23" s="263"/>
    </row>
    <row r="24" spans="2:37">
      <c r="B24" s="460">
        <v>2045</v>
      </c>
      <c r="C24" s="462">
        <f t="shared" si="0"/>
        <v>43.88607352681958</v>
      </c>
      <c r="D24" s="462">
        <f>'Levelized Cost Summary'!AA10</f>
        <v>57.17116758764643</v>
      </c>
      <c r="E24" s="462">
        <f>'Levelized Cost Summary'!AA12</f>
        <v>52.083382983860091</v>
      </c>
      <c r="F24" s="462">
        <f>'Levelized Cost Summary'!AA13</f>
        <v>157.63944154534607</v>
      </c>
      <c r="H24" t="str">
        <f>'Levelized Cost Summary'!B22</f>
        <v>Solar Photovoltaic w/Single Axis Tracking (100 MW AC)</v>
      </c>
      <c r="I24" s="263"/>
      <c r="J24" s="263"/>
      <c r="L24" s="263">
        <f>MIN('Levelized Cost Summary'!E22,'Levelized Cost Summary'!E35)</f>
        <v>38.000020464403825</v>
      </c>
      <c r="M24" s="263">
        <f>MIN('Levelized Cost Summary'!F22,'Levelized Cost Summary'!F35)</f>
        <v>35.801491361790653</v>
      </c>
      <c r="N24" s="263">
        <f>MIN('Levelized Cost Summary'!G22,'Levelized Cost Summary'!G35)</f>
        <v>33.506432662021012</v>
      </c>
      <c r="O24" s="263">
        <f>MIN('Levelized Cost Summary'!H22,'Levelized Cost Summary'!H35)</f>
        <v>31.17297496082573</v>
      </c>
      <c r="P24" s="263">
        <f>MIN('Levelized Cost Summary'!I22,'Levelized Cost Summary'!I35)</f>
        <v>28.459568647282691</v>
      </c>
      <c r="Q24" s="263">
        <f>MIN('Levelized Cost Summary'!J22,'Levelized Cost Summary'!J35)</f>
        <v>25.713164907602433</v>
      </c>
      <c r="R24" s="263">
        <f>MIN('Levelized Cost Summary'!K22,'Levelized Cost Summary'!K35)</f>
        <v>22.949237477832121</v>
      </c>
      <c r="S24" s="263">
        <f>MIN('Levelized Cost Summary'!L22,'Levelized Cost Summary'!L35)</f>
        <v>20.168639070102142</v>
      </c>
      <c r="T24" s="263">
        <f>MIN('Levelized Cost Summary'!M22,'Levelized Cost Summary'!M35)</f>
        <v>20.101119680662631</v>
      </c>
      <c r="U24" s="263">
        <f>MIN('Levelized Cost Summary'!N22,'Levelized Cost Summary'!N35)</f>
        <v>19.778507206876334</v>
      </c>
      <c r="V24" s="263">
        <f>MIN('Levelized Cost Summary'!O22,'Levelized Cost Summary'!O35)</f>
        <v>31.130630626254757</v>
      </c>
      <c r="W24" s="263">
        <f>MIN('Levelized Cost Summary'!P22,'Levelized Cost Summary'!P35)</f>
        <v>36.981792684705496</v>
      </c>
      <c r="X24" s="263">
        <f>MIN('Levelized Cost Summary'!Q22,'Levelized Cost Summary'!Q35)</f>
        <v>43.811254717185356</v>
      </c>
      <c r="Y24" s="263">
        <f>MIN('Levelized Cost Summary'!R22,'Levelized Cost Summary'!R35)</f>
        <v>43.964912962241478</v>
      </c>
      <c r="Z24" s="263">
        <f>MIN('Levelized Cost Summary'!S22,'Levelized Cost Summary'!S35)</f>
        <v>44.092670255081828</v>
      </c>
      <c r="AA24" s="263">
        <f>MIN('Levelized Cost Summary'!T22,'Levelized Cost Summary'!T35)</f>
        <v>44.192350743437395</v>
      </c>
      <c r="AB24" s="263">
        <f>MIN('Levelized Cost Summary'!U22,'Levelized Cost Summary'!U35)</f>
        <v>44.261627934971727</v>
      </c>
      <c r="AC24" s="263">
        <f>MIN('Levelized Cost Summary'!V22,'Levelized Cost Summary'!V35)</f>
        <v>44.298009472597414</v>
      </c>
      <c r="AD24" s="263">
        <f>MIN('Levelized Cost Summary'!W22,'Levelized Cost Summary'!W35)</f>
        <v>44.29882530658351</v>
      </c>
      <c r="AE24" s="263">
        <f>MIN('Levelized Cost Summary'!X22,'Levelized Cost Summary'!X35)</f>
        <v>44.26121494993135</v>
      </c>
      <c r="AF24" s="263">
        <f>MIN('Levelized Cost Summary'!Y22,'Levelized Cost Summary'!Y35)</f>
        <v>44.182113892692918</v>
      </c>
      <c r="AG24" s="263">
        <f>MIN('Levelized Cost Summary'!Z22,'Levelized Cost Summary'!Z35)</f>
        <v>44.058239145139915</v>
      </c>
      <c r="AH24" s="263">
        <f>MIN('Levelized Cost Summary'!AA22,'Levelized Cost Summary'!AA35)</f>
        <v>43.88607352681958</v>
      </c>
    </row>
    <row r="26" spans="2:37">
      <c r="B26" t="s">
        <v>333</v>
      </c>
    </row>
    <row r="27" spans="2:37">
      <c r="B27" s="508" t="s">
        <v>304</v>
      </c>
      <c r="C27" s="459" t="s">
        <v>329</v>
      </c>
      <c r="D27" s="459" t="s">
        <v>329</v>
      </c>
      <c r="E27" s="459" t="s">
        <v>332</v>
      </c>
      <c r="H27" s="443"/>
      <c r="I27" s="443"/>
      <c r="J27" s="443"/>
      <c r="K27" s="443"/>
    </row>
    <row r="28" spans="2:37" ht="27">
      <c r="B28" s="508"/>
      <c r="C28" s="459" t="s">
        <v>330</v>
      </c>
      <c r="D28" s="459" t="s">
        <v>331</v>
      </c>
      <c r="E28" s="459" t="s">
        <v>331</v>
      </c>
      <c r="H28" s="443"/>
      <c r="I28" s="443"/>
      <c r="J28" s="443"/>
      <c r="K28" s="443"/>
    </row>
    <row r="29" spans="2:37">
      <c r="B29" s="460">
        <v>2025</v>
      </c>
      <c r="C29" s="466">
        <f>'Levelized Cost Summary'!AE24/12</f>
        <v>11.759880548441799</v>
      </c>
      <c r="D29" s="466">
        <f>'Levelized Cost Summary'!AE25/12</f>
        <v>7.1768364471151243</v>
      </c>
      <c r="E29" s="466">
        <f>'Levelized Cost Summary'!AE26/12</f>
        <v>4.0742282433306558</v>
      </c>
      <c r="H29" s="263" t="str">
        <f>'Levelized Cost Summary'!B24</f>
        <v>100 MW/400 MWh Lithium-ion w/Solar</v>
      </c>
      <c r="I29" s="443"/>
      <c r="J29" s="443"/>
      <c r="K29" s="443"/>
      <c r="L29">
        <f>'Levelized Cost Summary'!AC24</f>
        <v>148.95975823760458</v>
      </c>
      <c r="M29" s="263">
        <f>'Levelized Cost Summary'!AD24</f>
        <v>144.10083209593051</v>
      </c>
      <c r="O29" s="263">
        <f>'Levelized Cost Summary'!AF24</f>
        <v>139.34053705125177</v>
      </c>
      <c r="P29" s="263">
        <f>'Levelized Cost Summary'!AG24</f>
        <v>137.92196222797782</v>
      </c>
      <c r="Q29" s="263">
        <f>'Levelized Cost Summary'!AH24</f>
        <v>135.93486575581989</v>
      </c>
      <c r="R29" s="263">
        <f>'Levelized Cost Summary'!AI24</f>
        <v>134.80109383468556</v>
      </c>
      <c r="T29" s="263">
        <f>'Levelized Cost Summary'!AK24</f>
        <v>134.75731649825298</v>
      </c>
      <c r="U29" s="263">
        <f>'Levelized Cost Summary'!AL24</f>
        <v>135.34803543909428</v>
      </c>
      <c r="V29" s="263">
        <f>'Levelized Cost Summary'!AM24</f>
        <v>141.44841098427693</v>
      </c>
      <c r="W29" s="263">
        <f>'Levelized Cost Summary'!AN24</f>
        <v>147.58574295265373</v>
      </c>
      <c r="Y29" s="263">
        <f>'Levelized Cost Summary'!AP24</f>
        <v>163.00880923040719</v>
      </c>
      <c r="Z29" s="263">
        <f>'Levelized Cost Summary'!AQ24</f>
        <v>163.48761211255959</v>
      </c>
      <c r="AA29" s="263">
        <f>'Levelized Cost Summary'!AR24</f>
        <v>163.88416564453547</v>
      </c>
      <c r="AB29" s="263">
        <f>'Levelized Cost Summary'!AS24</f>
        <v>164.19279487003479</v>
      </c>
      <c r="AD29" s="263">
        <f>'Levelized Cost Summary'!AU24</f>
        <v>164.52182444012746</v>
      </c>
      <c r="AE29" s="263">
        <f>'Levelized Cost Summary'!AV24</f>
        <v>164.5290490028944</v>
      </c>
      <c r="AF29" s="263">
        <f>'Levelized Cost Summary'!AW24</f>
        <v>164.42194734902409</v>
      </c>
      <c r="AG29" s="263">
        <f>'Levelized Cost Summary'!AX24</f>
        <v>164.1928668783525</v>
      </c>
    </row>
    <row r="30" spans="2:37">
      <c r="B30" s="460">
        <v>2030</v>
      </c>
      <c r="C30" s="466">
        <f>'Levelized Cost Summary'!AJ24/12</f>
        <v>11.133232548497354</v>
      </c>
      <c r="D30" s="466">
        <f>'Levelized Cost Summary'!AJ25/12</f>
        <v>7.0810368420516392</v>
      </c>
      <c r="E30" s="466">
        <f>'Levelized Cost Summary'!AJ26/12</f>
        <v>4.0334017014770494</v>
      </c>
      <c r="H30" s="263" t="str">
        <f>'Levelized Cost Summary'!B25</f>
        <v>100 MW/200 MWh Lithium-ion w/Solar</v>
      </c>
      <c r="I30" s="443"/>
      <c r="J30" s="443"/>
      <c r="K30" s="443"/>
      <c r="L30" s="263">
        <f>'Levelized Cost Summary'!AC25</f>
        <v>89.249106867646759</v>
      </c>
      <c r="M30" s="263">
        <f>'Levelized Cost Summary'!AD25</f>
        <v>87.638874026447553</v>
      </c>
      <c r="O30" s="263">
        <f>'Levelized Cost Summary'!AF25</f>
        <v>85.861135751546229</v>
      </c>
      <c r="P30" s="263">
        <f>'Levelized Cost Summary'!AG25</f>
        <v>85.675665844130734</v>
      </c>
      <c r="Q30" s="263">
        <f>'Levelized Cost Summary'!AH25</f>
        <v>84.974818753683707</v>
      </c>
      <c r="R30" s="263">
        <f>'Levelized Cost Summary'!AI25</f>
        <v>85.167255879465074</v>
      </c>
      <c r="T30" s="263">
        <f>'Levelized Cost Summary'!AK25</f>
        <v>85.705119867998761</v>
      </c>
      <c r="U30" s="263">
        <f>'Levelized Cost Summary'!AL25</f>
        <v>86.108709384602108</v>
      </c>
      <c r="V30" s="263">
        <f>'Levelized Cost Summary'!AM25</f>
        <v>90.085329986658124</v>
      </c>
      <c r="W30" s="263">
        <f>'Levelized Cost Summary'!AN25</f>
        <v>94.089927874299065</v>
      </c>
      <c r="Y30" s="263">
        <f>'Levelized Cost Summary'!AP25</f>
        <v>104.15216965959439</v>
      </c>
      <c r="Z30" s="263">
        <f>'Levelized Cost Summary'!AQ25</f>
        <v>104.50507631741731</v>
      </c>
      <c r="AA30" s="263">
        <f>'Levelized Cost Summary'!AR25</f>
        <v>104.81017926906381</v>
      </c>
      <c r="AB30" s="263">
        <f>'Levelized Cost Summary'!AS25</f>
        <v>105.06424248725016</v>
      </c>
      <c r="AD30" s="263">
        <f>'Levelized Cost Summary'!AU25</f>
        <v>105.41507582248516</v>
      </c>
      <c r="AE30" s="263">
        <f>'Levelized Cost Summary'!AV25</f>
        <v>105.49981927728427</v>
      </c>
      <c r="AF30" s="263">
        <f>'Levelized Cost Summary'!AW25</f>
        <v>105.51876266101726</v>
      </c>
      <c r="AG30" s="263">
        <f>'Levelized Cost Summary'!AX25</f>
        <v>105.46758605214404</v>
      </c>
    </row>
    <row r="31" spans="2:37">
      <c r="B31" s="460">
        <v>2035</v>
      </c>
      <c r="C31" s="466">
        <f>'Levelized Cost Summary'!AO24/12</f>
        <v>13.537758798852538</v>
      </c>
      <c r="D31" s="466">
        <f>'Levelized Cost Summary'!AO25/12</f>
        <v>8.6462099638634395</v>
      </c>
      <c r="E31" s="466">
        <f>'Levelized Cost Summary'!AO26/12</f>
        <v>4.7740051535006991</v>
      </c>
      <c r="H31" s="263" t="str">
        <f>'Levelized Cost Summary'!B26</f>
        <v>50 MW/200 MWh Lithium-ion w/Solar</v>
      </c>
      <c r="I31" s="443"/>
      <c r="J31" s="443"/>
      <c r="K31" s="443"/>
      <c r="L31" s="263">
        <f>'Levelized Cost Summary'!AC26</f>
        <v>50.502751842441683</v>
      </c>
      <c r="M31" s="263">
        <f>'Levelized Cost Summary'!AD26</f>
        <v>49.663241170691066</v>
      </c>
      <c r="O31" s="263">
        <f>'Levelized Cost Summary'!AF26</f>
        <v>48.766811535372909</v>
      </c>
      <c r="P31" s="263">
        <f>'Levelized Cost Summary'!AG26</f>
        <v>48.685313075938154</v>
      </c>
      <c r="Q31" s="263">
        <f>'Levelized Cost Summary'!AH26</f>
        <v>48.350008123356631</v>
      </c>
      <c r="R31" s="263">
        <f>'Levelized Cost Summary'!AI26</f>
        <v>48.472508020579056</v>
      </c>
      <c r="T31" s="263">
        <f>'Levelized Cost Summary'!AK26</f>
        <v>48.79794787665459</v>
      </c>
      <c r="U31" s="263">
        <f>'Levelized Cost Summary'!AL26</f>
        <v>48.885568158297374</v>
      </c>
      <c r="V31" s="263">
        <f>'Levelized Cost Summary'!AM26</f>
        <v>50.747267330154969</v>
      </c>
      <c r="W31" s="263">
        <f>'Levelized Cost Summary'!AN26</f>
        <v>52.60973251949639</v>
      </c>
      <c r="Y31" s="263">
        <f>'Levelized Cost Summary'!AP26</f>
        <v>57.317864080151281</v>
      </c>
      <c r="Z31" s="263">
        <f>'Levelized Cost Summary'!AQ26</f>
        <v>57.309133731525492</v>
      </c>
      <c r="AA31" s="263">
        <f>'Levelized Cost Summary'!AR26</f>
        <v>57.25951756810997</v>
      </c>
      <c r="AB31" s="263">
        <f>'Levelized Cost Summary'!AS26</f>
        <v>57.166094035815718</v>
      </c>
      <c r="AD31" s="263">
        <f>'Levelized Cost Summary'!AU26</f>
        <v>56.840555759797866</v>
      </c>
      <c r="AE31" s="263">
        <f>'Levelized Cost Summary'!AV26</f>
        <v>56.599855433581602</v>
      </c>
      <c r="AF31" s="263">
        <f>'Levelized Cost Summary'!AW26</f>
        <v>56.302546043802984</v>
      </c>
      <c r="AG31" s="263">
        <f>'Levelized Cost Summary'!AX26</f>
        <v>55.944872746161707</v>
      </c>
    </row>
    <row r="32" spans="2:37">
      <c r="B32" s="460">
        <v>2040</v>
      </c>
      <c r="C32" s="466">
        <f>'Levelized Cost Summary'!AT24/12</f>
        <v>13.700623179899296</v>
      </c>
      <c r="D32" s="466">
        <f>'Levelized Cost Summary'!AT25/12</f>
        <v>8.7723836123933019</v>
      </c>
      <c r="E32" s="466">
        <f>'Levelized Cost Summary'!AT26/12</f>
        <v>4.7523479836134435</v>
      </c>
      <c r="H32" s="443"/>
      <c r="I32" s="443"/>
      <c r="J32" s="443"/>
      <c r="K32" s="443"/>
    </row>
    <row r="33" spans="1:18">
      <c r="B33" s="460">
        <v>2045</v>
      </c>
      <c r="C33" s="466">
        <f>'Levelized Cost Summary'!AY24/12</f>
        <v>13.652806446193205</v>
      </c>
      <c r="D33" s="466">
        <f>'Levelized Cost Summary'!AY25/12</f>
        <v>8.7784767023186614</v>
      </c>
      <c r="E33" s="466">
        <f>'Levelized Cost Summary'!AY26/12</f>
        <v>4.6269032829039674</v>
      </c>
      <c r="H33" s="443"/>
      <c r="I33" s="443"/>
      <c r="J33" s="443"/>
      <c r="K33" s="443"/>
    </row>
    <row r="34" spans="1:18" s="263" customFormat="1">
      <c r="A34" s="468"/>
      <c r="H34" s="443"/>
      <c r="I34" s="443"/>
      <c r="J34" s="443"/>
      <c r="K34" s="443"/>
    </row>
    <row r="35" spans="1:18">
      <c r="B35" t="s">
        <v>315</v>
      </c>
      <c r="C35" t="s">
        <v>319</v>
      </c>
      <c r="H35" s="443"/>
      <c r="I35" s="443"/>
      <c r="J35" s="443"/>
      <c r="K35" s="443"/>
    </row>
    <row r="36" spans="1:18" ht="51">
      <c r="B36" s="459" t="s">
        <v>304</v>
      </c>
      <c r="C36" s="459" t="s">
        <v>312</v>
      </c>
      <c r="D36" s="459" t="s">
        <v>313</v>
      </c>
      <c r="E36" s="459" t="s">
        <v>314</v>
      </c>
      <c r="I36" t="str">
        <f>'Storage Summary'!R5</f>
        <v>4hr Lithium-Ion</v>
      </c>
      <c r="J36" s="263" t="str">
        <f>'Storage Summary'!S5</f>
        <v>8hr Lithium-Ion</v>
      </c>
      <c r="K36" s="263" t="str">
        <f>'Storage Summary'!T5</f>
        <v>16hr Lithium-Ion</v>
      </c>
      <c r="L36" t="str">
        <f>'Storage Summary'!U5</f>
        <v>4 hr Vanadium Flow Battery</v>
      </c>
      <c r="M36" s="263" t="str">
        <f>'Storage Summary'!V5</f>
        <v>4 hr Zinc Bromide Flow Battery</v>
      </c>
      <c r="N36" s="263" t="str">
        <f>'Storage Summary'!W5</f>
        <v>100hr Iron Oxide</v>
      </c>
      <c r="O36" s="263" t="str">
        <f>'Storage Summary'!X5</f>
        <v>Liquid Air</v>
      </c>
      <c r="P36" s="443" t="str">
        <f>'Storage Summary'!Y5</f>
        <v>Pumped Hydro (8.5 hr/ 400 MW share)</v>
      </c>
      <c r="Q36" s="443" t="str">
        <f>'Storage Summary'!Z5</f>
        <v>Pumped Hydro (16 hr/ 100 MW)</v>
      </c>
      <c r="R36" s="443" t="str">
        <f>'Storage Summary'!AA5</f>
        <v>Pumped Hyrdo (24 hr/ 100 MW)</v>
      </c>
    </row>
    <row r="37" spans="1:18">
      <c r="B37" s="460">
        <v>2025</v>
      </c>
      <c r="C37" s="463">
        <f>'Storage Summary'!Y8</f>
        <v>45.664003944625527</v>
      </c>
      <c r="D37" s="463">
        <f>'Storage Summary'!Z8</f>
        <v>39.890691146161267</v>
      </c>
      <c r="E37" s="463">
        <f>'Storage Summary'!AA8</f>
        <v>36.030419141294075</v>
      </c>
      <c r="H37">
        <f>'Storage Summary'!B6</f>
        <v>2023</v>
      </c>
      <c r="I37" s="263">
        <f>'Storage Summary'!R6</f>
        <v>12.389180930335007</v>
      </c>
      <c r="J37" s="263">
        <f>'Storage Summary'!S6</f>
        <v>22.24548558680026</v>
      </c>
      <c r="K37" s="263">
        <f>'Storage Summary'!T6</f>
        <v>41.95809489973076</v>
      </c>
      <c r="L37" s="263">
        <f>'Storage Summary'!U6</f>
        <v>16.156115127731898</v>
      </c>
      <c r="M37" s="263">
        <f>'Storage Summary'!V6</f>
        <v>17.463003841172988</v>
      </c>
      <c r="N37" s="263">
        <f>'Storage Summary'!W6</f>
        <v>20.684040913623949</v>
      </c>
      <c r="O37" s="263">
        <f>'Storage Summary'!X6</f>
        <v>14.396488884542748</v>
      </c>
      <c r="P37" s="443">
        <f>'Storage Summary'!Y6</f>
        <v>43.64315406483734</v>
      </c>
      <c r="Q37" s="443">
        <f>'Storage Summary'!Z6</f>
        <v>38.125747389027097</v>
      </c>
      <c r="R37" s="443">
        <f>'Storage Summary'!AA6</f>
        <v>34.436584637311448</v>
      </c>
    </row>
    <row r="38" spans="1:18">
      <c r="B38" s="460">
        <v>2030</v>
      </c>
      <c r="C38" s="463">
        <f>'Storage Summary'!Y13</f>
        <v>50.944793958900441</v>
      </c>
      <c r="D38" s="463">
        <f>'Storage Summary'!Z13</f>
        <v>44.503652781456339</v>
      </c>
      <c r="E38" s="463">
        <f>'Storage Summary'!AA13</f>
        <v>40.196843530916716</v>
      </c>
      <c r="H38" s="263">
        <f>'Storage Summary'!B7</f>
        <v>2024</v>
      </c>
      <c r="I38" s="263">
        <f>'Storage Summary'!R7</f>
        <v>11.888591214156181</v>
      </c>
      <c r="J38" s="263">
        <f>'Storage Summary'!S7</f>
        <v>21.089567733049446</v>
      </c>
      <c r="K38" s="263">
        <f>'Storage Summary'!T7</f>
        <v>39.491520770835983</v>
      </c>
      <c r="L38" s="263">
        <f>'Storage Summary'!U7</f>
        <v>15.945876577194957</v>
      </c>
      <c r="M38" s="263">
        <f>'Storage Summary'!V7</f>
        <v>17.253069982190294</v>
      </c>
      <c r="N38" s="263">
        <f>'Storage Summary'!W7</f>
        <v>20.807457163122496</v>
      </c>
      <c r="O38" s="263">
        <f>'Storage Summary'!X7</f>
        <v>14.731597289529804</v>
      </c>
      <c r="P38" s="443">
        <f>'Storage Summary'!Y7</f>
        <v>44.666996735962236</v>
      </c>
      <c r="Q38" s="443">
        <f>'Storage Summary'!Z7</f>
        <v>39.01980456270082</v>
      </c>
      <c r="R38" s="443">
        <f>'Storage Summary'!AA7</f>
        <v>35.243861943006799</v>
      </c>
    </row>
    <row r="39" spans="1:18">
      <c r="B39" s="460">
        <v>2035</v>
      </c>
      <c r="C39" s="463">
        <f>'Storage Summary'!Y18</f>
        <v>56.800778631970282</v>
      </c>
      <c r="D39" s="463">
        <f>'Storage Summary'!Z18</f>
        <v>49.619243371420843</v>
      </c>
      <c r="E39" s="463">
        <f>'Storage Summary'!AA18</f>
        <v>44.817376490825012</v>
      </c>
      <c r="H39" s="263">
        <f>'Storage Summary'!B8</f>
        <v>2025</v>
      </c>
    </row>
    <row r="40" spans="1:18">
      <c r="B40" s="460">
        <v>2040</v>
      </c>
      <c r="C40" s="463">
        <f>'Storage Summary'!Y23</f>
        <v>63.32989501932078</v>
      </c>
      <c r="D40" s="463">
        <f>'Storage Summary'!Z23</f>
        <v>55.322859110975678</v>
      </c>
      <c r="E40" s="463">
        <f>'Storage Summary'!AA23</f>
        <v>49.969028885949086</v>
      </c>
      <c r="H40" s="263">
        <f>'Storage Summary'!B9</f>
        <v>2026</v>
      </c>
      <c r="I40" s="263">
        <f>'Storage Summary'!R9</f>
        <v>11.377309077930278</v>
      </c>
      <c r="J40" s="263">
        <f>'Storage Summary'!S9</f>
        <v>19.958747916000409</v>
      </c>
      <c r="K40" s="263">
        <f>'Storage Summary'!T9</f>
        <v>37.121625592140695</v>
      </c>
      <c r="L40" s="263">
        <f>'Storage Summary'!U9</f>
        <v>15.89475143120881</v>
      </c>
      <c r="M40" s="263">
        <f>'Storage Summary'!V9</f>
        <v>17.221795025243285</v>
      </c>
      <c r="N40" s="263">
        <f>'Storage Summary'!W9</f>
        <v>21.01758707045725</v>
      </c>
      <c r="O40" s="263">
        <f>'Storage Summary'!X9</f>
        <v>15.395445181576839</v>
      </c>
      <c r="P40" s="443">
        <f>'Storage Summary'!Y9</f>
        <v>46.683217947768441</v>
      </c>
      <c r="Q40" s="443">
        <f>'Storage Summary'!Z9</f>
        <v>40.780967830138493</v>
      </c>
      <c r="R40" s="443">
        <f>'Storage Summary'!AA9</f>
        <v>36.834483083829262</v>
      </c>
    </row>
    <row r="41" spans="1:18">
      <c r="B41" s="460">
        <v>2045</v>
      </c>
      <c r="C41" s="463">
        <f>'Storage Summary'!Y28</f>
        <v>70.609518033979654</v>
      </c>
      <c r="D41" s="463">
        <f>'Storage Summary'!Z28</f>
        <v>61.682092112990368</v>
      </c>
      <c r="E41" s="463">
        <f>'Storage Summary'!AA28</f>
        <v>55.71285165065342</v>
      </c>
      <c r="H41" s="263">
        <f>'Storage Summary'!B10</f>
        <v>2027</v>
      </c>
      <c r="I41" s="263">
        <f>'Storage Summary'!R10</f>
        <v>11.217949379068736</v>
      </c>
      <c r="J41" s="263">
        <f>'Storage Summary'!S10</f>
        <v>19.541137326030253</v>
      </c>
      <c r="K41" s="263">
        <f>'Storage Summary'!T10</f>
        <v>36.187513219953289</v>
      </c>
      <c r="L41" s="263">
        <f>'Storage Summary'!U10</f>
        <v>15.914982507852272</v>
      </c>
      <c r="M41" s="263">
        <f>'Storage Summary'!V10</f>
        <v>17.254615608272179</v>
      </c>
      <c r="N41" s="263">
        <f>'Storage Summary'!W10</f>
        <v>21.125017601327936</v>
      </c>
      <c r="O41" s="263">
        <f>'Storage Summary'!X10</f>
        <v>15.738409123364839</v>
      </c>
      <c r="P41" s="443">
        <f>'Storage Summary'!Y10</f>
        <v>47.725130293177642</v>
      </c>
      <c r="Q41" s="443">
        <f>'Storage Summary'!Z10</f>
        <v>41.691063256253962</v>
      </c>
      <c r="R41" s="443">
        <f>'Storage Summary'!AA10</f>
        <v>37.656440350610488</v>
      </c>
    </row>
    <row r="42" spans="1:18">
      <c r="H42" s="263">
        <f>'Storage Summary'!B11</f>
        <v>2028</v>
      </c>
      <c r="I42" s="263">
        <f>'Storage Summary'!R11</f>
        <v>11.004340319822861</v>
      </c>
      <c r="J42" s="263">
        <f>'Storage Summary'!S11</f>
        <v>19.05944111474162</v>
      </c>
      <c r="K42" s="263">
        <f>'Storage Summary'!T11</f>
        <v>35.169642704579147</v>
      </c>
      <c r="L42" s="263">
        <f>'Storage Summary'!U11</f>
        <v>15.946670135079815</v>
      </c>
      <c r="M42" s="263">
        <f>'Storage Summary'!V11</f>
        <v>17.299712545635412</v>
      </c>
      <c r="N42" s="263">
        <f>'Storage Summary'!W11</f>
        <v>21.228283905409352</v>
      </c>
      <c r="O42" s="263">
        <f>'Storage Summary'!X11</f>
        <v>16.08465412407887</v>
      </c>
      <c r="P42" s="443">
        <f>'Storage Summary'!Y11</f>
        <v>48.775083159627577</v>
      </c>
      <c r="Q42" s="443">
        <f>'Storage Summary'!Z11</f>
        <v>42.608266647891561</v>
      </c>
      <c r="R42" s="443">
        <f>'Storage Summary'!AA11</f>
        <v>38.484882038323924</v>
      </c>
    </row>
    <row r="43" spans="1:18">
      <c r="B43" t="s">
        <v>323</v>
      </c>
      <c r="C43" t="s">
        <v>324</v>
      </c>
      <c r="H43" s="263">
        <f>'Storage Summary'!B12</f>
        <v>2029</v>
      </c>
      <c r="I43" s="263">
        <f>'Storage Summary'!R12</f>
        <v>10.875932161229825</v>
      </c>
      <c r="J43" s="263">
        <f>'Storage Summary'!S12</f>
        <v>18.655654305511835</v>
      </c>
      <c r="K43" s="263">
        <f>'Storage Summary'!T12</f>
        <v>34.21509859407584</v>
      </c>
      <c r="L43" s="263">
        <f>'Storage Summary'!U12</f>
        <v>16.001661876065278</v>
      </c>
      <c r="M43" s="263">
        <f>'Storage Summary'!V12</f>
        <v>17.369548926646608</v>
      </c>
      <c r="N43" s="263">
        <f>'Storage Summary'!W12</f>
        <v>21.333258153010856</v>
      </c>
      <c r="O43" s="263">
        <f>'Storage Summary'!X12</f>
        <v>16.438516514808601</v>
      </c>
      <c r="P43" s="443">
        <f>'Storage Summary'!Y12</f>
        <v>49.848134989139346</v>
      </c>
      <c r="Q43" s="443">
        <f>'Storage Summary'!Z12</f>
        <v>43.545648514145164</v>
      </c>
      <c r="R43" s="443">
        <f>'Storage Summary'!AA12</f>
        <v>39.331549443167056</v>
      </c>
    </row>
    <row r="44" spans="1:18" ht="40.5">
      <c r="B44" s="459" t="s">
        <v>304</v>
      </c>
      <c r="C44" s="459" t="s">
        <v>320</v>
      </c>
      <c r="D44" s="459" t="s">
        <v>321</v>
      </c>
      <c r="E44" s="459" t="s">
        <v>322</v>
      </c>
      <c r="H44" s="263">
        <f>'Storage Summary'!B13</f>
        <v>2030</v>
      </c>
    </row>
    <row r="45" spans="1:18">
      <c r="B45" s="460">
        <v>2025</v>
      </c>
      <c r="C45" s="462">
        <f>'Storage Summary'!R8</f>
        <v>11.573271263584097</v>
      </c>
      <c r="D45" s="462">
        <f>'Storage Summary'!S8</f>
        <v>20.469237367448848</v>
      </c>
      <c r="E45" s="462">
        <f>'Storage Summary'!T8</f>
        <v>38.261169575178336</v>
      </c>
      <c r="H45" s="263">
        <f>'Storage Summary'!B14</f>
        <v>2031</v>
      </c>
      <c r="I45" s="263">
        <f>'Storage Summary'!R14</f>
        <v>10.841858830227329</v>
      </c>
      <c r="J45" s="263">
        <f>'Storage Summary'!S14</f>
        <v>18.478067451845398</v>
      </c>
      <c r="K45" s="263">
        <f>'Storage Summary'!T14</f>
        <v>33.750484695081532</v>
      </c>
      <c r="L45" s="263">
        <f>'Storage Summary'!U14</f>
        <v>16.105911568492917</v>
      </c>
      <c r="M45" s="263">
        <f>'Storage Summary'!V14</f>
        <v>17.50400119369338</v>
      </c>
      <c r="N45" s="263">
        <f>'Storage Summary'!W14</f>
        <v>21.54847806489197</v>
      </c>
      <c r="O45" s="263">
        <f>'Storage Summary'!X14</f>
        <v>17.169767483453352</v>
      </c>
      <c r="P45" s="443">
        <f>'Storage Summary'!Y14</f>
        <v>52.065579425996226</v>
      </c>
      <c r="Q45" s="443">
        <f>'Storage Summary'!Z14</f>
        <v>45.482733142648364</v>
      </c>
      <c r="R45" s="443">
        <f>'Storage Summary'!AA14</f>
        <v>41.081174088596903</v>
      </c>
    </row>
    <row r="46" spans="1:18">
      <c r="B46" s="460">
        <v>2030</v>
      </c>
      <c r="C46" s="462">
        <f>'Storage Summary'!R13</f>
        <v>10.74245876587071</v>
      </c>
      <c r="D46" s="462">
        <f>'Storage Summary'!S13</f>
        <v>18.309793462729221</v>
      </c>
      <c r="E46" s="462">
        <f>'Storage Summary'!T13</f>
        <v>33.444462856446222</v>
      </c>
      <c r="H46" s="263">
        <f>'Storage Summary'!B15</f>
        <v>2032</v>
      </c>
      <c r="I46" s="263">
        <f>'Storage Summary'!R15</f>
        <v>10.93614687421703</v>
      </c>
      <c r="J46" s="263">
        <f>'Storage Summary'!S15</f>
        <v>18.509006341163012</v>
      </c>
      <c r="K46" s="263">
        <f>'Storage Summary'!T15</f>
        <v>33.806973758646357</v>
      </c>
      <c r="L46" s="263">
        <f>'Storage Summary'!U15</f>
        <v>16.175251303548769</v>
      </c>
      <c r="M46" s="263">
        <f>'Storage Summary'!V15</f>
        <v>17.589723627049477</v>
      </c>
      <c r="N46" s="263">
        <f>'Storage Summary'!W15</f>
        <v>21.658799554755451</v>
      </c>
      <c r="O46" s="263">
        <f>'Storage Summary'!X15</f>
        <v>17.547502368089322</v>
      </c>
      <c r="P46" s="443">
        <f>'Storage Summary'!Y15</f>
        <v>53.211022173368178</v>
      </c>
      <c r="Q46" s="443">
        <f>'Storage Summary'!Z15</f>
        <v>46.483353271786662</v>
      </c>
      <c r="R46" s="443">
        <f>'Storage Summary'!AA15</f>
        <v>41.984959918546046</v>
      </c>
    </row>
    <row r="47" spans="1:18">
      <c r="B47" s="460">
        <v>2035</v>
      </c>
      <c r="C47" s="462">
        <f>'Storage Summary'!R18</f>
        <v>14.815289527258962</v>
      </c>
      <c r="D47" s="462">
        <f>'Storage Summary'!S18</f>
        <v>24.674473025284801</v>
      </c>
      <c r="E47" s="462">
        <f>'Storage Summary'!T18</f>
        <v>45.068223978000781</v>
      </c>
      <c r="H47" s="263">
        <f>'Storage Summary'!B16</f>
        <v>2033</v>
      </c>
      <c r="I47" s="263">
        <f>'Storage Summary'!R16</f>
        <v>14.571072084773286</v>
      </c>
      <c r="J47" s="263">
        <f>'Storage Summary'!S16</f>
        <v>24.565300501356543</v>
      </c>
      <c r="K47" s="263">
        <f>'Storage Summary'!T16</f>
        <v>44.868879667548093</v>
      </c>
      <c r="L47" s="263">
        <f>'Storage Summary'!U16</f>
        <v>19.716862065775278</v>
      </c>
      <c r="M47" s="263">
        <f>'Storage Summary'!V16</f>
        <v>21.323146318084003</v>
      </c>
      <c r="N47" s="263">
        <f>'Storage Summary'!W16</f>
        <v>29.421542541102866</v>
      </c>
      <c r="O47" s="263">
        <f>'Storage Summary'!X16</f>
        <v>24.219471437909309</v>
      </c>
      <c r="P47" s="443">
        <f>'Storage Summary'!Y16</f>
        <v>54.38166466118227</v>
      </c>
      <c r="Q47" s="443">
        <f>'Storage Summary'!Z16</f>
        <v>47.505987043765941</v>
      </c>
      <c r="R47" s="443">
        <f>'Storage Summary'!AA16</f>
        <v>42.908629036754057</v>
      </c>
    </row>
    <row r="48" spans="1:18">
      <c r="B48" s="460">
        <v>2040</v>
      </c>
      <c r="C48" s="462">
        <f>'Storage Summary'!R23</f>
        <v>15.048459844929775</v>
      </c>
      <c r="D48" s="462">
        <f>'Storage Summary'!S23</f>
        <v>24.688544519347275</v>
      </c>
      <c r="E48" s="462">
        <f>'Storage Summary'!T23</f>
        <v>45.09375666040139</v>
      </c>
      <c r="H48" s="263">
        <f>'Storage Summary'!B17</f>
        <v>2034</v>
      </c>
      <c r="I48" s="263">
        <f>'Storage Summary'!R17</f>
        <v>14.694002535543715</v>
      </c>
      <c r="J48" s="263">
        <f>'Storage Summary'!S17</f>
        <v>24.626385435052814</v>
      </c>
      <c r="K48" s="263">
        <f>'Storage Summary'!T17</f>
        <v>44.980422220962936</v>
      </c>
      <c r="L48" s="263">
        <f>'Storage Summary'!U17</f>
        <v>19.796379024107786</v>
      </c>
      <c r="M48" s="263">
        <f>'Storage Summary'!V17</f>
        <v>21.420132508190303</v>
      </c>
      <c r="N48" s="263">
        <f>'Storage Summary'!W17</f>
        <v>29.547558195207063</v>
      </c>
      <c r="O48" s="263">
        <f>'Storage Summary'!X17</f>
        <v>24.752299809543306</v>
      </c>
      <c r="P48" s="443">
        <f>'Storage Summary'!Y17</f>
        <v>55.578061283728267</v>
      </c>
      <c r="Q48" s="443">
        <f>'Storage Summary'!Z17</f>
        <v>48.551118758728812</v>
      </c>
      <c r="R48" s="443">
        <f>'Storage Summary'!AA17</f>
        <v>43.852618875562634</v>
      </c>
    </row>
    <row r="49" spans="2:33">
      <c r="B49" s="460">
        <v>2045</v>
      </c>
      <c r="C49" s="462">
        <f>'Storage Summary'!R28</f>
        <v>14.986984971868855</v>
      </c>
      <c r="D49" s="462">
        <f>'Storage Summary'!S28</f>
        <v>24.228181159084794</v>
      </c>
      <c r="E49" s="462">
        <f>'Storage Summary'!T28</f>
        <v>44.252703459667828</v>
      </c>
      <c r="H49" s="263">
        <f>'Storage Summary'!B18</f>
        <v>2035</v>
      </c>
    </row>
    <row r="50" spans="2:33">
      <c r="H50" s="263">
        <f>'Storage Summary'!B19</f>
        <v>2036</v>
      </c>
      <c r="I50" s="263">
        <f>'Storage Summary'!R19</f>
        <v>14.934801249382517</v>
      </c>
      <c r="J50" s="263">
        <f>'Storage Summary'!S19</f>
        <v>24.708714738403032</v>
      </c>
      <c r="K50" s="263">
        <f>'Storage Summary'!T19</f>
        <v>45.130735075299576</v>
      </c>
      <c r="L50" s="263">
        <f>'Storage Summary'!U19</f>
        <v>20.066969914354619</v>
      </c>
      <c r="M50" s="263">
        <f>'Storage Summary'!V19</f>
        <v>21.7321836986482</v>
      </c>
      <c r="N50" s="263">
        <f>'Storage Summary'!W19</f>
        <v>29.805508881285743</v>
      </c>
      <c r="O50" s="263">
        <f>'Storage Summary'!X19</f>
        <v>25.85338111427102</v>
      </c>
      <c r="P50" s="443">
        <f>'Storage Summary'!Y19</f>
        <v>58.050395761873652</v>
      </c>
      <c r="Q50" s="443">
        <f>'Storage Summary'!Z19</f>
        <v>50.710866725592105</v>
      </c>
      <c r="R50" s="443">
        <f>'Storage Summary'!AA19</f>
        <v>45.803358773623152</v>
      </c>
    </row>
    <row r="51" spans="2:33">
      <c r="B51" t="s">
        <v>327</v>
      </c>
      <c r="C51" t="s">
        <v>328</v>
      </c>
      <c r="H51" s="263">
        <f>'Storage Summary'!B20</f>
        <v>2037</v>
      </c>
      <c r="I51" s="263">
        <f>'Storage Summary'!R20</f>
        <v>14.974714255546621</v>
      </c>
      <c r="J51" s="263">
        <f>'Storage Summary'!S20</f>
        <v>24.728214910729942</v>
      </c>
      <c r="K51" s="263">
        <f>'Storage Summary'!T20</f>
        <v>45.166319567613613</v>
      </c>
      <c r="L51" s="263">
        <f>'Storage Summary'!U20</f>
        <v>20.24115027782144</v>
      </c>
      <c r="M51" s="263">
        <f>'Storage Summary'!V20</f>
        <v>21.929516168450558</v>
      </c>
      <c r="N51" s="263">
        <f>'Storage Summary'!W20</f>
        <v>29.937528498533762</v>
      </c>
      <c r="O51" s="263">
        <f>'Storage Summary'!X20</f>
        <v>26.422155498784999</v>
      </c>
      <c r="P51" s="443">
        <f>'Storage Summary'!Y20</f>
        <v>59.327504468634856</v>
      </c>
      <c r="Q51" s="443">
        <f>'Storage Summary'!Z20</f>
        <v>51.826505793555128</v>
      </c>
      <c r="R51" s="443">
        <f>'Storage Summary'!AA20</f>
        <v>46.811032666642866</v>
      </c>
    </row>
    <row r="52" spans="2:33" ht="27">
      <c r="B52" s="459" t="s">
        <v>304</v>
      </c>
      <c r="C52" s="459" t="s">
        <v>325</v>
      </c>
      <c r="D52" s="459" t="s">
        <v>326</v>
      </c>
      <c r="E52" s="459" t="s">
        <v>18</v>
      </c>
      <c r="F52" s="459" t="s">
        <v>22</v>
      </c>
      <c r="H52" s="263">
        <f>'Storage Summary'!B21</f>
        <v>2038</v>
      </c>
      <c r="I52" s="263">
        <f>'Storage Summary'!R21</f>
        <v>15.007275905851401</v>
      </c>
      <c r="J52" s="263">
        <f>'Storage Summary'!S21</f>
        <v>24.732028038379067</v>
      </c>
      <c r="K52" s="263">
        <f>'Storage Summary'!T21</f>
        <v>45.173250477809667</v>
      </c>
      <c r="L52" s="263">
        <f>'Storage Summary'!U21</f>
        <v>20.445695319390154</v>
      </c>
      <c r="M52" s="263">
        <f>'Storage Summary'!V21</f>
        <v>22.159061006270136</v>
      </c>
      <c r="N52" s="263">
        <f>'Storage Summary'!W21</f>
        <v>30.071635572899364</v>
      </c>
      <c r="O52" s="263">
        <f>'Storage Summary'!X21</f>
        <v>27.003442919758267</v>
      </c>
      <c r="P52" s="443">
        <f>'Storage Summary'!Y21</f>
        <v>60.632709566944847</v>
      </c>
      <c r="Q52" s="443">
        <f>'Storage Summary'!Z21</f>
        <v>52.966688921013343</v>
      </c>
      <c r="R52" s="443">
        <f>'Storage Summary'!AA21</f>
        <v>47.840875385309005</v>
      </c>
    </row>
    <row r="53" spans="2:33">
      <c r="B53" s="460">
        <v>2025</v>
      </c>
      <c r="C53" s="462">
        <f>'Storage Summary'!U8</f>
        <v>15.913296954331932</v>
      </c>
      <c r="D53" s="462">
        <f>'Storage Summary'!V8</f>
        <v>17.229944718693528</v>
      </c>
      <c r="E53" s="462">
        <f>'Storage Summary'!W8</f>
        <v>20.911742522399468</v>
      </c>
      <c r="F53" s="462">
        <f>'Storage Summary'!X8</f>
        <v>15.059893377304066</v>
      </c>
      <c r="H53" s="263">
        <f>'Storage Summary'!B22</f>
        <v>2039</v>
      </c>
      <c r="I53" s="263">
        <f>'Storage Summary'!R22</f>
        <v>15.032021094354404</v>
      </c>
      <c r="J53" s="263">
        <f>'Storage Summary'!S22</f>
        <v>24.719155902466383</v>
      </c>
      <c r="K53" s="263">
        <f>'Storage Summary'!T22</f>
        <v>45.149704546217457</v>
      </c>
      <c r="L53" s="263">
        <f>'Storage Summary'!U22</f>
        <v>20.650052351351828</v>
      </c>
      <c r="M53" s="263">
        <f>'Storage Summary'!V22</f>
        <v>22.388731361303385</v>
      </c>
      <c r="N53" s="263">
        <f>'Storage Summary'!W22</f>
        <v>30.207874753958919</v>
      </c>
      <c r="O53" s="263">
        <f>'Storage Summary'!X22</f>
        <v>27.597518663992943</v>
      </c>
      <c r="P53" s="443">
        <f>'Storage Summary'!Y22</f>
        <v>61.966629177417616</v>
      </c>
      <c r="Q53" s="443">
        <f>'Storage Summary'!Z22</f>
        <v>54.131956077275639</v>
      </c>
      <c r="R53" s="443">
        <f>'Storage Summary'!AA22</f>
        <v>48.893374643785798</v>
      </c>
    </row>
    <row r="54" spans="2:33">
      <c r="B54" s="460">
        <v>2030</v>
      </c>
      <c r="C54" s="462">
        <f>'Storage Summary'!U13</f>
        <v>16.04896450895906</v>
      </c>
      <c r="D54" s="462">
        <f>'Storage Summary'!V13</f>
        <v>17.431573908503911</v>
      </c>
      <c r="E54" s="462">
        <f>'Storage Summary'!W13</f>
        <v>21.439977039182235</v>
      </c>
      <c r="F54" s="462">
        <f>'Storage Summary'!X13</f>
        <v>16.800163878134388</v>
      </c>
      <c r="H54" s="263">
        <f>'Storage Summary'!B23</f>
        <v>2040</v>
      </c>
    </row>
    <row r="55" spans="2:33">
      <c r="B55" s="460">
        <v>2035</v>
      </c>
      <c r="C55" s="462">
        <f>'Storage Summary'!U18</f>
        <v>19.917769431346027</v>
      </c>
      <c r="D55" s="462">
        <f>'Storage Summary'!V18</f>
        <v>21.561400379615744</v>
      </c>
      <c r="E55" s="462">
        <f>'Storage Summary'!W18</f>
        <v>29.675533030781963</v>
      </c>
      <c r="F55" s="462">
        <f>'Storage Summary'!X18</f>
        <v>25.296850405353254</v>
      </c>
      <c r="H55" s="263">
        <f>'Storage Summary'!B24</f>
        <v>2041</v>
      </c>
      <c r="I55" s="263">
        <f>'Storage Summary'!R24</f>
        <v>15.056075923662666</v>
      </c>
      <c r="J55" s="263">
        <f>'Storage Summary'!S24</f>
        <v>24.639080904843834</v>
      </c>
      <c r="K55" s="263">
        <f>'Storage Summary'!T24</f>
        <v>45.003373945198774</v>
      </c>
      <c r="L55" s="263">
        <f>'Storage Summary'!U24</f>
        <v>21.058568902482559</v>
      </c>
      <c r="M55" s="263">
        <f>'Storage Summary'!V24</f>
        <v>22.84886220781318</v>
      </c>
      <c r="N55" s="263">
        <f>'Storage Summary'!W24</f>
        <v>30.486932957541743</v>
      </c>
      <c r="O55" s="263">
        <f>'Storage Summary'!X24</f>
        <v>28.825166684242006</v>
      </c>
      <c r="P55" s="443">
        <f>'Storage Summary'!Y24</f>
        <v>64.723152709745833</v>
      </c>
      <c r="Q55" s="443">
        <f>'Storage Summary'!Z24</f>
        <v>56.539962011417167</v>
      </c>
      <c r="R55" s="443">
        <f>'Storage Summary'!AA24</f>
        <v>51.068347521439968</v>
      </c>
    </row>
    <row r="56" spans="2:33">
      <c r="B56" s="460">
        <v>2040</v>
      </c>
      <c r="C56" s="462">
        <f>'Storage Summary'!U23</f>
        <v>20.854311120122031</v>
      </c>
      <c r="D56" s="462">
        <f>'Storage Summary'!V23</f>
        <v>22.61862861311474</v>
      </c>
      <c r="E56" s="462">
        <f>'Storage Summary'!W23</f>
        <v>30.346291671591388</v>
      </c>
      <c r="F56" s="462">
        <f>'Storage Summary'!X23</f>
        <v>28.204664074600789</v>
      </c>
      <c r="H56" s="263">
        <f>'Storage Summary'!B25</f>
        <v>2042</v>
      </c>
      <c r="I56" s="263">
        <f>'Storage Summary'!R25</f>
        <v>15.054325368476013</v>
      </c>
      <c r="J56" s="263">
        <f>'Storage Summary'!S25</f>
        <v>24.569589640718959</v>
      </c>
      <c r="K56" s="263">
        <f>'Storage Summary'!T25</f>
        <v>44.876409491574726</v>
      </c>
      <c r="L56" s="263">
        <f>'Storage Summary'!U25</f>
        <v>21.2629305555804</v>
      </c>
      <c r="M56" s="263">
        <f>'Storage Summary'!V25</f>
        <v>23.079549714012401</v>
      </c>
      <c r="N56" s="263">
        <f>'Storage Summary'!W25</f>
        <v>30.629846267458902</v>
      </c>
      <c r="O56" s="263">
        <f>'Storage Summary'!X25</f>
        <v>29.459320351295332</v>
      </c>
      <c r="P56" s="443">
        <f>'Storage Summary'!Y25</f>
        <v>66.147062069360274</v>
      </c>
      <c r="Q56" s="443">
        <f>'Storage Summary'!Z25</f>
        <v>57.783841175668336</v>
      </c>
      <c r="R56" s="443">
        <f>'Storage Summary'!AA25</f>
        <v>52.191851166911675</v>
      </c>
    </row>
    <row r="57" spans="2:33">
      <c r="B57" s="460">
        <v>2045</v>
      </c>
      <c r="C57" s="462">
        <f>'Storage Summary'!U28</f>
        <v>21.877801790104424</v>
      </c>
      <c r="D57" s="462">
        <f>'Storage Summary'!V28</f>
        <v>23.77563411257735</v>
      </c>
      <c r="E57" s="462">
        <f>'Storage Summary'!W28</f>
        <v>31.072710732518431</v>
      </c>
      <c r="F57" s="462">
        <f>'Storage Summary'!X28</f>
        <v>31.446724110474008</v>
      </c>
      <c r="H57" s="263">
        <f>'Storage Summary'!B26</f>
        <v>2043</v>
      </c>
      <c r="I57" s="263">
        <f>'Storage Summary'!R26</f>
        <v>15.042634930823434</v>
      </c>
      <c r="J57" s="263">
        <f>'Storage Summary'!S26</f>
        <v>24.478829230902047</v>
      </c>
      <c r="K57" s="263">
        <f>'Storage Summary'!T26</f>
        <v>44.710595701473842</v>
      </c>
      <c r="L57" s="263">
        <f>'Storage Summary'!U26</f>
        <v>21.467508557055055</v>
      </c>
      <c r="M57" s="263">
        <f>'Storage Summary'!V26</f>
        <v>23.310816868497426</v>
      </c>
      <c r="N57" s="263">
        <f>'Storage Summary'!W26</f>
        <v>30.775080303418605</v>
      </c>
      <c r="O57" s="263">
        <f>'Storage Summary'!X26</f>
        <v>30.107425399023835</v>
      </c>
      <c r="P57" s="443">
        <f>'Storage Summary'!Y26</f>
        <v>67.602297434886182</v>
      </c>
      <c r="Q57" s="443">
        <f>'Storage Summary'!Z26</f>
        <v>59.055085681533058</v>
      </c>
      <c r="R57" s="443">
        <f>'Storage Summary'!AA26</f>
        <v>53.340071892583715</v>
      </c>
    </row>
    <row r="58" spans="2:33">
      <c r="H58" s="263">
        <f>'Storage Summary'!B27</f>
        <v>2044</v>
      </c>
      <c r="I58" s="263">
        <f>'Storage Summary'!R27</f>
        <v>15.020400423949459</v>
      </c>
      <c r="J58" s="263">
        <f>'Storage Summary'!S27</f>
        <v>24.365488234163596</v>
      </c>
      <c r="K58" s="263">
        <f>'Storage Summary'!T27</f>
        <v>44.503537224370461</v>
      </c>
      <c r="L58" s="263">
        <f>'Storage Summary'!U27</f>
        <v>21.67242303532619</v>
      </c>
      <c r="M58" s="263">
        <f>'Storage Summary'!V27</f>
        <v>23.542797611632395</v>
      </c>
      <c r="N58" s="263">
        <f>'Storage Summary'!W27</f>
        <v>30.922684836941617</v>
      </c>
      <c r="O58" s="263">
        <f>'Storage Summary'!X27</f>
        <v>30.769788757802356</v>
      </c>
      <c r="P58" s="443">
        <f>'Storage Summary'!Y27</f>
        <v>69.089547978453695</v>
      </c>
      <c r="Q58" s="443">
        <f>'Storage Summary'!Z27</f>
        <v>60.354297566526782</v>
      </c>
      <c r="R58" s="443">
        <f>'Storage Summary'!AA27</f>
        <v>54.513553474220572</v>
      </c>
    </row>
    <row r="59" spans="2:33">
      <c r="B59" t="s">
        <v>336</v>
      </c>
      <c r="C59" t="s">
        <v>337</v>
      </c>
      <c r="H59" s="263">
        <f>'Storage Summary'!B28</f>
        <v>2045</v>
      </c>
    </row>
    <row r="60" spans="2:33">
      <c r="B60" s="508" t="s">
        <v>304</v>
      </c>
      <c r="C60" s="464" t="s">
        <v>334</v>
      </c>
      <c r="H60" s="263"/>
      <c r="I60" s="263"/>
      <c r="J60" s="263"/>
      <c r="K60" s="263"/>
    </row>
    <row r="61" spans="2:33" ht="27">
      <c r="B61" s="508"/>
      <c r="C61" s="464" t="s">
        <v>335</v>
      </c>
      <c r="H61" s="263"/>
      <c r="I61" s="263"/>
      <c r="J61" s="263"/>
      <c r="K61" s="263"/>
    </row>
    <row r="62" spans="2:33">
      <c r="B62" s="460">
        <v>2025</v>
      </c>
      <c r="C62" s="461">
        <f>'Levelized Cost Summary'!AE49</f>
        <v>1041.3110170055063</v>
      </c>
      <c r="H62" s="263" t="str">
        <f>'Levelized Cost Summary'!B49</f>
        <v>Hydrogen Fuel Cell with 40 hrs Storage (Washington)</v>
      </c>
      <c r="I62" s="263"/>
      <c r="J62" s="263"/>
      <c r="K62" s="263"/>
      <c r="L62" s="445">
        <f>'Levelized Cost Summary'!AC49</f>
        <v>995.50276517110149</v>
      </c>
      <c r="M62" s="445">
        <f>'Levelized Cost Summary'!AD49</f>
        <v>1018.6216085234369</v>
      </c>
      <c r="O62" s="445">
        <f>'Levelized Cost Summary'!AF49</f>
        <v>1064.5007306028758</v>
      </c>
      <c r="P62" s="445">
        <f>'Levelized Cost Summary'!AG49</f>
        <v>1088.2014488345228</v>
      </c>
      <c r="Q62" s="445">
        <f>'Levelized Cost Summary'!AH49</f>
        <v>1112.1418807088821</v>
      </c>
      <c r="R62" s="445">
        <f>'Levelized Cost Summary'!AI49</f>
        <v>1136.6090020844779</v>
      </c>
      <c r="T62" s="445">
        <f>'Levelized Cost Summary'!AK49</f>
        <v>1187.1699169332037</v>
      </c>
      <c r="U62" s="445">
        <f>'Levelized Cost Summary'!AL49</f>
        <v>1213.2876551057343</v>
      </c>
      <c r="V62" s="445">
        <f>'Levelized Cost Summary'!AM49</f>
        <v>1239.9799835180606</v>
      </c>
      <c r="W62" s="445">
        <f>'Levelized Cost Summary'!AN49</f>
        <v>1267.259543155458</v>
      </c>
      <c r="Y62" s="445">
        <f>'Levelized Cost Summary'!AP49</f>
        <v>1323.6323166731854</v>
      </c>
      <c r="Z62" s="445">
        <f>'Levelized Cost Summary'!AQ49</f>
        <v>1352.7522276399948</v>
      </c>
      <c r="AA62" s="445">
        <f>'Levelized Cost Summary'!AR49</f>
        <v>1382.5127766480753</v>
      </c>
      <c r="AB62" s="445">
        <f>'Levelized Cost Summary'!AS49</f>
        <v>1412.9280577343329</v>
      </c>
      <c r="AD62" s="445">
        <f>'Levelized Cost Summary'!AU49</f>
        <v>1475.7807494545871</v>
      </c>
      <c r="AE62" s="445">
        <f>'Levelized Cost Summary'!AV49</f>
        <v>1508.2479259425879</v>
      </c>
      <c r="AF62" s="445">
        <f>'Levelized Cost Summary'!AW49</f>
        <v>1541.4293803133251</v>
      </c>
      <c r="AG62" s="445">
        <f>'Levelized Cost Summary'!AX49</f>
        <v>1575.3408266802176</v>
      </c>
    </row>
    <row r="63" spans="2:33">
      <c r="B63" s="460">
        <v>2030</v>
      </c>
      <c r="C63" s="461">
        <f>'Levelized Cost Summary'!AJ49</f>
        <v>1161.6144001303364</v>
      </c>
      <c r="H63" s="263"/>
      <c r="I63" s="263"/>
      <c r="J63" s="263"/>
      <c r="K63" s="263"/>
    </row>
    <row r="64" spans="2:33">
      <c r="B64" s="460">
        <v>2035</v>
      </c>
      <c r="C64" s="461">
        <f>'Levelized Cost Summary'!AO49</f>
        <v>1295.1392531048782</v>
      </c>
      <c r="H64" s="263"/>
      <c r="I64" s="263"/>
      <c r="J64" s="263"/>
      <c r="K64" s="263"/>
    </row>
    <row r="65" spans="1:6">
      <c r="B65" s="460">
        <v>2040</v>
      </c>
      <c r="C65" s="461">
        <f>'Levelized Cost Summary'!AT49</f>
        <v>1444.0124750044877</v>
      </c>
    </row>
    <row r="66" spans="1:6">
      <c r="B66" s="460">
        <v>2045</v>
      </c>
      <c r="C66" s="461">
        <f>'Levelized Cost Summary'!AY49</f>
        <v>1609.9983248671822</v>
      </c>
    </row>
    <row r="68" spans="1:6" s="263" customFormat="1">
      <c r="A68" s="468"/>
      <c r="B68" s="263" t="s">
        <v>441</v>
      </c>
    </row>
    <row r="69" spans="1:6" s="263" customFormat="1">
      <c r="A69" s="468"/>
      <c r="B69" s="467"/>
      <c r="C69" s="508" t="s">
        <v>437</v>
      </c>
      <c r="D69" s="508"/>
      <c r="E69" s="508" t="s">
        <v>438</v>
      </c>
      <c r="F69" s="508"/>
    </row>
    <row r="70" spans="1:6" s="263" customFormat="1" ht="54">
      <c r="A70" s="468"/>
      <c r="B70" s="467" t="s">
        <v>304</v>
      </c>
      <c r="C70" s="464" t="s">
        <v>439</v>
      </c>
      <c r="D70" s="464" t="s">
        <v>440</v>
      </c>
      <c r="E70" s="464" t="s">
        <v>439</v>
      </c>
      <c r="F70" s="464" t="s">
        <v>440</v>
      </c>
    </row>
    <row r="71" spans="1:6" s="263" customFormat="1">
      <c r="A71" s="468"/>
      <c r="B71" s="460">
        <v>2025</v>
      </c>
      <c r="C71" s="475">
        <f>'Fuel Gen Summary'!G28/12</f>
        <v>86.775918083792192</v>
      </c>
      <c r="D71" s="476">
        <f>'Fuel Gen Summary'!G29</f>
        <v>139.38195274649567</v>
      </c>
      <c r="E71" s="474">
        <f>'Fuel Gen Summary'!G31/12</f>
        <v>11.45694432064519</v>
      </c>
      <c r="F71" s="474">
        <f>'Fuel Gen Summary'!G32</f>
        <v>257.78544324046749</v>
      </c>
    </row>
    <row r="72" spans="1:6" s="263" customFormat="1">
      <c r="A72" s="468"/>
      <c r="B72" s="460">
        <v>2030</v>
      </c>
      <c r="C72" s="476">
        <f>'Fuel Gen Summary'!L28/12</f>
        <v>96.801200010861365</v>
      </c>
      <c r="D72" s="476">
        <f>'Fuel Gen Summary'!L29</f>
        <v>105.60298834010574</v>
      </c>
      <c r="E72" s="474">
        <f>'Fuel Gen Summary'!L31/12</f>
        <v>12.78115693213369</v>
      </c>
      <c r="F72" s="474">
        <f>'Fuel Gen Summary'!L32</f>
        <v>198.47238182611895</v>
      </c>
    </row>
    <row r="73" spans="1:6" s="263" customFormat="1">
      <c r="A73" s="468"/>
      <c r="B73" s="460">
        <v>2035</v>
      </c>
      <c r="C73" s="476">
        <f>'Fuel Gen Summary'!Q28/12</f>
        <v>107.92827109207319</v>
      </c>
      <c r="D73" s="476">
        <f>'Fuel Gen Summary'!Q29</f>
        <v>90.772029406023933</v>
      </c>
      <c r="E73" s="474">
        <f>'Fuel Gen Summary'!Q31/12</f>
        <v>14.250320967992929</v>
      </c>
      <c r="F73" s="474">
        <f>'Fuel Gen Summary'!Q32</f>
        <v>173.23378630089749</v>
      </c>
    </row>
    <row r="74" spans="1:6" s="263" customFormat="1">
      <c r="A74" s="468"/>
      <c r="B74" s="460">
        <v>2040</v>
      </c>
      <c r="C74" s="476">
        <f>'Fuel Gen Summary'!V28/12</f>
        <v>120.33437291704064</v>
      </c>
      <c r="D74" s="476">
        <f>'Fuel Gen Summary'!V29</f>
        <v>83.354198557542674</v>
      </c>
      <c r="E74" s="474">
        <f>'Fuel Gen Summary'!V31/12</f>
        <v>15.888361966690761</v>
      </c>
      <c r="F74" s="474">
        <f>'Fuel Gen Summary'!V32</f>
        <v>161.48821541573579</v>
      </c>
    </row>
    <row r="75" spans="1:6" s="263" customFormat="1">
      <c r="A75" s="468"/>
      <c r="B75" s="460">
        <v>2045</v>
      </c>
      <c r="C75" s="476">
        <f>'Fuel Gen Summary'!AA28/12</f>
        <v>134.16652707226518</v>
      </c>
      <c r="D75" s="476">
        <f>'Fuel Gen Summary'!AA29</f>
        <v>84.762924646325132</v>
      </c>
      <c r="E75" s="474">
        <f>'Fuel Gen Summary'!AA31/12</f>
        <v>17.714691939331118</v>
      </c>
      <c r="F75" s="474">
        <f>'Fuel Gen Summary'!AA32</f>
        <v>165.6292565671838</v>
      </c>
    </row>
    <row r="76" spans="1:6" s="263" customFormat="1">
      <c r="A76" s="468"/>
    </row>
    <row r="77" spans="1:6" s="263" customFormat="1">
      <c r="A77" s="468"/>
      <c r="B77" s="263" t="s">
        <v>442</v>
      </c>
    </row>
    <row r="78" spans="1:6" s="263" customFormat="1">
      <c r="A78" s="468"/>
      <c r="B78" s="467"/>
      <c r="C78" s="508" t="s">
        <v>437</v>
      </c>
      <c r="D78" s="508"/>
      <c r="E78" s="508" t="s">
        <v>438</v>
      </c>
      <c r="F78" s="508"/>
    </row>
    <row r="79" spans="1:6" s="263" customFormat="1" ht="54">
      <c r="A79" s="468"/>
      <c r="B79" s="467" t="s">
        <v>304</v>
      </c>
      <c r="C79" s="464" t="s">
        <v>439</v>
      </c>
      <c r="D79" s="464" t="s">
        <v>440</v>
      </c>
      <c r="E79" s="464" t="s">
        <v>439</v>
      </c>
      <c r="F79" s="464" t="s">
        <v>440</v>
      </c>
    </row>
    <row r="80" spans="1:6" s="263" customFormat="1">
      <c r="A80" s="468"/>
      <c r="B80" s="460">
        <v>2025</v>
      </c>
      <c r="C80" s="475">
        <f>'Fuel Gen Summary'!G13/12</f>
        <v>85.070153096300444</v>
      </c>
      <c r="D80" s="476">
        <f>'Fuel Gen Summary'!G14</f>
        <v>139.38195274649567</v>
      </c>
      <c r="E80" s="474">
        <f>'Fuel Gen Summary'!G16/12</f>
        <v>11.209032922741756</v>
      </c>
      <c r="F80" s="474">
        <f>'Fuel Gen Summary'!G17</f>
        <v>257.78544324046749</v>
      </c>
    </row>
    <row r="81" spans="1:10" s="263" customFormat="1">
      <c r="A81" s="468"/>
      <c r="B81" s="460">
        <v>2030</v>
      </c>
      <c r="C81" s="476">
        <f>'Fuel Gen Summary'!L13/12</f>
        <v>94.898120534049099</v>
      </c>
      <c r="D81" s="476">
        <f>'Fuel Gen Summary'!L14</f>
        <v>105.60298834010574</v>
      </c>
      <c r="E81" s="474">
        <f>'Fuel Gen Summary'!L16/12</f>
        <v>12.504568365198901</v>
      </c>
      <c r="F81" s="474">
        <f>'Fuel Gen Summary'!L17</f>
        <v>198.47238182611895</v>
      </c>
    </row>
    <row r="82" spans="1:10">
      <c r="B82" s="460">
        <v>2035</v>
      </c>
      <c r="C82" s="476">
        <f>'Fuel Gen Summary'!Q13/12</f>
        <v>105.80643708939432</v>
      </c>
      <c r="D82" s="476">
        <f>'Fuel Gen Summary'!Q14</f>
        <v>90.772029406023933</v>
      </c>
      <c r="E82" s="474">
        <f>'Fuel Gen Summary'!Q16/12</f>
        <v>13.941939193492651</v>
      </c>
      <c r="F82" s="474">
        <f>'Fuel Gen Summary'!Q17</f>
        <v>173.23378630089749</v>
      </c>
      <c r="H82" s="263"/>
      <c r="I82" s="263"/>
      <c r="J82" s="263"/>
    </row>
    <row r="83" spans="1:10" s="263" customFormat="1">
      <c r="A83" s="468"/>
      <c r="B83" s="460">
        <v>2040</v>
      </c>
      <c r="C83" s="476">
        <f>'Fuel Gen Summary'!V13/12</f>
        <v>117.9686390684128</v>
      </c>
      <c r="D83" s="476">
        <f>'Fuel Gen Summary'!V14</f>
        <v>83.354198557542674</v>
      </c>
      <c r="E83" s="474">
        <f>'Fuel Gen Summary'!V16/12</f>
        <v>15.54453242992483</v>
      </c>
      <c r="F83" s="474">
        <f>'Fuel Gen Summary'!V17</f>
        <v>161.48821541573579</v>
      </c>
    </row>
    <row r="84" spans="1:10" s="263" customFormat="1">
      <c r="A84" s="468"/>
      <c r="B84" s="460">
        <v>2045</v>
      </c>
      <c r="C84" s="476">
        <f>'Fuel Gen Summary'!AA13/12</f>
        <v>131.52885766199179</v>
      </c>
      <c r="D84" s="476">
        <f>'Fuel Gen Summary'!AA14</f>
        <v>84.762924646325132</v>
      </c>
      <c r="E84" s="474">
        <f>'Fuel Gen Summary'!AA16/12</f>
        <v>17.331340003101282</v>
      </c>
      <c r="F84" s="474">
        <f>'Fuel Gen Summary'!AA17</f>
        <v>165.6292565671838</v>
      </c>
    </row>
    <row r="85" spans="1:10" s="263" customFormat="1">
      <c r="A85" s="468"/>
    </row>
    <row r="86" spans="1:10" s="263" customFormat="1">
      <c r="A86" s="468"/>
    </row>
    <row r="87" spans="1:10">
      <c r="B87" t="s">
        <v>413</v>
      </c>
      <c r="H87" s="263"/>
      <c r="I87" s="263"/>
      <c r="J87" s="263"/>
    </row>
    <row r="88" spans="1:10" ht="27">
      <c r="A88" s="469" t="s">
        <v>414</v>
      </c>
      <c r="B88" s="464" t="s">
        <v>415</v>
      </c>
      <c r="C88" s="464" t="s">
        <v>416</v>
      </c>
      <c r="D88" s="464" t="s">
        <v>417</v>
      </c>
      <c r="E88" s="464" t="s">
        <v>418</v>
      </c>
      <c r="F88" s="464" t="s">
        <v>419</v>
      </c>
      <c r="H88" s="263"/>
      <c r="I88" s="263"/>
      <c r="J88" s="263"/>
    </row>
    <row r="89" spans="1:10">
      <c r="A89" s="470" t="s">
        <v>420</v>
      </c>
      <c r="B89" s="471" t="s">
        <v>421</v>
      </c>
      <c r="C89" s="473">
        <f>'PRiSM Resource_Data'!F15</f>
        <v>159.86733712095472</v>
      </c>
      <c r="D89" s="473">
        <f>'PRiSM Resource_Data'!Q15</f>
        <v>350.8014580474993</v>
      </c>
      <c r="E89" s="474" t="s">
        <v>422</v>
      </c>
      <c r="F89" s="474" t="s">
        <v>422</v>
      </c>
      <c r="H89" s="263"/>
      <c r="I89" s="263"/>
      <c r="J89" s="263"/>
    </row>
    <row r="90" spans="1:10">
      <c r="A90" s="470" t="s">
        <v>423</v>
      </c>
      <c r="B90" s="471" t="s">
        <v>421</v>
      </c>
      <c r="C90" s="473">
        <f>C89</f>
        <v>159.86733712095472</v>
      </c>
      <c r="D90" s="473">
        <f>D89</f>
        <v>350.8014580474993</v>
      </c>
      <c r="E90" s="474">
        <f>'PRiSM Resource_Data'!AE16/12</f>
        <v>22.914255813220482</v>
      </c>
      <c r="F90" s="474">
        <f>'PRiSM Resource_Data'!AP16/12</f>
        <v>40.281103243556878</v>
      </c>
      <c r="H90" s="263"/>
      <c r="I90" s="263"/>
      <c r="J90" s="263"/>
    </row>
    <row r="91" spans="1:10">
      <c r="A91" s="470" t="s">
        <v>424</v>
      </c>
      <c r="B91" s="471" t="s">
        <v>421</v>
      </c>
      <c r="C91" s="473">
        <f>'PRiSM Resource_Data'!F13</f>
        <v>147.93419063180869</v>
      </c>
      <c r="D91" s="473">
        <f>'PRiSM Resource_Data'!Q13</f>
        <v>322.95330444703126</v>
      </c>
      <c r="E91" s="474" t="s">
        <v>422</v>
      </c>
      <c r="F91" s="474" t="s">
        <v>422</v>
      </c>
      <c r="H91" s="263"/>
      <c r="I91" s="263"/>
      <c r="J91" s="263"/>
    </row>
    <row r="92" spans="1:10">
      <c r="A92" s="470" t="s">
        <v>425</v>
      </c>
      <c r="B92" s="471" t="s">
        <v>421</v>
      </c>
      <c r="C92" s="473">
        <f>C91</f>
        <v>147.93419063180869</v>
      </c>
      <c r="D92" s="473">
        <f>D91</f>
        <v>322.95330444703126</v>
      </c>
      <c r="E92" s="474">
        <f>'PRiSM Resource_Data'!AE14/12</f>
        <v>21.614408675032436</v>
      </c>
      <c r="F92" s="474">
        <f>'PRiSM Resource_Data'!AP14/12</f>
        <v>37.719890641490679</v>
      </c>
      <c r="H92" s="263"/>
      <c r="I92" s="263"/>
      <c r="J92" s="263"/>
    </row>
    <row r="93" spans="1:10">
      <c r="A93" s="472" t="s">
        <v>426</v>
      </c>
      <c r="B93" s="471">
        <v>200</v>
      </c>
      <c r="C93" s="473">
        <f>'PRiSM Resource_Data'!F17</f>
        <v>124.32248551951014</v>
      </c>
      <c r="D93" s="473">
        <f>'PRiSM Resource_Data'!Q17</f>
        <v>185.96549759396757</v>
      </c>
      <c r="E93" s="474" t="s">
        <v>422</v>
      </c>
      <c r="F93" s="474" t="s">
        <v>422</v>
      </c>
      <c r="H93" s="263"/>
      <c r="I93" s="263"/>
      <c r="J93" s="263"/>
    </row>
    <row r="94" spans="1:10">
      <c r="A94" s="472" t="s">
        <v>427</v>
      </c>
      <c r="B94" s="471">
        <v>200</v>
      </c>
      <c r="C94" s="473">
        <f>C93</f>
        <v>124.32248551951014</v>
      </c>
      <c r="D94" s="473">
        <f>D93</f>
        <v>185.96549759396757</v>
      </c>
      <c r="E94" s="474">
        <f>'PRiSM Resource_Data'!AE18/12</f>
        <v>26.487500812029726</v>
      </c>
      <c r="F94" s="474">
        <f>'PRiSM Resource_Data'!AP18/12</f>
        <v>39.062248558237741</v>
      </c>
      <c r="H94" s="263"/>
      <c r="I94" s="263"/>
      <c r="J94" s="263"/>
    </row>
    <row r="95" spans="1:10">
      <c r="A95" s="472" t="s">
        <v>428</v>
      </c>
      <c r="B95" s="471">
        <v>100</v>
      </c>
      <c r="C95" s="473">
        <f>'PRiSM Resource_Data'!F19</f>
        <v>62.72232916279485</v>
      </c>
      <c r="D95" s="473">
        <f>'PRiSM Resource_Data'!Q19</f>
        <v>65.288693890568993</v>
      </c>
      <c r="E95" s="474" t="s">
        <v>422</v>
      </c>
      <c r="F95" s="474" t="s">
        <v>422</v>
      </c>
      <c r="H95" s="263"/>
      <c r="I95" s="263"/>
      <c r="J95" s="263"/>
    </row>
    <row r="96" spans="1:10">
      <c r="A96" s="472" t="s">
        <v>429</v>
      </c>
      <c r="B96" s="471">
        <v>100</v>
      </c>
      <c r="C96" s="473">
        <f>C95</f>
        <v>62.72232916279485</v>
      </c>
      <c r="D96" s="473">
        <f>D95</f>
        <v>65.288693890568993</v>
      </c>
      <c r="E96" s="474">
        <f>'PRiSM Resource_Data'!AE20/12</f>
        <v>14.204900135538814</v>
      </c>
      <c r="F96" s="474">
        <f>'PRiSM Resource_Data'!AP20/12</f>
        <v>16.352042152667156</v>
      </c>
      <c r="H96" s="263"/>
      <c r="I96" s="263"/>
      <c r="J96" s="263"/>
    </row>
    <row r="97" spans="1:37">
      <c r="A97" s="472" t="s">
        <v>430</v>
      </c>
      <c r="B97" s="471">
        <v>500</v>
      </c>
      <c r="C97" s="473" t="s">
        <v>431</v>
      </c>
      <c r="D97" s="473" t="s">
        <v>431</v>
      </c>
      <c r="E97" s="474">
        <f>'PRiSM Resource_Data'!AE28/12</f>
        <v>15.547329908691429</v>
      </c>
      <c r="F97" s="474">
        <f>'PRiSM Resource_Data'!AP28/12</f>
        <v>18.919791802983688</v>
      </c>
      <c r="H97" s="263"/>
      <c r="I97" s="263"/>
      <c r="J97" s="263"/>
    </row>
    <row r="98" spans="1:37">
      <c r="A98" s="472" t="s">
        <v>432</v>
      </c>
      <c r="B98" s="471">
        <v>500</v>
      </c>
      <c r="C98" s="473" t="s">
        <v>431</v>
      </c>
      <c r="D98" s="473" t="s">
        <v>433</v>
      </c>
      <c r="E98" s="474">
        <f>'PRiSM Resource_Data'!AE29/12</f>
        <v>27.57797670550676</v>
      </c>
      <c r="F98" s="474">
        <f>'PRiSM Resource_Data'!AP29/12</f>
        <v>32.245396984244373</v>
      </c>
      <c r="H98" s="263"/>
      <c r="I98" s="263"/>
      <c r="J98" s="263"/>
    </row>
    <row r="99" spans="1:37">
      <c r="A99" s="472" t="s">
        <v>434</v>
      </c>
      <c r="B99" s="471">
        <v>100</v>
      </c>
      <c r="C99" s="473" t="s">
        <v>436</v>
      </c>
      <c r="D99" s="473" t="s">
        <v>435</v>
      </c>
      <c r="E99" s="474" t="s">
        <v>422</v>
      </c>
      <c r="F99" s="474" t="s">
        <v>422</v>
      </c>
      <c r="H99" s="263"/>
      <c r="I99" s="263"/>
      <c r="J99" s="263"/>
    </row>
    <row r="100" spans="1:37">
      <c r="H100" s="263"/>
      <c r="I100" s="263"/>
      <c r="J100" s="263"/>
      <c r="K100" s="263"/>
      <c r="L100" s="263"/>
      <c r="M100" s="263"/>
      <c r="N100" s="263"/>
      <c r="O100" s="263"/>
      <c r="P100" s="263"/>
      <c r="Q100" s="263"/>
      <c r="R100" s="263"/>
      <c r="S100" s="263"/>
      <c r="T100" s="263"/>
      <c r="U100" s="263"/>
      <c r="V100" s="263"/>
      <c r="W100" s="263"/>
      <c r="X100" s="263"/>
      <c r="Y100" s="263"/>
      <c r="Z100" s="263"/>
      <c r="AA100" s="263"/>
      <c r="AB100" s="263"/>
      <c r="AC100" s="263"/>
      <c r="AD100" s="263"/>
      <c r="AE100" s="263"/>
      <c r="AF100" s="263"/>
      <c r="AG100" s="263"/>
      <c r="AH100" s="263"/>
      <c r="AI100" s="263"/>
      <c r="AJ100" s="263"/>
      <c r="AK100" s="263"/>
    </row>
    <row r="101" spans="1:37">
      <c r="H101" s="263"/>
      <c r="I101" s="263"/>
      <c r="J101" s="263"/>
      <c r="K101" s="263"/>
      <c r="L101" s="263"/>
      <c r="M101" s="263"/>
      <c r="N101" s="263"/>
      <c r="O101" s="263"/>
      <c r="P101" s="263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263"/>
      <c r="AD101" s="263"/>
      <c r="AE101" s="263"/>
      <c r="AF101" s="263"/>
      <c r="AG101" s="263"/>
      <c r="AH101" s="263"/>
      <c r="AI101" s="263"/>
      <c r="AJ101" s="263"/>
      <c r="AK101" s="263"/>
    </row>
    <row r="102" spans="1:37">
      <c r="H102" s="263"/>
      <c r="I102" s="263"/>
      <c r="J102" s="263"/>
      <c r="K102" s="263"/>
      <c r="L102" s="263"/>
      <c r="M102" s="263"/>
      <c r="N102" s="263"/>
      <c r="O102" s="263"/>
      <c r="P102" s="263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3"/>
      <c r="AC102" s="263"/>
      <c r="AD102" s="263"/>
      <c r="AE102" s="263"/>
      <c r="AF102" s="263"/>
      <c r="AG102" s="263"/>
      <c r="AH102" s="263"/>
      <c r="AI102" s="263"/>
      <c r="AJ102" s="263"/>
      <c r="AK102" s="263"/>
    </row>
  </sheetData>
  <mergeCells count="6">
    <mergeCell ref="B27:B28"/>
    <mergeCell ref="B60:B61"/>
    <mergeCell ref="C69:D69"/>
    <mergeCell ref="E69:F69"/>
    <mergeCell ref="C78:D78"/>
    <mergeCell ref="E78:F7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ED036-1896-449E-8255-CBC1A1B7A6DE}">
  <sheetPr codeName="Sheet16">
    <tabColor rgb="FFB9F8FF"/>
  </sheetPr>
  <dimension ref="A1:AZ60"/>
  <sheetViews>
    <sheetView zoomScale="80" zoomScaleNormal="80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B22" sqref="B22"/>
    </sheetView>
  </sheetViews>
  <sheetFormatPr defaultRowHeight="15"/>
  <cols>
    <col min="1" max="1" width="9.140625" style="263"/>
    <col min="2" max="2" width="74.5703125" bestFit="1" customWidth="1"/>
    <col min="3" max="3" width="5.7109375" bestFit="1" customWidth="1"/>
    <col min="4" max="26" width="13" bestFit="1" customWidth="1"/>
    <col min="27" max="27" width="7.42578125" bestFit="1" customWidth="1"/>
    <col min="28" max="28" width="9.140625" style="263"/>
    <col min="29" max="29" width="8.5703125" bestFit="1" customWidth="1"/>
    <col min="30" max="52" width="13" bestFit="1" customWidth="1"/>
  </cols>
  <sheetData>
    <row r="1" spans="2:52" ht="15.75" thickBot="1">
      <c r="E1" s="509" t="s">
        <v>206</v>
      </c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C1" s="509" t="s">
        <v>207</v>
      </c>
      <c r="AD1" s="509"/>
      <c r="AE1" s="509"/>
      <c r="AF1" s="509"/>
      <c r="AG1" s="509"/>
      <c r="AH1" s="509"/>
      <c r="AI1" s="509"/>
      <c r="AJ1" s="509"/>
      <c r="AK1" s="509"/>
      <c r="AL1" s="509"/>
      <c r="AM1" s="509"/>
      <c r="AN1" s="509"/>
      <c r="AO1" s="509"/>
      <c r="AP1" s="509"/>
      <c r="AQ1" s="509"/>
      <c r="AR1" s="509"/>
      <c r="AS1" s="509"/>
      <c r="AT1" s="509"/>
      <c r="AU1" s="509"/>
      <c r="AV1" s="509"/>
      <c r="AW1" s="509"/>
      <c r="AX1" s="509"/>
      <c r="AY1" s="509"/>
    </row>
    <row r="2" spans="2:52">
      <c r="B2" s="187" t="s">
        <v>29</v>
      </c>
      <c r="C2" s="222" t="s">
        <v>204</v>
      </c>
      <c r="D2" s="222" t="s">
        <v>205</v>
      </c>
      <c r="E2" s="266">
        <v>2023</v>
      </c>
      <c r="F2" s="266">
        <v>2024</v>
      </c>
      <c r="G2" s="266">
        <v>2025</v>
      </c>
      <c r="H2" s="266">
        <v>2026</v>
      </c>
      <c r="I2" s="266">
        <v>2027</v>
      </c>
      <c r="J2" s="266">
        <v>2028</v>
      </c>
      <c r="K2" s="266">
        <v>2029</v>
      </c>
      <c r="L2" s="266">
        <v>2030</v>
      </c>
      <c r="M2" s="266">
        <v>2031</v>
      </c>
      <c r="N2" s="266">
        <v>2032</v>
      </c>
      <c r="O2" s="266">
        <v>2033</v>
      </c>
      <c r="P2" s="266">
        <v>2034</v>
      </c>
      <c r="Q2" s="266">
        <v>2035</v>
      </c>
      <c r="R2" s="266">
        <v>2036</v>
      </c>
      <c r="S2" s="266">
        <v>2037</v>
      </c>
      <c r="T2" s="266">
        <v>2038</v>
      </c>
      <c r="U2" s="266">
        <v>2039</v>
      </c>
      <c r="V2" s="266">
        <v>2040</v>
      </c>
      <c r="W2" s="266">
        <v>2041</v>
      </c>
      <c r="X2" s="266">
        <v>2042</v>
      </c>
      <c r="Y2" s="266">
        <v>2043</v>
      </c>
      <c r="Z2" s="266">
        <v>2044</v>
      </c>
      <c r="AA2" s="267">
        <v>2045</v>
      </c>
      <c r="AC2" s="268">
        <v>2023</v>
      </c>
      <c r="AD2" s="266">
        <v>2024</v>
      </c>
      <c r="AE2" s="266">
        <v>2025</v>
      </c>
      <c r="AF2" s="266">
        <v>2026</v>
      </c>
      <c r="AG2" s="266">
        <v>2027</v>
      </c>
      <c r="AH2" s="266">
        <v>2028</v>
      </c>
      <c r="AI2" s="266">
        <v>2029</v>
      </c>
      <c r="AJ2" s="266">
        <v>2030</v>
      </c>
      <c r="AK2" s="266">
        <v>2031</v>
      </c>
      <c r="AL2" s="266">
        <v>2032</v>
      </c>
      <c r="AM2" s="266">
        <v>2033</v>
      </c>
      <c r="AN2" s="266">
        <v>2034</v>
      </c>
      <c r="AO2" s="266">
        <v>2035</v>
      </c>
      <c r="AP2" s="266">
        <v>2036</v>
      </c>
      <c r="AQ2" s="266">
        <v>2037</v>
      </c>
      <c r="AR2" s="266">
        <v>2038</v>
      </c>
      <c r="AS2" s="266">
        <v>2039</v>
      </c>
      <c r="AT2" s="266">
        <v>2040</v>
      </c>
      <c r="AU2" s="266">
        <v>2041</v>
      </c>
      <c r="AV2" s="266">
        <v>2042</v>
      </c>
      <c r="AW2" s="266">
        <v>2043</v>
      </c>
      <c r="AX2" s="266">
        <v>2044</v>
      </c>
      <c r="AY2" s="267">
        <v>2045</v>
      </c>
      <c r="AZ2" s="263"/>
    </row>
    <row r="3" spans="2:52">
      <c r="B3" s="188" t="s">
        <v>211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279"/>
      <c r="AC3" s="289">
        <f>'Fuel Gen Summary'!E19</f>
        <v>104.26800339205585</v>
      </c>
      <c r="AD3" s="83">
        <f>'Fuel Gen Summary'!F19</f>
        <v>106.71215206790829</v>
      </c>
      <c r="AE3" s="83">
        <f>'Fuel Gen Summary'!G19</f>
        <v>109.09367804968599</v>
      </c>
      <c r="AF3" s="83">
        <f>'Fuel Gen Summary'!H19</f>
        <v>111.52820751922124</v>
      </c>
      <c r="AG3" s="83">
        <f>'Fuel Gen Summary'!I19</f>
        <v>114.01691065317623</v>
      </c>
      <c r="AH3" s="83">
        <f>'Fuel Gen Summary'!J19</f>
        <v>116.5252826875461</v>
      </c>
      <c r="AI3" s="83">
        <f>'Fuel Gen Summary'!K19</f>
        <v>119.08883890667202</v>
      </c>
      <c r="AJ3" s="83">
        <f>'Fuel Gen Summary'!L19</f>
        <v>121.70879336261886</v>
      </c>
      <c r="AK3" s="83">
        <f>'Fuel Gen Summary'!M19</f>
        <v>124.38638681659648</v>
      </c>
      <c r="AL3" s="83">
        <f>'Fuel Gen Summary'!N19</f>
        <v>127.12288732656162</v>
      </c>
      <c r="AM3" s="83">
        <f>'Fuel Gen Summary'!O19</f>
        <v>129.91959084774595</v>
      </c>
      <c r="AN3" s="83">
        <f>'Fuel Gen Summary'!P19</f>
        <v>132.77782184639634</v>
      </c>
      <c r="AO3" s="83">
        <f>'Fuel Gen Summary'!Q19</f>
        <v>135.69893392701707</v>
      </c>
      <c r="AP3" s="83">
        <f>'Fuel Gen Summary'!R19</f>
        <v>138.68431047341147</v>
      </c>
      <c r="AQ3" s="83">
        <f>'Fuel Gen Summary'!S19</f>
        <v>141.73536530382646</v>
      </c>
      <c r="AR3" s="83">
        <f>'Fuel Gen Summary'!T19</f>
        <v>144.85354334051067</v>
      </c>
      <c r="AS3" s="83">
        <f>'Fuel Gen Summary'!U19</f>
        <v>148.04032129400196</v>
      </c>
      <c r="AT3" s="83">
        <f>'Fuel Gen Summary'!V19</f>
        <v>151.29720836246995</v>
      </c>
      <c r="AU3" s="83">
        <f>'Fuel Gen Summary'!W19</f>
        <v>154.62574694644439</v>
      </c>
      <c r="AV3" s="83">
        <f>'Fuel Gen Summary'!X19</f>
        <v>158.02751337926608</v>
      </c>
      <c r="AW3" s="83">
        <f>'Fuel Gen Summary'!Y19</f>
        <v>161.50411867360987</v>
      </c>
      <c r="AX3" s="83">
        <f>'Fuel Gen Summary'!Z19</f>
        <v>165.0572092844294</v>
      </c>
      <c r="AY3" s="279">
        <f>'Fuel Gen Summary'!AA19</f>
        <v>168.68846788868683</v>
      </c>
      <c r="AZ3" s="263"/>
    </row>
    <row r="4" spans="2:52" s="263" customFormat="1">
      <c r="B4" s="188" t="s">
        <v>216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279"/>
      <c r="AC4" s="289">
        <f>'Fuel Gen Summary'!E4</f>
        <v>101.79327534829017</v>
      </c>
      <c r="AD4" s="83">
        <f>'Fuel Gen Summary'!F4</f>
        <v>104.17921120259645</v>
      </c>
      <c r="AE4" s="83">
        <f>'Fuel Gen Summary'!G4</f>
        <v>106.50416817171551</v>
      </c>
      <c r="AF4" s="83">
        <f>'Fuel Gen Summary'!H4</f>
        <v>108.88086525397611</v>
      </c>
      <c r="AG4" s="83">
        <f>'Fuel Gen Summary'!I4</f>
        <v>111.31044441067387</v>
      </c>
      <c r="AH4" s="83">
        <f>'Fuel Gen Summary'!J4</f>
        <v>113.75927418770873</v>
      </c>
      <c r="AI4" s="83">
        <f>'Fuel Gen Summary'!K4</f>
        <v>116.26197821983826</v>
      </c>
      <c r="AJ4" s="83">
        <f>'Fuel Gen Summary'!L4</f>
        <v>118.81974174067474</v>
      </c>
      <c r="AK4" s="83">
        <f>'Fuel Gen Summary'!M4</f>
        <v>121.43377605896954</v>
      </c>
      <c r="AL4" s="83">
        <f>'Fuel Gen Summary'!N4</f>
        <v>124.10531913226693</v>
      </c>
      <c r="AM4" s="83">
        <f>'Fuel Gen Summary'!O4</f>
        <v>126.83563615317678</v>
      </c>
      <c r="AN4" s="83">
        <f>'Fuel Gen Summary'!P4</f>
        <v>129.62602014854673</v>
      </c>
      <c r="AO4" s="83">
        <f>'Fuel Gen Summary'!Q4</f>
        <v>132.47779259181473</v>
      </c>
      <c r="AP4" s="83">
        <f>'Fuel Gen Summary'!R4</f>
        <v>135.39230402883462</v>
      </c>
      <c r="AQ4" s="83">
        <f>'Fuel Gen Summary'!S4</f>
        <v>138.37093471746894</v>
      </c>
      <c r="AR4" s="83">
        <f>'Fuel Gen Summary'!T4</f>
        <v>141.41509528125331</v>
      </c>
      <c r="AS4" s="83">
        <f>'Fuel Gen Summary'!U4</f>
        <v>144.5262273774409</v>
      </c>
      <c r="AT4" s="83">
        <f>'Fuel Gen Summary'!V4</f>
        <v>147.70580437974456</v>
      </c>
      <c r="AU4" s="83">
        <f>'Fuel Gen Summary'!W4</f>
        <v>150.95533207609895</v>
      </c>
      <c r="AV4" s="83">
        <f>'Fuel Gen Summary'!X4</f>
        <v>154.27634938177312</v>
      </c>
      <c r="AW4" s="83">
        <f>'Fuel Gen Summary'!Y4</f>
        <v>157.67042906817215</v>
      </c>
      <c r="AX4" s="83">
        <f>'Fuel Gen Summary'!Z4</f>
        <v>161.13917850767189</v>
      </c>
      <c r="AY4" s="279">
        <f>'Fuel Gen Summary'!AA4</f>
        <v>164.68424043484075</v>
      </c>
    </row>
    <row r="5" spans="2:52">
      <c r="B5" s="188" t="s">
        <v>212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279"/>
      <c r="AC5" s="289">
        <f>'Fuel Gen Summary'!E22</f>
        <v>156.16587011320217</v>
      </c>
      <c r="AD5" s="83">
        <f>'Fuel Gen Summary'!F22</f>
        <v>159.83086854253904</v>
      </c>
      <c r="AE5" s="83">
        <f>'Fuel Gen Summary'!G22</f>
        <v>163.39872466800244</v>
      </c>
      <c r="AF5" s="83">
        <f>'Fuel Gen Summary'!H22</f>
        <v>167.04608029220429</v>
      </c>
      <c r="AG5" s="83">
        <f>'Fuel Gen Summary'!I22</f>
        <v>170.77469743227803</v>
      </c>
      <c r="AH5" s="83">
        <f>'Fuel Gen Summary'!J22</f>
        <v>174.53174077578819</v>
      </c>
      <c r="AI5" s="83">
        <f>'Fuel Gen Summary'!K22</f>
        <v>178.37143907285559</v>
      </c>
      <c r="AJ5" s="83">
        <f>'Fuel Gen Summary'!L22</f>
        <v>182.29561073245836</v>
      </c>
      <c r="AK5" s="83">
        <f>'Fuel Gen Summary'!M22</f>
        <v>186.30611416857244</v>
      </c>
      <c r="AL5" s="83">
        <f>'Fuel Gen Summary'!N22</f>
        <v>190.40484868028102</v>
      </c>
      <c r="AM5" s="83">
        <f>'Fuel Gen Summary'!O22</f>
        <v>194.59375535124721</v>
      </c>
      <c r="AN5" s="83">
        <f>'Fuel Gen Summary'!P22</f>
        <v>198.87481796897475</v>
      </c>
      <c r="AO5" s="83">
        <f>'Fuel Gen Summary'!Q22</f>
        <v>203.25006396429208</v>
      </c>
      <c r="AP5" s="83">
        <f>'Fuel Gen Summary'!R22</f>
        <v>207.7215653715065</v>
      </c>
      <c r="AQ5" s="83">
        <f>'Fuel Gen Summary'!S22</f>
        <v>212.29143980967962</v>
      </c>
      <c r="AR5" s="83">
        <f>'Fuel Gen Summary'!T22</f>
        <v>216.96185148549262</v>
      </c>
      <c r="AS5" s="83">
        <f>'Fuel Gen Summary'!U22</f>
        <v>221.73501221817341</v>
      </c>
      <c r="AT5" s="83">
        <f>'Fuel Gen Summary'!V22</f>
        <v>226.61318248697327</v>
      </c>
      <c r="AU5" s="83">
        <f>'Fuel Gen Summary'!W22</f>
        <v>231.59867250168671</v>
      </c>
      <c r="AV5" s="83">
        <f>'Fuel Gen Summary'!X22</f>
        <v>236.69384329672386</v>
      </c>
      <c r="AW5" s="83">
        <f>'Fuel Gen Summary'!Y22</f>
        <v>241.90110784925179</v>
      </c>
      <c r="AX5" s="83">
        <f>'Fuel Gen Summary'!Z22</f>
        <v>247.22293222193528</v>
      </c>
      <c r="AY5" s="279">
        <f>'Fuel Gen Summary'!AA22</f>
        <v>252.66183673081787</v>
      </c>
      <c r="AZ5" s="263"/>
    </row>
    <row r="6" spans="2:52" s="263" customFormat="1">
      <c r="B6" s="188" t="s">
        <v>217</v>
      </c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279"/>
      <c r="AC6" s="289">
        <f>'Fuel Gen Summary'!E7</f>
        <v>152.37852896413463</v>
      </c>
      <c r="AD6" s="83">
        <f>'Fuel Gen Summary'!F7</f>
        <v>155.9544380832337</v>
      </c>
      <c r="AE6" s="83">
        <f>'Fuel Gen Summary'!G7</f>
        <v>159.43572059510592</v>
      </c>
      <c r="AF6" s="83">
        <f>'Fuel Gen Summary'!H7</f>
        <v>162.9945691283464</v>
      </c>
      <c r="AG6" s="83">
        <f>'Fuel Gen Summary'!I7</f>
        <v>166.63270251909407</v>
      </c>
      <c r="AH6" s="83">
        <f>'Fuel Gen Summary'!J7</f>
        <v>170.29862197451416</v>
      </c>
      <c r="AI6" s="83">
        <f>'Fuel Gen Summary'!K7</f>
        <v>174.04519165795352</v>
      </c>
      <c r="AJ6" s="83">
        <f>'Fuel Gen Summary'!L7</f>
        <v>177.87418587442843</v>
      </c>
      <c r="AK6" s="83">
        <f>'Fuel Gen Summary'!M7</f>
        <v>181.78741796366583</v>
      </c>
      <c r="AL6" s="83">
        <f>'Fuel Gen Summary'!N7</f>
        <v>185.78674115886648</v>
      </c>
      <c r="AM6" s="83">
        <f>'Fuel Gen Summary'!O7</f>
        <v>189.87404946436152</v>
      </c>
      <c r="AN6" s="83">
        <f>'Fuel Gen Summary'!P7</f>
        <v>194.05127855257754</v>
      </c>
      <c r="AO6" s="83">
        <f>'Fuel Gen Summary'!Q7</f>
        <v>198.32040668073421</v>
      </c>
      <c r="AP6" s="83">
        <f>'Fuel Gen Summary'!R7</f>
        <v>202.68345562771034</v>
      </c>
      <c r="AQ6" s="83">
        <f>'Fuel Gen Summary'!S7</f>
        <v>207.14249165151998</v>
      </c>
      <c r="AR6" s="83">
        <f>'Fuel Gen Summary'!T7</f>
        <v>211.69962646785345</v>
      </c>
      <c r="AS6" s="83">
        <f>'Fuel Gen Summary'!U7</f>
        <v>216.35701825014621</v>
      </c>
      <c r="AT6" s="83">
        <f>'Fuel Gen Summary'!V7</f>
        <v>221.1168726516494</v>
      </c>
      <c r="AU6" s="83">
        <f>'Fuel Gen Summary'!W7</f>
        <v>225.98144384998577</v>
      </c>
      <c r="AV6" s="83">
        <f>'Fuel Gen Summary'!X7</f>
        <v>230.95303561468532</v>
      </c>
      <c r="AW6" s="83">
        <f>'Fuel Gen Summary'!Y7</f>
        <v>236.03400239820849</v>
      </c>
      <c r="AX6" s="83">
        <f>'Fuel Gen Summary'!Z7</f>
        <v>241.22675045096904</v>
      </c>
      <c r="AY6" s="279">
        <f>'Fuel Gen Summary'!AA7</f>
        <v>246.53373896089042</v>
      </c>
    </row>
    <row r="7" spans="2:52">
      <c r="B7" s="173" t="s">
        <v>213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279"/>
      <c r="AC7" s="289">
        <f>'Fuel Gen Summary'!E25</f>
        <v>187.10994104317956</v>
      </c>
      <c r="AD7" s="83">
        <f>'Fuel Gen Summary'!F25</f>
        <v>191.46110687690842</v>
      </c>
      <c r="AE7" s="83">
        <f>'Fuel Gen Summary'!G25</f>
        <v>195.72700514015713</v>
      </c>
      <c r="AF7" s="83">
        <f>'Fuel Gen Summary'!H25</f>
        <v>200.08709370964883</v>
      </c>
      <c r="AG7" s="83">
        <f>'Fuel Gen Summary'!I25</f>
        <v>204.54339639424461</v>
      </c>
      <c r="AH7" s="83">
        <f>'Fuel Gen Summary'!J25</f>
        <v>209.04335111491812</v>
      </c>
      <c r="AI7" s="83">
        <f>'Fuel Gen Summary'!K25</f>
        <v>213.6423048394463</v>
      </c>
      <c r="AJ7" s="83">
        <f>'Fuel Gen Summary'!L25</f>
        <v>218.34243554591413</v>
      </c>
      <c r="AK7" s="83">
        <f>'Fuel Gen Summary'!M25</f>
        <v>223.14596912792422</v>
      </c>
      <c r="AL7" s="83">
        <f>'Fuel Gen Summary'!N25</f>
        <v>228.0551804487385</v>
      </c>
      <c r="AM7" s="83">
        <f>'Fuel Gen Summary'!O25</f>
        <v>233.07239441861083</v>
      </c>
      <c r="AN7" s="83">
        <f>'Fuel Gen Summary'!P25</f>
        <v>238.19998709582029</v>
      </c>
      <c r="AO7" s="83">
        <f>'Fuel Gen Summary'!Q25</f>
        <v>243.44038681192833</v>
      </c>
      <c r="AP7" s="83">
        <f>'Fuel Gen Summary'!R25</f>
        <v>248.79607532179074</v>
      </c>
      <c r="AQ7" s="83">
        <f>'Fuel Gen Summary'!S25</f>
        <v>254.26958897887008</v>
      </c>
      <c r="AR7" s="83">
        <f>'Fuel Gen Summary'!T25</f>
        <v>259.86351993640534</v>
      </c>
      <c r="AS7" s="83">
        <f>'Fuel Gen Summary'!U25</f>
        <v>265.58051737500614</v>
      </c>
      <c r="AT7" s="83">
        <f>'Fuel Gen Summary'!V25</f>
        <v>271.42328875725633</v>
      </c>
      <c r="AU7" s="83">
        <f>'Fuel Gen Summary'!W25</f>
        <v>277.39460110991604</v>
      </c>
      <c r="AV7" s="83">
        <f>'Fuel Gen Summary'!X25</f>
        <v>283.49728233433416</v>
      </c>
      <c r="AW7" s="83">
        <f>'Fuel Gen Summary'!Y25</f>
        <v>289.73422254568942</v>
      </c>
      <c r="AX7" s="83">
        <f>'Fuel Gen Summary'!Z25</f>
        <v>296.10837544169465</v>
      </c>
      <c r="AY7" s="279">
        <f>'Fuel Gen Summary'!AA25</f>
        <v>302.62275970141201</v>
      </c>
      <c r="AZ7" s="263"/>
    </row>
    <row r="8" spans="2:52" s="263" customFormat="1">
      <c r="B8" s="194" t="s">
        <v>218</v>
      </c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5"/>
      <c r="AC8" s="290">
        <f>'Fuel Gen Summary'!E10</f>
        <v>183.32329882681694</v>
      </c>
      <c r="AD8" s="284">
        <f>'Fuel Gen Summary'!F10</f>
        <v>187.58539179124369</v>
      </c>
      <c r="AE8" s="284">
        <f>'Fuel Gen Summary'!G10</f>
        <v>191.76473241757932</v>
      </c>
      <c r="AF8" s="284">
        <f>'Fuel Gen Summary'!H10</f>
        <v>196.03633022960017</v>
      </c>
      <c r="AG8" s="284">
        <f>'Fuel Gen Summary'!I10</f>
        <v>200.40216586314156</v>
      </c>
      <c r="AH8" s="284">
        <f>'Fuel Gen Summary'!J10</f>
        <v>204.81101351213067</v>
      </c>
      <c r="AI8" s="284">
        <f>'Fuel Gen Summary'!K10</f>
        <v>209.31685580939757</v>
      </c>
      <c r="AJ8" s="284">
        <f>'Fuel Gen Summary'!L10</f>
        <v>213.92182663720425</v>
      </c>
      <c r="AK8" s="284">
        <f>'Fuel Gen Summary'!M10</f>
        <v>218.62810682322277</v>
      </c>
      <c r="AL8" s="284">
        <f>'Fuel Gen Summary'!N10</f>
        <v>223.43792517333372</v>
      </c>
      <c r="AM8" s="284">
        <f>'Fuel Gen Summary'!O10</f>
        <v>228.35355952714707</v>
      </c>
      <c r="AN8" s="284">
        <f>'Fuel Gen Summary'!P10</f>
        <v>233.3773378367442</v>
      </c>
      <c r="AO8" s="284">
        <f>'Fuel Gen Summary'!Q10</f>
        <v>238.51163926915268</v>
      </c>
      <c r="AP8" s="284">
        <f>'Fuel Gen Summary'!R10</f>
        <v>243.75889533307401</v>
      </c>
      <c r="AQ8" s="284">
        <f>'Fuel Gen Summary'!S10</f>
        <v>249.12159103040159</v>
      </c>
      <c r="AR8" s="284">
        <f>'Fuel Gen Summary'!T10</f>
        <v>254.60226603307058</v>
      </c>
      <c r="AS8" s="284">
        <f>'Fuel Gen Summary'!U10</f>
        <v>260.20351588579808</v>
      </c>
      <c r="AT8" s="284">
        <f>'Fuel Gen Summary'!V10</f>
        <v>265.92799323528556</v>
      </c>
      <c r="AU8" s="284">
        <f>'Fuel Gen Summary'!W10</f>
        <v>271.77840908646203</v>
      </c>
      <c r="AV8" s="284">
        <f>'Fuel Gen Summary'!X10</f>
        <v>277.7575340863641</v>
      </c>
      <c r="AW8" s="284">
        <f>'Fuel Gen Summary'!Y10</f>
        <v>283.86819983626401</v>
      </c>
      <c r="AX8" s="284">
        <f>'Fuel Gen Summary'!Z10</f>
        <v>290.11330023266191</v>
      </c>
      <c r="AY8" s="285">
        <f>'Fuel Gen Summary'!AA10</f>
        <v>296.49579283778036</v>
      </c>
    </row>
    <row r="9" spans="2:52">
      <c r="B9" s="204" t="s">
        <v>3</v>
      </c>
      <c r="C9" s="284"/>
      <c r="D9" s="284"/>
      <c r="E9" s="284">
        <f>'PPA Summary'!E3</f>
        <v>123.42362054157678</v>
      </c>
      <c r="F9" s="284">
        <f>'PPA Summary'!F3</f>
        <v>125.6400678223942</v>
      </c>
      <c r="G9" s="284">
        <f>'PPA Summary'!G3</f>
        <v>127.76692847036539</v>
      </c>
      <c r="H9" s="284">
        <f>'PPA Summary'!H3</f>
        <v>129.92578700318504</v>
      </c>
      <c r="I9" s="284">
        <f>'PPA Summary'!I3</f>
        <v>132.11813883102906</v>
      </c>
      <c r="J9" s="284">
        <f>'PPA Summary'!J3</f>
        <v>134.30632571187132</v>
      </c>
      <c r="K9" s="284">
        <f>'PPA Summary'!K3</f>
        <v>136.52790146778904</v>
      </c>
      <c r="L9" s="284">
        <f>'PPA Summary'!L3</f>
        <v>138.78206110002844</v>
      </c>
      <c r="M9" s="284">
        <f>'PPA Summary'!M3</f>
        <v>141.06912771914241</v>
      </c>
      <c r="N9" s="284">
        <f>'PPA Summary'!N3</f>
        <v>143.01914544287331</v>
      </c>
      <c r="O9" s="284">
        <f>'PPA Summary'!O3</f>
        <v>152.18066948827411</v>
      </c>
      <c r="P9" s="284">
        <f>'PPA Summary'!P3</f>
        <v>157.9667535090866</v>
      </c>
      <c r="Q9" s="284">
        <f>'PPA Summary'!Q3</f>
        <v>167.67913411227838</v>
      </c>
      <c r="R9" s="284">
        <f>'PPA Summary'!R3</f>
        <v>170.01506202865255</v>
      </c>
      <c r="S9" s="284">
        <f>'PPA Summary'!S3</f>
        <v>172.34491017708308</v>
      </c>
      <c r="T9" s="284">
        <f>'PPA Summary'!T3</f>
        <v>174.6666395901577</v>
      </c>
      <c r="U9" s="284">
        <f>'PPA Summary'!U3</f>
        <v>176.97513244081694</v>
      </c>
      <c r="V9" s="284">
        <f>'PPA Summary'!V3</f>
        <v>179.26629246140618</v>
      </c>
      <c r="W9" s="284">
        <f>'PPA Summary'!W3</f>
        <v>181.53547956096472</v>
      </c>
      <c r="X9" s="284">
        <f>'PPA Summary'!X3</f>
        <v>183.77810023483005</v>
      </c>
      <c r="Y9" s="284">
        <f>'PPA Summary'!Y3</f>
        <v>185.98879044846967</v>
      </c>
      <c r="Z9" s="284">
        <f>'PPA Summary'!Z3</f>
        <v>188.16186104906791</v>
      </c>
      <c r="AA9" s="285">
        <f>'PPA Summary'!AA3</f>
        <v>190.29127563928739</v>
      </c>
      <c r="AC9" s="290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5"/>
      <c r="AZ9" s="263"/>
    </row>
    <row r="10" spans="2:52">
      <c r="B10" s="189" t="s">
        <v>4</v>
      </c>
      <c r="C10" s="83"/>
      <c r="D10" s="83"/>
      <c r="E10" s="83">
        <f>'PPA Summary'!E4</f>
        <v>44.808985938322863</v>
      </c>
      <c r="F10" s="83">
        <f>'PPA Summary'!F4</f>
        <v>43.645660965487522</v>
      </c>
      <c r="G10" s="83">
        <f>'PPA Summary'!G4</f>
        <v>42.351248474471163</v>
      </c>
      <c r="H10" s="83">
        <f>'PPA Summary'!H4</f>
        <v>40.981288694943196</v>
      </c>
      <c r="I10" s="83">
        <f>'PPA Summary'!I4</f>
        <v>38.455376989167291</v>
      </c>
      <c r="J10" s="83">
        <f>'PPA Summary'!J4</f>
        <v>35.881561361714084</v>
      </c>
      <c r="K10" s="83">
        <f>'PPA Summary'!K4</f>
        <v>33.274869493464678</v>
      </c>
      <c r="L10" s="83">
        <f>'PPA Summary'!L4</f>
        <v>30.635088449499367</v>
      </c>
      <c r="M10" s="83">
        <f>'PPA Summary'!M4</f>
        <v>30.677357471281692</v>
      </c>
      <c r="N10" s="83">
        <f>'PPA Summary'!N4</f>
        <v>30.182825825372174</v>
      </c>
      <c r="O10" s="83">
        <f>'PPA Summary'!O4</f>
        <v>42.062865146116536</v>
      </c>
      <c r="P10" s="83">
        <f>'PPA Summary'!P4</f>
        <v>48.076007690632494</v>
      </c>
      <c r="Q10" s="83">
        <f>'PPA Summary'!Q4</f>
        <v>60.801768801473642</v>
      </c>
      <c r="R10" s="83">
        <f>'PPA Summary'!R4</f>
        <v>60.767767296478013</v>
      </c>
      <c r="S10" s="83">
        <f>'PPA Summary'!S4</f>
        <v>60.674957711836676</v>
      </c>
      <c r="T10" s="83">
        <f>'PPA Summary'!T4</f>
        <v>60.518614586659467</v>
      </c>
      <c r="U10" s="83">
        <f>'PPA Summary'!U4</f>
        <v>60.293681278057889</v>
      </c>
      <c r="V10" s="83">
        <f>'PPA Summary'!V4</f>
        <v>59.994737152354055</v>
      </c>
      <c r="W10" s="83">
        <f>'PPA Summary'!W4</f>
        <v>59.615971251087281</v>
      </c>
      <c r="X10" s="83">
        <f>'PPA Summary'!X4</f>
        <v>59.151154028740095</v>
      </c>
      <c r="Y10" s="83">
        <f>'PPA Summary'!Y4</f>
        <v>58.593607024492655</v>
      </c>
      <c r="Z10" s="83">
        <f>'PPA Summary'!Z4</f>
        <v>57.936170314809516</v>
      </c>
      <c r="AA10" s="279">
        <f>'PPA Summary'!AA4</f>
        <v>57.17116758764643</v>
      </c>
      <c r="AC10" s="289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279"/>
      <c r="AZ10" s="263"/>
    </row>
    <row r="11" spans="2:52">
      <c r="B11" s="189" t="s">
        <v>5</v>
      </c>
      <c r="C11" s="83"/>
      <c r="D11" s="83"/>
      <c r="E11" s="83">
        <f>'PPA Summary'!E5</f>
        <v>49.230375147012445</v>
      </c>
      <c r="F11" s="83">
        <f>'PPA Summary'!F5</f>
        <v>48.225880650999365</v>
      </c>
      <c r="G11" s="83">
        <f>'PPA Summary'!G5</f>
        <v>47.089239270015185</v>
      </c>
      <c r="H11" s="83">
        <f>'PPA Summary'!H5</f>
        <v>45.881738491964541</v>
      </c>
      <c r="I11" s="83">
        <f>'PPA Summary'!I5</f>
        <v>43.441298773353658</v>
      </c>
      <c r="J11" s="83">
        <f>'PPA Summary'!J5</f>
        <v>40.951955543172865</v>
      </c>
      <c r="K11" s="83">
        <f>'PPA Summary'!K5</f>
        <v>38.430387547463411</v>
      </c>
      <c r="L11" s="83">
        <f>'PPA Summary'!L5</f>
        <v>35.876409922466429</v>
      </c>
      <c r="M11" s="83">
        <f>'PPA Summary'!M5</f>
        <v>36.042561295038887</v>
      </c>
      <c r="N11" s="83">
        <f>'PPA Summary'!N5</f>
        <v>35.687612922049226</v>
      </c>
      <c r="O11" s="83">
        <f>'PPA Summary'!O5</f>
        <v>47.711267413014752</v>
      </c>
      <c r="P11" s="83">
        <f>'PPA Summary'!P5</f>
        <v>53.872267070152624</v>
      </c>
      <c r="Q11" s="83">
        <f>'PPA Summary'!Q5</f>
        <v>66.750211196279935</v>
      </c>
      <c r="R11" s="83">
        <f>'PPA Summary'!R5</f>
        <v>66.872946210221798</v>
      </c>
      <c r="S11" s="83">
        <f>'PPA Summary'!S5</f>
        <v>66.941574716249463</v>
      </c>
      <c r="T11" s="83">
        <f>'PPA Summary'!T5</f>
        <v>66.951558866697539</v>
      </c>
      <c r="U11" s="83">
        <f>'PPA Summary'!U5</f>
        <v>66.898035334541234</v>
      </c>
      <c r="V11" s="83">
        <f>'PPA Summary'!V5</f>
        <v>66.775787054470001</v>
      </c>
      <c r="W11" s="83">
        <f>'PPA Summary'!W5</f>
        <v>66.579217837931395</v>
      </c>
      <c r="X11" s="83">
        <f>'PPA Summary'!X5</f>
        <v>66.302324656073196</v>
      </c>
      <c r="Y11" s="83">
        <f>'PPA Summary'!Y5</f>
        <v>65.938668074136132</v>
      </c>
      <c r="Z11" s="83">
        <f>'PPA Summary'!Z5</f>
        <v>65.481340526720217</v>
      </c>
      <c r="AA11" s="279">
        <f>'PPA Summary'!AA5</f>
        <v>64.922932270376165</v>
      </c>
      <c r="AC11" s="289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279"/>
      <c r="AZ11" s="263"/>
    </row>
    <row r="12" spans="2:52">
      <c r="B12" s="189" t="s">
        <v>6</v>
      </c>
      <c r="C12" s="83"/>
      <c r="D12" s="83"/>
      <c r="E12" s="83">
        <f>'PPA Summary'!E6</f>
        <v>34.637505919817016</v>
      </c>
      <c r="F12" s="83">
        <f>'PPA Summary'!F6</f>
        <v>33.717392367760439</v>
      </c>
      <c r="G12" s="83">
        <f>'PPA Summary'!G6</f>
        <v>32.68946872628905</v>
      </c>
      <c r="H12" s="83">
        <f>'PPA Summary'!H6</f>
        <v>31.602195383154513</v>
      </c>
      <c r="I12" s="83">
        <f>'PPA Summary'!I6</f>
        <v>29.522212136246207</v>
      </c>
      <c r="J12" s="83">
        <f>'PPA Summary'!J6</f>
        <v>27.400543985769417</v>
      </c>
      <c r="K12" s="83">
        <f>'PPA Summary'!K6</f>
        <v>25.250379378016202</v>
      </c>
      <c r="L12" s="83">
        <f>'PPA Summary'!L6</f>
        <v>23.07148946216569</v>
      </c>
      <c r="M12" s="83">
        <f>'PPA Summary'!M6</f>
        <v>23.077574526091063</v>
      </c>
      <c r="N12" s="83">
        <f>'PPA Summary'!N6</f>
        <v>22.661366086814606</v>
      </c>
      <c r="O12" s="83">
        <f>'PPA Summary'!O6</f>
        <v>34.631285600130802</v>
      </c>
      <c r="P12" s="83">
        <f>'PPA Summary'!P6</f>
        <v>40.746729662261288</v>
      </c>
      <c r="Q12" s="83">
        <f>'PPA Summary'!Q6</f>
        <v>53.588018022369702</v>
      </c>
      <c r="R12" s="83">
        <f>'PPA Summary'!R6</f>
        <v>53.68375114823381</v>
      </c>
      <c r="S12" s="83">
        <f>'PPA Summary'!S6</f>
        <v>53.73587184629023</v>
      </c>
      <c r="T12" s="83">
        <f>'PPA Summary'!T6</f>
        <v>53.740718273509309</v>
      </c>
      <c r="U12" s="83">
        <f>'PPA Summary'!U6</f>
        <v>53.694374064344203</v>
      </c>
      <c r="V12" s="83">
        <f>'PPA Summary'!V6</f>
        <v>53.592638085528904</v>
      </c>
      <c r="W12" s="83">
        <f>'PPA Summary'!W6</f>
        <v>53.43100397387385</v>
      </c>
      <c r="X12" s="83">
        <f>'PPA Summary'!X6</f>
        <v>53.204637826874105</v>
      </c>
      <c r="Y12" s="83">
        <f>'PPA Summary'!Y6</f>
        <v>52.908354404608467</v>
      </c>
      <c r="Z12" s="83">
        <f>'PPA Summary'!Z6</f>
        <v>52.536591590832792</v>
      </c>
      <c r="AA12" s="279">
        <f>'PPA Summary'!AA6</f>
        <v>52.083382983860091</v>
      </c>
      <c r="AC12" s="289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279"/>
      <c r="AZ12" s="263"/>
    </row>
    <row r="13" spans="2:52">
      <c r="B13" s="200" t="s">
        <v>7</v>
      </c>
      <c r="C13" s="284"/>
      <c r="D13" s="284"/>
      <c r="E13" s="284">
        <f>'PPA Summary'!E7</f>
        <v>128.27477932132945</v>
      </c>
      <c r="F13" s="284">
        <f>'PPA Summary'!F7</f>
        <v>126.09674008801613</v>
      </c>
      <c r="G13" s="284">
        <f>'PPA Summary'!G7</f>
        <v>124.41987348393539</v>
      </c>
      <c r="H13" s="284">
        <f>'PPA Summary'!H7</f>
        <v>123.1952398739468</v>
      </c>
      <c r="I13" s="284">
        <f>'PPA Summary'!I7</f>
        <v>122.30512885654335</v>
      </c>
      <c r="J13" s="284">
        <f>'PPA Summary'!J7</f>
        <v>121.63315267159105</v>
      </c>
      <c r="K13" s="284">
        <f>'PPA Summary'!K7</f>
        <v>121.16721467529588</v>
      </c>
      <c r="L13" s="284">
        <f>'PPA Summary'!L7</f>
        <v>120.87004436130501</v>
      </c>
      <c r="M13" s="284">
        <f>'PPA Summary'!M7</f>
        <v>121.30539132832925</v>
      </c>
      <c r="N13" s="284">
        <f>'PPA Summary'!N7</f>
        <v>121.1866745413914</v>
      </c>
      <c r="O13" s="284">
        <f>'PPA Summary'!O7</f>
        <v>132.8439422368547</v>
      </c>
      <c r="P13" s="284">
        <f>'PPA Summary'!P7</f>
        <v>139.05900122556065</v>
      </c>
      <c r="Q13" s="284">
        <f>'PPA Summary'!Q7</f>
        <v>151.68727428070795</v>
      </c>
      <c r="R13" s="284">
        <f>'PPA Summary'!R7</f>
        <v>152.35367823521952</v>
      </c>
      <c r="S13" s="284">
        <f>'PPA Summary'!S7</f>
        <v>153.031047100899</v>
      </c>
      <c r="T13" s="284">
        <f>'PPA Summary'!T7</f>
        <v>153.70893482299925</v>
      </c>
      <c r="U13" s="284">
        <f>'PPA Summary'!U7</f>
        <v>154.37733084701475</v>
      </c>
      <c r="V13" s="284">
        <f>'PPA Summary'!V7</f>
        <v>155.02646310858842</v>
      </c>
      <c r="W13" s="284">
        <f>'PPA Summary'!W7</f>
        <v>155.64663658150786</v>
      </c>
      <c r="X13" s="284">
        <f>'PPA Summary'!X7</f>
        <v>156.22809796881992</v>
      </c>
      <c r="Y13" s="284">
        <f>'PPA Summary'!Y7</f>
        <v>156.76091904989019</v>
      </c>
      <c r="Z13" s="284">
        <f>'PPA Summary'!Z7</f>
        <v>157.23489326552723</v>
      </c>
      <c r="AA13" s="285">
        <f>'PPA Summary'!AA7</f>
        <v>157.63944154534607</v>
      </c>
      <c r="AC13" s="290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5"/>
      <c r="AZ13" s="263"/>
    </row>
    <row r="14" spans="2:52">
      <c r="B14" s="190" t="s">
        <v>130</v>
      </c>
      <c r="C14" s="83"/>
      <c r="D14" s="83"/>
      <c r="E14" s="83">
        <f>'PPA Summary'!E8</f>
        <v>145.60156147837293</v>
      </c>
      <c r="F14" s="83">
        <f>'PPA Summary'!F8</f>
        <v>147.93419063180869</v>
      </c>
      <c r="G14" s="83">
        <f>'PPA Summary'!G8</f>
        <v>150.23333568773643</v>
      </c>
      <c r="H14" s="83">
        <f>'PPA Summary'!H8</f>
        <v>152.66339970515989</v>
      </c>
      <c r="I14" s="83">
        <f>'PPA Summary'!I8</f>
        <v>155.23608202701462</v>
      </c>
      <c r="J14" s="83">
        <f>'PPA Summary'!J8</f>
        <v>157.91697653093988</v>
      </c>
      <c r="K14" s="83">
        <f>'PPA Summary'!K8</f>
        <v>160.76539303948769</v>
      </c>
      <c r="L14" s="83">
        <f>'PPA Summary'!L8</f>
        <v>163.79604370438966</v>
      </c>
      <c r="M14" s="83">
        <f>'PPA Summary'!M8</f>
        <v>167.06321376210585</v>
      </c>
      <c r="N14" s="83">
        <f>'PPA Summary'!N8</f>
        <v>170.02613664671736</v>
      </c>
      <c r="O14" s="83">
        <f>'PPA Summary'!O8</f>
        <v>187.50185814946525</v>
      </c>
      <c r="P14" s="83">
        <f>'PPA Summary'!P8</f>
        <v>205.61106817816622</v>
      </c>
      <c r="Q14" s="83">
        <f>'PPA Summary'!Q8</f>
        <v>322.9533431468829</v>
      </c>
      <c r="R14" s="83">
        <f>'PPA Summary'!R8</f>
        <v>329.02804722674671</v>
      </c>
      <c r="S14" s="83">
        <f>'PPA Summary'!S8</f>
        <v>335.19532549526525</v>
      </c>
      <c r="T14" s="83">
        <f>'PPA Summary'!T8</f>
        <v>341.45491557251773</v>
      </c>
      <c r="U14" s="83">
        <f>'PPA Summary'!U8</f>
        <v>347.80633996154279</v>
      </c>
      <c r="V14" s="83">
        <f>'PPA Summary'!V8</f>
        <v>354.24893918265934</v>
      </c>
      <c r="W14" s="83">
        <f>'PPA Summary'!W8</f>
        <v>360.78185540004841</v>
      </c>
      <c r="X14" s="83">
        <f>'PPA Summary'!X8</f>
        <v>367.40401475319538</v>
      </c>
      <c r="Y14" s="83">
        <f>'PPA Summary'!Y8</f>
        <v>374.11410836323461</v>
      </c>
      <c r="Z14" s="83">
        <f>'PPA Summary'!Z8</f>
        <v>380.91057184011635</v>
      </c>
      <c r="AA14" s="279">
        <f>'PPA Summary'!AA8</f>
        <v>387.79156323568287</v>
      </c>
      <c r="AC14" s="289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279"/>
      <c r="AZ14" s="263"/>
    </row>
    <row r="15" spans="2:52">
      <c r="B15" s="190" t="s">
        <v>139</v>
      </c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279"/>
      <c r="AC15" s="289">
        <f>'PPA Summary'!E81*12</f>
        <v>255.33106739677854</v>
      </c>
      <c r="AD15" s="83">
        <f>'PPA Summary'!F81*12</f>
        <v>259.37290410038923</v>
      </c>
      <c r="AE15" s="83">
        <f>'PPA Summary'!G81*12</f>
        <v>263.64635682927849</v>
      </c>
      <c r="AF15" s="83">
        <f>'PPA Summary'!H81*12</f>
        <v>268.3196098997571</v>
      </c>
      <c r="AG15" s="83">
        <f>'PPA Summary'!I81*12</f>
        <v>273.19393197783813</v>
      </c>
      <c r="AH15" s="83">
        <f>'PPA Summary'!J81*12</f>
        <v>278.21042889398103</v>
      </c>
      <c r="AI15" s="83">
        <f>'PPA Summary'!K81*12</f>
        <v>283.3956268610944</v>
      </c>
      <c r="AJ15" s="83">
        <f>'PPA Summary'!L81*12</f>
        <v>288.75171280685663</v>
      </c>
      <c r="AK15" s="83">
        <f>'PPA Summary'!M81*12</f>
        <v>294.26998144671768</v>
      </c>
      <c r="AL15" s="83">
        <f>'PPA Summary'!N81*12</f>
        <v>298.44078740043835</v>
      </c>
      <c r="AM15" s="83">
        <f>'PPA Summary'!O81*12</f>
        <v>316.83505113692632</v>
      </c>
      <c r="AN15" s="83">
        <f>'PPA Summary'!P81*12</f>
        <v>335.8394971246243</v>
      </c>
      <c r="AO15" s="83">
        <f>'PPA Summary'!Q81*12</f>
        <v>452.63874188671628</v>
      </c>
      <c r="AP15" s="83">
        <f>'PPA Summary'!R81*12</f>
        <v>459.84892497320209</v>
      </c>
      <c r="AQ15" s="83">
        <f>'PPA Summary'!S81*12</f>
        <v>467.08938016963589</v>
      </c>
      <c r="AR15" s="83">
        <f>'PPA Summary'!T81*12</f>
        <v>474.35268586329437</v>
      </c>
      <c r="AS15" s="83">
        <f>'PPA Summary'!U81*12</f>
        <v>481.63085589965448</v>
      </c>
      <c r="AT15" s="83">
        <f>'PPA Summary'!V81*12</f>
        <v>488.91513014149166</v>
      </c>
      <c r="AU15" s="83">
        <f>'PPA Summary'!W81*12</f>
        <v>496.19591339855981</v>
      </c>
      <c r="AV15" s="83">
        <f>'PPA Summary'!X81*12</f>
        <v>503.46270977250026</v>
      </c>
      <c r="AW15" s="83">
        <f>'PPA Summary'!Y81*12</f>
        <v>510.70405196876214</v>
      </c>
      <c r="AX15" s="83">
        <f>'PPA Summary'!Z81*12</f>
        <v>517.90742531711237</v>
      </c>
      <c r="AY15" s="279">
        <f>'PPA Summary'!AA81*12</f>
        <v>525.05918600239477</v>
      </c>
      <c r="AZ15" s="263"/>
    </row>
    <row r="16" spans="2:52">
      <c r="B16" s="190" t="s">
        <v>131</v>
      </c>
      <c r="C16" s="83"/>
      <c r="D16" s="83"/>
      <c r="E16" s="83">
        <f>'PPA Summary'!E10</f>
        <v>157.27838138409012</v>
      </c>
      <c r="F16" s="83">
        <f>'PPA Summary'!F10</f>
        <v>159.86733712095472</v>
      </c>
      <c r="G16" s="83">
        <f>'PPA Summary'!G10</f>
        <v>162.41428755858183</v>
      </c>
      <c r="H16" s="83">
        <f>'PPA Summary'!H10</f>
        <v>165.09733232863783</v>
      </c>
      <c r="I16" s="83">
        <f>'PPA Summary'!I10</f>
        <v>167.92827917774616</v>
      </c>
      <c r="J16" s="83">
        <f>'PPA Summary'!J10</f>
        <v>170.86860853246549</v>
      </c>
      <c r="K16" s="83">
        <f>'PPA Summary'!K10</f>
        <v>173.98179369808562</v>
      </c>
      <c r="L16" s="83">
        <f>'PPA Summary'!L10</f>
        <v>177.28265695888757</v>
      </c>
      <c r="M16" s="83">
        <f>'PPA Summary'!M10</f>
        <v>180.82875842659925</v>
      </c>
      <c r="N16" s="83">
        <f>'PPA Summary'!N10</f>
        <v>184.0764050733728</v>
      </c>
      <c r="O16" s="83">
        <f>'PPA Summary'!O10</f>
        <v>203.14202611656995</v>
      </c>
      <c r="P16" s="83">
        <f>'PPA Summary'!P10</f>
        <v>222.90086438665853</v>
      </c>
      <c r="Q16" s="83">
        <f>'PPA Summary'!Q10</f>
        <v>350.801500536807</v>
      </c>
      <c r="R16" s="83">
        <f>'PPA Summary'!R10</f>
        <v>357.45240255302241</v>
      </c>
      <c r="S16" s="83">
        <f>'PPA Summary'!S10</f>
        <v>364.20784363204132</v>
      </c>
      <c r="T16" s="83">
        <f>'PPA Summary'!T10</f>
        <v>371.06781540063014</v>
      </c>
      <c r="U16" s="83">
        <f>'PPA Summary'!U10</f>
        <v>378.03209507651667</v>
      </c>
      <c r="V16" s="83">
        <f>'PPA Summary'!V10</f>
        <v>385.10028322554052</v>
      </c>
      <c r="W16" s="83">
        <f>'PPA Summary'!W10</f>
        <v>392.27178748803044</v>
      </c>
      <c r="X16" s="83">
        <f>'PPA Summary'!X10</f>
        <v>399.54580503791635</v>
      </c>
      <c r="Y16" s="83">
        <f>'PPA Summary'!Y10</f>
        <v>406.92130369444868</v>
      </c>
      <c r="Z16" s="83">
        <f>'PPA Summary'!Z10</f>
        <v>414.39700155132016</v>
      </c>
      <c r="AA16" s="279">
        <f>'PPA Summary'!AA10</f>
        <v>421.97134505662325</v>
      </c>
      <c r="AC16" s="289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279"/>
      <c r="AZ16" s="263"/>
    </row>
    <row r="17" spans="2:52">
      <c r="B17" s="190" t="s">
        <v>132</v>
      </c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279"/>
      <c r="AC17" s="289">
        <f>'PPA Summary'!E83*12</f>
        <v>270.57901224128233</v>
      </c>
      <c r="AD17" s="83">
        <f>'PPA Summary'!F83*12</f>
        <v>274.9710697586458</v>
      </c>
      <c r="AE17" s="83">
        <f>'PPA Summary'!G83*12</f>
        <v>279.59099092621659</v>
      </c>
      <c r="AF17" s="83">
        <f>'PPA Summary'!H83*12</f>
        <v>284.61840839733418</v>
      </c>
      <c r="AG17" s="83">
        <f>'PPA Summary'!I83*12</f>
        <v>289.85476211210403</v>
      </c>
      <c r="AH17" s="83">
        <f>'PPA Summary'!J83*12</f>
        <v>295.2377973777929</v>
      </c>
      <c r="AI17" s="83">
        <f>'PPA Summary'!K83*12</f>
        <v>300.79759748074389</v>
      </c>
      <c r="AJ17" s="83">
        <f>'PPA Summary'!L83*12</f>
        <v>306.53652681555241</v>
      </c>
      <c r="AK17" s="83">
        <f>'PPA Summary'!M83*12</f>
        <v>312.44606135174843</v>
      </c>
      <c r="AL17" s="83">
        <f>'PPA Summary'!N83*12</f>
        <v>317.01674135635693</v>
      </c>
      <c r="AM17" s="83">
        <f>'PPA Summary'!O83*12</f>
        <v>336.91451642668341</v>
      </c>
      <c r="AN17" s="83">
        <f>'PPA Summary'!P83*12</f>
        <v>357.47972364941893</v>
      </c>
      <c r="AO17" s="83">
        <f>'PPA Summary'!Q83*12</f>
        <v>483.37328638490521</v>
      </c>
      <c r="AP17" s="83">
        <f>'PPA Summary'!R83*12</f>
        <v>491.25962631483412</v>
      </c>
      <c r="AQ17" s="83">
        <f>'PPA Summary'!S83*12</f>
        <v>499.19111694884623</v>
      </c>
      <c r="AR17" s="83">
        <f>'PPA Summary'!T83*12</f>
        <v>507.16066085733343</v>
      </c>
      <c r="AS17" s="83">
        <f>'PPA Summary'!U83*12</f>
        <v>515.16060634811072</v>
      </c>
      <c r="AT17" s="83">
        <f>'PPA Summary'!V83*12</f>
        <v>523.18253510044156</v>
      </c>
      <c r="AU17" s="83">
        <f>'PPA Summary'!W83*12</f>
        <v>531.21720126886487</v>
      </c>
      <c r="AV17" s="83">
        <f>'PPA Summary'!X83*12</f>
        <v>539.25446597398604</v>
      </c>
      <c r="AW17" s="83">
        <f>'PPA Summary'!Y83*12</f>
        <v>547.28322680458359</v>
      </c>
      <c r="AX17" s="83">
        <f>'PPA Summary'!Z83*12</f>
        <v>555.29134199949726</v>
      </c>
      <c r="AY17" s="279">
        <f>'PPA Summary'!AA83*12</f>
        <v>563.26554884902066</v>
      </c>
      <c r="AZ17" s="263"/>
    </row>
    <row r="18" spans="2:52">
      <c r="B18" s="190" t="s">
        <v>133</v>
      </c>
      <c r="C18" s="83"/>
      <c r="D18" s="83"/>
      <c r="E18" s="83">
        <f>'PPA Summary'!E12</f>
        <v>123.08201688529327</v>
      </c>
      <c r="F18" s="83">
        <f>'PPA Summary'!F12</f>
        <v>124.32248551951014</v>
      </c>
      <c r="G18" s="83">
        <f>'PPA Summary'!G12</f>
        <v>125.48567323998029</v>
      </c>
      <c r="H18" s="83">
        <f>'PPA Summary'!H12</f>
        <v>126.70569190268843</v>
      </c>
      <c r="I18" s="83">
        <f>'PPA Summary'!I12</f>
        <v>127.98571740786463</v>
      </c>
      <c r="J18" s="83">
        <f>'PPA Summary'!J12</f>
        <v>129.2904994344029</v>
      </c>
      <c r="K18" s="83">
        <f>'PPA Summary'!K12</f>
        <v>130.661765087503</v>
      </c>
      <c r="L18" s="83">
        <f>'PPA Summary'!L12</f>
        <v>132.10341799956399</v>
      </c>
      <c r="M18" s="83">
        <f>'PPA Summary'!M12</f>
        <v>134.42178837677244</v>
      </c>
      <c r="N18" s="83">
        <f>'PPA Summary'!N12</f>
        <v>136.49431163836255</v>
      </c>
      <c r="O18" s="83">
        <f>'PPA Summary'!O12</f>
        <v>148.21010834394573</v>
      </c>
      <c r="P18" s="83">
        <f>'PPA Summary'!P12</f>
        <v>160.29870157684016</v>
      </c>
      <c r="Q18" s="83">
        <f>'PPA Summary'!Q12</f>
        <v>185.96549759396757</v>
      </c>
      <c r="R18" s="83">
        <f>'PPA Summary'!R12</f>
        <v>188.90738331291138</v>
      </c>
      <c r="S18" s="83">
        <f>'PPA Summary'!S12</f>
        <v>191.88103211590391</v>
      </c>
      <c r="T18" s="83">
        <f>'PPA Summary'!T12</f>
        <v>194.88549367619862</v>
      </c>
      <c r="U18" s="83">
        <f>'PPA Summary'!U12</f>
        <v>197.91968447540714</v>
      </c>
      <c r="V18" s="83">
        <f>'PPA Summary'!V12</f>
        <v>200.98238244409708</v>
      </c>
      <c r="W18" s="83">
        <f>'PPA Summary'!W12</f>
        <v>204.07221585748317</v>
      </c>
      <c r="X18" s="83">
        <f>'PPA Summary'!X12</f>
        <v>207.18765141752115</v>
      </c>
      <c r="Y18" s="83">
        <f>'PPA Summary'!Y12</f>
        <v>210.32698144450643</v>
      </c>
      <c r="Z18" s="83">
        <f>'PPA Summary'!Z12</f>
        <v>213.48831013047959</v>
      </c>
      <c r="AA18" s="279">
        <f>'PPA Summary'!AA12</f>
        <v>216.66953877722113</v>
      </c>
      <c r="AC18" s="289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279"/>
      <c r="AZ18" s="263"/>
    </row>
    <row r="19" spans="2:52">
      <c r="B19" s="190" t="s">
        <v>134</v>
      </c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279"/>
      <c r="AC19" s="289">
        <f>'PPA Summary'!E85*12</f>
        <v>311.6639144562937</v>
      </c>
      <c r="AD19" s="83">
        <f>'PPA Summary'!F85*12</f>
        <v>317.85000974435673</v>
      </c>
      <c r="AE19" s="83">
        <f>'PPA Summary'!G85*12</f>
        <v>324.10389837321674</v>
      </c>
      <c r="AF19" s="83">
        <f>'PPA Summary'!H85*12</f>
        <v>330.68247005583868</v>
      </c>
      <c r="AG19" s="83">
        <f>'PPA Summary'!I85*12</f>
        <v>337.46545686868188</v>
      </c>
      <c r="AH19" s="83">
        <f>'PPA Summary'!J85*12</f>
        <v>344.37405958124253</v>
      </c>
      <c r="AI19" s="83">
        <f>'PPA Summary'!K85*12</f>
        <v>351.47181748112894</v>
      </c>
      <c r="AJ19" s="83">
        <f>'PPA Summary'!L85*12</f>
        <v>358.76146877828228</v>
      </c>
      <c r="AK19" s="83">
        <f>'PPA Summary'!M85*12</f>
        <v>366.24160359301624</v>
      </c>
      <c r="AL19" s="83">
        <f>'PPA Summary'!N85*12</f>
        <v>373.17383990974287</v>
      </c>
      <c r="AM19" s="83">
        <f>'PPA Summary'!O85*12</f>
        <v>395.13629346432566</v>
      </c>
      <c r="AN19" s="83">
        <f>'PPA Summary'!P85*12</f>
        <v>417.85818182050178</v>
      </c>
      <c r="AO19" s="83">
        <f>'PPA Summary'!Q85*12</f>
        <v>468.74698269885289</v>
      </c>
      <c r="AP19" s="83">
        <f>'PPA Summary'!R85*12</f>
        <v>477.71905689137446</v>
      </c>
      <c r="AQ19" s="83">
        <f>'PPA Summary'!S85*12</f>
        <v>486.82628301412905</v>
      </c>
      <c r="AR19" s="83">
        <f>'PPA Summary'!T85*12</f>
        <v>496.06784978838618</v>
      </c>
      <c r="AS19" s="83">
        <f>'PPA Summary'!U85*12</f>
        <v>505.44262319525586</v>
      </c>
      <c r="AT19" s="83">
        <f>'PPA Summary'!V85*12</f>
        <v>514.94915650973257</v>
      </c>
      <c r="AU19" s="83">
        <f>'PPA Summary'!W85*12</f>
        <v>524.58566226303515</v>
      </c>
      <c r="AV19" s="83">
        <f>'PPA Summary'!X85*12</f>
        <v>534.34998200120117</v>
      </c>
      <c r="AW19" s="83">
        <f>'PPA Summary'!Y85*12</f>
        <v>544.23955368746886</v>
      </c>
      <c r="AX19" s="83">
        <f>'PPA Summary'!Z85*12</f>
        <v>554.25137655901472</v>
      </c>
      <c r="AY19" s="279">
        <f>'PPA Summary'!AA85*12</f>
        <v>564.38197325209819</v>
      </c>
      <c r="AZ19" s="263"/>
    </row>
    <row r="20" spans="2:52">
      <c r="B20" s="190" t="s">
        <v>8</v>
      </c>
      <c r="C20" s="83"/>
      <c r="D20" s="83"/>
      <c r="E20" s="83">
        <f>'PPA Summary'!E14</f>
        <v>64.436474067867323</v>
      </c>
      <c r="F20" s="83">
        <f>'PPA Summary'!F14</f>
        <v>62.72232916279485</v>
      </c>
      <c r="G20" s="83">
        <f>'PPA Summary'!G14</f>
        <v>60.920910811966756</v>
      </c>
      <c r="H20" s="83">
        <f>'PPA Summary'!H14</f>
        <v>59.095166061440359</v>
      </c>
      <c r="I20" s="83">
        <f>'PPA Summary'!I14</f>
        <v>57.245270354394499</v>
      </c>
      <c r="J20" s="83">
        <f>'PPA Summary'!J14</f>
        <v>55.35694508184902</v>
      </c>
      <c r="K20" s="83">
        <f>'PPA Summary'!K14</f>
        <v>53.446617958411224</v>
      </c>
      <c r="L20" s="83">
        <f>'PPA Summary'!L14</f>
        <v>51.51484180487995</v>
      </c>
      <c r="M20" s="83">
        <f>'PPA Summary'!M14</f>
        <v>52.014066483875006</v>
      </c>
      <c r="N20" s="83">
        <f>'PPA Summary'!N14</f>
        <v>52.204103876972766</v>
      </c>
      <c r="O20" s="83">
        <f>'PPA Summary'!O14</f>
        <v>55.112845319609249</v>
      </c>
      <c r="P20" s="83">
        <f>'PPA Summary'!P14</f>
        <v>58.045347692722309</v>
      </c>
      <c r="Q20" s="83">
        <f>'PPA Summary'!Q14</f>
        <v>65.288693890568993</v>
      </c>
      <c r="R20" s="83">
        <f>'PPA Summary'!R14</f>
        <v>65.483801223859942</v>
      </c>
      <c r="S20" s="83">
        <f>'PPA Summary'!S14</f>
        <v>65.646447404658176</v>
      </c>
      <c r="T20" s="83">
        <f>'PPA Summary'!T14</f>
        <v>65.774005534399947</v>
      </c>
      <c r="U20" s="83">
        <f>'PPA Summary'!U14</f>
        <v>65.863674125503536</v>
      </c>
      <c r="V20" s="83">
        <f>'PPA Summary'!V14</f>
        <v>65.912456460393216</v>
      </c>
      <c r="W20" s="83">
        <f>'PPA Summary'!W14</f>
        <v>65.91714688904446</v>
      </c>
      <c r="X20" s="83">
        <f>'PPA Summary'!X14</f>
        <v>65.874316097195162</v>
      </c>
      <c r="Y20" s="83">
        <f>'PPA Summary'!Y14</f>
        <v>65.780295357091134</v>
      </c>
      <c r="Z20" s="83">
        <f>'PPA Summary'!Z14</f>
        <v>65.631159840617087</v>
      </c>
      <c r="AA20" s="279">
        <f>'PPA Summary'!AA14</f>
        <v>65.422710479713601</v>
      </c>
      <c r="AC20" s="289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279"/>
      <c r="AZ20" s="263"/>
    </row>
    <row r="21" spans="2:52">
      <c r="B21" s="190" t="s">
        <v>9</v>
      </c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279"/>
      <c r="AC21" s="289">
        <f>'PPA Summary'!E87*12</f>
        <v>176.65248840425812</v>
      </c>
      <c r="AD21" s="83">
        <f>'PPA Summary'!F87*12</f>
        <v>170.45880162646577</v>
      </c>
      <c r="AE21" s="83">
        <f>'PPA Summary'!G87*12</f>
        <v>166.64723220673102</v>
      </c>
      <c r="AF21" s="83">
        <f>'PPA Summary'!H87*12</f>
        <v>164.36278795308647</v>
      </c>
      <c r="AG21" s="83">
        <f>'PPA Summary'!I87*12</f>
        <v>162.51121758468389</v>
      </c>
      <c r="AH21" s="83">
        <f>'PPA Summary'!J87*12</f>
        <v>159.87171420189202</v>
      </c>
      <c r="AI21" s="83">
        <f>'PPA Summary'!K87*12</f>
        <v>158.30512400062912</v>
      </c>
      <c r="AJ21" s="83">
        <f>'PPA Summary'!L87*12</f>
        <v>156.60854131759231</v>
      </c>
      <c r="AK21" s="83">
        <f>'PPA Summary'!M87*12</f>
        <v>157.98458871164243</v>
      </c>
      <c r="AL21" s="83">
        <f>'PPA Summary'!N87*12</f>
        <v>159.11510116757543</v>
      </c>
      <c r="AM21" s="83">
        <f>'PPA Summary'!O87*12</f>
        <v>167.56308922103528</v>
      </c>
      <c r="AN21" s="83">
        <f>'PPA Summary'!P87*12</f>
        <v>176.10578786102047</v>
      </c>
      <c r="AO21" s="83">
        <f>'PPA Summary'!Q87*12</f>
        <v>196.22450583200589</v>
      </c>
      <c r="AP21" s="83">
        <f>'PPA Summary'!R87*12</f>
        <v>197.49918186518067</v>
      </c>
      <c r="AQ21" s="83">
        <f>'PPA Summary'!S87*12</f>
        <v>198.72885740690558</v>
      </c>
      <c r="AR21" s="83">
        <f>'PPA Summary'!T87*12</f>
        <v>199.91031578056521</v>
      </c>
      <c r="AS21" s="83">
        <f>'PPA Summary'!U87*12</f>
        <v>201.04034433585468</v>
      </c>
      <c r="AT21" s="83">
        <f>'PPA Summary'!V87*12</f>
        <v>202.11557525031316</v>
      </c>
      <c r="AU21" s="83">
        <f>'PPA Summary'!W87*12</f>
        <v>203.1324774715381</v>
      </c>
      <c r="AV21" s="83">
        <f>'PPA Summary'!X87*12</f>
        <v>204.08734830886436</v>
      </c>
      <c r="AW21" s="83">
        <f>'PPA Summary'!Y87*12</f>
        <v>204.97630443249682</v>
      </c>
      <c r="AX21" s="83">
        <f>'PPA Summary'!Z87*12</f>
        <v>205.79527182919327</v>
      </c>
      <c r="AY21" s="279">
        <f>'PPA Summary'!AA87*12</f>
        <v>206.53997582287539</v>
      </c>
      <c r="AZ21" s="263"/>
    </row>
    <row r="22" spans="2:52">
      <c r="B22" s="190" t="s">
        <v>138</v>
      </c>
      <c r="C22" s="83"/>
      <c r="D22" s="83"/>
      <c r="E22" s="83">
        <f>'PPA Summary'!E16</f>
        <v>44.184127447034776</v>
      </c>
      <c r="F22" s="83">
        <f>'PPA Summary'!F16</f>
        <v>43.037525888779314</v>
      </c>
      <c r="G22" s="83">
        <f>'PPA Summary'!G16</f>
        <v>41.835669438877432</v>
      </c>
      <c r="H22" s="83">
        <f>'PPA Summary'!H16</f>
        <v>40.620467570565758</v>
      </c>
      <c r="I22" s="83">
        <f>'PPA Summary'!I16</f>
        <v>39.145582611725843</v>
      </c>
      <c r="J22" s="83">
        <f>'PPA Summary'!J16</f>
        <v>37.662040191026868</v>
      </c>
      <c r="K22" s="83">
        <f>'PPA Summary'!K16</f>
        <v>36.181549612504341</v>
      </c>
      <c r="L22" s="83">
        <f>'PPA Summary'!L16</f>
        <v>34.705305355403155</v>
      </c>
      <c r="M22" s="83">
        <f>'PPA Summary'!M16</f>
        <v>35.100941747635403</v>
      </c>
      <c r="N22" s="83">
        <f>'PPA Summary'!N16</f>
        <v>35.254282678884366</v>
      </c>
      <c r="O22" s="83">
        <f>'PPA Summary'!O16</f>
        <v>37.162398249892696</v>
      </c>
      <c r="P22" s="83">
        <f>'PPA Summary'!P16</f>
        <v>39.087723601703907</v>
      </c>
      <c r="Q22" s="83">
        <f>'PPA Summary'!Q16</f>
        <v>43.811254717185356</v>
      </c>
      <c r="R22" s="83">
        <f>'PPA Summary'!R16</f>
        <v>43.964912962241478</v>
      </c>
      <c r="S22" s="83">
        <f>'PPA Summary'!S16</f>
        <v>44.092670255081828</v>
      </c>
      <c r="T22" s="83">
        <f>'PPA Summary'!T16</f>
        <v>44.192350743437395</v>
      </c>
      <c r="U22" s="83">
        <f>'PPA Summary'!U16</f>
        <v>44.261627934971727</v>
      </c>
      <c r="V22" s="83">
        <f>'PPA Summary'!V16</f>
        <v>44.298009472597414</v>
      </c>
      <c r="W22" s="83">
        <f>'PPA Summary'!W16</f>
        <v>44.29882530658351</v>
      </c>
      <c r="X22" s="83">
        <f>'PPA Summary'!X16</f>
        <v>44.26121494993135</v>
      </c>
      <c r="Y22" s="83">
        <f>'PPA Summary'!Y16</f>
        <v>44.182113892692918</v>
      </c>
      <c r="Z22" s="83">
        <f>'PPA Summary'!Z16</f>
        <v>44.058239145139915</v>
      </c>
      <c r="AA22" s="279">
        <f>'PPA Summary'!AA16</f>
        <v>43.88607352681958</v>
      </c>
      <c r="AC22" s="289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279"/>
      <c r="AZ22" s="263"/>
    </row>
    <row r="23" spans="2:52">
      <c r="B23" s="190" t="s">
        <v>10</v>
      </c>
      <c r="C23" s="83"/>
      <c r="D23" s="83"/>
      <c r="E23" s="83">
        <f>'PPA Summary'!E17</f>
        <v>46.361219265763722</v>
      </c>
      <c r="F23" s="83">
        <f>'PPA Summary'!F17</f>
        <v>45.342146146674366</v>
      </c>
      <c r="G23" s="83">
        <f>'PPA Summary'!G17</f>
        <v>44.266646635575555</v>
      </c>
      <c r="H23" s="83">
        <f>'PPA Summary'!H17</f>
        <v>43.179785366419601</v>
      </c>
      <c r="I23" s="83">
        <f>'PPA Summary'!I17</f>
        <v>41.818374913113786</v>
      </c>
      <c r="J23" s="83">
        <f>'PPA Summary'!J17</f>
        <v>40.447331079143261</v>
      </c>
      <c r="K23" s="83">
        <f>'PPA Summary'!K17</f>
        <v>39.079312997855972</v>
      </c>
      <c r="L23" s="83">
        <f>'PPA Summary'!L17</f>
        <v>37.715447246027047</v>
      </c>
      <c r="M23" s="83">
        <f>'PPA Summary'!M17</f>
        <v>38.188261954180462</v>
      </c>
      <c r="N23" s="83">
        <f>'PPA Summary'!N17</f>
        <v>38.434715879095108</v>
      </c>
      <c r="O23" s="83">
        <f>'PPA Summary'!O17</f>
        <v>40.687839984913523</v>
      </c>
      <c r="P23" s="83">
        <f>'PPA Summary'!P17</f>
        <v>42.973251614217411</v>
      </c>
      <c r="Q23" s="83">
        <f>'PPA Summary'!Q17</f>
        <v>48.473058495853415</v>
      </c>
      <c r="R23" s="83">
        <f>'PPA Summary'!R17</f>
        <v>48.761241084199554</v>
      </c>
      <c r="S23" s="83">
        <f>'PPA Summary'!S17</f>
        <v>49.027875663117179</v>
      </c>
      <c r="T23" s="83">
        <f>'PPA Summary'!T17</f>
        <v>49.270967693528924</v>
      </c>
      <c r="U23" s="83">
        <f>'PPA Summary'!U17</f>
        <v>49.488382801843393</v>
      </c>
      <c r="V23" s="83">
        <f>'PPA Summary'!V17</f>
        <v>49.677831454227402</v>
      </c>
      <c r="W23" s="83">
        <f>'PPA Summary'!W17</f>
        <v>49.836857832332825</v>
      </c>
      <c r="X23" s="83">
        <f>'PPA Summary'!X17</f>
        <v>49.962827905320196</v>
      </c>
      <c r="Y23" s="83">
        <f>'PPA Summary'!Y17</f>
        <v>50.052916639845542</v>
      </c>
      <c r="Z23" s="83">
        <f>'PPA Summary'!Z17</f>
        <v>50.10409428677891</v>
      </c>
      <c r="AA23" s="279">
        <f>'PPA Summary'!AA17</f>
        <v>50.113111675928359</v>
      </c>
      <c r="AC23" s="289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279"/>
      <c r="AZ23" s="263"/>
    </row>
    <row r="24" spans="2:52">
      <c r="B24" s="190" t="s">
        <v>135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279"/>
      <c r="AC24" s="289">
        <f>'PPA Summary'!E90*12</f>
        <v>148.95975823760458</v>
      </c>
      <c r="AD24" s="83">
        <f>'PPA Summary'!F90*12</f>
        <v>144.10083209593051</v>
      </c>
      <c r="AE24" s="83">
        <f>'PPA Summary'!G90*12</f>
        <v>141.11856658130159</v>
      </c>
      <c r="AF24" s="83">
        <f>'PPA Summary'!H90*12</f>
        <v>139.34053705125177</v>
      </c>
      <c r="AG24" s="83">
        <f>'PPA Summary'!I90*12</f>
        <v>137.92196222797782</v>
      </c>
      <c r="AH24" s="83">
        <f>'PPA Summary'!J90*12</f>
        <v>135.93486575581989</v>
      </c>
      <c r="AI24" s="83">
        <f>'PPA Summary'!K90*12</f>
        <v>134.80109383468556</v>
      </c>
      <c r="AJ24" s="83">
        <f>'PPA Summary'!L90*12</f>
        <v>133.59879058196825</v>
      </c>
      <c r="AK24" s="83">
        <f>'PPA Summary'!M90*12</f>
        <v>134.75731649825298</v>
      </c>
      <c r="AL24" s="83">
        <f>'PPA Summary'!N90*12</f>
        <v>135.34803543909428</v>
      </c>
      <c r="AM24" s="83">
        <f>'PPA Summary'!O90*12</f>
        <v>141.44841098427693</v>
      </c>
      <c r="AN24" s="83">
        <f>'PPA Summary'!P90*12</f>
        <v>147.58574295265373</v>
      </c>
      <c r="AO24" s="83">
        <f>'PPA Summary'!Q90*12</f>
        <v>162.45310558623046</v>
      </c>
      <c r="AP24" s="83">
        <f>'PPA Summary'!R90*12</f>
        <v>163.00880923040719</v>
      </c>
      <c r="AQ24" s="83">
        <f>'PPA Summary'!S90*12</f>
        <v>163.48761211255959</v>
      </c>
      <c r="AR24" s="83">
        <f>'PPA Summary'!T90*12</f>
        <v>163.88416564453547</v>
      </c>
      <c r="AS24" s="83">
        <f>'PPA Summary'!U90*12</f>
        <v>164.19279487003479</v>
      </c>
      <c r="AT24" s="83">
        <f>'PPA Summary'!V90*12</f>
        <v>164.40747815879155</v>
      </c>
      <c r="AU24" s="83">
        <f>'PPA Summary'!W90*12</f>
        <v>164.52182444012746</v>
      </c>
      <c r="AV24" s="83">
        <f>'PPA Summary'!X90*12</f>
        <v>164.5290490028944</v>
      </c>
      <c r="AW24" s="83">
        <f>'PPA Summary'!Y90*12</f>
        <v>164.42194734902409</v>
      </c>
      <c r="AX24" s="83">
        <f>'PPA Summary'!Z90*12</f>
        <v>164.1928668783525</v>
      </c>
      <c r="AY24" s="279">
        <f>'PPA Summary'!AA90*12</f>
        <v>163.83367735431847</v>
      </c>
      <c r="AZ24" s="263"/>
    </row>
    <row r="25" spans="2:52">
      <c r="B25" s="190" t="s">
        <v>136</v>
      </c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279"/>
      <c r="AC25" s="289">
        <f>'PPA Summary'!E91*12</f>
        <v>89.249106867646759</v>
      </c>
      <c r="AD25" s="83">
        <f>'PPA Summary'!F91*12</f>
        <v>87.638874026447553</v>
      </c>
      <c r="AE25" s="83">
        <f>'PPA Summary'!G91*12</f>
        <v>86.122037365381487</v>
      </c>
      <c r="AF25" s="83">
        <f>'PPA Summary'!H91*12</f>
        <v>85.861135751546229</v>
      </c>
      <c r="AG25" s="83">
        <f>'PPA Summary'!I91*12</f>
        <v>85.675665844130734</v>
      </c>
      <c r="AH25" s="83">
        <f>'PPA Summary'!J91*12</f>
        <v>84.974818753683707</v>
      </c>
      <c r="AI25" s="83">
        <f>'PPA Summary'!K91*12</f>
        <v>85.167255879465074</v>
      </c>
      <c r="AJ25" s="83">
        <f>'PPA Summary'!L91*12</f>
        <v>84.972442104619674</v>
      </c>
      <c r="AK25" s="83">
        <f>'PPA Summary'!M91*12</f>
        <v>85.705119867998761</v>
      </c>
      <c r="AL25" s="83">
        <f>'PPA Summary'!N91*12</f>
        <v>86.108709384602108</v>
      </c>
      <c r="AM25" s="83">
        <f>'PPA Summary'!O91*12</f>
        <v>90.085329986658124</v>
      </c>
      <c r="AN25" s="83">
        <f>'PPA Summary'!P91*12</f>
        <v>94.089927874299065</v>
      </c>
      <c r="AO25" s="83">
        <f>'PPA Summary'!Q91*12</f>
        <v>103.75451956636127</v>
      </c>
      <c r="AP25" s="83">
        <f>'PPA Summary'!R91*12</f>
        <v>104.15216965959439</v>
      </c>
      <c r="AQ25" s="83">
        <f>'PPA Summary'!S91*12</f>
        <v>104.50507631741731</v>
      </c>
      <c r="AR25" s="83">
        <f>'PPA Summary'!T91*12</f>
        <v>104.81017926906381</v>
      </c>
      <c r="AS25" s="83">
        <f>'PPA Summary'!U91*12</f>
        <v>105.06424248725016</v>
      </c>
      <c r="AT25" s="83">
        <f>'PPA Summary'!V91*12</f>
        <v>105.26860334871962</v>
      </c>
      <c r="AU25" s="83">
        <f>'PPA Summary'!W91*12</f>
        <v>105.41507582248516</v>
      </c>
      <c r="AV25" s="83">
        <f>'PPA Summary'!X91*12</f>
        <v>105.49981927728427</v>
      </c>
      <c r="AW25" s="83">
        <f>'PPA Summary'!Y91*12</f>
        <v>105.51876266101726</v>
      </c>
      <c r="AX25" s="83">
        <f>'PPA Summary'!Z91*12</f>
        <v>105.46758605214404</v>
      </c>
      <c r="AY25" s="279">
        <f>'PPA Summary'!AA91*12</f>
        <v>105.34172042782393</v>
      </c>
      <c r="AZ25" s="263"/>
    </row>
    <row r="26" spans="2:52">
      <c r="B26" s="201" t="s">
        <v>137</v>
      </c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5"/>
      <c r="AC26" s="290">
        <f>'PPA Summary'!E92*12</f>
        <v>50.502751842441683</v>
      </c>
      <c r="AD26" s="284">
        <f>'PPA Summary'!F92*12</f>
        <v>49.663241170691066</v>
      </c>
      <c r="AE26" s="284">
        <f>'PPA Summary'!G92*12</f>
        <v>48.890738919967873</v>
      </c>
      <c r="AF26" s="284">
        <f>'PPA Summary'!H92*12</f>
        <v>48.766811535372909</v>
      </c>
      <c r="AG26" s="284">
        <f>'PPA Summary'!I92*12</f>
        <v>48.685313075938154</v>
      </c>
      <c r="AH26" s="284">
        <f>'PPA Summary'!J92*12</f>
        <v>48.350008123356631</v>
      </c>
      <c r="AI26" s="284">
        <f>'PPA Summary'!K92*12</f>
        <v>48.472508020579056</v>
      </c>
      <c r="AJ26" s="284">
        <f>'PPA Summary'!L92*12</f>
        <v>48.400820417724589</v>
      </c>
      <c r="AK26" s="284">
        <f>'PPA Summary'!M92*12</f>
        <v>48.79794787665459</v>
      </c>
      <c r="AL26" s="284">
        <f>'PPA Summary'!N92*12</f>
        <v>48.885568158297374</v>
      </c>
      <c r="AM26" s="284">
        <f>'PPA Summary'!O92*12</f>
        <v>50.747267330154969</v>
      </c>
      <c r="AN26" s="284">
        <f>'PPA Summary'!P92*12</f>
        <v>52.60973251949639</v>
      </c>
      <c r="AO26" s="284">
        <f>'PPA Summary'!Q92*12</f>
        <v>57.288061842008389</v>
      </c>
      <c r="AP26" s="284">
        <f>'PPA Summary'!R92*12</f>
        <v>57.317864080151281</v>
      </c>
      <c r="AQ26" s="284">
        <f>'PPA Summary'!S92*12</f>
        <v>57.309133731525492</v>
      </c>
      <c r="AR26" s="284">
        <f>'PPA Summary'!T92*12</f>
        <v>57.25951756810997</v>
      </c>
      <c r="AS26" s="284">
        <f>'PPA Summary'!U92*12</f>
        <v>57.166094035815718</v>
      </c>
      <c r="AT26" s="284">
        <f>'PPA Summary'!V92*12</f>
        <v>57.028175803361322</v>
      </c>
      <c r="AU26" s="284">
        <f>'PPA Summary'!W92*12</f>
        <v>56.840555759797866</v>
      </c>
      <c r="AV26" s="284">
        <f>'PPA Summary'!X92*12</f>
        <v>56.599855433581602</v>
      </c>
      <c r="AW26" s="284">
        <f>'PPA Summary'!Y92*12</f>
        <v>56.302546043802984</v>
      </c>
      <c r="AX26" s="284">
        <f>'PPA Summary'!Z92*12</f>
        <v>55.944872746161707</v>
      </c>
      <c r="AY26" s="285">
        <f>'PPA Summary'!AA92*12</f>
        <v>55.522839394847608</v>
      </c>
      <c r="AZ26" s="263"/>
    </row>
    <row r="27" spans="2:52" s="263" customFormat="1">
      <c r="B27" s="190" t="s">
        <v>395</v>
      </c>
      <c r="C27" s="83"/>
      <c r="D27" s="83"/>
      <c r="E27" s="83">
        <f>'PPA Summary'!E21</f>
        <v>240.06116151158739</v>
      </c>
      <c r="F27" s="83">
        <f>'PPA Summary'!F21</f>
        <v>244.45910881438061</v>
      </c>
      <c r="G27" s="83">
        <f>'PPA Summary'!G21</f>
        <v>248.73034169704394</v>
      </c>
      <c r="H27" s="83">
        <f>'PPA Summary'!H21</f>
        <v>253.1739374540096</v>
      </c>
      <c r="I27" s="83">
        <f>'PPA Summary'!I21</f>
        <v>257.80254399984364</v>
      </c>
      <c r="J27" s="83">
        <f>'PPA Summary'!J21</f>
        <v>262.54008462931449</v>
      </c>
      <c r="K27" s="83">
        <f>'PPA Summary'!K21</f>
        <v>267.48661892615621</v>
      </c>
      <c r="L27" s="83">
        <f>'PPA Summary'!L21</f>
        <v>272.6576999350209</v>
      </c>
      <c r="M27" s="83">
        <f>'PPA Summary'!M21</f>
        <v>278.14039371834554</v>
      </c>
      <c r="N27" s="83">
        <f>'PPA Summary'!N21</f>
        <v>283.364116166727</v>
      </c>
      <c r="O27" s="83">
        <f>'PPA Summary'!O21</f>
        <v>300.32038609677227</v>
      </c>
      <c r="P27" s="83">
        <f>'PPA Summary'!P21</f>
        <v>311.91744703644457</v>
      </c>
      <c r="Q27" s="83">
        <f>'PPA Summary'!Q21</f>
        <v>322.95330444703126</v>
      </c>
      <c r="R27" s="83">
        <f>'PPA Summary'!R21</f>
        <v>329.02795927202072</v>
      </c>
      <c r="S27" s="83">
        <f>'PPA Summary'!S21</f>
        <v>335.1952372032336</v>
      </c>
      <c r="T27" s="83">
        <f>'PPA Summary'!T21</f>
        <v>341.4548268067756</v>
      </c>
      <c r="U27" s="83">
        <f>'PPA Summary'!U21</f>
        <v>347.80625059103266</v>
      </c>
      <c r="V27" s="83">
        <f>'PPA Summary'!V21</f>
        <v>354.2488490866769</v>
      </c>
      <c r="W27" s="83">
        <f>'PPA Summary'!W21</f>
        <v>360.78176446403955</v>
      </c>
      <c r="X27" s="83">
        <f>'PPA Summary'!X21</f>
        <v>367.40392288259926</v>
      </c>
      <c r="Y27" s="83">
        <f>'PPA Summary'!Y21</f>
        <v>374.11401547724483</v>
      </c>
      <c r="Z27" s="83">
        <f>'PPA Summary'!Z21</f>
        <v>380.91047787993188</v>
      </c>
      <c r="AA27" s="279">
        <f>'PPA Summary'!AA21</f>
        <v>387.79146816741394</v>
      </c>
      <c r="AC27" s="289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279"/>
    </row>
    <row r="28" spans="2:52" s="263" customFormat="1">
      <c r="B28" s="190" t="s">
        <v>396</v>
      </c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279"/>
      <c r="AC28" s="289">
        <f>'PPA Summary'!E94*12</f>
        <v>369.54705454284567</v>
      </c>
      <c r="AD28" s="83">
        <f>'PPA Summary'!F94*12</f>
        <v>376.27562633544164</v>
      </c>
      <c r="AE28" s="83">
        <f>'PPA Summary'!G94*12</f>
        <v>383.15990366282392</v>
      </c>
      <c r="AF28" s="83">
        <f>'PPA Summary'!H94*12</f>
        <v>390.50229454822181</v>
      </c>
      <c r="AG28" s="83">
        <f>'PPA Summary'!I94*12</f>
        <v>398.1053653705045</v>
      </c>
      <c r="AH28" s="83">
        <f>'PPA Summary'!J94*12</f>
        <v>405.86991478674497</v>
      </c>
      <c r="AI28" s="83">
        <f>'PPA Summary'!K94*12</f>
        <v>413.86362397546816</v>
      </c>
      <c r="AJ28" s="83">
        <f>'PPA Summary'!L94*12</f>
        <v>422.09000859843343</v>
      </c>
      <c r="AK28" s="83">
        <f>'PPA Summary'!M94*12</f>
        <v>430.54172353507914</v>
      </c>
      <c r="AL28" s="83">
        <f>'PPA Summary'!N94*12</f>
        <v>437.71049755886281</v>
      </c>
      <c r="AM28" s="83">
        <f>'PPA Summary'!O94*12</f>
        <v>444.93535932774188</v>
      </c>
      <c r="AN28" s="83">
        <f>'PPA Summary'!P94*12</f>
        <v>452.21148451501654</v>
      </c>
      <c r="AO28" s="83">
        <f>'PPA Summary'!Q94*12</f>
        <v>452.63868769788814</v>
      </c>
      <c r="AP28" s="83">
        <f>'PPA Summary'!R94*12</f>
        <v>459.84905087207437</v>
      </c>
      <c r="AQ28" s="83">
        <f>'PPA Summary'!S94*12</f>
        <v>467.08950671748204</v>
      </c>
      <c r="AR28" s="83">
        <f>'PPA Summary'!T94*12</f>
        <v>474.3528132578142</v>
      </c>
      <c r="AS28" s="83">
        <f>'PPA Summary'!U94*12</f>
        <v>481.63098433234671</v>
      </c>
      <c r="AT28" s="83">
        <f>'PPA Summary'!V94*12</f>
        <v>488.9152597875468</v>
      </c>
      <c r="AU28" s="83">
        <f>'PPA Summary'!W94*12</f>
        <v>496.19604442792883</v>
      </c>
      <c r="AV28" s="83">
        <f>'PPA Summary'!X94*12</f>
        <v>503.46284232338667</v>
      </c>
      <c r="AW28" s="83">
        <f>'PPA Summary'!Y94*12</f>
        <v>510.70418616459619</v>
      </c>
      <c r="AX28" s="83">
        <f>'PPA Summary'!Z94*12</f>
        <v>517.90756124597442</v>
      </c>
      <c r="AY28" s="279">
        <f>'PPA Summary'!AA94*12</f>
        <v>525.0593237213584</v>
      </c>
    </row>
    <row r="29" spans="2:52" s="263" customFormat="1">
      <c r="B29" s="190" t="s">
        <v>397</v>
      </c>
      <c r="C29" s="83"/>
      <c r="D29" s="83"/>
      <c r="E29" s="83">
        <f>'PPA Summary'!E23</f>
        <v>262.3167766895819</v>
      </c>
      <c r="F29" s="83">
        <f>'PPA Summary'!F23</f>
        <v>267.20326794188486</v>
      </c>
      <c r="G29" s="83">
        <f>'PPA Summary'!G23</f>
        <v>271.94680959612634</v>
      </c>
      <c r="H29" s="83">
        <f>'PPA Summary'!H23</f>
        <v>276.87257785650866</v>
      </c>
      <c r="I29" s="83">
        <f>'PPA Summary'!I23</f>
        <v>281.99342760460792</v>
      </c>
      <c r="J29" s="83">
        <f>'PPA Summary'!J23</f>
        <v>287.22544214217868</v>
      </c>
      <c r="K29" s="83">
        <f>'PPA Summary'!K23</f>
        <v>292.67661629877568</v>
      </c>
      <c r="L29" s="83">
        <f>'PPA Summary'!L23</f>
        <v>298.36271313100008</v>
      </c>
      <c r="M29" s="83">
        <f>'PPA Summary'!M23</f>
        <v>304.37704042339089</v>
      </c>
      <c r="N29" s="83">
        <f>'PPA Summary'!N23</f>
        <v>310.14343620665721</v>
      </c>
      <c r="O29" s="83">
        <f>'PPA Summary'!O23</f>
        <v>327.65364864996474</v>
      </c>
      <c r="P29" s="83">
        <f>'PPA Summary'!P23</f>
        <v>339.81615829955808</v>
      </c>
      <c r="Q29" s="83">
        <f>'PPA Summary'!Q23</f>
        <v>350.8014580474993</v>
      </c>
      <c r="R29" s="83">
        <f>'PPA Summary'!R23</f>
        <v>357.45230616616294</v>
      </c>
      <c r="S29" s="83">
        <f>'PPA Summary'!S23</f>
        <v>364.20774673734246</v>
      </c>
      <c r="T29" s="83">
        <f>'PPA Summary'!T23</f>
        <v>371.06771785758889</v>
      </c>
      <c r="U29" s="83">
        <f>'PPA Summary'!U23</f>
        <v>378.03199675142054</v>
      </c>
      <c r="V29" s="83">
        <f>'PPA Summary'!V23</f>
        <v>385.10018399148856</v>
      </c>
      <c r="W29" s="83">
        <f>'PPA Summary'!W23</f>
        <v>392.27168722761672</v>
      </c>
      <c r="X29" s="83">
        <f>'PPA Summary'!X23</f>
        <v>399.54570365025506</v>
      </c>
      <c r="Y29" s="83">
        <f>'PPA Summary'!Y23</f>
        <v>406.92120109308723</v>
      </c>
      <c r="Z29" s="83">
        <f>'PPA Summary'!Z23</f>
        <v>414.39689767369856</v>
      </c>
      <c r="AA29" s="279">
        <f>'PPA Summary'!AA23</f>
        <v>421.97123986246004</v>
      </c>
      <c r="AC29" s="289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279"/>
    </row>
    <row r="30" spans="2:52" s="263" customFormat="1">
      <c r="B30" s="190" t="s">
        <v>398</v>
      </c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279"/>
      <c r="AC30" s="289">
        <f>'PPA Summary'!E96*12</f>
        <v>393.58077541779426</v>
      </c>
      <c r="AD30" s="83">
        <f>'PPA Summary'!F96*12</f>
        <v>400.86630937707776</v>
      </c>
      <c r="AE30" s="83">
        <f>'PPA Summary'!G96*12</f>
        <v>408.29788771086339</v>
      </c>
      <c r="AF30" s="83">
        <f>'PPA Summary'!H96*12</f>
        <v>416.1997611049585</v>
      </c>
      <c r="AG30" s="83">
        <f>'PPA Summary'!I96*12</f>
        <v>424.37476711027256</v>
      </c>
      <c r="AH30" s="83">
        <f>'PPA Summary'!J96*12</f>
        <v>432.71724332470706</v>
      </c>
      <c r="AI30" s="83">
        <f>'PPA Summary'!K96*12</f>
        <v>441.301593723103</v>
      </c>
      <c r="AJ30" s="83">
        <f>'PPA Summary'!L96*12</f>
        <v>450.13161366679179</v>
      </c>
      <c r="AK30" s="83">
        <f>'PPA Summary'!M96*12</f>
        <v>459.20024390607784</v>
      </c>
      <c r="AL30" s="83">
        <f>'PPA Summary'!N96*12</f>
        <v>466.99950591279094</v>
      </c>
      <c r="AM30" s="83">
        <f>'PPA Summary'!O96*12</f>
        <v>474.86872696496886</v>
      </c>
      <c r="AN30" s="83">
        <f>'PPA Summary'!P96*12</f>
        <v>482.80338517395376</v>
      </c>
      <c r="AO30" s="83">
        <f>'PPA Summary'!Q96*12</f>
        <v>483.3732389226825</v>
      </c>
      <c r="AP30" s="83">
        <f>'PPA Summary'!R96*12</f>
        <v>491.25976427925229</v>
      </c>
      <c r="AQ30" s="83">
        <f>'PPA Summary'!S96*12</f>
        <v>499.19125582366507</v>
      </c>
      <c r="AR30" s="83">
        <f>'PPA Summary'!T96*12</f>
        <v>507.16080084496991</v>
      </c>
      <c r="AS30" s="83">
        <f>'PPA Summary'!U96*12</f>
        <v>515.16074764489042</v>
      </c>
      <c r="AT30" s="83">
        <f>'PPA Summary'!V96*12</f>
        <v>523.18267789053641</v>
      </c>
      <c r="AU30" s="83">
        <f>'PPA Summary'!W96*12</f>
        <v>531.21734572584251</v>
      </c>
      <c r="AV30" s="83">
        <f>'PPA Summary'!X96*12</f>
        <v>539.2546122500969</v>
      </c>
      <c r="AW30" s="83">
        <f>'PPA Summary'!Y96*12</f>
        <v>547.28337502813747</v>
      </c>
      <c r="AX30" s="83">
        <f>'PPA Summary'!Z96*12</f>
        <v>555.29149226714696</v>
      </c>
      <c r="AY30" s="279">
        <f>'PPA Summary'!AA96*12</f>
        <v>563.26570122553517</v>
      </c>
    </row>
    <row r="31" spans="2:52" s="263" customFormat="1">
      <c r="B31" s="190" t="s">
        <v>399</v>
      </c>
      <c r="C31" s="83"/>
      <c r="D31" s="83"/>
      <c r="E31" s="83">
        <f>'PPA Summary'!E25</f>
        <v>162.44827449961511</v>
      </c>
      <c r="F31" s="83">
        <f>'PPA Summary'!F25</f>
        <v>163.98532838522269</v>
      </c>
      <c r="G31" s="83">
        <f>'PPA Summary'!G25</f>
        <v>165.38038523043093</v>
      </c>
      <c r="H31" s="83">
        <f>'PPA Summary'!H25</f>
        <v>166.83728474552547</v>
      </c>
      <c r="I31" s="83">
        <f>'PPA Summary'!I25</f>
        <v>168.35926761449275</v>
      </c>
      <c r="J31" s="83">
        <f>'PPA Summary'!J25</f>
        <v>169.88939817111432</v>
      </c>
      <c r="K31" s="83">
        <f>'PPA Summary'!K25</f>
        <v>171.48958599653733</v>
      </c>
      <c r="L31" s="83">
        <f>'PPA Summary'!L25</f>
        <v>173.16368246665706</v>
      </c>
      <c r="M31" s="83">
        <f>'PPA Summary'!M25</f>
        <v>176.13323631748426</v>
      </c>
      <c r="N31" s="83">
        <f>'PPA Summary'!N25</f>
        <v>178.86760436157942</v>
      </c>
      <c r="O31" s="83">
        <f>'PPA Summary'!O25</f>
        <v>193.28304436701163</v>
      </c>
      <c r="P31" s="83">
        <f>'PPA Summary'!P25</f>
        <v>202.28869475259063</v>
      </c>
      <c r="Q31" s="83">
        <f>'PPA Summary'!Q25</f>
        <v>210.91360940676583</v>
      </c>
      <c r="R31" s="83">
        <f>'PPA Summary'!R25</f>
        <v>214.31394800460944</v>
      </c>
      <c r="S31" s="83">
        <f>'PPA Summary'!S25</f>
        <v>217.75480496756199</v>
      </c>
      <c r="T31" s="83">
        <f>'PPA Summary'!T25</f>
        <v>221.23539515229476</v>
      </c>
      <c r="U31" s="83">
        <f>'PPA Summary'!U25</f>
        <v>224.75480884048309</v>
      </c>
      <c r="V31" s="83">
        <f>'PPA Summary'!V25</f>
        <v>228.31200120129373</v>
      </c>
      <c r="W31" s="83">
        <f>'PPA Summary'!W25</f>
        <v>231.9057812584725</v>
      </c>
      <c r="X31" s="83">
        <f>'PPA Summary'!X25</f>
        <v>235.534800037727</v>
      </c>
      <c r="Y31" s="83">
        <f>'PPA Summary'!Y25</f>
        <v>239.19753783460988</v>
      </c>
      <c r="Z31" s="83">
        <f>'PPA Summary'!Z25</f>
        <v>242.89229053915068</v>
      </c>
      <c r="AA31" s="279">
        <f>'PPA Summary'!AA25</f>
        <v>246.61715494853351</v>
      </c>
      <c r="AC31" s="289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279"/>
    </row>
    <row r="32" spans="2:52" s="263" customFormat="1">
      <c r="B32" s="190" t="s">
        <v>400</v>
      </c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279"/>
      <c r="AC32" s="289">
        <f>'PPA Summary'!E98*12</f>
        <v>401.50072164256744</v>
      </c>
      <c r="AD32" s="83">
        <f>'PPA Summary'!F98*12</f>
        <v>409.79988054326566</v>
      </c>
      <c r="AE32" s="83">
        <f>'PPA Summary'!G98*12</f>
        <v>418.10731876028183</v>
      </c>
      <c r="AF32" s="83">
        <f>'PPA Summary'!H98*12</f>
        <v>426.78529818996105</v>
      </c>
      <c r="AG32" s="83">
        <f>'PPA Summary'!I98*12</f>
        <v>435.71458076100618</v>
      </c>
      <c r="AH32" s="83">
        <f>'PPA Summary'!J98*12</f>
        <v>444.78466485472063</v>
      </c>
      <c r="AI32" s="83">
        <f>'PPA Summary'!K98*12</f>
        <v>454.09145557062755</v>
      </c>
      <c r="AJ32" s="83">
        <f>'PPA Summary'!L98*12</f>
        <v>463.63873842115675</v>
      </c>
      <c r="AK32" s="83">
        <f>'PPA Summary'!M98*12</f>
        <v>473.42621152845561</v>
      </c>
      <c r="AL32" s="83">
        <f>'PPA Summary'!N98*12</f>
        <v>482.7165114775737</v>
      </c>
      <c r="AM32" s="83">
        <f>'PPA Summary'!O98*12</f>
        <v>492.16195077516153</v>
      </c>
      <c r="AN32" s="83">
        <f>'PPA Summary'!P98*12</f>
        <v>501.76309622178098</v>
      </c>
      <c r="AO32" s="83">
        <f>'PPA Summary'!Q98*12</f>
        <v>507.72460995240158</v>
      </c>
      <c r="AP32" s="83">
        <f>'PPA Summary'!R98*12</f>
        <v>517.5541867847619</v>
      </c>
      <c r="AQ32" s="83">
        <f>'PPA Summary'!S98*12</f>
        <v>527.53778481819018</v>
      </c>
      <c r="AR32" s="83">
        <f>'PPA Summary'!T98*12</f>
        <v>537.67500375979716</v>
      </c>
      <c r="AS32" s="83">
        <f>'PPA Summary'!U98*12</f>
        <v>547.96513374472113</v>
      </c>
      <c r="AT32" s="83">
        <f>'PPA Summary'!V98*12</f>
        <v>558.40716154139477</v>
      </c>
      <c r="AU32" s="83">
        <f>'PPA Summary'!W98*12</f>
        <v>568.99974270377197</v>
      </c>
      <c r="AV32" s="83">
        <f>'PPA Summary'!X98*12</f>
        <v>579.74117154641385</v>
      </c>
      <c r="AW32" s="83">
        <f>'PPA Summary'!Y98*12</f>
        <v>590.62934876367001</v>
      </c>
      <c r="AX32" s="83">
        <f>'PPA Summary'!Z98*12</f>
        <v>601.66174649665481</v>
      </c>
      <c r="AY32" s="279">
        <f>'PPA Summary'!AA98*12</f>
        <v>612.83537068898397</v>
      </c>
    </row>
    <row r="33" spans="2:52" s="263" customFormat="1">
      <c r="B33" s="190" t="s">
        <v>401</v>
      </c>
      <c r="C33" s="83"/>
      <c r="D33" s="83"/>
      <c r="E33" s="83">
        <f>'PPA Summary'!E27</f>
        <v>67.173500285484252</v>
      </c>
      <c r="F33" s="83">
        <f>'PPA Summary'!F27</f>
        <v>64.13630373825977</v>
      </c>
      <c r="G33" s="83">
        <f>'PPA Summary'!G27</f>
        <v>60.953136818214794</v>
      </c>
      <c r="H33" s="83">
        <f>'PPA Summary'!H27</f>
        <v>57.713246937122179</v>
      </c>
      <c r="I33" s="83">
        <f>'PPA Summary'!I27</f>
        <v>54.415834544783202</v>
      </c>
      <c r="J33" s="83">
        <f>'PPA Summary'!J27</f>
        <v>51.038617141823615</v>
      </c>
      <c r="K33" s="83">
        <f>'PPA Summary'!K27</f>
        <v>47.603662663240982</v>
      </c>
      <c r="L33" s="83">
        <f>'PPA Summary'!L27</f>
        <v>44.110456865492637</v>
      </c>
      <c r="M33" s="83">
        <f>'PPA Summary'!M27</f>
        <v>44.19135353433721</v>
      </c>
      <c r="N33" s="83">
        <f>'PPA Summary'!N27</f>
        <v>43.950131329751969</v>
      </c>
      <c r="O33" s="83">
        <f>'PPA Summary'!O27</f>
        <v>55.378571797603186</v>
      </c>
      <c r="P33" s="83">
        <f>'PPA Summary'!P27</f>
        <v>61.300615373954109</v>
      </c>
      <c r="Q33" s="83">
        <f>'PPA Summary'!Q27</f>
        <v>72.268593119531801</v>
      </c>
      <c r="R33" s="83">
        <f>'PPA Summary'!R27</f>
        <v>72.525681463893264</v>
      </c>
      <c r="S33" s="83">
        <f>'PPA Summary'!S27</f>
        <v>72.750309780159071</v>
      </c>
      <c r="T33" s="83">
        <f>'PPA Summary'!T27</f>
        <v>72.93983778880019</v>
      </c>
      <c r="U33" s="83">
        <f>'PPA Summary'!U27</f>
        <v>73.091440981501378</v>
      </c>
      <c r="V33" s="83">
        <f>'PPA Summary'!V27</f>
        <v>73.202098722771765</v>
      </c>
      <c r="W33" s="83">
        <f>'PPA Summary'!W27</f>
        <v>73.268580520202988</v>
      </c>
      <c r="X33" s="83">
        <f>'PPA Summary'!X27</f>
        <v>73.287431318768625</v>
      </c>
      <c r="Y33" s="83">
        <f>'PPA Summary'!Y27</f>
        <v>73.254955713865343</v>
      </c>
      <c r="Z33" s="83">
        <f>'PPA Summary'!Z27</f>
        <v>73.16720098890795</v>
      </c>
      <c r="AA33" s="279">
        <f>'PPA Summary'!AA27</f>
        <v>73.019939249516696</v>
      </c>
      <c r="AC33" s="289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279"/>
    </row>
    <row r="34" spans="2:52" s="263" customFormat="1">
      <c r="B34" s="190" t="s">
        <v>402</v>
      </c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279"/>
      <c r="AC34" s="289">
        <f>'PPA Summary'!E100*12</f>
        <v>241.11365814870953</v>
      </c>
      <c r="AD34" s="83">
        <f>'PPA Summary'!F100*12</f>
        <v>231.76282215333009</v>
      </c>
      <c r="AE34" s="83">
        <f>'PPA Summary'!G100*12</f>
        <v>225.94782030039966</v>
      </c>
      <c r="AF34" s="83">
        <f>'PPA Summary'!H100*12</f>
        <v>222.40180414003032</v>
      </c>
      <c r="AG34" s="83">
        <f>'PPA Summary'!I100*12</f>
        <v>219.49662890969685</v>
      </c>
      <c r="AH34" s="83">
        <f>'PPA Summary'!J100*12</f>
        <v>215.40901886349167</v>
      </c>
      <c r="AI34" s="83">
        <f>'PPA Summary'!K100*12</f>
        <v>212.91657713378811</v>
      </c>
      <c r="AJ34" s="83">
        <f>'PPA Summary'!L100*12</f>
        <v>210.22655196599425</v>
      </c>
      <c r="AK34" s="83">
        <f>'PPA Summary'!M100*12</f>
        <v>212.12451282603996</v>
      </c>
      <c r="AL34" s="83">
        <f>'PPA Summary'!N100*12</f>
        <v>213.74605246954729</v>
      </c>
      <c r="AM34" s="83">
        <f>'PPA Summary'!O100*12</f>
        <v>215.33153153278624</v>
      </c>
      <c r="AN34" s="83">
        <f>'PPA Summary'!P100*12</f>
        <v>216.87825020087536</v>
      </c>
      <c r="AO34" s="83">
        <f>'PPA Summary'!Q100*12</f>
        <v>214.91590707804636</v>
      </c>
      <c r="AP34" s="83">
        <f>'PPA Summary'!R100*12</f>
        <v>216.34738844798426</v>
      </c>
      <c r="AQ34" s="83">
        <f>'PPA Summary'!S100*12</f>
        <v>217.73155547283318</v>
      </c>
      <c r="AR34" s="83">
        <f>'PPA Summary'!T100*12</f>
        <v>219.06518042264977</v>
      </c>
      <c r="AS34" s="83">
        <f>'PPA Summary'!U100*12</f>
        <v>220.34487358114626</v>
      </c>
      <c r="AT34" s="83">
        <f>'PPA Summary'!V100*12</f>
        <v>221.567083396496</v>
      </c>
      <c r="AU34" s="83">
        <f>'PPA Summary'!W100*12</f>
        <v>222.72808821455698</v>
      </c>
      <c r="AV34" s="83">
        <f>'PPA Summary'!X100*12</f>
        <v>223.82398751840981</v>
      </c>
      <c r="AW34" s="83">
        <f>'PPA Summary'!Y100*12</f>
        <v>224.85069272989938</v>
      </c>
      <c r="AX34" s="83">
        <f>'PPA Summary'!Z100*12</f>
        <v>225.8039175911413</v>
      </c>
      <c r="AY34" s="279">
        <f>'PPA Summary'!AA100*12</f>
        <v>226.67916715508466</v>
      </c>
    </row>
    <row r="35" spans="2:52" s="263" customFormat="1">
      <c r="B35" s="190" t="s">
        <v>403</v>
      </c>
      <c r="C35" s="83"/>
      <c r="D35" s="83"/>
      <c r="E35" s="83">
        <f>'PPA Summary'!E29</f>
        <v>38.000020464403825</v>
      </c>
      <c r="F35" s="83">
        <f>'PPA Summary'!F29</f>
        <v>35.801491361790653</v>
      </c>
      <c r="G35" s="83">
        <f>'PPA Summary'!G29</f>
        <v>33.506432662021012</v>
      </c>
      <c r="H35" s="83">
        <f>'PPA Summary'!H29</f>
        <v>31.17297496082573</v>
      </c>
      <c r="I35" s="83">
        <f>'PPA Summary'!I29</f>
        <v>28.459568647282691</v>
      </c>
      <c r="J35" s="83">
        <f>'PPA Summary'!J29</f>
        <v>25.713164907602433</v>
      </c>
      <c r="K35" s="83">
        <f>'PPA Summary'!K29</f>
        <v>22.949237477832121</v>
      </c>
      <c r="L35" s="83">
        <f>'PPA Summary'!L29</f>
        <v>20.168639070102142</v>
      </c>
      <c r="M35" s="83">
        <f>'PPA Summary'!M29</f>
        <v>20.101119680662631</v>
      </c>
      <c r="N35" s="83">
        <f>'PPA Summary'!N29</f>
        <v>19.778507206876334</v>
      </c>
      <c r="O35" s="83">
        <f>'PPA Summary'!O29</f>
        <v>31.130630626254757</v>
      </c>
      <c r="P35" s="83">
        <f>'PPA Summary'!P29</f>
        <v>36.981792684705496</v>
      </c>
      <c r="Q35" s="83">
        <f>'PPA Summary'!Q29</f>
        <v>48.339515745965926</v>
      </c>
      <c r="R35" s="83">
        <f>'PPA Summary'!R29</f>
        <v>48.54048824062631</v>
      </c>
      <c r="S35" s="83">
        <f>'PPA Summary'!S29</f>
        <v>48.715639211680575</v>
      </c>
      <c r="T35" s="83">
        <f>'PPA Summary'!T29</f>
        <v>48.862782412008436</v>
      </c>
      <c r="U35" s="83">
        <f>'PPA Summary'!U29</f>
        <v>48.979575221408702</v>
      </c>
      <c r="V35" s="83">
        <f>'PPA Summary'!V29</f>
        <v>49.063508483193516</v>
      </c>
      <c r="W35" s="83">
        <f>'PPA Summary'!W29</f>
        <v>49.111894655382848</v>
      </c>
      <c r="X35" s="83">
        <f>'PPA Summary'!X29</f>
        <v>49.121855109085352</v>
      </c>
      <c r="Y35" s="83">
        <f>'PPA Summary'!Y29</f>
        <v>49.090306462854656</v>
      </c>
      <c r="Z35" s="83">
        <f>'PPA Summary'!Z29</f>
        <v>49.013945934643274</v>
      </c>
      <c r="AA35" s="279">
        <f>'PPA Summary'!AA29</f>
        <v>48.889235870012641</v>
      </c>
      <c r="AC35" s="289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279"/>
    </row>
    <row r="36" spans="2:52" s="263" customFormat="1">
      <c r="B36" s="190" t="s">
        <v>404</v>
      </c>
      <c r="C36" s="83"/>
      <c r="D36" s="83"/>
      <c r="E36" s="83">
        <f>'PPA Summary'!E30</f>
        <v>41.580927666010936</v>
      </c>
      <c r="F36" s="83">
        <f>'PPA Summary'!F30</f>
        <v>39.572176150843219</v>
      </c>
      <c r="G36" s="83">
        <f>'PPA Summary'!G30</f>
        <v>37.465596108595193</v>
      </c>
      <c r="H36" s="83">
        <f>'PPA Summary'!H30</f>
        <v>35.324009041286203</v>
      </c>
      <c r="I36" s="83">
        <f>'PPA Summary'!I30</f>
        <v>32.779123889251558</v>
      </c>
      <c r="J36" s="83">
        <f>'PPA Summary'!J30</f>
        <v>30.200364026908389</v>
      </c>
      <c r="K36" s="83">
        <f>'PPA Summary'!K30</f>
        <v>27.604630617934667</v>
      </c>
      <c r="L36" s="83">
        <f>'PPA Summary'!L30</f>
        <v>24.992712989771071</v>
      </c>
      <c r="M36" s="83">
        <f>'PPA Summary'!M30</f>
        <v>25.045466171436765</v>
      </c>
      <c r="N36" s="83">
        <f>'PPA Summary'!N30</f>
        <v>24.860057661046383</v>
      </c>
      <c r="O36" s="83">
        <f>'PPA Summary'!O30</f>
        <v>36.321334205023717</v>
      </c>
      <c r="P36" s="83">
        <f>'PPA Summary'!P30</f>
        <v>42.300979854328467</v>
      </c>
      <c r="Q36" s="83">
        <f>'PPA Summary'!Q30</f>
        <v>53.653169222289861</v>
      </c>
      <c r="R36" s="83">
        <f>'PPA Summary'!R30</f>
        <v>54.004158428882597</v>
      </c>
      <c r="S36" s="83">
        <f>'PPA Summary'!S30</f>
        <v>54.334034894832051</v>
      </c>
      <c r="T36" s="83">
        <f>'PPA Summary'!T30</f>
        <v>54.640804638328405</v>
      </c>
      <c r="U36" s="83">
        <f>'PPA Summary'!U30</f>
        <v>54.922325486754872</v>
      </c>
      <c r="V36" s="83">
        <f>'PPA Summary'!V30</f>
        <v>55.176299622554509</v>
      </c>
      <c r="W36" s="83">
        <f>'PPA Summary'!W30</f>
        <v>55.400262441423266</v>
      </c>
      <c r="X36" s="83">
        <f>'PPA Summary'!X30</f>
        <v>55.591570608363263</v>
      </c>
      <c r="Y36" s="83">
        <f>'PPA Summary'!Y30</f>
        <v>55.747389250235031</v>
      </c>
      <c r="Z36" s="83">
        <f>'PPA Summary'!Z30</f>
        <v>55.864678224213414</v>
      </c>
      <c r="AA36" s="279">
        <f>'PPA Summary'!AA30</f>
        <v>55.940177394678955</v>
      </c>
      <c r="AC36" s="289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279"/>
    </row>
    <row r="37" spans="2:52" s="263" customFormat="1">
      <c r="B37" s="190" t="s">
        <v>405</v>
      </c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279"/>
      <c r="AC37" s="289">
        <f>'PPA Summary'!E103*12</f>
        <v>197.78117615420169</v>
      </c>
      <c r="AD37" s="83">
        <f>'PPA Summary'!F103*12</f>
        <v>190.53110635935519</v>
      </c>
      <c r="AE37" s="83">
        <f>'PPA Summary'!G103*12</f>
        <v>186.03154485076797</v>
      </c>
      <c r="AF37" s="83">
        <f>'PPA Summary'!H103*12</f>
        <v>183.29805416773928</v>
      </c>
      <c r="AG37" s="83">
        <f>'PPA Summary'!I103*12</f>
        <v>181.08142152116699</v>
      </c>
      <c r="AH37" s="83">
        <f>'PPA Summary'!J103*12</f>
        <v>177.99755058377519</v>
      </c>
      <c r="AI37" s="83">
        <f>'PPA Summary'!K103*12</f>
        <v>176.16257558684819</v>
      </c>
      <c r="AJ37" s="83">
        <f>'PPA Summary'!L103*12</f>
        <v>174.20786686934179</v>
      </c>
      <c r="AK37" s="83">
        <f>'PPA Summary'!M103*12</f>
        <v>175.76166565042098</v>
      </c>
      <c r="AL37" s="83">
        <f>'PPA Summary'!N103*12</f>
        <v>176.72426124117578</v>
      </c>
      <c r="AM37" s="83">
        <f>'PPA Summary'!O103*12</f>
        <v>177.62710969033418</v>
      </c>
      <c r="AN37" s="83">
        <f>'PPA Summary'!P103*12</f>
        <v>178.46584771732705</v>
      </c>
      <c r="AO37" s="83">
        <f>'PPA Summary'!Q103*12</f>
        <v>176.60965812387971</v>
      </c>
      <c r="AP37" s="83">
        <f>'PPA Summary'!R103*12</f>
        <v>177.2840081472537</v>
      </c>
      <c r="AQ37" s="83">
        <f>'PPA Summary'!S103*12</f>
        <v>177.87981934373545</v>
      </c>
      <c r="AR37" s="83">
        <f>'PPA Summary'!T103*12</f>
        <v>178.39162035772716</v>
      </c>
      <c r="AS37" s="83">
        <f>'PPA Summary'!U103*12</f>
        <v>178.81360212820817</v>
      </c>
      <c r="AT37" s="83">
        <f>'PPA Summary'!V103*12</f>
        <v>179.13960387271129</v>
      </c>
      <c r="AU37" s="83">
        <f>'PPA Summary'!W103*12</f>
        <v>179.36309016543265</v>
      </c>
      <c r="AV37" s="83">
        <f>'PPA Summary'!X103*12</f>
        <v>179.47712640496255</v>
      </c>
      <c r="AW37" s="83">
        <f>'PPA Summary'!Y103*12</f>
        <v>179.47433744834913</v>
      </c>
      <c r="AX37" s="83">
        <f>'PPA Summary'!Z103*12</f>
        <v>179.34695575212137</v>
      </c>
      <c r="AY37" s="279">
        <f>'PPA Summary'!AA103*12</f>
        <v>179.08663846057814</v>
      </c>
    </row>
    <row r="38" spans="2:52" s="263" customFormat="1">
      <c r="B38" s="190" t="s">
        <v>406</v>
      </c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279"/>
      <c r="AC38" s="289">
        <f>'PPA Summary'!E104*12</f>
        <v>118.25471371229862</v>
      </c>
      <c r="AD38" s="83">
        <f>'PPA Summary'!F104*12</f>
        <v>115.7998863404718</v>
      </c>
      <c r="AE38" s="83">
        <f>'PPA Summary'!G104*12</f>
        <v>113.46572585322772</v>
      </c>
      <c r="AF38" s="83">
        <f>'PPA Summary'!H104*12</f>
        <v>112.98970433197748</v>
      </c>
      <c r="AG38" s="83">
        <f>'PPA Summary'!I104*12</f>
        <v>112.62291785511255</v>
      </c>
      <c r="AH38" s="83">
        <f>'PPA Summary'!J104*12</f>
        <v>111.48303461168764</v>
      </c>
      <c r="AI38" s="83">
        <f>'PPA Summary'!K104*12</f>
        <v>111.668825568692</v>
      </c>
      <c r="AJ38" s="83">
        <f>'PPA Summary'!L104*12</f>
        <v>111.27764077202173</v>
      </c>
      <c r="AK38" s="83">
        <f>'PPA Summary'!M104*12</f>
        <v>112.26912881032234</v>
      </c>
      <c r="AL38" s="83">
        <f>'PPA Summary'!N104*12</f>
        <v>112.9136629066121</v>
      </c>
      <c r="AM38" s="83">
        <f>'PPA Summary'!O104*12</f>
        <v>113.52318980443957</v>
      </c>
      <c r="AN38" s="83">
        <f>'PPA Summary'!P104*12</f>
        <v>114.09519388688381</v>
      </c>
      <c r="AO38" s="83">
        <f>'PPA Summary'!Q104*12</f>
        <v>112.92566117805698</v>
      </c>
      <c r="AP38" s="83">
        <f>'PPA Summary'!R104*12</f>
        <v>113.40019026826995</v>
      </c>
      <c r="AQ38" s="83">
        <f>'PPA Summary'!S104*12</f>
        <v>113.82891359239957</v>
      </c>
      <c r="AR38" s="83">
        <f>'PPA Summary'!T104*12</f>
        <v>114.20869309826486</v>
      </c>
      <c r="AS38" s="83">
        <f>'PPA Summary'!U104*12</f>
        <v>114.53620590298823</v>
      </c>
      <c r="AT38" s="83">
        <f>'PPA Summary'!V104*12</f>
        <v>114.81269925971425</v>
      </c>
      <c r="AU38" s="83">
        <f>'PPA Summary'!W104*12</f>
        <v>115.02989364252076</v>
      </c>
      <c r="AV38" s="83">
        <f>'PPA Summary'!X104*12</f>
        <v>115.18385128383417</v>
      </c>
      <c r="AW38" s="83">
        <f>'PPA Summary'!Y104*12</f>
        <v>115.27040039698218</v>
      </c>
      <c r="AX38" s="83">
        <f>'PPA Summary'!Z104*12</f>
        <v>115.28512019988833</v>
      </c>
      <c r="AY38" s="279">
        <f>'PPA Summary'!AA104*12</f>
        <v>115.22332424846303</v>
      </c>
    </row>
    <row r="39" spans="2:52" s="263" customFormat="1">
      <c r="B39" s="201" t="s">
        <v>407</v>
      </c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5"/>
      <c r="AC39" s="290">
        <f>'PPA Summary'!E105*12</f>
        <v>65.005508045936338</v>
      </c>
      <c r="AD39" s="284">
        <f>'PPA Summary'!F105*12</f>
        <v>63.743704469935636</v>
      </c>
      <c r="AE39" s="284">
        <f>'PPA Summary'!G105*12</f>
        <v>62.562573064505528</v>
      </c>
      <c r="AF39" s="284">
        <f>'PPA Summary'!H105*12</f>
        <v>62.331094592078877</v>
      </c>
      <c r="AG39" s="284">
        <f>'PPA Summary'!I105*12</f>
        <v>62.158937420408279</v>
      </c>
      <c r="AH39" s="284">
        <f>'PPA Summary'!J105*12</f>
        <v>61.604117112565618</v>
      </c>
      <c r="AI39" s="284">
        <f>'PPA Summary'!K105*12</f>
        <v>61.723293451040732</v>
      </c>
      <c r="AJ39" s="284">
        <f>'PPA Summary'!L105*12</f>
        <v>61.553421020466523</v>
      </c>
      <c r="AK39" s="284">
        <f>'PPA Summary'!M105*12</f>
        <v>62.079961761084654</v>
      </c>
      <c r="AL39" s="284">
        <f>'PPA Summary'!N105*12</f>
        <v>62.288045328669163</v>
      </c>
      <c r="AM39" s="284">
        <f>'PPA Summary'!O105*12</f>
        <v>62.466208493782219</v>
      </c>
      <c r="AN39" s="284">
        <f>'PPA Summary'!P105*12</f>
        <v>62.61237105692453</v>
      </c>
      <c r="AO39" s="284">
        <f>'PPA Summary'!Q105*12</f>
        <v>61.873640613238273</v>
      </c>
      <c r="AP39" s="284">
        <f>'PPA Summary'!R105*12</f>
        <v>61.941873851330286</v>
      </c>
      <c r="AQ39" s="284">
        <f>'PPA Summary'!S105*12</f>
        <v>61.971136901427485</v>
      </c>
      <c r="AR39" s="284">
        <f>'PPA Summary'!T105*12</f>
        <v>61.958794266671362</v>
      </c>
      <c r="AS39" s="284">
        <f>'PPA Summary'!U105*12</f>
        <v>61.902014434838961</v>
      </c>
      <c r="AT39" s="284">
        <f>'PPA Summary'!V105*12</f>
        <v>61.80022356187088</v>
      </c>
      <c r="AU39" s="284">
        <f>'PPA Summary'!W105*12</f>
        <v>61.647964578291649</v>
      </c>
      <c r="AV39" s="284">
        <f>'PPA Summary'!X105*12</f>
        <v>61.441871383666168</v>
      </c>
      <c r="AW39" s="284">
        <f>'PPA Summary'!Y105*12</f>
        <v>61.178364744860694</v>
      </c>
      <c r="AX39" s="284">
        <f>'PPA Summary'!Z105*12</f>
        <v>60.853637954871019</v>
      </c>
      <c r="AY39" s="285">
        <f>'PPA Summary'!AA105*12</f>
        <v>60.46364084395757</v>
      </c>
    </row>
    <row r="40" spans="2:52">
      <c r="B40" s="191" t="s">
        <v>11</v>
      </c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279"/>
      <c r="AC40" s="289">
        <f>INDEX('Storage Summary'!$C$6:$C$28,MATCH(AC$2,'Storage Summary'!$B$6:$B$28,0),1)</f>
        <v>194.40685067042219</v>
      </c>
      <c r="AD40" s="83">
        <f>INDEX('Storage Summary'!$C$6:$C$28,MATCH(AD$2,'Storage Summary'!$B$6:$B$28,0),1)</f>
        <v>186.56795890429714</v>
      </c>
      <c r="AE40" s="83">
        <f>INDEX('Storage Summary'!$C$6:$C$28,MATCH(AE$2,'Storage Summary'!$B$6:$B$28,0),1)</f>
        <v>181.6306979179266</v>
      </c>
      <c r="AF40" s="83">
        <f>INDEX('Storage Summary'!$C$6:$C$28,MATCH(AF$2,'Storage Summary'!$B$6:$B$28,0),1)</f>
        <v>178.56281583934108</v>
      </c>
      <c r="AG40" s="83">
        <f>INDEX('Storage Summary'!$C$6:$C$28,MATCH(AG$2,'Storage Summary'!$B$6:$B$28,0),1)</f>
        <v>176.06877855435749</v>
      </c>
      <c r="AH40" s="83">
        <f>INDEX('Storage Summary'!$C$6:$C$28,MATCH(AH$2,'Storage Summary'!$B$6:$B$28,0),1)</f>
        <v>172.72676604706163</v>
      </c>
      <c r="AI40" s="83">
        <f>INDEX('Storage Summary'!$C$6:$C$28,MATCH(AI$2,'Storage Summary'!$B$6:$B$28,0),1)</f>
        <v>170.71938165200473</v>
      </c>
      <c r="AJ40" s="83">
        <f>INDEX('Storage Summary'!$C$6:$C$28,MATCH(AJ$2,'Storage Summary'!$B$6:$B$28,0),1)</f>
        <v>168.63372458841829</v>
      </c>
      <c r="AK40" s="83">
        <f>INDEX('Storage Summary'!$C$6:$C$28,MATCH(AK$2,'Storage Summary'!$B$6:$B$28,0),1)</f>
        <v>170.1933395996374</v>
      </c>
      <c r="AL40" s="83">
        <f>INDEX('Storage Summary'!$C$6:$C$28,MATCH(AL$2,'Storage Summary'!$B$6:$B$28,0),1)</f>
        <v>170.46673810459183</v>
      </c>
      <c r="AM40" s="83">
        <f>INDEX('Storage Summary'!$C$6:$C$28,MATCH(AM$2,'Storage Summary'!$B$6:$B$28,0),1)</f>
        <v>226.06218496389431</v>
      </c>
      <c r="AN40" s="83">
        <f>INDEX('Storage Summary'!$C$6:$C$28,MATCH(AN$2,'Storage Summary'!$B$6:$B$28,0),1)</f>
        <v>226.61013899340452</v>
      </c>
      <c r="AO40" s="83">
        <f>INDEX('Storage Summary'!$C$6:$C$28,MATCH(AO$2,'Storage Summary'!$B$6:$B$28,0),1)</f>
        <v>227.03750163580426</v>
      </c>
      <c r="AP40" s="83">
        <f>INDEX('Storage Summary'!$C$6:$C$28,MATCH(AP$2,'Storage Summary'!$B$6:$B$28,0),1)</f>
        <v>227.33640445923717</v>
      </c>
      <c r="AQ40" s="83">
        <f>INDEX('Storage Summary'!$C$6:$C$28,MATCH(AQ$2,'Storage Summary'!$B$6:$B$28,0),1)</f>
        <v>227.49854163928475</v>
      </c>
      <c r="AR40" s="83">
        <f>INDEX('Storage Summary'!$C$6:$C$28,MATCH(AR$2,'Storage Summary'!$B$6:$B$28,0),1)</f>
        <v>227.51514478645723</v>
      </c>
      <c r="AS40" s="83">
        <f>INDEX('Storage Summary'!$C$6:$C$28,MATCH(AS$2,'Storage Summary'!$B$6:$B$28,0),1)</f>
        <v>227.3769562440001</v>
      </c>
      <c r="AT40" s="83">
        <f>INDEX('Storage Summary'!$C$6:$C$28,MATCH(AT$2,'Storage Summary'!$B$6:$B$28,0),1)</f>
        <v>227.07420075964495</v>
      </c>
      <c r="AU40" s="83">
        <f>INDEX('Storage Summary'!$C$6:$C$28,MATCH(AU$2,'Storage Summary'!$B$6:$B$28,0),1)</f>
        <v>226.59655542873608</v>
      </c>
      <c r="AV40" s="83">
        <f>INDEX('Storage Summary'!$C$6:$C$28,MATCH(AV$2,'Storage Summary'!$B$6:$B$28,0),1)</f>
        <v>225.93311779956491</v>
      </c>
      <c r="AW40" s="83">
        <f>INDEX('Storage Summary'!$C$6:$C$28,MATCH(AW$2,'Storage Summary'!$B$6:$B$28,0),1)</f>
        <v>225.07237202476594</v>
      </c>
      <c r="AX40" s="83">
        <f>INDEX('Storage Summary'!$C$6:$C$28,MATCH(AX$2,'Storage Summary'!$B$6:$B$28,0),1)</f>
        <v>224.00215293511459</v>
      </c>
      <c r="AY40" s="279">
        <f>INDEX('Storage Summary'!$C$6:$C$28,MATCH(AY$2,'Storage Summary'!$B$6:$B$28,0),1)</f>
        <v>222.70960790416123</v>
      </c>
      <c r="AZ40" s="263"/>
    </row>
    <row r="41" spans="2:52">
      <c r="B41" s="191" t="s">
        <v>12</v>
      </c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279"/>
      <c r="AC41" s="289">
        <f>INDEX('Storage Summary'!$D$6:$D$28,MATCH(AC$2,'Storage Summary'!$B$6:$B$28,0),1)</f>
        <v>349.03803558158819</v>
      </c>
      <c r="AD41" s="83">
        <f>INDEX('Storage Summary'!$D$6:$D$28,MATCH(AD$2,'Storage Summary'!$B$6:$B$28,0),1)</f>
        <v>330.93572046608114</v>
      </c>
      <c r="AE41" s="83">
        <f>INDEX('Storage Summary'!$D$6:$D$28,MATCH(AE$2,'Storage Summary'!$B$6:$B$28,0),1)</f>
        <v>321.22000016956628</v>
      </c>
      <c r="AF41" s="83">
        <f>INDEX('Storage Summary'!$D$6:$D$28,MATCH(AF$2,'Storage Summary'!$B$6:$B$28,0),1)</f>
        <v>313.22599729619793</v>
      </c>
      <c r="AG41" s="83">
        <f>INDEX('Storage Summary'!$D$6:$D$28,MATCH(AG$2,'Storage Summary'!$B$6:$B$28,0),1)</f>
        <v>306.68792493626489</v>
      </c>
      <c r="AH41" s="83">
        <f>INDEX('Storage Summary'!$D$6:$D$28,MATCH(AH$2,'Storage Summary'!$B$6:$B$28,0),1)</f>
        <v>299.14920442959703</v>
      </c>
      <c r="AI41" s="83">
        <f>INDEX('Storage Summary'!$D$6:$D$28,MATCH(AI$2,'Storage Summary'!$B$6:$B$28,0),1)</f>
        <v>292.83243158070934</v>
      </c>
      <c r="AJ41" s="83">
        <f>INDEX('Storage Summary'!$D$6:$D$28,MATCH(AJ$2,'Storage Summary'!$B$6:$B$28,0),1)</f>
        <v>287.42470909523473</v>
      </c>
      <c r="AK41" s="83">
        <f>INDEX('Storage Summary'!$D$6:$D$28,MATCH(AK$2,'Storage Summary'!$B$6:$B$28,0),1)</f>
        <v>290.06501160908641</v>
      </c>
      <c r="AL41" s="83">
        <f>INDEX('Storage Summary'!$D$6:$D$28,MATCH(AL$2,'Storage Summary'!$B$6:$B$28,0),1)</f>
        <v>290.53068686618167</v>
      </c>
      <c r="AM41" s="83">
        <f>INDEX('Storage Summary'!$D$6:$D$28,MATCH(AM$2,'Storage Summary'!$B$6:$B$28,0),1)</f>
        <v>385.28332142992986</v>
      </c>
      <c r="AN41" s="83">
        <f>INDEX('Storage Summary'!$D$6:$D$28,MATCH(AN$2,'Storage Summary'!$B$6:$B$28,0),1)</f>
        <v>386.21681243170559</v>
      </c>
      <c r="AO41" s="83">
        <f>INDEX('Storage Summary'!$D$6:$D$28,MATCH(AO$2,'Storage Summary'!$B$6:$B$28,0),1)</f>
        <v>386.9447638109325</v>
      </c>
      <c r="AP41" s="83">
        <f>INDEX('Storage Summary'!$D$6:$D$28,MATCH(AP$2,'Storage Summary'!$B$6:$B$28,0),1)</f>
        <v>387.45376515452807</v>
      </c>
      <c r="AQ41" s="83">
        <f>INDEX('Storage Summary'!$D$6:$D$28,MATCH(AQ$2,'Storage Summary'!$B$6:$B$28,0),1)</f>
        <v>387.72966061501671</v>
      </c>
      <c r="AR41" s="83">
        <f>INDEX('Storage Summary'!$D$6:$D$28,MATCH(AR$2,'Storage Summary'!$B$6:$B$28,0),1)</f>
        <v>387.75750601085173</v>
      </c>
      <c r="AS41" s="83">
        <f>INDEX('Storage Summary'!$D$6:$D$28,MATCH(AS$2,'Storage Summary'!$B$6:$B$28,0),1)</f>
        <v>387.52152331983194</v>
      </c>
      <c r="AT41" s="83">
        <f>INDEX('Storage Summary'!$D$6:$D$28,MATCH(AT$2,'Storage Summary'!$B$6:$B$28,0),1)</f>
        <v>387.00505240139472</v>
      </c>
      <c r="AU41" s="83">
        <f>INDEX('Storage Summary'!$D$6:$D$28,MATCH(AU$2,'Storage Summary'!$B$6:$B$28,0),1)</f>
        <v>386.19049977297703</v>
      </c>
      <c r="AV41" s="83">
        <f>INDEX('Storage Summary'!$D$6:$D$28,MATCH(AV$2,'Storage Summary'!$B$6:$B$28,0),1)</f>
        <v>385.0592842544059</v>
      </c>
      <c r="AW41" s="83">
        <f>INDEX('Storage Summary'!$D$6:$D$28,MATCH(AW$2,'Storage Summary'!$B$6:$B$28,0),1)</f>
        <v>383.59177928238256</v>
      </c>
      <c r="AX41" s="83">
        <f>INDEX('Storage Summary'!$D$6:$D$28,MATCH(AX$2,'Storage Summary'!$B$6:$B$28,0),1)</f>
        <v>381.76725168431938</v>
      </c>
      <c r="AY41" s="279">
        <f>INDEX('Storage Summary'!$D$6:$D$28,MATCH(AY$2,'Storage Summary'!$B$6:$B$28,0),1)</f>
        <v>379.5637966873137</v>
      </c>
      <c r="AZ41" s="263"/>
    </row>
    <row r="42" spans="2:52">
      <c r="B42" s="191" t="s">
        <v>13</v>
      </c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279"/>
      <c r="AC42" s="289">
        <f>INDEX('Storage Summary'!$E$6:$E$28,MATCH(AC$2,'Storage Summary'!$B$6:$B$28,0),1)</f>
        <v>148.67017116402008</v>
      </c>
      <c r="AD42" s="83">
        <f>INDEX('Storage Summary'!$E$6:$E$28,MATCH(AD$2,'Storage Summary'!$B$6:$B$28,0),1)</f>
        <v>142.66309456987418</v>
      </c>
      <c r="AE42" s="83">
        <f>INDEX('Storage Summary'!$E$6:$E$28,MATCH(AE$2,'Storage Summary'!$B$6:$B$28,0),1)</f>
        <v>138.87925516300916</v>
      </c>
      <c r="AF42" s="83">
        <f>INDEX('Storage Summary'!$E$6:$E$28,MATCH(AF$2,'Storage Summary'!$B$6:$B$28,0),1)</f>
        <v>136.52770893516333</v>
      </c>
      <c r="AG42" s="83">
        <f>INDEX('Storage Summary'!$E$6:$E$28,MATCH(AG$2,'Storage Summary'!$B$6:$B$28,0),1)</f>
        <v>134.61539254882484</v>
      </c>
      <c r="AH42" s="83">
        <f>INDEX('Storage Summary'!$E$6:$E$28,MATCH(AH$2,'Storage Summary'!$B$6:$B$28,0),1)</f>
        <v>132.05208383787433</v>
      </c>
      <c r="AI42" s="83">
        <f>INDEX('Storage Summary'!$E$6:$E$28,MATCH(AI$2,'Storage Summary'!$B$6:$B$28,0),1)</f>
        <v>130.51118593475789</v>
      </c>
      <c r="AJ42" s="83">
        <f>INDEX('Storage Summary'!$E$6:$E$28,MATCH(AJ$2,'Storage Summary'!$B$6:$B$28,0),1)</f>
        <v>128.90950519044853</v>
      </c>
      <c r="AK42" s="83">
        <f>INDEX('Storage Summary'!$E$6:$E$28,MATCH(AK$2,'Storage Summary'!$B$6:$B$28,0),1)</f>
        <v>130.10230596272794</v>
      </c>
      <c r="AL42" s="83">
        <f>INDEX('Storage Summary'!$E$6:$E$28,MATCH(AL$2,'Storage Summary'!$B$6:$B$28,0),1)</f>
        <v>131.23376249060436</v>
      </c>
      <c r="AM42" s="83">
        <f>INDEX('Storage Summary'!$E$6:$E$28,MATCH(AM$2,'Storage Summary'!$B$6:$B$28,0),1)</f>
        <v>174.85286501727944</v>
      </c>
      <c r="AN42" s="83">
        <f>INDEX('Storage Summary'!$E$6:$E$28,MATCH(AN$2,'Storage Summary'!$B$6:$B$28,0),1)</f>
        <v>176.32803042652458</v>
      </c>
      <c r="AO42" s="83">
        <f>INDEX('Storage Summary'!$E$6:$E$28,MATCH(AO$2,'Storage Summary'!$B$6:$B$28,0),1)</f>
        <v>177.78347432710754</v>
      </c>
      <c r="AP42" s="83">
        <f>INDEX('Storage Summary'!$E$6:$E$28,MATCH(AP$2,'Storage Summary'!$B$6:$B$28,0),1)</f>
        <v>179.2176149925902</v>
      </c>
      <c r="AQ42" s="83">
        <f>INDEX('Storage Summary'!$E$6:$E$28,MATCH(AQ$2,'Storage Summary'!$B$6:$B$28,0),1)</f>
        <v>179.69657106655944</v>
      </c>
      <c r="AR42" s="83">
        <f>INDEX('Storage Summary'!$E$6:$E$28,MATCH(AR$2,'Storage Summary'!$B$6:$B$28,0),1)</f>
        <v>180.08731087021681</v>
      </c>
      <c r="AS42" s="83">
        <f>INDEX('Storage Summary'!$E$6:$E$28,MATCH(AS$2,'Storage Summary'!$B$6:$B$28,0),1)</f>
        <v>180.38425313225284</v>
      </c>
      <c r="AT42" s="83">
        <f>INDEX('Storage Summary'!$E$6:$E$28,MATCH(AT$2,'Storage Summary'!$B$6:$B$28,0),1)</f>
        <v>180.58151813915731</v>
      </c>
      <c r="AU42" s="83">
        <f>INDEX('Storage Summary'!$E$6:$E$28,MATCH(AU$2,'Storage Summary'!$B$6:$B$28,0),1)</f>
        <v>180.67291108395199</v>
      </c>
      <c r="AV42" s="83">
        <f>INDEX('Storage Summary'!$E$6:$E$28,MATCH(AV$2,'Storage Summary'!$B$6:$B$28,0),1)</f>
        <v>180.65190442171215</v>
      </c>
      <c r="AW42" s="83">
        <f>INDEX('Storage Summary'!$E$6:$E$28,MATCH(AW$2,'Storage Summary'!$B$6:$B$28,0),1)</f>
        <v>180.51161916988121</v>
      </c>
      <c r="AX42" s="83">
        <f>INDEX('Storage Summary'!$E$6:$E$28,MATCH(AX$2,'Storage Summary'!$B$6:$B$28,0),1)</f>
        <v>180.2448050873935</v>
      </c>
      <c r="AY42" s="279">
        <f>INDEX('Storage Summary'!$E$6:$E$28,MATCH(AY$2,'Storage Summary'!$B$6:$B$28,0),1)</f>
        <v>179.84381966242626</v>
      </c>
      <c r="AZ42" s="263"/>
    </row>
    <row r="43" spans="2:52">
      <c r="B43" s="191" t="s">
        <v>14</v>
      </c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279"/>
      <c r="AC43" s="289">
        <f>INDEX('Storage Summary'!$F$6:$F$28,MATCH(AC$2,'Storage Summary'!$B$6:$B$28,0),1)</f>
        <v>266.94582704160314</v>
      </c>
      <c r="AD43" s="83">
        <f>INDEX('Storage Summary'!$F$6:$F$28,MATCH(AD$2,'Storage Summary'!$B$6:$B$28,0),1)</f>
        <v>253.07481279659336</v>
      </c>
      <c r="AE43" s="83">
        <f>INDEX('Storage Summary'!$F$6:$F$28,MATCH(AE$2,'Storage Summary'!$B$6:$B$28,0),1)</f>
        <v>245.63084840938618</v>
      </c>
      <c r="AF43" s="83">
        <f>INDEX('Storage Summary'!$F$6:$F$28,MATCH(AF$2,'Storage Summary'!$B$6:$B$28,0),1)</f>
        <v>239.50497499200492</v>
      </c>
      <c r="AG43" s="83">
        <f>INDEX('Storage Summary'!$F$6:$F$28,MATCH(AG$2,'Storage Summary'!$B$6:$B$28,0),1)</f>
        <v>234.49364791236303</v>
      </c>
      <c r="AH43" s="83">
        <f>INDEX('Storage Summary'!$F$6:$F$28,MATCH(AH$2,'Storage Summary'!$B$6:$B$28,0),1)</f>
        <v>228.71329337689946</v>
      </c>
      <c r="AI43" s="83">
        <f>INDEX('Storage Summary'!$F$6:$F$28,MATCH(AI$2,'Storage Summary'!$B$6:$B$28,0),1)</f>
        <v>223.867851666142</v>
      </c>
      <c r="AJ43" s="83">
        <f>INDEX('Storage Summary'!$F$6:$F$28,MATCH(AJ$2,'Storage Summary'!$B$6:$B$28,0),1)</f>
        <v>219.71752155275067</v>
      </c>
      <c r="AK43" s="83">
        <f>INDEX('Storage Summary'!$F$6:$F$28,MATCH(AK$2,'Storage Summary'!$B$6:$B$28,0),1)</f>
        <v>221.73680942214477</v>
      </c>
      <c r="AL43" s="83">
        <f>INDEX('Storage Summary'!$F$6:$F$28,MATCH(AL$2,'Storage Summary'!$B$6:$B$28,0),1)</f>
        <v>222.10807609395616</v>
      </c>
      <c r="AM43" s="83">
        <f>INDEX('Storage Summary'!$F$6:$F$28,MATCH(AM$2,'Storage Summary'!$B$6:$B$28,0),1)</f>
        <v>294.7836060162785</v>
      </c>
      <c r="AN43" s="83">
        <f>INDEX('Storage Summary'!$F$6:$F$28,MATCH(AN$2,'Storage Summary'!$B$6:$B$28,0),1)</f>
        <v>295.51662522063378</v>
      </c>
      <c r="AO43" s="83">
        <f>INDEX('Storage Summary'!$F$6:$F$28,MATCH(AO$2,'Storage Summary'!$B$6:$B$28,0),1)</f>
        <v>296.09367630341762</v>
      </c>
      <c r="AP43" s="83">
        <f>INDEX('Storage Summary'!$F$6:$F$28,MATCH(AP$2,'Storage Summary'!$B$6:$B$28,0),1)</f>
        <v>296.50457686083638</v>
      </c>
      <c r="AQ43" s="83">
        <f>INDEX('Storage Summary'!$F$6:$F$28,MATCH(AQ$2,'Storage Summary'!$B$6:$B$28,0),1)</f>
        <v>296.7385789287593</v>
      </c>
      <c r="AR43" s="83">
        <f>INDEX('Storage Summary'!$F$6:$F$28,MATCH(AR$2,'Storage Summary'!$B$6:$B$28,0),1)</f>
        <v>296.78433646054879</v>
      </c>
      <c r="AS43" s="83">
        <f>INDEX('Storage Summary'!$F$6:$F$28,MATCH(AS$2,'Storage Summary'!$B$6:$B$28,0),1)</f>
        <v>296.6298708295966</v>
      </c>
      <c r="AT43" s="83">
        <f>INDEX('Storage Summary'!$F$6:$F$28,MATCH(AT$2,'Storage Summary'!$B$6:$B$28,0),1)</f>
        <v>296.2625342321673</v>
      </c>
      <c r="AU43" s="83">
        <f>INDEX('Storage Summary'!$F$6:$F$28,MATCH(AU$2,'Storage Summary'!$B$6:$B$28,0),1)</f>
        <v>295.66897085812599</v>
      </c>
      <c r="AV43" s="83">
        <f>INDEX('Storage Summary'!$F$6:$F$28,MATCH(AV$2,'Storage Summary'!$B$6:$B$28,0),1)</f>
        <v>294.83507568862751</v>
      </c>
      <c r="AW43" s="83">
        <f>INDEX('Storage Summary'!$F$6:$F$28,MATCH(AW$2,'Storage Summary'!$B$6:$B$28,0),1)</f>
        <v>293.74595077082455</v>
      </c>
      <c r="AX43" s="83">
        <f>INDEX('Storage Summary'!$F$6:$F$28,MATCH(AX$2,'Storage Summary'!$B$6:$B$28,0),1)</f>
        <v>292.38585880996317</v>
      </c>
      <c r="AY43" s="279">
        <f>INDEX('Storage Summary'!$F$6:$F$28,MATCH(AY$2,'Storage Summary'!$B$6:$B$28,0),1)</f>
        <v>290.73817390901752</v>
      </c>
      <c r="AZ43" s="263"/>
    </row>
    <row r="44" spans="2:52">
      <c r="B44" s="191" t="s">
        <v>15</v>
      </c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279"/>
      <c r="AC44" s="289">
        <f>INDEX('Storage Summary'!$G$6:$G$28,MATCH(AC$2,'Storage Summary'!$B$6:$B$28,0),1)</f>
        <v>503.49713879676909</v>
      </c>
      <c r="AD44" s="83">
        <f>INDEX('Storage Summary'!$G$6:$G$28,MATCH(AD$2,'Storage Summary'!$B$6:$B$28,0),1)</f>
        <v>473.89824925003177</v>
      </c>
      <c r="AE44" s="83">
        <f>INDEX('Storage Summary'!$G$6:$G$28,MATCH(AE$2,'Storage Summary'!$B$6:$B$28,0),1)</f>
        <v>459.13403490214006</v>
      </c>
      <c r="AF44" s="83">
        <f>INDEX('Storage Summary'!$G$6:$G$28,MATCH(AF$2,'Storage Summary'!$B$6:$B$28,0),1)</f>
        <v>445.45950710568832</v>
      </c>
      <c r="AG44" s="83">
        <f>INDEX('Storage Summary'!$G$6:$G$28,MATCH(AG$2,'Storage Summary'!$B$6:$B$28,0),1)</f>
        <v>434.25015863943946</v>
      </c>
      <c r="AH44" s="83">
        <f>INDEX('Storage Summary'!$G$6:$G$28,MATCH(AH$2,'Storage Summary'!$B$6:$B$28,0),1)</f>
        <v>422.03571245494976</v>
      </c>
      <c r="AI44" s="83">
        <f>INDEX('Storage Summary'!$G$6:$G$28,MATCH(AI$2,'Storage Summary'!$B$6:$B$28,0),1)</f>
        <v>410.58118312891008</v>
      </c>
      <c r="AJ44" s="83">
        <f>INDEX('Storage Summary'!$G$6:$G$28,MATCH(AJ$2,'Storage Summary'!$B$6:$B$28,0),1)</f>
        <v>401.33355427735466</v>
      </c>
      <c r="AK44" s="83">
        <f>INDEX('Storage Summary'!$G$6:$G$28,MATCH(AK$2,'Storage Summary'!$B$6:$B$28,0),1)</f>
        <v>405.00581634097841</v>
      </c>
      <c r="AL44" s="83">
        <f>INDEX('Storage Summary'!$G$6:$G$28,MATCH(AL$2,'Storage Summary'!$B$6:$B$28,0),1)</f>
        <v>405.68368510375626</v>
      </c>
      <c r="AM44" s="83">
        <f>INDEX('Storage Summary'!$G$6:$G$28,MATCH(AM$2,'Storage Summary'!$B$6:$B$28,0),1)</f>
        <v>538.42655601057709</v>
      </c>
      <c r="AN44" s="83">
        <f>INDEX('Storage Summary'!$G$6:$G$28,MATCH(AN$2,'Storage Summary'!$B$6:$B$28,0),1)</f>
        <v>539.76506665155523</v>
      </c>
      <c r="AO44" s="83">
        <f>INDEX('Storage Summary'!$G$6:$G$28,MATCH(AO$2,'Storage Summary'!$B$6:$B$28,0),1)</f>
        <v>540.81868773600934</v>
      </c>
      <c r="AP44" s="83">
        <f>INDEX('Storage Summary'!$G$6:$G$28,MATCH(AP$2,'Storage Summary'!$B$6:$B$28,0),1)</f>
        <v>541.56882090359488</v>
      </c>
      <c r="AQ44" s="83">
        <f>INDEX('Storage Summary'!$G$6:$G$28,MATCH(AQ$2,'Storage Summary'!$B$6:$B$28,0),1)</f>
        <v>541.99583481136335</v>
      </c>
      <c r="AR44" s="83">
        <f>INDEX('Storage Summary'!$G$6:$G$28,MATCH(AR$2,'Storage Summary'!$B$6:$B$28,0),1)</f>
        <v>542.07900573371603</v>
      </c>
      <c r="AS44" s="83">
        <f>INDEX('Storage Summary'!$G$6:$G$28,MATCH(AS$2,'Storage Summary'!$B$6:$B$28,0),1)</f>
        <v>541.79645455460945</v>
      </c>
      <c r="AT44" s="83">
        <f>INDEX('Storage Summary'!$G$6:$G$28,MATCH(AT$2,'Storage Summary'!$B$6:$B$28,0),1)</f>
        <v>541.12507992481665</v>
      </c>
      <c r="AU44" s="83">
        <f>INDEX('Storage Summary'!$G$6:$G$28,MATCH(AU$2,'Storage Summary'!$B$6:$B$28,0),1)</f>
        <v>540.04048734238529</v>
      </c>
      <c r="AV44" s="83">
        <f>INDEX('Storage Summary'!$G$6:$G$28,MATCH(AV$2,'Storage Summary'!$B$6:$B$28,0),1)</f>
        <v>538.51691389889675</v>
      </c>
      <c r="AW44" s="83">
        <f>INDEX('Storage Summary'!$G$6:$G$28,MATCH(AW$2,'Storage Summary'!$B$6:$B$28,0),1)</f>
        <v>536.52714841768613</v>
      </c>
      <c r="AX44" s="83">
        <f>INDEX('Storage Summary'!$G$6:$G$28,MATCH(AX$2,'Storage Summary'!$B$6:$B$28,0),1)</f>
        <v>534.04244669244554</v>
      </c>
      <c r="AY44" s="279">
        <f>INDEX('Storage Summary'!$G$6:$G$28,MATCH(AY$2,'Storage Summary'!$B$6:$B$28,0),1)</f>
        <v>531.03244151601393</v>
      </c>
      <c r="AZ44" s="263"/>
    </row>
    <row r="45" spans="2:52">
      <c r="B45" s="191" t="s">
        <v>16</v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279"/>
      <c r="AC45" s="289">
        <f>INDEX('Storage Summary'!$H$6:$H$28,MATCH(AC$2,'Storage Summary'!$B$6:$B$28,0),1)</f>
        <v>193.87338153278279</v>
      </c>
      <c r="AD45" s="83">
        <f>INDEX('Storage Summary'!$H$6:$H$28,MATCH(AD$2,'Storage Summary'!$B$6:$B$28,0),1)</f>
        <v>191.35051892633948</v>
      </c>
      <c r="AE45" s="83">
        <f>INDEX('Storage Summary'!$H$6:$H$28,MATCH(AE$2,'Storage Summary'!$B$6:$B$28,0),1)</f>
        <v>190.95956345198317</v>
      </c>
      <c r="AF45" s="83">
        <f>INDEX('Storage Summary'!$H$6:$H$28,MATCH(AF$2,'Storage Summary'!$B$6:$B$28,0),1)</f>
        <v>190.73701717450572</v>
      </c>
      <c r="AG45" s="83">
        <f>INDEX('Storage Summary'!$H$6:$H$28,MATCH(AG$2,'Storage Summary'!$B$6:$B$28,0),1)</f>
        <v>190.97979009422727</v>
      </c>
      <c r="AH45" s="83">
        <f>INDEX('Storage Summary'!$H$6:$H$28,MATCH(AH$2,'Storage Summary'!$B$6:$B$28,0),1)</f>
        <v>191.36004162095779</v>
      </c>
      <c r="AI45" s="83">
        <f>INDEX('Storage Summary'!$H$6:$H$28,MATCH(AI$2,'Storage Summary'!$B$6:$B$28,0),1)</f>
        <v>192.01994251278333</v>
      </c>
      <c r="AJ45" s="83">
        <f>INDEX('Storage Summary'!$H$6:$H$28,MATCH(AJ$2,'Storage Summary'!$B$6:$B$28,0),1)</f>
        <v>192.58757410750871</v>
      </c>
      <c r="AK45" s="83">
        <f>INDEX('Storage Summary'!$H$6:$H$28,MATCH(AK$2,'Storage Summary'!$B$6:$B$28,0),1)</f>
        <v>193.27093882191502</v>
      </c>
      <c r="AL45" s="83">
        <f>INDEX('Storage Summary'!$H$6:$H$28,MATCH(AL$2,'Storage Summary'!$B$6:$B$28,0),1)</f>
        <v>194.10301564258523</v>
      </c>
      <c r="AM45" s="83">
        <f>INDEX('Storage Summary'!$H$6:$H$28,MATCH(AM$2,'Storage Summary'!$B$6:$B$28,0),1)</f>
        <v>236.60234478930334</v>
      </c>
      <c r="AN45" s="83">
        <f>INDEX('Storage Summary'!$H$6:$H$28,MATCH(AN$2,'Storage Summary'!$B$6:$B$28,0),1)</f>
        <v>237.55654828929343</v>
      </c>
      <c r="AO45" s="83">
        <f>INDEX('Storage Summary'!$H$6:$H$28,MATCH(AO$2,'Storage Summary'!$B$6:$B$28,0),1)</f>
        <v>239.01323317615234</v>
      </c>
      <c r="AP45" s="83">
        <f>INDEX('Storage Summary'!$H$6:$H$28,MATCH(AP$2,'Storage Summary'!$B$6:$B$28,0),1)</f>
        <v>240.80363897225544</v>
      </c>
      <c r="AQ45" s="83">
        <f>INDEX('Storage Summary'!$H$6:$H$28,MATCH(AQ$2,'Storage Summary'!$B$6:$B$28,0),1)</f>
        <v>242.89380333385728</v>
      </c>
      <c r="AR45" s="83">
        <f>INDEX('Storage Summary'!$H$6:$H$28,MATCH(AR$2,'Storage Summary'!$B$6:$B$28,0),1)</f>
        <v>245.34834383268185</v>
      </c>
      <c r="AS45" s="83">
        <f>INDEX('Storage Summary'!$H$6:$H$28,MATCH(AS$2,'Storage Summary'!$B$6:$B$28,0),1)</f>
        <v>247.80062821622195</v>
      </c>
      <c r="AT45" s="83">
        <f>INDEX('Storage Summary'!$H$6:$H$28,MATCH(AT$2,'Storage Summary'!$B$6:$B$28,0),1)</f>
        <v>250.25173344146435</v>
      </c>
      <c r="AU45" s="83">
        <f>INDEX('Storage Summary'!$H$6:$H$28,MATCH(AU$2,'Storage Summary'!$B$6:$B$28,0),1)</f>
        <v>252.70282682979069</v>
      </c>
      <c r="AV45" s="83">
        <f>INDEX('Storage Summary'!$H$6:$H$28,MATCH(AV$2,'Storage Summary'!$B$6:$B$28,0),1)</f>
        <v>255.15516666696482</v>
      </c>
      <c r="AW45" s="83">
        <f>INDEX('Storage Summary'!$H$6:$H$28,MATCH(AW$2,'Storage Summary'!$B$6:$B$28,0),1)</f>
        <v>257.61010268466066</v>
      </c>
      <c r="AX45" s="83">
        <f>INDEX('Storage Summary'!$H$6:$H$28,MATCH(AX$2,'Storage Summary'!$B$6:$B$28,0),1)</f>
        <v>260.06907642391428</v>
      </c>
      <c r="AY45" s="279">
        <f>INDEX('Storage Summary'!$H$6:$H$28,MATCH(AY$2,'Storage Summary'!$B$6:$B$28,0),1)</f>
        <v>262.53362148125308</v>
      </c>
      <c r="AZ45" s="263"/>
    </row>
    <row r="46" spans="2:52">
      <c r="B46" s="191" t="s">
        <v>17</v>
      </c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279"/>
      <c r="AC46" s="289">
        <f>INDEX('Storage Summary'!$I$6:$I$28,MATCH(AC$2,'Storage Summary'!$B$6:$B$28,0),1)</f>
        <v>209.55604609407587</v>
      </c>
      <c r="AD46" s="83">
        <f>INDEX('Storage Summary'!$I$6:$I$28,MATCH(AD$2,'Storage Summary'!$B$6:$B$28,0),1)</f>
        <v>207.03683978628354</v>
      </c>
      <c r="AE46" s="83">
        <f>INDEX('Storage Summary'!$I$6:$I$28,MATCH(AE$2,'Storage Summary'!$B$6:$B$28,0),1)</f>
        <v>206.75933662432232</v>
      </c>
      <c r="AF46" s="83">
        <f>INDEX('Storage Summary'!$I$6:$I$28,MATCH(AF$2,'Storage Summary'!$B$6:$B$28,0),1)</f>
        <v>206.66154030291941</v>
      </c>
      <c r="AG46" s="83">
        <f>INDEX('Storage Summary'!$I$6:$I$28,MATCH(AG$2,'Storage Summary'!$B$6:$B$28,0),1)</f>
        <v>207.05538729926613</v>
      </c>
      <c r="AH46" s="83">
        <f>INDEX('Storage Summary'!$I$6:$I$28,MATCH(AH$2,'Storage Summary'!$B$6:$B$28,0),1)</f>
        <v>207.59655054762493</v>
      </c>
      <c r="AI46" s="83">
        <f>INDEX('Storage Summary'!$I$6:$I$28,MATCH(AI$2,'Storage Summary'!$B$6:$B$28,0),1)</f>
        <v>208.4345871197593</v>
      </c>
      <c r="AJ46" s="83">
        <f>INDEX('Storage Summary'!$I$6:$I$28,MATCH(AJ$2,'Storage Summary'!$B$6:$B$28,0),1)</f>
        <v>209.17888690204691</v>
      </c>
      <c r="AK46" s="83">
        <f>INDEX('Storage Summary'!$I$6:$I$28,MATCH(AK$2,'Storage Summary'!$B$6:$B$28,0),1)</f>
        <v>210.04801432432058</v>
      </c>
      <c r="AL46" s="83">
        <f>INDEX('Storage Summary'!$I$6:$I$28,MATCH(AL$2,'Storage Summary'!$B$6:$B$28,0),1)</f>
        <v>211.0766835245937</v>
      </c>
      <c r="AM46" s="83">
        <f>INDEX('Storage Summary'!$I$6:$I$28,MATCH(AM$2,'Storage Summary'!$B$6:$B$28,0),1)</f>
        <v>255.87775581700802</v>
      </c>
      <c r="AN46" s="83">
        <f>INDEX('Storage Summary'!$I$6:$I$28,MATCH(AN$2,'Storage Summary'!$B$6:$B$28,0),1)</f>
        <v>257.04159009828362</v>
      </c>
      <c r="AO46" s="83">
        <f>INDEX('Storage Summary'!$I$6:$I$28,MATCH(AO$2,'Storage Summary'!$B$6:$B$28,0),1)</f>
        <v>258.73680455538891</v>
      </c>
      <c r="AP46" s="83">
        <f>INDEX('Storage Summary'!$I$6:$I$28,MATCH(AP$2,'Storage Summary'!$B$6:$B$28,0),1)</f>
        <v>260.7862043837784</v>
      </c>
      <c r="AQ46" s="83">
        <f>INDEX('Storage Summary'!$I$6:$I$28,MATCH(AQ$2,'Storage Summary'!$B$6:$B$28,0),1)</f>
        <v>263.15419402140668</v>
      </c>
      <c r="AR46" s="83">
        <f>INDEX('Storage Summary'!$I$6:$I$28,MATCH(AR$2,'Storage Summary'!$B$6:$B$28,0),1)</f>
        <v>265.90873207524163</v>
      </c>
      <c r="AS46" s="83">
        <f>INDEX('Storage Summary'!$I$6:$I$28,MATCH(AS$2,'Storage Summary'!$B$6:$B$28,0),1)</f>
        <v>268.66477633564062</v>
      </c>
      <c r="AT46" s="83">
        <f>INDEX('Storage Summary'!$I$6:$I$28,MATCH(AT$2,'Storage Summary'!$B$6:$B$28,0),1)</f>
        <v>271.4235433573769</v>
      </c>
      <c r="AU46" s="83">
        <f>INDEX('Storage Summary'!$I$6:$I$28,MATCH(AU$2,'Storage Summary'!$B$6:$B$28,0),1)</f>
        <v>274.18634649375815</v>
      </c>
      <c r="AV46" s="83">
        <f>INDEX('Storage Summary'!$I$6:$I$28,MATCH(AV$2,'Storage Summary'!$B$6:$B$28,0),1)</f>
        <v>276.95459656814882</v>
      </c>
      <c r="AW46" s="83">
        <f>INDEX('Storage Summary'!$I$6:$I$28,MATCH(AW$2,'Storage Summary'!$B$6:$B$28,0),1)</f>
        <v>279.72980242196911</v>
      </c>
      <c r="AX46" s="83">
        <f>INDEX('Storage Summary'!$I$6:$I$28,MATCH(AX$2,'Storage Summary'!$B$6:$B$28,0),1)</f>
        <v>282.51357133958874</v>
      </c>
      <c r="AY46" s="279">
        <f>INDEX('Storage Summary'!$I$6:$I$28,MATCH(AY$2,'Storage Summary'!$B$6:$B$28,0),1)</f>
        <v>285.3076093509282</v>
      </c>
      <c r="AZ46" s="263"/>
    </row>
    <row r="47" spans="2:52">
      <c r="B47" s="202" t="s">
        <v>18</v>
      </c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A47" s="285"/>
      <c r="AC47" s="290">
        <f>INDEX('Storage Summary'!$J$6:$J$28,MATCH(AC$2,'Storage Summary'!$B$6:$B$28,0),1)</f>
        <v>248.20849096348738</v>
      </c>
      <c r="AD47" s="284">
        <f>INDEX('Storage Summary'!$J$6:$J$28,MATCH(AD$2,'Storage Summary'!$B$6:$B$28,0),1)</f>
        <v>249.68948595746994</v>
      </c>
      <c r="AE47" s="284">
        <f>INDEX('Storage Summary'!$J$6:$J$28,MATCH(AE$2,'Storage Summary'!$B$6:$B$28,0),1)</f>
        <v>250.94091026879363</v>
      </c>
      <c r="AF47" s="284">
        <f>INDEX('Storage Summary'!$J$6:$J$28,MATCH(AF$2,'Storage Summary'!$B$6:$B$28,0),1)</f>
        <v>252.21104484548701</v>
      </c>
      <c r="AG47" s="284">
        <f>INDEX('Storage Summary'!$J$6:$J$28,MATCH(AG$2,'Storage Summary'!$B$6:$B$28,0),1)</f>
        <v>253.50021121593525</v>
      </c>
      <c r="AH47" s="284">
        <f>INDEX('Storage Summary'!$J$6:$J$28,MATCH(AH$2,'Storage Summary'!$B$6:$B$28,0),1)</f>
        <v>254.73940686491224</v>
      </c>
      <c r="AI47" s="284">
        <f>INDEX('Storage Summary'!$J$6:$J$28,MATCH(AI$2,'Storage Summary'!$B$6:$B$28,0),1)</f>
        <v>255.99909783613029</v>
      </c>
      <c r="AJ47" s="284">
        <f>INDEX('Storage Summary'!$J$6:$J$28,MATCH(AJ$2,'Storage Summary'!$B$6:$B$28,0),1)</f>
        <v>257.27972447018681</v>
      </c>
      <c r="AK47" s="284">
        <f>INDEX('Storage Summary'!$J$6:$J$28,MATCH(AK$2,'Storage Summary'!$B$6:$B$28,0),1)</f>
        <v>258.58173677870366</v>
      </c>
      <c r="AL47" s="284">
        <f>INDEX('Storage Summary'!$J$6:$J$28,MATCH(AL$2,'Storage Summary'!$B$6:$B$28,0),1)</f>
        <v>259.90559465706542</v>
      </c>
      <c r="AM47" s="284">
        <f>INDEX('Storage Summary'!$J$6:$J$28,MATCH(AM$2,'Storage Summary'!$B$6:$B$28,0),1)</f>
        <v>353.05851049323439</v>
      </c>
      <c r="AN47" s="284">
        <f>INDEX('Storage Summary'!$J$6:$J$28,MATCH(AN$2,'Storage Summary'!$B$6:$B$28,0),1)</f>
        <v>354.57069834248477</v>
      </c>
      <c r="AO47" s="284">
        <f>INDEX('Storage Summary'!$J$6:$J$28,MATCH(AO$2,'Storage Summary'!$B$6:$B$28,0),1)</f>
        <v>356.10639636938356</v>
      </c>
      <c r="AP47" s="284">
        <f>INDEX('Storage Summary'!$J$6:$J$28,MATCH(AP$2,'Storage Summary'!$B$6:$B$28,0),1)</f>
        <v>357.6661065754289</v>
      </c>
      <c r="AQ47" s="284">
        <f>INDEX('Storage Summary'!$J$6:$J$28,MATCH(AQ$2,'Storage Summary'!$B$6:$B$28,0),1)</f>
        <v>359.25034198240513</v>
      </c>
      <c r="AR47" s="284">
        <f>INDEX('Storage Summary'!$J$6:$J$28,MATCH(AR$2,'Storage Summary'!$B$6:$B$28,0),1)</f>
        <v>360.85962687479235</v>
      </c>
      <c r="AS47" s="284">
        <f>INDEX('Storage Summary'!$J$6:$J$28,MATCH(AS$2,'Storage Summary'!$B$6:$B$28,0),1)</f>
        <v>362.49449704750702</v>
      </c>
      <c r="AT47" s="284">
        <f>INDEX('Storage Summary'!$J$6:$J$28,MATCH(AT$2,'Storage Summary'!$B$6:$B$28,0),1)</f>
        <v>364.15550005909665</v>
      </c>
      <c r="AU47" s="284">
        <f>INDEX('Storage Summary'!$J$6:$J$28,MATCH(AU$2,'Storage Summary'!$B$6:$B$28,0),1)</f>
        <v>365.84319549050093</v>
      </c>
      <c r="AV47" s="284">
        <f>INDEX('Storage Summary'!$J$6:$J$28,MATCH(AV$2,'Storage Summary'!$B$6:$B$28,0),1)</f>
        <v>367.55815520950682</v>
      </c>
      <c r="AW47" s="284">
        <f>INDEX('Storage Summary'!$J$6:$J$28,MATCH(AW$2,'Storage Summary'!$B$6:$B$28,0),1)</f>
        <v>369.30096364102326</v>
      </c>
      <c r="AX47" s="284">
        <f>INDEX('Storage Summary'!$J$6:$J$28,MATCH(AX$2,'Storage Summary'!$B$6:$B$28,0),1)</f>
        <v>371.07221804329942</v>
      </c>
      <c r="AY47" s="285">
        <f>INDEX('Storage Summary'!$J$6:$J$28,MATCH(AY$2,'Storage Summary'!$B$6:$B$28,0),1)</f>
        <v>372.87252879022117</v>
      </c>
      <c r="AZ47" s="263"/>
    </row>
    <row r="48" spans="2:52">
      <c r="B48" s="204" t="s">
        <v>19</v>
      </c>
      <c r="C48" s="284"/>
      <c r="D48" s="284"/>
      <c r="E48" s="284">
        <f>'PPA Summary'!E34</f>
        <v>54.032105490266851</v>
      </c>
      <c r="F48" s="284">
        <f>'PPA Summary'!F34</f>
        <v>54.291537654149231</v>
      </c>
      <c r="G48" s="284">
        <f>'PPA Summary'!G34</f>
        <v>54.47113763669271</v>
      </c>
      <c r="H48" s="284">
        <f>'PPA Summary'!H34</f>
        <v>54.641052039768816</v>
      </c>
      <c r="I48" s="284">
        <f>'PPA Summary'!I34</f>
        <v>54.801460777330739</v>
      </c>
      <c r="J48" s="284">
        <f>'PPA Summary'!J34</f>
        <v>54.931743054146047</v>
      </c>
      <c r="K48" s="284">
        <f>'PPA Summary'!K34</f>
        <v>55.052158367234277</v>
      </c>
      <c r="L48" s="284">
        <f>'PPA Summary'!L34</f>
        <v>55.163028730149222</v>
      </c>
      <c r="M48" s="284">
        <f>'PPA Summary'!M34</f>
        <v>56.046266620894428</v>
      </c>
      <c r="N48" s="284">
        <f>'PPA Summary'!N34</f>
        <v>56.943356371171092</v>
      </c>
      <c r="O48" s="284">
        <f>'PPA Summary'!O34</f>
        <v>70.286341218356228</v>
      </c>
      <c r="P48" s="284">
        <f>'PPA Summary'!P34</f>
        <v>77.83793481171503</v>
      </c>
      <c r="Q48" s="284">
        <f>'PPA Summary'!Q34</f>
        <v>92.181984888046316</v>
      </c>
      <c r="R48" s="284">
        <f>'PPA Summary'!R34</f>
        <v>93.850776344046722</v>
      </c>
      <c r="S48" s="284">
        <f>'PPA Summary'!S34</f>
        <v>95.550221546799605</v>
      </c>
      <c r="T48" s="284">
        <f>'PPA Summary'!T34</f>
        <v>97.280885102013414</v>
      </c>
      <c r="U48" s="284">
        <f>'PPA Summary'!U34</f>
        <v>99.043349611568004</v>
      </c>
      <c r="V48" s="284">
        <f>'PPA Summary'!V34</f>
        <v>100.83820873461585</v>
      </c>
      <c r="W48" s="284">
        <f>'PPA Summary'!W34</f>
        <v>102.66606740111246</v>
      </c>
      <c r="X48" s="284">
        <f>'PPA Summary'!X34</f>
        <v>104.52754202954988</v>
      </c>
      <c r="Y48" s="284">
        <f>'PPA Summary'!Y34</f>
        <v>106.42326074896476</v>
      </c>
      <c r="Z48" s="284">
        <f>'PPA Summary'!Z34</f>
        <v>108.35386362531086</v>
      </c>
      <c r="AA48" s="285">
        <f>'PPA Summary'!AA34</f>
        <v>110.32000289229582</v>
      </c>
      <c r="AC48" s="290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284"/>
      <c r="AU48" s="284"/>
      <c r="AV48" s="284"/>
      <c r="AW48" s="284"/>
      <c r="AX48" s="284"/>
      <c r="AY48" s="285"/>
      <c r="AZ48" s="263"/>
    </row>
    <row r="49" spans="2:52">
      <c r="B49" s="188" t="s">
        <v>214</v>
      </c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279"/>
      <c r="AC49" s="444">
        <f>'Fuel Gen Summary'!E28</f>
        <v>995.50276517110149</v>
      </c>
      <c r="AD49" s="83">
        <f>'Fuel Gen Summary'!F28</f>
        <v>1018.6216085234369</v>
      </c>
      <c r="AE49" s="83">
        <f>'Fuel Gen Summary'!G28</f>
        <v>1041.3110170055063</v>
      </c>
      <c r="AF49" s="83">
        <f>'Fuel Gen Summary'!H28</f>
        <v>1064.5007306028758</v>
      </c>
      <c r="AG49" s="83">
        <f>'Fuel Gen Summary'!I28</f>
        <v>1088.2014488345228</v>
      </c>
      <c r="AH49" s="83">
        <f>'Fuel Gen Summary'!J28</f>
        <v>1112.1418807088821</v>
      </c>
      <c r="AI49" s="83">
        <f>'Fuel Gen Summary'!K28</f>
        <v>1136.6090020844779</v>
      </c>
      <c r="AJ49" s="83">
        <f>'Fuel Gen Summary'!L28</f>
        <v>1161.6144001303364</v>
      </c>
      <c r="AK49" s="83">
        <f>'Fuel Gen Summary'!M28</f>
        <v>1187.1699169332037</v>
      </c>
      <c r="AL49" s="83">
        <f>'Fuel Gen Summary'!N28</f>
        <v>1213.2876551057343</v>
      </c>
      <c r="AM49" s="83">
        <f>'Fuel Gen Summary'!O28</f>
        <v>1239.9799835180606</v>
      </c>
      <c r="AN49" s="83">
        <f>'Fuel Gen Summary'!P28</f>
        <v>1267.259543155458</v>
      </c>
      <c r="AO49" s="83">
        <f>'Fuel Gen Summary'!Q28</f>
        <v>1295.1392531048782</v>
      </c>
      <c r="AP49" s="83">
        <f>'Fuel Gen Summary'!R28</f>
        <v>1323.6323166731854</v>
      </c>
      <c r="AQ49" s="83">
        <f>'Fuel Gen Summary'!S28</f>
        <v>1352.7522276399948</v>
      </c>
      <c r="AR49" s="83">
        <f>'Fuel Gen Summary'!T28</f>
        <v>1382.5127766480753</v>
      </c>
      <c r="AS49" s="83">
        <f>'Fuel Gen Summary'!U28</f>
        <v>1412.9280577343329</v>
      </c>
      <c r="AT49" s="83">
        <f>'Fuel Gen Summary'!V28</f>
        <v>1444.0124750044877</v>
      </c>
      <c r="AU49" s="83">
        <f>'Fuel Gen Summary'!W28</f>
        <v>1475.7807494545871</v>
      </c>
      <c r="AV49" s="83">
        <f>'Fuel Gen Summary'!X28</f>
        <v>1508.2479259425879</v>
      </c>
      <c r="AW49" s="83">
        <f>'Fuel Gen Summary'!Y28</f>
        <v>1541.4293803133251</v>
      </c>
      <c r="AX49" s="83">
        <f>'Fuel Gen Summary'!Z28</f>
        <v>1575.3408266802176</v>
      </c>
      <c r="AY49" s="279">
        <f>'Fuel Gen Summary'!AA28</f>
        <v>1609.9983248671822</v>
      </c>
      <c r="AZ49" s="263"/>
    </row>
    <row r="50" spans="2:52" s="263" customFormat="1">
      <c r="B50" s="188" t="s">
        <v>219</v>
      </c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279"/>
      <c r="AC50" s="289">
        <f>'Fuel Gen Summary'!E13</f>
        <v>975.94089601649068</v>
      </c>
      <c r="AD50" s="83">
        <f>'Fuel Gen Summary'!F13</f>
        <v>998.59958715085804</v>
      </c>
      <c r="AE50" s="83">
        <f>'Fuel Gen Summary'!G13</f>
        <v>1020.8418371556054</v>
      </c>
      <c r="AF50" s="83">
        <f>'Fuel Gen Summary'!H13</f>
        <v>1043.5744057363281</v>
      </c>
      <c r="AG50" s="83">
        <f>'Fuel Gen Summary'!I13</f>
        <v>1066.8077693792882</v>
      </c>
      <c r="AH50" s="83">
        <f>'Fuel Gen Summary'!J13</f>
        <v>1090.2775403056332</v>
      </c>
      <c r="AI50" s="83">
        <f>'Fuel Gen Summary'!K13</f>
        <v>1114.2636461923571</v>
      </c>
      <c r="AJ50" s="83">
        <f>'Fuel Gen Summary'!L13</f>
        <v>1138.7774464085892</v>
      </c>
      <c r="AK50" s="83">
        <f>'Fuel Gen Summary'!M13</f>
        <v>1163.8305502295777</v>
      </c>
      <c r="AL50" s="83">
        <f>'Fuel Gen Summary'!N13</f>
        <v>1189.4348223346292</v>
      </c>
      <c r="AM50" s="83">
        <f>'Fuel Gen Summary'!O13</f>
        <v>1215.6023884259903</v>
      </c>
      <c r="AN50" s="83">
        <f>'Fuel Gen Summary'!P13</f>
        <v>1242.3456409713624</v>
      </c>
      <c r="AO50" s="83">
        <f>'Fuel Gen Summary'!Q13</f>
        <v>1269.6772450727319</v>
      </c>
      <c r="AP50" s="83">
        <f>'Fuel Gen Summary'!R13</f>
        <v>1297.6101444643323</v>
      </c>
      <c r="AQ50" s="83">
        <f>'Fuel Gen Summary'!S13</f>
        <v>1326.157567642548</v>
      </c>
      <c r="AR50" s="83">
        <f>'Fuel Gen Summary'!T13</f>
        <v>1355.3330341306832</v>
      </c>
      <c r="AS50" s="83">
        <f>'Fuel Gen Summary'!U13</f>
        <v>1385.1503608815583</v>
      </c>
      <c r="AT50" s="83">
        <f>'Fuel Gen Summary'!V13</f>
        <v>1415.6236688209535</v>
      </c>
      <c r="AU50" s="83">
        <f>'Fuel Gen Summary'!W13</f>
        <v>1446.767389535014</v>
      </c>
      <c r="AV50" s="83">
        <f>'Fuel Gen Summary'!X13</f>
        <v>1478.5962721047847</v>
      </c>
      <c r="AW50" s="83">
        <f>'Fuel Gen Summary'!Y13</f>
        <v>1511.1253900910892</v>
      </c>
      <c r="AX50" s="83">
        <f>'Fuel Gen Summary'!Z13</f>
        <v>1544.3701486730934</v>
      </c>
      <c r="AY50" s="279">
        <f>'Fuel Gen Summary'!AA13</f>
        <v>1578.3462919439014</v>
      </c>
    </row>
    <row r="51" spans="2:52">
      <c r="B51" s="173" t="s">
        <v>215</v>
      </c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279"/>
      <c r="AC51" s="289">
        <f>'Fuel Gen Summary'!E31</f>
        <v>131.41906489422888</v>
      </c>
      <c r="AD51" s="83">
        <f>'Fuel Gen Summary'!F31</f>
        <v>134.48494378212328</v>
      </c>
      <c r="AE51" s="83">
        <f>'Fuel Gen Summary'!G31</f>
        <v>137.48333184774228</v>
      </c>
      <c r="AF51" s="83">
        <f>'Fuel Gen Summary'!H31</f>
        <v>140.54813506136875</v>
      </c>
      <c r="AG51" s="83">
        <f>'Fuel Gen Summary'!I31</f>
        <v>143.68079620674865</v>
      </c>
      <c r="AH51" s="83">
        <f>'Fuel Gen Summary'!J31</f>
        <v>146.84177372329717</v>
      </c>
      <c r="AI51" s="83">
        <f>'Fuel Gen Summary'!K31</f>
        <v>150.07229274520969</v>
      </c>
      <c r="AJ51" s="83">
        <f>'Fuel Gen Summary'!L31</f>
        <v>153.37388318560429</v>
      </c>
      <c r="AK51" s="83">
        <f>'Fuel Gen Summary'!M31</f>
        <v>156.74810861568761</v>
      </c>
      <c r="AL51" s="83">
        <f>'Fuel Gen Summary'!N31</f>
        <v>160.19656700523279</v>
      </c>
      <c r="AM51" s="83">
        <f>'Fuel Gen Summary'!O31</f>
        <v>163.72089147934787</v>
      </c>
      <c r="AN51" s="83">
        <f>'Fuel Gen Summary'!P31</f>
        <v>167.32275109189348</v>
      </c>
      <c r="AO51" s="83">
        <f>'Fuel Gen Summary'!Q31</f>
        <v>171.00385161591515</v>
      </c>
      <c r="AP51" s="83">
        <f>'Fuel Gen Summary'!R31</f>
        <v>174.76593635146534</v>
      </c>
      <c r="AQ51" s="83">
        <f>'Fuel Gen Summary'!S31</f>
        <v>178.61078695119744</v>
      </c>
      <c r="AR51" s="83">
        <f>'Fuel Gen Summary'!T31</f>
        <v>182.54022426412391</v>
      </c>
      <c r="AS51" s="83">
        <f>'Fuel Gen Summary'!U31</f>
        <v>186.55610919793457</v>
      </c>
      <c r="AT51" s="83">
        <f>'Fuel Gen Summary'!V31</f>
        <v>190.66034360028914</v>
      </c>
      <c r="AU51" s="83">
        <f>'Fuel Gen Summary'!W31</f>
        <v>194.8548711594955</v>
      </c>
      <c r="AV51" s="83">
        <f>'Fuel Gen Summary'!X31</f>
        <v>199.14167832500439</v>
      </c>
      <c r="AW51" s="83">
        <f>'Fuel Gen Summary'!Y31</f>
        <v>203.52279524815447</v>
      </c>
      <c r="AX51" s="83">
        <f>'Fuel Gen Summary'!Z31</f>
        <v>208.00029674361397</v>
      </c>
      <c r="AY51" s="279">
        <f>'Fuel Gen Summary'!AA31</f>
        <v>212.57630327197342</v>
      </c>
      <c r="AZ51" s="263"/>
    </row>
    <row r="52" spans="2:52" s="263" customFormat="1">
      <c r="B52" s="194" t="s">
        <v>220</v>
      </c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5"/>
      <c r="AC52" s="290">
        <f>'Fuel Gen Summary'!E16</f>
        <v>128.57599427003049</v>
      </c>
      <c r="AD52" s="284">
        <f>'Fuel Gen Summary'!F16</f>
        <v>131.57499584455451</v>
      </c>
      <c r="AE52" s="284">
        <f>'Fuel Gen Summary'!G16</f>
        <v>134.50839507290107</v>
      </c>
      <c r="AF52" s="284">
        <f>'Fuel Gen Summary'!H16</f>
        <v>137.50675803188949</v>
      </c>
      <c r="AG52" s="284">
        <f>'Fuel Gen Summary'!I16</f>
        <v>140.57149509027769</v>
      </c>
      <c r="AH52" s="284">
        <f>'Fuel Gen Summary'!J16</f>
        <v>143.66406798226382</v>
      </c>
      <c r="AI52" s="284">
        <f>'Fuel Gen Summary'!K16</f>
        <v>146.82467747787359</v>
      </c>
      <c r="AJ52" s="284">
        <f>'Fuel Gen Summary'!L16</f>
        <v>150.05482038238682</v>
      </c>
      <c r="AK52" s="284">
        <f>'Fuel Gen Summary'!M16</f>
        <v>153.35602643079935</v>
      </c>
      <c r="AL52" s="284">
        <f>'Fuel Gen Summary'!N16</f>
        <v>156.72985901227696</v>
      </c>
      <c r="AM52" s="284">
        <f>'Fuel Gen Summary'!O16</f>
        <v>160.177915910547</v>
      </c>
      <c r="AN52" s="284">
        <f>'Fuel Gen Summary'!P16</f>
        <v>163.70183006057903</v>
      </c>
      <c r="AO52" s="284">
        <f>'Fuel Gen Summary'!Q16</f>
        <v>167.30327032191181</v>
      </c>
      <c r="AP52" s="284">
        <f>'Fuel Gen Summary'!R16</f>
        <v>170.98394226899384</v>
      </c>
      <c r="AQ52" s="284">
        <f>'Fuel Gen Summary'!S16</f>
        <v>174.74558899891164</v>
      </c>
      <c r="AR52" s="284">
        <f>'Fuel Gen Summary'!T16</f>
        <v>178.58999195688776</v>
      </c>
      <c r="AS52" s="284">
        <f>'Fuel Gen Summary'!U16</f>
        <v>182.51897177993925</v>
      </c>
      <c r="AT52" s="284">
        <f>'Fuel Gen Summary'!V16</f>
        <v>186.53438915909797</v>
      </c>
      <c r="AU52" s="284">
        <f>'Fuel Gen Summary'!W16</f>
        <v>190.63814572059809</v>
      </c>
      <c r="AV52" s="284">
        <f>'Fuel Gen Summary'!X16</f>
        <v>194.8321849264513</v>
      </c>
      <c r="AW52" s="284">
        <f>'Fuel Gen Summary'!Y16</f>
        <v>199.11849299483313</v>
      </c>
      <c r="AX52" s="284">
        <f>'Fuel Gen Summary'!Z16</f>
        <v>203.49909984071954</v>
      </c>
      <c r="AY52" s="285">
        <f>'Fuel Gen Summary'!AA16</f>
        <v>207.97608003721538</v>
      </c>
    </row>
    <row r="53" spans="2:52">
      <c r="B53" s="191" t="s">
        <v>22</v>
      </c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279"/>
      <c r="AC53" s="289">
        <f>INDEX('Storage Summary'!$K$6:$K$28,MATCH(AC$2,'Storage Summary'!$B$6:$B$28,0),1)</f>
        <v>172.75786661451298</v>
      </c>
      <c r="AD53" s="83">
        <f>INDEX('Storage Summary'!$K$6:$K$28,MATCH(AD$2,'Storage Summary'!$B$6:$B$28,0),1)</f>
        <v>176.77916747435765</v>
      </c>
      <c r="AE53" s="83">
        <f>INDEX('Storage Summary'!$K$6:$K$28,MATCH(AE$2,'Storage Summary'!$B$6:$B$28,0),1)</f>
        <v>180.7187205276488</v>
      </c>
      <c r="AF53" s="83">
        <f>INDEX('Storage Summary'!$K$6:$K$28,MATCH(AF$2,'Storage Summary'!$B$6:$B$28,0),1)</f>
        <v>184.74534217892207</v>
      </c>
      <c r="AG53" s="83">
        <f>INDEX('Storage Summary'!$K$6:$K$28,MATCH(AG$2,'Storage Summary'!$B$6:$B$28,0),1)</f>
        <v>188.86090948037807</v>
      </c>
      <c r="AH53" s="83">
        <f>INDEX('Storage Summary'!$K$6:$K$28,MATCH(AH$2,'Storage Summary'!$B$6:$B$28,0),1)</f>
        <v>193.01584948894643</v>
      </c>
      <c r="AI53" s="83">
        <f>INDEX('Storage Summary'!$K$6:$K$28,MATCH(AI$2,'Storage Summary'!$B$6:$B$28,0),1)</f>
        <v>197.26219817770323</v>
      </c>
      <c r="AJ53" s="83">
        <f>INDEX('Storage Summary'!$K$6:$K$28,MATCH(AJ$2,'Storage Summary'!$B$6:$B$28,0),1)</f>
        <v>201.60196653761267</v>
      </c>
      <c r="AK53" s="83">
        <f>INDEX('Storage Summary'!$K$6:$K$28,MATCH(AK$2,'Storage Summary'!$B$6:$B$28,0),1)</f>
        <v>206.03720980144021</v>
      </c>
      <c r="AL53" s="83">
        <f>INDEX('Storage Summary'!$K$6:$K$28,MATCH(AL$2,'Storage Summary'!$B$6:$B$28,0),1)</f>
        <v>210.57002841707185</v>
      </c>
      <c r="AM53" s="83">
        <f>INDEX('Storage Summary'!$K$6:$K$28,MATCH(AM$2,'Storage Summary'!$B$6:$B$28,0),1)</f>
        <v>290.63365725491172</v>
      </c>
      <c r="AN53" s="83">
        <f>INDEX('Storage Summary'!$K$6:$K$28,MATCH(AN$2,'Storage Summary'!$B$6:$B$28,0),1)</f>
        <v>297.02759771451969</v>
      </c>
      <c r="AO53" s="83">
        <f>INDEX('Storage Summary'!$K$6:$K$28,MATCH(AO$2,'Storage Summary'!$B$6:$B$28,0),1)</f>
        <v>303.56220486423905</v>
      </c>
      <c r="AP53" s="83">
        <f>INDEX('Storage Summary'!$K$6:$K$28,MATCH(AP$2,'Storage Summary'!$B$6:$B$28,0),1)</f>
        <v>310.24057337125225</v>
      </c>
      <c r="AQ53" s="83">
        <f>INDEX('Storage Summary'!$K$6:$K$28,MATCH(AQ$2,'Storage Summary'!$B$6:$B$28,0),1)</f>
        <v>317.06586598541998</v>
      </c>
      <c r="AR53" s="83">
        <f>INDEX('Storage Summary'!$K$6:$K$28,MATCH(AR$2,'Storage Summary'!$B$6:$B$28,0),1)</f>
        <v>324.0413150370992</v>
      </c>
      <c r="AS53" s="83">
        <f>INDEX('Storage Summary'!$K$6:$K$28,MATCH(AS$2,'Storage Summary'!$B$6:$B$28,0),1)</f>
        <v>331.17022396791532</v>
      </c>
      <c r="AT53" s="83">
        <f>INDEX('Storage Summary'!$K$6:$K$28,MATCH(AT$2,'Storage Summary'!$B$6:$B$28,0),1)</f>
        <v>338.45596889520948</v>
      </c>
      <c r="AU53" s="83">
        <f>INDEX('Storage Summary'!$K$6:$K$28,MATCH(AU$2,'Storage Summary'!$B$6:$B$28,0),1)</f>
        <v>345.90200021090408</v>
      </c>
      <c r="AV53" s="83">
        <f>INDEX('Storage Summary'!$K$6:$K$28,MATCH(AV$2,'Storage Summary'!$B$6:$B$28,0),1)</f>
        <v>353.51184421554399</v>
      </c>
      <c r="AW53" s="83">
        <f>INDEX('Storage Summary'!$K$6:$K$28,MATCH(AW$2,'Storage Summary'!$B$6:$B$28,0),1)</f>
        <v>361.28910478828601</v>
      </c>
      <c r="AX53" s="83">
        <f>INDEX('Storage Summary'!$K$6:$K$28,MATCH(AX$2,'Storage Summary'!$B$6:$B$28,0),1)</f>
        <v>369.23746509362826</v>
      </c>
      <c r="AY53" s="279">
        <f>INDEX('Storage Summary'!$K$6:$K$28,MATCH(AY$2,'Storage Summary'!$B$6:$B$28,0),1)</f>
        <v>377.3606893256881</v>
      </c>
      <c r="AZ53" s="263"/>
    </row>
    <row r="54" spans="2:52">
      <c r="B54" s="191" t="s">
        <v>23</v>
      </c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279"/>
      <c r="AC54" s="289">
        <f>INDEX('Storage Summary'!$L$6:$L$28,MATCH(AC$2,'Storage Summary'!$B$6:$B$28,0),1)</f>
        <v>523.71784877804805</v>
      </c>
      <c r="AD54" s="83">
        <f>INDEX('Storage Summary'!$L$6:$L$28,MATCH(AD$2,'Storage Summary'!$B$6:$B$28,0),1)</f>
        <v>536.00396083154681</v>
      </c>
      <c r="AE54" s="83">
        <f>INDEX('Storage Summary'!$L$6:$L$28,MATCH(AE$2,'Storage Summary'!$B$6:$B$28,0),1)</f>
        <v>547.9680473355063</v>
      </c>
      <c r="AF54" s="83">
        <f>INDEX('Storage Summary'!$L$6:$L$28,MATCH(AF$2,'Storage Summary'!$B$6:$B$28,0),1)</f>
        <v>560.19861537322129</v>
      </c>
      <c r="AG54" s="83">
        <f>INDEX('Storage Summary'!$L$6:$L$28,MATCH(AG$2,'Storage Summary'!$B$6:$B$28,0),1)</f>
        <v>572.70156351813171</v>
      </c>
      <c r="AH54" s="83">
        <f>INDEX('Storage Summary'!$L$6:$L$28,MATCH(AH$2,'Storage Summary'!$B$6:$B$28,0),1)</f>
        <v>585.30099791553096</v>
      </c>
      <c r="AI54" s="83">
        <f>INDEX('Storage Summary'!$L$6:$L$28,MATCH(AI$2,'Storage Summary'!$B$6:$B$28,0),1)</f>
        <v>598.17761986967218</v>
      </c>
      <c r="AJ54" s="83">
        <f>INDEX('Storage Summary'!$L$6:$L$28,MATCH(AJ$2,'Storage Summary'!$B$6:$B$28,0),1)</f>
        <v>611.33752750680526</v>
      </c>
      <c r="AK54" s="83">
        <f>INDEX('Storage Summary'!$L$6:$L$28,MATCH(AK$2,'Storage Summary'!$B$6:$B$28,0),1)</f>
        <v>624.78695311195474</v>
      </c>
      <c r="AL54" s="83">
        <f>INDEX('Storage Summary'!$L$6:$L$28,MATCH(AL$2,'Storage Summary'!$B$6:$B$28,0),1)</f>
        <v>638.53226608041814</v>
      </c>
      <c r="AM54" s="83">
        <f>INDEX('Storage Summary'!$L$6:$L$28,MATCH(AM$2,'Storage Summary'!$B$6:$B$28,0),1)</f>
        <v>652.57997593418725</v>
      </c>
      <c r="AN54" s="83">
        <f>INDEX('Storage Summary'!$L$6:$L$28,MATCH(AN$2,'Storage Summary'!$B$6:$B$28,0),1)</f>
        <v>666.93673540473924</v>
      </c>
      <c r="AO54" s="83">
        <f>INDEX('Storage Summary'!$L$6:$L$28,MATCH(AO$2,'Storage Summary'!$B$6:$B$28,0),1)</f>
        <v>681.60934358364341</v>
      </c>
      <c r="AP54" s="83">
        <f>INDEX('Storage Summary'!$L$6:$L$28,MATCH(AP$2,'Storage Summary'!$B$6:$B$28,0),1)</f>
        <v>696.6047491424838</v>
      </c>
      <c r="AQ54" s="83">
        <f>INDEX('Storage Summary'!$L$6:$L$28,MATCH(AQ$2,'Storage Summary'!$B$6:$B$28,0),1)</f>
        <v>711.93005362361828</v>
      </c>
      <c r="AR54" s="83">
        <f>INDEX('Storage Summary'!$L$6:$L$28,MATCH(AR$2,'Storage Summary'!$B$6:$B$28,0),1)</f>
        <v>727.59251480333819</v>
      </c>
      <c r="AS54" s="83">
        <f>INDEX('Storage Summary'!$L$6:$L$28,MATCH(AS$2,'Storage Summary'!$B$6:$B$28,0),1)</f>
        <v>743.59955012901139</v>
      </c>
      <c r="AT54" s="83">
        <f>INDEX('Storage Summary'!$L$6:$L$28,MATCH(AT$2,'Storage Summary'!$B$6:$B$28,0),1)</f>
        <v>759.95874023184933</v>
      </c>
      <c r="AU54" s="83">
        <f>INDEX('Storage Summary'!$L$6:$L$28,MATCH(AU$2,'Storage Summary'!$B$6:$B$28,0),1)</f>
        <v>776.67783251694993</v>
      </c>
      <c r="AV54" s="83">
        <f>INDEX('Storage Summary'!$L$6:$L$28,MATCH(AV$2,'Storage Summary'!$B$6:$B$28,0),1)</f>
        <v>793.76474483232334</v>
      </c>
      <c r="AW54" s="83">
        <f>INDEX('Storage Summary'!$L$6:$L$28,MATCH(AW$2,'Storage Summary'!$B$6:$B$28,0),1)</f>
        <v>811.22756921863413</v>
      </c>
      <c r="AX54" s="83">
        <f>INDEX('Storage Summary'!$L$6:$L$28,MATCH(AX$2,'Storage Summary'!$B$6:$B$28,0),1)</f>
        <v>829.07457574144428</v>
      </c>
      <c r="AY54" s="279">
        <f>INDEX('Storage Summary'!$L$6:$L$28,MATCH(AY$2,'Storage Summary'!$B$6:$B$28,0),1)</f>
        <v>847.31421640775591</v>
      </c>
      <c r="AZ54" s="263"/>
    </row>
    <row r="55" spans="2:52">
      <c r="B55" s="191" t="s">
        <v>24</v>
      </c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279"/>
      <c r="AC55" s="289">
        <f>INDEX('Storage Summary'!$M$6:$M$28,MATCH(AC$2,'Storage Summary'!$B$6:$B$28,0),1)</f>
        <v>457.50896866832517</v>
      </c>
      <c r="AD55" s="83">
        <f>INDEX('Storage Summary'!$M$6:$M$28,MATCH(AD$2,'Storage Summary'!$B$6:$B$28,0),1)</f>
        <v>468.23765475240981</v>
      </c>
      <c r="AE55" s="83">
        <f>INDEX('Storage Summary'!$M$6:$M$28,MATCH(AE$2,'Storage Summary'!$B$6:$B$28,0),1)</f>
        <v>478.68829375393523</v>
      </c>
      <c r="AF55" s="83">
        <f>INDEX('Storage Summary'!$M$6:$M$28,MATCH(AF$2,'Storage Summary'!$B$6:$B$28,0),1)</f>
        <v>489.37161396166192</v>
      </c>
      <c r="AG55" s="83">
        <f>INDEX('Storage Summary'!$M$6:$M$28,MATCH(AG$2,'Storage Summary'!$B$6:$B$28,0),1)</f>
        <v>500.29275907504751</v>
      </c>
      <c r="AH55" s="83">
        <f>INDEX('Storage Summary'!$M$6:$M$28,MATCH(AH$2,'Storage Summary'!$B$6:$B$28,0),1)</f>
        <v>511.29919977469876</v>
      </c>
      <c r="AI55" s="83">
        <f>INDEX('Storage Summary'!$M$6:$M$28,MATCH(AI$2,'Storage Summary'!$B$6:$B$28,0),1)</f>
        <v>522.54778216974194</v>
      </c>
      <c r="AJ55" s="83">
        <f>INDEX('Storage Summary'!$M$6:$M$28,MATCH(AJ$2,'Storage Summary'!$B$6:$B$28,0),1)</f>
        <v>534.04383337747606</v>
      </c>
      <c r="AK55" s="83">
        <f>INDEX('Storage Summary'!$M$6:$M$28,MATCH(AK$2,'Storage Summary'!$B$6:$B$28,0),1)</f>
        <v>545.79279771178039</v>
      </c>
      <c r="AL55" s="83">
        <f>INDEX('Storage Summary'!$M$6:$M$28,MATCH(AL$2,'Storage Summary'!$B$6:$B$28,0),1)</f>
        <v>557.80023926143997</v>
      </c>
      <c r="AM55" s="83">
        <f>INDEX('Storage Summary'!$M$6:$M$28,MATCH(AM$2,'Storage Summary'!$B$6:$B$28,0),1)</f>
        <v>570.0718445251913</v>
      </c>
      <c r="AN55" s="83">
        <f>INDEX('Storage Summary'!$M$6:$M$28,MATCH(AN$2,'Storage Summary'!$B$6:$B$28,0),1)</f>
        <v>582.61342510474572</v>
      </c>
      <c r="AO55" s="83">
        <f>INDEX('Storage Summary'!$M$6:$M$28,MATCH(AO$2,'Storage Summary'!$B$6:$B$28,0),1)</f>
        <v>595.43092045705009</v>
      </c>
      <c r="AP55" s="83">
        <f>INDEX('Storage Summary'!$M$6:$M$28,MATCH(AP$2,'Storage Summary'!$B$6:$B$28,0),1)</f>
        <v>608.53040070710529</v>
      </c>
      <c r="AQ55" s="83">
        <f>INDEX('Storage Summary'!$M$6:$M$28,MATCH(AQ$2,'Storage Summary'!$B$6:$B$28,0),1)</f>
        <v>621.91806952266154</v>
      </c>
      <c r="AR55" s="83">
        <f>INDEX('Storage Summary'!$M$6:$M$28,MATCH(AR$2,'Storage Summary'!$B$6:$B$28,0),1)</f>
        <v>635.60026705216012</v>
      </c>
      <c r="AS55" s="83">
        <f>INDEX('Storage Summary'!$M$6:$M$28,MATCH(AS$2,'Storage Summary'!$B$6:$B$28,0),1)</f>
        <v>649.58347292730764</v>
      </c>
      <c r="AT55" s="83">
        <f>INDEX('Storage Summary'!$M$6:$M$28,MATCH(AT$2,'Storage Summary'!$B$6:$B$28,0),1)</f>
        <v>663.8743093317081</v>
      </c>
      <c r="AU55" s="83">
        <f>INDEX('Storage Summary'!$M$6:$M$28,MATCH(AU$2,'Storage Summary'!$B$6:$B$28,0),1)</f>
        <v>678.47954413700597</v>
      </c>
      <c r="AV55" s="83">
        <f>INDEX('Storage Summary'!$M$6:$M$28,MATCH(AV$2,'Storage Summary'!$B$6:$B$28,0),1)</f>
        <v>693.40609410802006</v>
      </c>
      <c r="AW55" s="83">
        <f>INDEX('Storage Summary'!$M$6:$M$28,MATCH(AW$2,'Storage Summary'!$B$6:$B$28,0),1)</f>
        <v>708.66102817839669</v>
      </c>
      <c r="AX55" s="83">
        <f>INDEX('Storage Summary'!$M$6:$M$28,MATCH(AX$2,'Storage Summary'!$B$6:$B$28,0),1)</f>
        <v>724.25157079832138</v>
      </c>
      <c r="AY55" s="279">
        <f>INDEX('Storage Summary'!$M$6:$M$28,MATCH(AY$2,'Storage Summary'!$B$6:$B$28,0),1)</f>
        <v>740.18510535588439</v>
      </c>
      <c r="AZ55" s="263"/>
    </row>
    <row r="56" spans="2:52">
      <c r="B56" s="202" t="s">
        <v>25</v>
      </c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5"/>
      <c r="AC56" s="290">
        <f>INDEX('Storage Summary'!$N$6:$N$28,MATCH(AC$2,'Storage Summary'!$B$6:$B$28,0),1)</f>
        <v>413.23901564773735</v>
      </c>
      <c r="AD56" s="284">
        <f>INDEX('Storage Summary'!$N$6:$N$28,MATCH(AD$2,'Storage Summary'!$B$6:$B$28,0),1)</f>
        <v>422.92634331608161</v>
      </c>
      <c r="AE56" s="284">
        <f>INDEX('Storage Summary'!$N$6:$N$28,MATCH(AE$2,'Storage Summary'!$B$6:$B$28,0),1)</f>
        <v>432.3650296955289</v>
      </c>
      <c r="AF56" s="284">
        <f>INDEX('Storage Summary'!$N$6:$N$28,MATCH(AF$2,'Storage Summary'!$B$6:$B$28,0),1)</f>
        <v>442.01379700595118</v>
      </c>
      <c r="AG56" s="284">
        <f>INDEX('Storage Summary'!$N$6:$N$28,MATCH(AG$2,'Storage Summary'!$B$6:$B$28,0),1)</f>
        <v>451.87728420732589</v>
      </c>
      <c r="AH56" s="284">
        <f>INDEX('Storage Summary'!$N$6:$N$28,MATCH(AH$2,'Storage Summary'!$B$6:$B$28,0),1)</f>
        <v>461.81858445988712</v>
      </c>
      <c r="AI56" s="284">
        <f>INDEX('Storage Summary'!$N$6:$N$28,MATCH(AI$2,'Storage Summary'!$B$6:$B$28,0),1)</f>
        <v>471.9785933180047</v>
      </c>
      <c r="AJ56" s="284">
        <f>INDEX('Storage Summary'!$N$6:$N$28,MATCH(AJ$2,'Storage Summary'!$B$6:$B$28,0),1)</f>
        <v>482.36212237100062</v>
      </c>
      <c r="AK56" s="284">
        <f>INDEX('Storage Summary'!$N$6:$N$28,MATCH(AK$2,'Storage Summary'!$B$6:$B$28,0),1)</f>
        <v>492.97408906316286</v>
      </c>
      <c r="AL56" s="284">
        <f>INDEX('Storage Summary'!$N$6:$N$28,MATCH(AL$2,'Storage Summary'!$B$6:$B$28,0),1)</f>
        <v>503.81951902255253</v>
      </c>
      <c r="AM56" s="284">
        <f>INDEX('Storage Summary'!$N$6:$N$28,MATCH(AM$2,'Storage Summary'!$B$6:$B$28,0),1)</f>
        <v>514.90354844104866</v>
      </c>
      <c r="AN56" s="284">
        <f>INDEX('Storage Summary'!$N$6:$N$28,MATCH(AN$2,'Storage Summary'!$B$6:$B$28,0),1)</f>
        <v>526.23142650675163</v>
      </c>
      <c r="AO56" s="284">
        <f>INDEX('Storage Summary'!$N$6:$N$28,MATCH(AO$2,'Storage Summary'!$B$6:$B$28,0),1)</f>
        <v>537.80851788990014</v>
      </c>
      <c r="AP56" s="284">
        <f>INDEX('Storage Summary'!$N$6:$N$28,MATCH(AP$2,'Storage Summary'!$B$6:$B$28,0),1)</f>
        <v>549.6403052834778</v>
      </c>
      <c r="AQ56" s="284">
        <f>INDEX('Storage Summary'!$N$6:$N$28,MATCH(AQ$2,'Storage Summary'!$B$6:$B$28,0),1)</f>
        <v>561.73239199971442</v>
      </c>
      <c r="AR56" s="284">
        <f>INDEX('Storage Summary'!$N$6:$N$28,MATCH(AR$2,'Storage Summary'!$B$6:$B$28,0),1)</f>
        <v>574.09050462370806</v>
      </c>
      <c r="AS56" s="284">
        <f>INDEX('Storage Summary'!$N$6:$N$28,MATCH(AS$2,'Storage Summary'!$B$6:$B$28,0),1)</f>
        <v>586.7204957254296</v>
      </c>
      <c r="AT56" s="284">
        <f>INDEX('Storage Summary'!$N$6:$N$28,MATCH(AT$2,'Storage Summary'!$B$6:$B$28,0),1)</f>
        <v>599.62834663138904</v>
      </c>
      <c r="AU56" s="284">
        <f>INDEX('Storage Summary'!$N$6:$N$28,MATCH(AU$2,'Storage Summary'!$B$6:$B$28,0),1)</f>
        <v>612.82017025727964</v>
      </c>
      <c r="AV56" s="284">
        <f>INDEX('Storage Summary'!$N$6:$N$28,MATCH(AV$2,'Storage Summary'!$B$6:$B$28,0),1)</f>
        <v>626.3022140029401</v>
      </c>
      <c r="AW56" s="284">
        <f>INDEX('Storage Summary'!$N$6:$N$28,MATCH(AW$2,'Storage Summary'!$B$6:$B$28,0),1)</f>
        <v>640.08086271100456</v>
      </c>
      <c r="AX56" s="284">
        <f>INDEX('Storage Summary'!$N$6:$N$28,MATCH(AX$2,'Storage Summary'!$B$6:$B$28,0),1)</f>
        <v>654.16264169064686</v>
      </c>
      <c r="AY56" s="285">
        <f>INDEX('Storage Summary'!$N$6:$N$28,MATCH(AY$2,'Storage Summary'!$B$6:$B$28,0),1)</f>
        <v>668.55421980784104</v>
      </c>
      <c r="AZ56" s="263"/>
    </row>
    <row r="57" spans="2:52">
      <c r="B57" s="192" t="s">
        <v>26</v>
      </c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279"/>
      <c r="AC57" s="289">
        <f>'Upgrade Summary'!D10</f>
        <v>647.95374588897118</v>
      </c>
      <c r="AD57" s="83">
        <f>'Upgrade Summary'!E10</f>
        <v>663.14666961132605</v>
      </c>
      <c r="AE57" s="83">
        <f>'Upgrade Summary'!F10</f>
        <v>677.94715295929734</v>
      </c>
      <c r="AF57" s="83">
        <f>'Upgrade Summary'!G10</f>
        <v>693.07712846880099</v>
      </c>
      <c r="AG57" s="83">
        <f>'Upgrade Summary'!H10</f>
        <v>708.54387719631688</v>
      </c>
      <c r="AH57" s="83">
        <f>'Upgrade Summary'!I10</f>
        <v>724.13184249463529</v>
      </c>
      <c r="AI57" s="83">
        <f>'Upgrade Summary'!J10</f>
        <v>740.06274302951749</v>
      </c>
      <c r="AJ57" s="83">
        <f>'Upgrade Summary'!K10</f>
        <v>756.34412337616686</v>
      </c>
      <c r="AK57" s="83">
        <f>'Upgrade Summary'!L10</f>
        <v>772.98369409044267</v>
      </c>
      <c r="AL57" s="83">
        <f>'Upgrade Summary'!M10</f>
        <v>789.98933536043228</v>
      </c>
      <c r="AM57" s="83">
        <f>'Upgrade Summary'!N10</f>
        <v>807.36910073836168</v>
      </c>
      <c r="AN57" s="83">
        <f>'Upgrade Summary'!O10</f>
        <v>825.13122095460585</v>
      </c>
      <c r="AO57" s="83">
        <f>'Upgrade Summary'!P10</f>
        <v>843.28410781560694</v>
      </c>
      <c r="AP57" s="83">
        <f>'Upgrade Summary'!Q10</f>
        <v>861.83635818755045</v>
      </c>
      <c r="AQ57" s="83">
        <f>'Upgrade Summary'!R10</f>
        <v>880.79675806767602</v>
      </c>
      <c r="AR57" s="83">
        <f>'Upgrade Summary'!S10</f>
        <v>900.1742867451652</v>
      </c>
      <c r="AS57" s="83">
        <f>'Upgrade Summary'!T10</f>
        <v>919.97812105355911</v>
      </c>
      <c r="AT57" s="83">
        <f>'Upgrade Summary'!U10</f>
        <v>940.21763971673749</v>
      </c>
      <c r="AU57" s="83">
        <f>'Upgrade Summary'!V10</f>
        <v>960.90242779050561</v>
      </c>
      <c r="AV57" s="83">
        <f>'Upgrade Summary'!W10</f>
        <v>982.04228120189691</v>
      </c>
      <c r="AW57" s="83">
        <f>'Upgrade Summary'!X10</f>
        <v>1003.647211388339</v>
      </c>
      <c r="AX57" s="83">
        <f>'Upgrade Summary'!Y10</f>
        <v>1025.7274500388819</v>
      </c>
      <c r="AY57" s="279">
        <f>'Upgrade Summary'!Z10</f>
        <v>1048.2934539397374</v>
      </c>
      <c r="AZ57" s="263"/>
    </row>
    <row r="58" spans="2:52">
      <c r="B58" s="192" t="s">
        <v>27</v>
      </c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279"/>
      <c r="AC58" s="289">
        <f>'Upgrade Summary'!D4</f>
        <v>111.27686406047184</v>
      </c>
      <c r="AD58" s="83">
        <f>'Upgrade Summary'!E4</f>
        <v>113.88510212334883</v>
      </c>
      <c r="AE58" s="83">
        <f>'Upgrade Summary'!F4</f>
        <v>116.42666770501536</v>
      </c>
      <c r="AF58" s="83">
        <f>'Upgrade Summary'!G4</f>
        <v>119.02479420278387</v>
      </c>
      <c r="AG58" s="83">
        <f>'Upgrade Summary'!H4</f>
        <v>121.25771769841393</v>
      </c>
      <c r="AH58" s="83">
        <f>'Upgrade Summary'!I4</f>
        <v>123.47652432017259</v>
      </c>
      <c r="AI58" s="83">
        <f>'Upgrade Summary'!J4</f>
        <v>125.7165956568266</v>
      </c>
      <c r="AJ58" s="83">
        <f>'Upgrade Summary'!K4</f>
        <v>127.97658355761152</v>
      </c>
      <c r="AK58" s="83">
        <f>'Upgrade Summary'!L4</f>
        <v>123.24637530212038</v>
      </c>
      <c r="AL58" s="83">
        <f>'Upgrade Summary'!M4</f>
        <v>125.38732600551199</v>
      </c>
      <c r="AM58" s="83">
        <f>'Upgrade Summary'!N4</f>
        <v>127.53976952534015</v>
      </c>
      <c r="AN58" s="83">
        <f>'Upgrade Summary'!O4</f>
        <v>129.70157980267828</v>
      </c>
      <c r="AO58" s="83">
        <f>'Upgrade Summary'!P4</f>
        <v>131.87041679763087</v>
      </c>
      <c r="AP58" s="83">
        <f>'Upgrade Summary'!Q4</f>
        <v>134.04370957711018</v>
      </c>
      <c r="AQ58" s="83">
        <f>'Upgrade Summary'!R4</f>
        <v>151.26232256913278</v>
      </c>
      <c r="AR58" s="83">
        <f>'Upgrade Summary'!S4</f>
        <v>154.59009366565371</v>
      </c>
      <c r="AS58" s="83">
        <f>'Upgrade Summary'!T4</f>
        <v>157.99107572629808</v>
      </c>
      <c r="AT58" s="83">
        <f>'Upgrade Summary'!U4</f>
        <v>161.4668793922767</v>
      </c>
      <c r="AU58" s="83">
        <f>'Upgrade Summary'!V4</f>
        <v>165.01915073890675</v>
      </c>
      <c r="AV58" s="83">
        <f>'Upgrade Summary'!W4</f>
        <v>168.64957205516274</v>
      </c>
      <c r="AW58" s="83">
        <f>'Upgrade Summary'!X4</f>
        <v>172.35986264037629</v>
      </c>
      <c r="AX58" s="83">
        <f>'Upgrade Summary'!Y4</f>
        <v>176.15177961846453</v>
      </c>
      <c r="AY58" s="279">
        <f>'Upgrade Summary'!Z4</f>
        <v>180.02711877007079</v>
      </c>
      <c r="AZ58" s="263"/>
    </row>
    <row r="59" spans="2:52" s="263" customFormat="1" ht="15.75" thickBot="1">
      <c r="B59" s="193" t="s">
        <v>28</v>
      </c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  <c r="AA59" s="288"/>
      <c r="AC59" s="291">
        <f>'Upgrade Summary'!D7</f>
        <v>25.796091786541393</v>
      </c>
      <c r="AD59" s="287">
        <f>'Upgrade Summary'!E7</f>
        <v>26.393572766616405</v>
      </c>
      <c r="AE59" s="287">
        <f>'Upgrade Summary'!F7</f>
        <v>26.98116085931596</v>
      </c>
      <c r="AF59" s="287">
        <f>'Upgrade Summary'!G7</f>
        <v>27.581671037530487</v>
      </c>
      <c r="AG59" s="287">
        <f>'Upgrade Summary'!H7</f>
        <v>28.118850710656094</v>
      </c>
      <c r="AH59" s="287">
        <f>'Upgrade Summary'!I7</f>
        <v>28.656262417014815</v>
      </c>
      <c r="AI59" s="287">
        <f>'Upgrade Summary'!J7</f>
        <v>29.200513336473332</v>
      </c>
      <c r="AJ59" s="287">
        <f>'Upgrade Summary'!K7</f>
        <v>29.75142540711775</v>
      </c>
      <c r="AK59" s="287">
        <f>'Upgrade Summary'!L7</f>
        <v>29.040879320420622</v>
      </c>
      <c r="AL59" s="287">
        <f>'Upgrade Summary'!M7</f>
        <v>29.576576068848901</v>
      </c>
      <c r="AM59" s="287">
        <f>'Upgrade Summary'!N7</f>
        <v>30.117616350101677</v>
      </c>
      <c r="AN59" s="287">
        <f>'Upgrade Summary'!O7</f>
        <v>30.66368735932101</v>
      </c>
      <c r="AO59" s="287">
        <f>'Upgrade Summary'!P7</f>
        <v>31.214439160709933</v>
      </c>
      <c r="AP59" s="287">
        <f>'Upgrade Summary'!Q7</f>
        <v>31.769481662732453</v>
      </c>
      <c r="AQ59" s="287">
        <f>'Upgrade Summary'!R7</f>
        <v>35.049906619680335</v>
      </c>
      <c r="AR59" s="287">
        <f>'Upgrade Summary'!S7</f>
        <v>35.821004565313295</v>
      </c>
      <c r="AS59" s="287">
        <f>'Upgrade Summary'!T7</f>
        <v>36.609066665750184</v>
      </c>
      <c r="AT59" s="287">
        <f>'Upgrade Summary'!U7</f>
        <v>37.414466132396718</v>
      </c>
      <c r="AU59" s="287">
        <f>'Upgrade Summary'!V7</f>
        <v>38.237584387309433</v>
      </c>
      <c r="AV59" s="287">
        <f>'Upgrade Summary'!W7</f>
        <v>39.078811243830231</v>
      </c>
      <c r="AW59" s="287">
        <f>'Upgrade Summary'!X7</f>
        <v>39.938545091194491</v>
      </c>
      <c r="AX59" s="287">
        <f>'Upgrade Summary'!Y7</f>
        <v>40.817193083200777</v>
      </c>
      <c r="AY59" s="288">
        <f>'Upgrade Summary'!Z7</f>
        <v>41.715171331031215</v>
      </c>
    </row>
    <row r="60" spans="2:52">
      <c r="AZ60" s="263"/>
    </row>
  </sheetData>
  <mergeCells count="2">
    <mergeCell ref="AC1:AY1"/>
    <mergeCell ref="E1:AA1"/>
  </mergeCells>
  <conditionalFormatting sqref="E59:AA59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59:AY59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:AA26 E40:AA5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3:AY26 AC40:AY58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7:AA3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7:AY3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81229-8898-40B1-B589-9F4674162313}">
  <sheetPr codeName="Sheet6">
    <tabColor rgb="FFB9F8FF"/>
  </sheetPr>
  <dimension ref="A1:AA106"/>
  <sheetViews>
    <sheetView workbookViewId="0">
      <selection activeCell="AA3" sqref="AA3:AA34"/>
    </sheetView>
  </sheetViews>
  <sheetFormatPr defaultRowHeight="15"/>
  <cols>
    <col min="1" max="1" width="27.140625" bestFit="1" customWidth="1"/>
    <col min="2" max="2" width="8" style="94" bestFit="1" customWidth="1"/>
    <col min="3" max="3" width="15.28515625" bestFit="1" customWidth="1"/>
    <col min="4" max="4" width="68.7109375" bestFit="1" customWidth="1"/>
    <col min="5" max="12" width="8" bestFit="1" customWidth="1"/>
    <col min="13" max="16" width="8" customWidth="1"/>
    <col min="17" max="26" width="8" bestFit="1" customWidth="1"/>
    <col min="27" max="27" width="8" style="263" bestFit="1" customWidth="1"/>
  </cols>
  <sheetData>
    <row r="1" spans="1:27" ht="15.75" thickBot="1">
      <c r="B1" s="150" t="s">
        <v>145</v>
      </c>
      <c r="E1" s="509" t="s">
        <v>45</v>
      </c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</row>
    <row r="2" spans="1:27">
      <c r="A2" s="263"/>
      <c r="B2" s="150" t="s">
        <v>146</v>
      </c>
      <c r="C2" s="170" t="s">
        <v>30</v>
      </c>
      <c r="D2" s="171" t="s">
        <v>29</v>
      </c>
      <c r="E2" s="234">
        <v>2023</v>
      </c>
      <c r="F2" s="234">
        <v>2024</v>
      </c>
      <c r="G2" s="234">
        <v>2025</v>
      </c>
      <c r="H2" s="234">
        <v>2026</v>
      </c>
      <c r="I2" s="234">
        <v>2027</v>
      </c>
      <c r="J2" s="234">
        <v>2028</v>
      </c>
      <c r="K2" s="234">
        <v>2029</v>
      </c>
      <c r="L2" s="234">
        <v>2030</v>
      </c>
      <c r="M2" s="234">
        <v>2031</v>
      </c>
      <c r="N2" s="234">
        <v>2032</v>
      </c>
      <c r="O2" s="234">
        <v>2033</v>
      </c>
      <c r="P2" s="234">
        <v>2034</v>
      </c>
      <c r="Q2" s="234">
        <v>2035</v>
      </c>
      <c r="R2" s="234">
        <v>2036</v>
      </c>
      <c r="S2" s="234">
        <v>2037</v>
      </c>
      <c r="T2" s="234">
        <v>2038</v>
      </c>
      <c r="U2" s="234">
        <v>2039</v>
      </c>
      <c r="V2" s="234">
        <v>2040</v>
      </c>
      <c r="W2" s="234">
        <v>2041</v>
      </c>
      <c r="X2" s="234">
        <v>2042</v>
      </c>
      <c r="Y2" s="234">
        <v>2043</v>
      </c>
      <c r="Z2" s="234">
        <v>2044</v>
      </c>
      <c r="AA2" s="235">
        <v>2045</v>
      </c>
    </row>
    <row r="3" spans="1:27">
      <c r="A3" s="265"/>
      <c r="B3" s="148">
        <f>PPA_Other_Small_Modular_Reactor</f>
        <v>127.76692847036539</v>
      </c>
      <c r="C3" s="238" t="s">
        <v>34</v>
      </c>
      <c r="D3" s="169" t="s">
        <v>3</v>
      </c>
      <c r="E3" s="239">
        <v>123.42362054157678</v>
      </c>
      <c r="F3" s="239">
        <v>125.6400678223942</v>
      </c>
      <c r="G3" s="239">
        <v>127.76692847036539</v>
      </c>
      <c r="H3" s="239">
        <v>129.92578700318504</v>
      </c>
      <c r="I3" s="248">
        <v>132.11813883102906</v>
      </c>
      <c r="J3" s="248">
        <v>134.30632571187132</v>
      </c>
      <c r="K3" s="248">
        <v>136.52790146778904</v>
      </c>
      <c r="L3" s="239">
        <v>138.78206110002844</v>
      </c>
      <c r="M3" s="239">
        <v>141.06912771914241</v>
      </c>
      <c r="N3" s="239">
        <v>143.01914544287331</v>
      </c>
      <c r="O3" s="239">
        <v>152.18066948827411</v>
      </c>
      <c r="P3" s="239">
        <v>157.9667535090866</v>
      </c>
      <c r="Q3" s="239">
        <v>167.67913411227838</v>
      </c>
      <c r="R3" s="239">
        <v>170.01506202865255</v>
      </c>
      <c r="S3" s="239">
        <v>172.34491017708308</v>
      </c>
      <c r="T3" s="239">
        <v>174.6666395901577</v>
      </c>
      <c r="U3" s="239">
        <v>176.97513244081694</v>
      </c>
      <c r="V3" s="239">
        <v>179.26629246140618</v>
      </c>
      <c r="W3" s="239">
        <v>181.53547956096472</v>
      </c>
      <c r="X3" s="239">
        <v>183.77810023483005</v>
      </c>
      <c r="Y3" s="239">
        <v>185.98879044846967</v>
      </c>
      <c r="Z3" s="239">
        <v>188.16186104906791</v>
      </c>
      <c r="AA3" s="240">
        <v>190.29127563928739</v>
      </c>
    </row>
    <row r="4" spans="1:27">
      <c r="A4" s="263"/>
      <c r="B4" s="148">
        <f>PPA_WIND_NW_ON_SYSTEM</f>
        <v>42.351248474471163</v>
      </c>
      <c r="C4" s="176" t="s">
        <v>36</v>
      </c>
      <c r="D4" s="184" t="s">
        <v>4</v>
      </c>
      <c r="E4" s="231">
        <v>44.808985938322863</v>
      </c>
      <c r="F4" s="231">
        <v>43.645660965487522</v>
      </c>
      <c r="G4" s="231">
        <v>42.351248474471163</v>
      </c>
      <c r="H4" s="231">
        <v>40.981288694943196</v>
      </c>
      <c r="I4" s="246">
        <v>38.455376989167291</v>
      </c>
      <c r="J4" s="246">
        <v>35.881561361714084</v>
      </c>
      <c r="K4" s="246">
        <v>33.274869493464678</v>
      </c>
      <c r="L4" s="231">
        <v>30.635088449499367</v>
      </c>
      <c r="M4" s="231">
        <v>30.677357471281692</v>
      </c>
      <c r="N4" s="231">
        <v>30.182825825372174</v>
      </c>
      <c r="O4" s="231">
        <v>42.062865146116536</v>
      </c>
      <c r="P4" s="231">
        <v>48.076007690632494</v>
      </c>
      <c r="Q4" s="231">
        <v>60.801768801473642</v>
      </c>
      <c r="R4" s="231">
        <v>60.767767296478013</v>
      </c>
      <c r="S4" s="231">
        <v>60.674957711836676</v>
      </c>
      <c r="T4" s="231">
        <v>60.518614586659467</v>
      </c>
      <c r="U4" s="231">
        <v>60.293681278057889</v>
      </c>
      <c r="V4" s="231">
        <v>59.994737152354055</v>
      </c>
      <c r="W4" s="231">
        <v>59.615971251087281</v>
      </c>
      <c r="X4" s="231">
        <v>59.151154028740095</v>
      </c>
      <c r="Y4" s="231">
        <v>58.593607024492655</v>
      </c>
      <c r="Z4" s="231">
        <v>57.936170314809516</v>
      </c>
      <c r="AA4" s="139">
        <v>57.17116758764643</v>
      </c>
    </row>
    <row r="5" spans="1:27">
      <c r="A5" s="263"/>
      <c r="B5" s="148">
        <f>PPA_WIND_NW_OFF_SYSTEM</f>
        <v>47.089239270015185</v>
      </c>
      <c r="C5" s="176" t="s">
        <v>36</v>
      </c>
      <c r="D5" s="184" t="s">
        <v>5</v>
      </c>
      <c r="E5" s="231">
        <v>49.230375147012445</v>
      </c>
      <c r="F5" s="231">
        <v>48.225880650999365</v>
      </c>
      <c r="G5" s="231">
        <v>47.089239270015185</v>
      </c>
      <c r="H5" s="231">
        <v>45.881738491964541</v>
      </c>
      <c r="I5" s="246">
        <v>43.441298773353658</v>
      </c>
      <c r="J5" s="246">
        <v>40.951955543172865</v>
      </c>
      <c r="K5" s="246">
        <v>38.430387547463411</v>
      </c>
      <c r="L5" s="231">
        <v>35.876409922466429</v>
      </c>
      <c r="M5" s="231">
        <v>36.042561295038887</v>
      </c>
      <c r="N5" s="231">
        <v>35.687612922049226</v>
      </c>
      <c r="O5" s="231">
        <v>47.711267413014752</v>
      </c>
      <c r="P5" s="231">
        <v>53.872267070152624</v>
      </c>
      <c r="Q5" s="231">
        <v>66.750211196279935</v>
      </c>
      <c r="R5" s="231">
        <v>66.872946210221798</v>
      </c>
      <c r="S5" s="231">
        <v>66.941574716249463</v>
      </c>
      <c r="T5" s="231">
        <v>66.951558866697539</v>
      </c>
      <c r="U5" s="231">
        <v>66.898035334541234</v>
      </c>
      <c r="V5" s="231">
        <v>66.775787054470001</v>
      </c>
      <c r="W5" s="231">
        <v>66.579217837931395</v>
      </c>
      <c r="X5" s="231">
        <v>66.302324656073196</v>
      </c>
      <c r="Y5" s="231">
        <v>65.938668074136132</v>
      </c>
      <c r="Z5" s="231">
        <v>65.481340526720217</v>
      </c>
      <c r="AA5" s="139">
        <v>64.922932270376165</v>
      </c>
    </row>
    <row r="6" spans="1:27">
      <c r="A6" s="263"/>
      <c r="B6" s="148">
        <f>PPA_WIND_MONTANA</f>
        <v>32.68946872628905</v>
      </c>
      <c r="C6" s="176" t="s">
        <v>36</v>
      </c>
      <c r="D6" s="184" t="s">
        <v>6</v>
      </c>
      <c r="E6" s="231">
        <v>34.637505919817016</v>
      </c>
      <c r="F6" s="231">
        <v>33.717392367760439</v>
      </c>
      <c r="G6" s="231">
        <v>32.68946872628905</v>
      </c>
      <c r="H6" s="231">
        <v>31.602195383154513</v>
      </c>
      <c r="I6" s="246">
        <v>29.522212136246207</v>
      </c>
      <c r="J6" s="246">
        <v>27.400543985769417</v>
      </c>
      <c r="K6" s="246">
        <v>25.250379378016202</v>
      </c>
      <c r="L6" s="231">
        <v>23.07148946216569</v>
      </c>
      <c r="M6" s="231">
        <v>23.077574526091063</v>
      </c>
      <c r="N6" s="231">
        <v>22.661366086814606</v>
      </c>
      <c r="O6" s="231">
        <v>34.631285600130802</v>
      </c>
      <c r="P6" s="231">
        <v>40.746729662261288</v>
      </c>
      <c r="Q6" s="231">
        <v>53.588018022369702</v>
      </c>
      <c r="R6" s="231">
        <v>53.68375114823381</v>
      </c>
      <c r="S6" s="231">
        <v>53.73587184629023</v>
      </c>
      <c r="T6" s="231">
        <v>53.740718273509309</v>
      </c>
      <c r="U6" s="231">
        <v>53.694374064344203</v>
      </c>
      <c r="V6" s="231">
        <v>53.592638085528904</v>
      </c>
      <c r="W6" s="231">
        <v>53.43100397387385</v>
      </c>
      <c r="X6" s="231">
        <v>53.204637826874105</v>
      </c>
      <c r="Y6" s="231">
        <v>52.908354404608467</v>
      </c>
      <c r="Z6" s="231">
        <v>52.536591590832792</v>
      </c>
      <c r="AA6" s="139">
        <v>52.083382983860091</v>
      </c>
    </row>
    <row r="7" spans="1:27">
      <c r="A7" s="262"/>
      <c r="B7" s="148">
        <f>PPA_WIND_OFFSHORE</f>
        <v>124.41987348393539</v>
      </c>
      <c r="C7" s="211" t="s">
        <v>36</v>
      </c>
      <c r="D7" s="196" t="s">
        <v>7</v>
      </c>
      <c r="E7" s="241">
        <v>128.27477932132945</v>
      </c>
      <c r="F7" s="241">
        <v>126.09674008801613</v>
      </c>
      <c r="G7" s="241">
        <v>124.41987348393539</v>
      </c>
      <c r="H7" s="241">
        <v>123.1952398739468</v>
      </c>
      <c r="I7" s="249">
        <v>122.30512885654335</v>
      </c>
      <c r="J7" s="249">
        <v>121.63315267159105</v>
      </c>
      <c r="K7" s="249">
        <v>121.16721467529588</v>
      </c>
      <c r="L7" s="241">
        <v>120.87004436130501</v>
      </c>
      <c r="M7" s="241">
        <v>121.30539132832925</v>
      </c>
      <c r="N7" s="241">
        <v>121.1866745413914</v>
      </c>
      <c r="O7" s="241">
        <v>132.8439422368547</v>
      </c>
      <c r="P7" s="241">
        <v>139.05900122556065</v>
      </c>
      <c r="Q7" s="241">
        <v>151.68727428070795</v>
      </c>
      <c r="R7" s="241">
        <v>152.35367823521952</v>
      </c>
      <c r="S7" s="241">
        <v>153.031047100899</v>
      </c>
      <c r="T7" s="241">
        <v>153.70893482299925</v>
      </c>
      <c r="U7" s="241">
        <v>154.37733084701475</v>
      </c>
      <c r="V7" s="241">
        <v>155.02646310858842</v>
      </c>
      <c r="W7" s="241">
        <v>155.64663658150786</v>
      </c>
      <c r="X7" s="241">
        <v>156.22809796881992</v>
      </c>
      <c r="Y7" s="241">
        <v>156.76091904989019</v>
      </c>
      <c r="Z7" s="241">
        <v>157.23489326552723</v>
      </c>
      <c r="AA7" s="242">
        <v>157.63944154534607</v>
      </c>
    </row>
    <row r="8" spans="1:27">
      <c r="A8" s="246"/>
      <c r="B8" s="148">
        <f>PPA_SOLAR_New_Residential</f>
        <v>150.23333568773643</v>
      </c>
      <c r="C8" s="177" t="s">
        <v>32</v>
      </c>
      <c r="D8" s="184" t="s">
        <v>130</v>
      </c>
      <c r="E8" s="231">
        <v>145.60156147837293</v>
      </c>
      <c r="F8" s="231">
        <v>147.93419063180869</v>
      </c>
      <c r="G8" s="231">
        <v>150.23333568773643</v>
      </c>
      <c r="H8" s="231">
        <v>152.66339970515989</v>
      </c>
      <c r="I8" s="246">
        <v>155.23608202701462</v>
      </c>
      <c r="J8" s="246">
        <v>157.91697653093988</v>
      </c>
      <c r="K8" s="246">
        <v>160.76539303948769</v>
      </c>
      <c r="L8" s="231">
        <v>163.79604370438966</v>
      </c>
      <c r="M8" s="231">
        <v>167.06321376210585</v>
      </c>
      <c r="N8" s="231">
        <v>170.02613664671736</v>
      </c>
      <c r="O8" s="231">
        <v>187.50185814946525</v>
      </c>
      <c r="P8" s="231">
        <v>205.61106817816622</v>
      </c>
      <c r="Q8" s="231">
        <v>322.9533431468829</v>
      </c>
      <c r="R8" s="231">
        <v>329.02804722674671</v>
      </c>
      <c r="S8" s="231">
        <v>335.19532549526525</v>
      </c>
      <c r="T8" s="231">
        <v>341.45491557251773</v>
      </c>
      <c r="U8" s="231">
        <v>347.80633996154279</v>
      </c>
      <c r="V8" s="231">
        <v>354.24893918265934</v>
      </c>
      <c r="W8" s="231">
        <v>360.78185540004841</v>
      </c>
      <c r="X8" s="231">
        <v>367.40401475319538</v>
      </c>
      <c r="Y8" s="231">
        <v>374.11410836323461</v>
      </c>
      <c r="Z8" s="231">
        <v>380.91057184011635</v>
      </c>
      <c r="AA8" s="139">
        <v>387.79156323568287</v>
      </c>
    </row>
    <row r="9" spans="1:27" s="362" customFormat="1">
      <c r="A9" s="356" t="s">
        <v>201</v>
      </c>
      <c r="B9" s="357">
        <f>Capacity_Payment_SOLAR_New_Residential_Plus_Storage</f>
        <v>21.970529735773209</v>
      </c>
      <c r="C9" s="358" t="s">
        <v>32</v>
      </c>
      <c r="D9" s="442" t="s">
        <v>139</v>
      </c>
      <c r="E9" s="440">
        <v>21.277588949731545</v>
      </c>
      <c r="F9" s="360">
        <v>21.614408675032436</v>
      </c>
      <c r="G9" s="360">
        <v>21.970529735773209</v>
      </c>
      <c r="H9" s="360">
        <v>22.359967491646426</v>
      </c>
      <c r="I9" s="360">
        <v>22.766160998153179</v>
      </c>
      <c r="J9" s="360">
        <v>23.184202407831751</v>
      </c>
      <c r="K9" s="360">
        <v>23.616302238424534</v>
      </c>
      <c r="L9" s="360">
        <v>24.06264273390472</v>
      </c>
      <c r="M9" s="360">
        <v>24.522498453893139</v>
      </c>
      <c r="N9" s="360">
        <v>24.870065616703194</v>
      </c>
      <c r="O9" s="360">
        <v>26.402920928077194</v>
      </c>
      <c r="P9" s="360">
        <v>27.986624760385357</v>
      </c>
      <c r="Q9" s="360">
        <v>37.719895157226354</v>
      </c>
      <c r="R9" s="360">
        <v>38.320743747766841</v>
      </c>
      <c r="S9" s="360">
        <v>38.924115014136326</v>
      </c>
      <c r="T9" s="360">
        <v>39.529390488607866</v>
      </c>
      <c r="U9" s="360">
        <v>40.13590465830454</v>
      </c>
      <c r="V9" s="360">
        <v>40.742927511790974</v>
      </c>
      <c r="W9" s="360">
        <v>41.349659449879987</v>
      </c>
      <c r="X9" s="360">
        <v>41.955225814375019</v>
      </c>
      <c r="Y9" s="360">
        <v>42.558670997396845</v>
      </c>
      <c r="Z9" s="360">
        <v>43.158952109759362</v>
      </c>
      <c r="AA9" s="361">
        <v>43.754932166866233</v>
      </c>
    </row>
    <row r="10" spans="1:27">
      <c r="A10" s="246"/>
      <c r="B10" s="148">
        <f>PPA_SOLAR_Existing_Residential</f>
        <v>162.41428755858183</v>
      </c>
      <c r="C10" s="177" t="s">
        <v>32</v>
      </c>
      <c r="D10" s="184" t="s">
        <v>131</v>
      </c>
      <c r="E10" s="231">
        <v>157.27838138409012</v>
      </c>
      <c r="F10" s="231">
        <v>159.86733712095472</v>
      </c>
      <c r="G10" s="231">
        <v>162.41428755858183</v>
      </c>
      <c r="H10" s="231">
        <v>165.09733232863783</v>
      </c>
      <c r="I10" s="246">
        <v>167.92827917774616</v>
      </c>
      <c r="J10" s="246">
        <v>170.86860853246549</v>
      </c>
      <c r="K10" s="246">
        <v>173.98179369808562</v>
      </c>
      <c r="L10" s="231">
        <v>177.28265695888757</v>
      </c>
      <c r="M10" s="231">
        <v>180.82875842659925</v>
      </c>
      <c r="N10" s="231">
        <v>184.0764050733728</v>
      </c>
      <c r="O10" s="231">
        <v>203.14202611656995</v>
      </c>
      <c r="P10" s="231">
        <v>222.90086438665853</v>
      </c>
      <c r="Q10" s="231">
        <v>350.801500536807</v>
      </c>
      <c r="R10" s="231">
        <v>357.45240255302241</v>
      </c>
      <c r="S10" s="231">
        <v>364.20784363204132</v>
      </c>
      <c r="T10" s="231">
        <v>371.06781540063014</v>
      </c>
      <c r="U10" s="231">
        <v>378.03209507651667</v>
      </c>
      <c r="V10" s="231">
        <v>385.10028322554052</v>
      </c>
      <c r="W10" s="231">
        <v>392.27178748803044</v>
      </c>
      <c r="X10" s="231">
        <v>399.54580503791635</v>
      </c>
      <c r="Y10" s="231">
        <v>406.92130369444868</v>
      </c>
      <c r="Z10" s="231">
        <v>414.39700155132016</v>
      </c>
      <c r="AA10" s="139">
        <v>421.97134505662325</v>
      </c>
    </row>
    <row r="11" spans="1:27" s="362" customFormat="1">
      <c r="A11" s="356" t="s">
        <v>201</v>
      </c>
      <c r="B11" s="357">
        <f>Capacity_Payment_SOLAR_Existing_Residential_Plus_Storage</f>
        <v>23.299249243851381</v>
      </c>
      <c r="C11" s="358" t="s">
        <v>32</v>
      </c>
      <c r="D11" s="442" t="s">
        <v>132</v>
      </c>
      <c r="E11" s="440">
        <v>22.548251020106861</v>
      </c>
      <c r="F11" s="360">
        <v>22.914255813220482</v>
      </c>
      <c r="G11" s="360">
        <v>23.299249243851381</v>
      </c>
      <c r="H11" s="360">
        <v>23.718200699777849</v>
      </c>
      <c r="I11" s="360">
        <v>24.154563509342005</v>
      </c>
      <c r="J11" s="360">
        <v>24.603149781482742</v>
      </c>
      <c r="K11" s="360">
        <v>25.066466456728655</v>
      </c>
      <c r="L11" s="360">
        <v>25.544710567962699</v>
      </c>
      <c r="M11" s="360">
        <v>26.03717177931237</v>
      </c>
      <c r="N11" s="360">
        <v>26.418061779696412</v>
      </c>
      <c r="O11" s="360">
        <v>28.076209702223618</v>
      </c>
      <c r="P11" s="360">
        <v>29.789976970784913</v>
      </c>
      <c r="Q11" s="360">
        <v>40.281107198742099</v>
      </c>
      <c r="R11" s="360">
        <v>40.938302192902846</v>
      </c>
      <c r="S11" s="360">
        <v>41.599259745737186</v>
      </c>
      <c r="T11" s="360">
        <v>42.263388404777785</v>
      </c>
      <c r="U11" s="360">
        <v>42.930050529009229</v>
      </c>
      <c r="V11" s="360">
        <v>43.598544591703458</v>
      </c>
      <c r="W11" s="360">
        <v>44.268100105738739</v>
      </c>
      <c r="X11" s="360">
        <v>44.937872164498842</v>
      </c>
      <c r="Y11" s="360">
        <v>45.60693556704863</v>
      </c>
      <c r="Z11" s="360">
        <v>46.274278499958108</v>
      </c>
      <c r="AA11" s="361">
        <v>46.938795737418388</v>
      </c>
    </row>
    <row r="12" spans="1:27">
      <c r="A12" s="246"/>
      <c r="B12" s="148">
        <f>PPA_SOLAR_Commercial</f>
        <v>125.48567323998029</v>
      </c>
      <c r="C12" s="177" t="s">
        <v>32</v>
      </c>
      <c r="D12" s="184" t="s">
        <v>133</v>
      </c>
      <c r="E12" s="231">
        <v>123.08201688529327</v>
      </c>
      <c r="F12" s="231">
        <v>124.32248551951014</v>
      </c>
      <c r="G12" s="231">
        <v>125.48567323998029</v>
      </c>
      <c r="H12" s="231">
        <v>126.70569190268843</v>
      </c>
      <c r="I12" s="246">
        <v>127.98571740786463</v>
      </c>
      <c r="J12" s="246">
        <v>129.2904994344029</v>
      </c>
      <c r="K12" s="246">
        <v>130.661765087503</v>
      </c>
      <c r="L12" s="231">
        <v>132.10341799956399</v>
      </c>
      <c r="M12" s="231">
        <v>134.42178837677244</v>
      </c>
      <c r="N12" s="231">
        <v>136.49431163836255</v>
      </c>
      <c r="O12" s="231">
        <v>148.21010834394573</v>
      </c>
      <c r="P12" s="231">
        <v>160.29870157684016</v>
      </c>
      <c r="Q12" s="231">
        <v>185.96549759396757</v>
      </c>
      <c r="R12" s="231">
        <v>188.90738331291138</v>
      </c>
      <c r="S12" s="231">
        <v>191.88103211590391</v>
      </c>
      <c r="T12" s="231">
        <v>194.88549367619862</v>
      </c>
      <c r="U12" s="231">
        <v>197.91968447540714</v>
      </c>
      <c r="V12" s="231">
        <v>200.98238244409708</v>
      </c>
      <c r="W12" s="231">
        <v>204.07221585748317</v>
      </c>
      <c r="X12" s="231">
        <v>207.18765141752115</v>
      </c>
      <c r="Y12" s="231">
        <v>210.32698144450643</v>
      </c>
      <c r="Z12" s="231">
        <v>213.48831013047959</v>
      </c>
      <c r="AA12" s="139">
        <v>216.66953877722113</v>
      </c>
    </row>
    <row r="13" spans="1:27" s="362" customFormat="1">
      <c r="A13" s="356" t="s">
        <v>201</v>
      </c>
      <c r="B13" s="357">
        <f>Capacity_Payment_SOLAR_Commercial_Plus_Storage</f>
        <v>27.00865819776806</v>
      </c>
      <c r="C13" s="358" t="s">
        <v>32</v>
      </c>
      <c r="D13" s="442" t="s">
        <v>134</v>
      </c>
      <c r="E13" s="440">
        <v>25.971992871357806</v>
      </c>
      <c r="F13" s="360">
        <v>26.487500812029726</v>
      </c>
      <c r="G13" s="360">
        <v>27.00865819776806</v>
      </c>
      <c r="H13" s="360">
        <v>27.556872504653224</v>
      </c>
      <c r="I13" s="360">
        <v>28.12212140572349</v>
      </c>
      <c r="J13" s="360">
        <v>28.697838298436878</v>
      </c>
      <c r="K13" s="360">
        <v>29.28931812342741</v>
      </c>
      <c r="L13" s="360">
        <v>29.896789064856858</v>
      </c>
      <c r="M13" s="360">
        <v>30.520133632751353</v>
      </c>
      <c r="N13" s="360">
        <v>31.097819992478573</v>
      </c>
      <c r="O13" s="360">
        <v>32.928024455360472</v>
      </c>
      <c r="P13" s="360">
        <v>34.821515151708482</v>
      </c>
      <c r="Q13" s="360">
        <v>39.062248558237741</v>
      </c>
      <c r="R13" s="360">
        <v>39.809921407614539</v>
      </c>
      <c r="S13" s="360">
        <v>40.568856917844087</v>
      </c>
      <c r="T13" s="360">
        <v>41.338987482365518</v>
      </c>
      <c r="U13" s="360">
        <v>42.120218599604655</v>
      </c>
      <c r="V13" s="360">
        <v>42.912429709144384</v>
      </c>
      <c r="W13" s="360">
        <v>43.715471855252929</v>
      </c>
      <c r="X13" s="360">
        <v>44.529165166766767</v>
      </c>
      <c r="Y13" s="360">
        <v>45.353296140622405</v>
      </c>
      <c r="Z13" s="360">
        <v>46.187614713251222</v>
      </c>
      <c r="AA13" s="361">
        <v>47.031831104341514</v>
      </c>
    </row>
    <row r="14" spans="1:27">
      <c r="A14" s="246"/>
      <c r="B14" s="148">
        <f>PPA_SOLAR_PV_Fixed_Array</f>
        <v>60.920910811966756</v>
      </c>
      <c r="C14" s="177" t="s">
        <v>32</v>
      </c>
      <c r="D14" s="184" t="s">
        <v>8</v>
      </c>
      <c r="E14" s="231">
        <v>64.436474067867323</v>
      </c>
      <c r="F14" s="231">
        <v>62.72232916279485</v>
      </c>
      <c r="G14" s="231">
        <v>60.920910811966756</v>
      </c>
      <c r="H14" s="231">
        <v>59.095166061440359</v>
      </c>
      <c r="I14" s="246">
        <v>57.245270354394499</v>
      </c>
      <c r="J14" s="246">
        <v>55.35694508184902</v>
      </c>
      <c r="K14" s="246">
        <v>53.446617958411224</v>
      </c>
      <c r="L14" s="231">
        <v>51.51484180487995</v>
      </c>
      <c r="M14" s="231">
        <v>52.014066483875006</v>
      </c>
      <c r="N14" s="231">
        <v>52.204103876972766</v>
      </c>
      <c r="O14" s="231">
        <v>55.112845319609249</v>
      </c>
      <c r="P14" s="231">
        <v>58.045347692722309</v>
      </c>
      <c r="Q14" s="231">
        <v>65.288693890568993</v>
      </c>
      <c r="R14" s="231">
        <v>65.483801223859942</v>
      </c>
      <c r="S14" s="231">
        <v>65.646447404658176</v>
      </c>
      <c r="T14" s="231">
        <v>65.774005534399947</v>
      </c>
      <c r="U14" s="231">
        <v>65.863674125503536</v>
      </c>
      <c r="V14" s="231">
        <v>65.912456460393216</v>
      </c>
      <c r="W14" s="231">
        <v>65.91714688904446</v>
      </c>
      <c r="X14" s="231">
        <v>65.874316097195162</v>
      </c>
      <c r="Y14" s="231">
        <v>65.780295357091134</v>
      </c>
      <c r="Z14" s="231">
        <v>65.631159840617087</v>
      </c>
      <c r="AA14" s="139">
        <v>65.422710479713601</v>
      </c>
    </row>
    <row r="15" spans="1:27" s="362" customFormat="1">
      <c r="A15" s="356" t="s">
        <v>201</v>
      </c>
      <c r="B15" s="357">
        <f>Capacity_Payment_SOLAR_PV_Fixed_Array_Plus_Storage</f>
        <v>13.887269350560917</v>
      </c>
      <c r="C15" s="358" t="s">
        <v>32</v>
      </c>
      <c r="D15" s="442" t="s">
        <v>9</v>
      </c>
      <c r="E15" s="440">
        <v>14.721040700354843</v>
      </c>
      <c r="F15" s="360">
        <v>14.204900135538814</v>
      </c>
      <c r="G15" s="360">
        <v>13.887269350560917</v>
      </c>
      <c r="H15" s="360">
        <v>13.696898996090539</v>
      </c>
      <c r="I15" s="360">
        <v>13.542601465390325</v>
      </c>
      <c r="J15" s="360">
        <v>13.322642850157669</v>
      </c>
      <c r="K15" s="360">
        <v>13.192093666719094</v>
      </c>
      <c r="L15" s="360">
        <v>13.050711776466027</v>
      </c>
      <c r="M15" s="360">
        <v>13.16538239263687</v>
      </c>
      <c r="N15" s="360">
        <v>13.25959176396462</v>
      </c>
      <c r="O15" s="360">
        <v>13.963590768419607</v>
      </c>
      <c r="P15" s="360">
        <v>14.675482321751705</v>
      </c>
      <c r="Q15" s="360">
        <v>16.352042152667156</v>
      </c>
      <c r="R15" s="360">
        <v>16.458265155431722</v>
      </c>
      <c r="S15" s="360">
        <v>16.560738117242131</v>
      </c>
      <c r="T15" s="360">
        <v>16.659192981713769</v>
      </c>
      <c r="U15" s="360">
        <v>16.75336202798789</v>
      </c>
      <c r="V15" s="360">
        <v>16.842964604192762</v>
      </c>
      <c r="W15" s="360">
        <v>16.927706455961509</v>
      </c>
      <c r="X15" s="360">
        <v>17.007279025738697</v>
      </c>
      <c r="Y15" s="360">
        <v>17.081358702708069</v>
      </c>
      <c r="Z15" s="360">
        <v>17.149605985766105</v>
      </c>
      <c r="AA15" s="361">
        <v>17.211664651906283</v>
      </c>
    </row>
    <row r="16" spans="1:27">
      <c r="A16" s="262"/>
      <c r="B16" s="148">
        <f>PPA_SOLAR_PV_Single_Axis_Tracking</f>
        <v>41.835669438877432</v>
      </c>
      <c r="C16" s="177" t="s">
        <v>32</v>
      </c>
      <c r="D16" s="184" t="s">
        <v>138</v>
      </c>
      <c r="E16" s="231">
        <v>44.184127447034776</v>
      </c>
      <c r="F16" s="231">
        <v>43.037525888779314</v>
      </c>
      <c r="G16" s="231">
        <v>41.835669438877432</v>
      </c>
      <c r="H16" s="231">
        <v>40.620467570565758</v>
      </c>
      <c r="I16" s="246">
        <v>39.145582611725843</v>
      </c>
      <c r="J16" s="246">
        <v>37.662040191026868</v>
      </c>
      <c r="K16" s="246">
        <v>36.181549612504341</v>
      </c>
      <c r="L16" s="231">
        <v>34.705305355403155</v>
      </c>
      <c r="M16" s="231">
        <v>35.100941747635403</v>
      </c>
      <c r="N16" s="231">
        <v>35.254282678884366</v>
      </c>
      <c r="O16" s="231">
        <v>37.162398249892696</v>
      </c>
      <c r="P16" s="231">
        <v>39.087723601703907</v>
      </c>
      <c r="Q16" s="231">
        <v>43.811254717185356</v>
      </c>
      <c r="R16" s="231">
        <v>43.964912962241478</v>
      </c>
      <c r="S16" s="231">
        <v>44.092670255081828</v>
      </c>
      <c r="T16" s="231">
        <v>44.192350743437395</v>
      </c>
      <c r="U16" s="231">
        <v>44.261627934971727</v>
      </c>
      <c r="V16" s="231">
        <v>44.298009472597414</v>
      </c>
      <c r="W16" s="231">
        <v>44.29882530658351</v>
      </c>
      <c r="X16" s="231">
        <v>44.26121494993135</v>
      </c>
      <c r="Y16" s="231">
        <v>44.182113892692918</v>
      </c>
      <c r="Z16" s="231">
        <v>44.058239145139915</v>
      </c>
      <c r="AA16" s="139">
        <v>43.88607352681958</v>
      </c>
    </row>
    <row r="17" spans="1:27">
      <c r="A17" s="262"/>
      <c r="B17" s="148">
        <f>PPA_SOLAR_Southern_NW_PV_Single_Axis_Tracking</f>
        <v>44.266646635575555</v>
      </c>
      <c r="C17" s="177" t="s">
        <v>32</v>
      </c>
      <c r="D17" s="184" t="s">
        <v>10</v>
      </c>
      <c r="E17" s="231">
        <v>46.361219265763722</v>
      </c>
      <c r="F17" s="231">
        <v>45.342146146674366</v>
      </c>
      <c r="G17" s="231">
        <v>44.266646635575555</v>
      </c>
      <c r="H17" s="231">
        <v>43.179785366419601</v>
      </c>
      <c r="I17" s="246">
        <v>41.818374913113786</v>
      </c>
      <c r="J17" s="246">
        <v>40.447331079143261</v>
      </c>
      <c r="K17" s="246">
        <v>39.079312997855972</v>
      </c>
      <c r="L17" s="231">
        <v>37.715447246027047</v>
      </c>
      <c r="M17" s="231">
        <v>38.188261954180462</v>
      </c>
      <c r="N17" s="231">
        <v>38.434715879095108</v>
      </c>
      <c r="O17" s="231">
        <v>40.687839984913523</v>
      </c>
      <c r="P17" s="231">
        <v>42.973251614217411</v>
      </c>
      <c r="Q17" s="231">
        <v>48.473058495853415</v>
      </c>
      <c r="R17" s="231">
        <v>48.761241084199554</v>
      </c>
      <c r="S17" s="231">
        <v>49.027875663117179</v>
      </c>
      <c r="T17" s="231">
        <v>49.270967693528924</v>
      </c>
      <c r="U17" s="231">
        <v>49.488382801843393</v>
      </c>
      <c r="V17" s="231">
        <v>49.677831454227402</v>
      </c>
      <c r="W17" s="231">
        <v>49.836857832332825</v>
      </c>
      <c r="X17" s="231">
        <v>49.962827905320196</v>
      </c>
      <c r="Y17" s="231">
        <v>50.052916639845542</v>
      </c>
      <c r="Z17" s="231">
        <v>50.10409428677891</v>
      </c>
      <c r="AA17" s="139">
        <v>50.113111675928359</v>
      </c>
    </row>
    <row r="18" spans="1:27" s="362" customFormat="1">
      <c r="A18" s="356" t="s">
        <v>201</v>
      </c>
      <c r="B18" s="357">
        <f>Capacity_Payment_SOLAR_100MW_400MWh</f>
        <v>11.759880548441799</v>
      </c>
      <c r="C18" s="358" t="s">
        <v>32</v>
      </c>
      <c r="D18" s="359" t="s">
        <v>135</v>
      </c>
      <c r="E18" s="440">
        <v>12.413313186467049</v>
      </c>
      <c r="F18" s="360">
        <v>12.008402674660877</v>
      </c>
      <c r="G18" s="360">
        <v>11.759880548441799</v>
      </c>
      <c r="H18" s="360">
        <v>11.611711420937649</v>
      </c>
      <c r="I18" s="360">
        <v>11.493496852331484</v>
      </c>
      <c r="J18" s="360">
        <v>11.327905479651657</v>
      </c>
      <c r="K18" s="360">
        <v>11.233424486223797</v>
      </c>
      <c r="L18" s="360">
        <v>11.133232548497354</v>
      </c>
      <c r="M18" s="360">
        <v>11.229776374854415</v>
      </c>
      <c r="N18" s="360">
        <v>11.279002953257857</v>
      </c>
      <c r="O18" s="360">
        <v>11.787367582023078</v>
      </c>
      <c r="P18" s="360">
        <v>12.298811912721144</v>
      </c>
      <c r="Q18" s="360">
        <v>13.537758798852538</v>
      </c>
      <c r="R18" s="360">
        <v>13.584067435867267</v>
      </c>
      <c r="S18" s="360">
        <v>13.623967676046632</v>
      </c>
      <c r="T18" s="360">
        <v>13.657013803711289</v>
      </c>
      <c r="U18" s="360">
        <v>13.682732905836232</v>
      </c>
      <c r="V18" s="360">
        <v>13.700623179899296</v>
      </c>
      <c r="W18" s="360">
        <v>13.710152036677288</v>
      </c>
      <c r="X18" s="360">
        <v>13.710754083574532</v>
      </c>
      <c r="Y18" s="360">
        <v>13.701828945752009</v>
      </c>
      <c r="Z18" s="360">
        <v>13.682738906529377</v>
      </c>
      <c r="AA18" s="361">
        <v>13.652806446193205</v>
      </c>
    </row>
    <row r="19" spans="1:27" s="362" customFormat="1">
      <c r="A19" s="356" t="s">
        <v>201</v>
      </c>
      <c r="B19" s="357">
        <f>Capacity_Payment_SOLAR_100MW_200MWh</f>
        <v>7.1768364471151234</v>
      </c>
      <c r="C19" s="358" t="s">
        <v>32</v>
      </c>
      <c r="D19" s="359" t="s">
        <v>136</v>
      </c>
      <c r="E19" s="440">
        <v>7.4374255723038969</v>
      </c>
      <c r="F19" s="360">
        <v>7.3032395022039625</v>
      </c>
      <c r="G19" s="360">
        <v>7.1768364471151234</v>
      </c>
      <c r="H19" s="360">
        <v>7.155094645962186</v>
      </c>
      <c r="I19" s="360">
        <v>7.1396388203442278</v>
      </c>
      <c r="J19" s="360">
        <v>7.0812348961403089</v>
      </c>
      <c r="K19" s="360">
        <v>7.0972713232887559</v>
      </c>
      <c r="L19" s="360">
        <v>7.0810368420516392</v>
      </c>
      <c r="M19" s="360">
        <v>7.1420933223332304</v>
      </c>
      <c r="N19" s="360">
        <v>7.1757257820501756</v>
      </c>
      <c r="O19" s="360">
        <v>7.5071108322215103</v>
      </c>
      <c r="P19" s="360">
        <v>7.8408273228582557</v>
      </c>
      <c r="Q19" s="360">
        <v>8.6462099638634395</v>
      </c>
      <c r="R19" s="360">
        <v>8.679347471632866</v>
      </c>
      <c r="S19" s="360">
        <v>8.7087563597847755</v>
      </c>
      <c r="T19" s="360">
        <v>8.7341816057553174</v>
      </c>
      <c r="U19" s="360">
        <v>8.7553535406041796</v>
      </c>
      <c r="V19" s="360">
        <v>8.7723836123933019</v>
      </c>
      <c r="W19" s="360">
        <v>8.7845896518737643</v>
      </c>
      <c r="X19" s="360">
        <v>8.7916516064403556</v>
      </c>
      <c r="Y19" s="360">
        <v>8.793230221751438</v>
      </c>
      <c r="Z19" s="360">
        <v>8.7889655043453363</v>
      </c>
      <c r="AA19" s="361">
        <v>8.7784767023186614</v>
      </c>
    </row>
    <row r="20" spans="1:27" s="362" customFormat="1">
      <c r="A20" s="356" t="s">
        <v>201</v>
      </c>
      <c r="B20" s="357">
        <f>Capacity_Payment_SOLAR_50MW_200MWh</f>
        <v>4.0742282433306558</v>
      </c>
      <c r="C20" s="363" t="s">
        <v>32</v>
      </c>
      <c r="D20" s="364" t="s">
        <v>137</v>
      </c>
      <c r="E20" s="441">
        <v>4.2085626535368066</v>
      </c>
      <c r="F20" s="365">
        <v>4.1386034308909219</v>
      </c>
      <c r="G20" s="365">
        <v>4.0742282433306558</v>
      </c>
      <c r="H20" s="365">
        <v>4.0639009612810755</v>
      </c>
      <c r="I20" s="365">
        <v>4.0571094229948459</v>
      </c>
      <c r="J20" s="365">
        <v>4.0291673436130528</v>
      </c>
      <c r="K20" s="365">
        <v>4.039375668381588</v>
      </c>
      <c r="L20" s="365">
        <v>4.0334017014770494</v>
      </c>
      <c r="M20" s="365">
        <v>4.0664956563878825</v>
      </c>
      <c r="N20" s="365">
        <v>4.0737973465247812</v>
      </c>
      <c r="O20" s="365">
        <v>4.228938944179581</v>
      </c>
      <c r="P20" s="365">
        <v>4.3841443766246995</v>
      </c>
      <c r="Q20" s="365">
        <v>4.7740051535006991</v>
      </c>
      <c r="R20" s="365">
        <v>4.7764886733459404</v>
      </c>
      <c r="S20" s="365">
        <v>4.7757611442937913</v>
      </c>
      <c r="T20" s="365">
        <v>4.7716264640091639</v>
      </c>
      <c r="U20" s="365">
        <v>4.7638411696513101</v>
      </c>
      <c r="V20" s="365">
        <v>4.7523479836134435</v>
      </c>
      <c r="W20" s="365">
        <v>4.7367129799831558</v>
      </c>
      <c r="X20" s="365">
        <v>4.7166546194651335</v>
      </c>
      <c r="Y20" s="365">
        <v>4.691878836983582</v>
      </c>
      <c r="Z20" s="365">
        <v>4.6620727288468089</v>
      </c>
      <c r="AA20" s="366">
        <v>4.6269032829039674</v>
      </c>
    </row>
    <row r="21" spans="1:27" s="362" customFormat="1">
      <c r="A21" s="246"/>
      <c r="B21" s="148">
        <f>PPA_SOLAR_New_Residential_PTC</f>
        <v>248.73034169704394</v>
      </c>
      <c r="C21" s="177" t="s">
        <v>394</v>
      </c>
      <c r="D21" s="262" t="s">
        <v>395</v>
      </c>
      <c r="E21" s="246">
        <v>240.06116151158739</v>
      </c>
      <c r="F21" s="246">
        <v>244.45910881438061</v>
      </c>
      <c r="G21" s="246">
        <v>248.73034169704394</v>
      </c>
      <c r="H21" s="246">
        <v>253.1739374540096</v>
      </c>
      <c r="I21" s="246">
        <v>257.80254399984364</v>
      </c>
      <c r="J21" s="246">
        <v>262.54008462931449</v>
      </c>
      <c r="K21" s="246">
        <v>267.48661892615621</v>
      </c>
      <c r="L21" s="246">
        <v>272.6576999350209</v>
      </c>
      <c r="M21" s="246">
        <v>278.14039371834554</v>
      </c>
      <c r="N21" s="246">
        <v>283.364116166727</v>
      </c>
      <c r="O21" s="246">
        <v>300.32038609677227</v>
      </c>
      <c r="P21" s="246">
        <v>311.91744703644457</v>
      </c>
      <c r="Q21" s="246">
        <v>322.95330444703126</v>
      </c>
      <c r="R21" s="246">
        <v>329.02795927202072</v>
      </c>
      <c r="S21" s="246">
        <v>335.1952372032336</v>
      </c>
      <c r="T21" s="246">
        <v>341.4548268067756</v>
      </c>
      <c r="U21" s="246">
        <v>347.80625059103266</v>
      </c>
      <c r="V21" s="246">
        <v>354.2488490866769</v>
      </c>
      <c r="W21" s="246">
        <v>360.78176446403955</v>
      </c>
      <c r="X21" s="246">
        <v>367.40392288259926</v>
      </c>
      <c r="Y21" s="246">
        <v>374.11401547724483</v>
      </c>
      <c r="Z21" s="246">
        <v>380.91047787993188</v>
      </c>
      <c r="AA21" s="139">
        <v>387.79146816741394</v>
      </c>
    </row>
    <row r="22" spans="1:27" s="362" customFormat="1">
      <c r="A22" s="356" t="s">
        <v>201</v>
      </c>
      <c r="B22" s="357">
        <f>Capacity_Payment_SOLAR_New_Residential_Plus_Storage_PTC</f>
        <v>31.929991971901995</v>
      </c>
      <c r="C22" s="358" t="s">
        <v>394</v>
      </c>
      <c r="D22" s="442" t="s">
        <v>396</v>
      </c>
      <c r="E22" s="440">
        <v>30.795587878570473</v>
      </c>
      <c r="F22" s="360">
        <v>31.356302194620135</v>
      </c>
      <c r="G22" s="360">
        <v>31.929991971901995</v>
      </c>
      <c r="H22" s="360">
        <v>32.541857879018487</v>
      </c>
      <c r="I22" s="360">
        <v>33.175447114208708</v>
      </c>
      <c r="J22" s="360">
        <v>33.822492898895412</v>
      </c>
      <c r="K22" s="360">
        <v>34.488635331289011</v>
      </c>
      <c r="L22" s="360">
        <v>35.174167383202786</v>
      </c>
      <c r="M22" s="360">
        <v>35.878476961256595</v>
      </c>
      <c r="N22" s="360">
        <v>36.475874796571901</v>
      </c>
      <c r="O22" s="360">
        <v>37.077946610645157</v>
      </c>
      <c r="P22" s="360">
        <v>37.684290376251376</v>
      </c>
      <c r="Q22" s="360">
        <v>37.719890641490679</v>
      </c>
      <c r="R22" s="360">
        <v>38.320754239339529</v>
      </c>
      <c r="S22" s="360">
        <v>38.92412555979017</v>
      </c>
      <c r="T22" s="360">
        <v>39.52940110481785</v>
      </c>
      <c r="U22" s="360">
        <v>40.135915361028893</v>
      </c>
      <c r="V22" s="360">
        <v>40.742938315628898</v>
      </c>
      <c r="W22" s="360">
        <v>41.349670368994069</v>
      </c>
      <c r="X22" s="360">
        <v>41.95523686028222</v>
      </c>
      <c r="Y22" s="360">
        <v>42.558682180383016</v>
      </c>
      <c r="Z22" s="360">
        <v>43.158963437164537</v>
      </c>
      <c r="AA22" s="361">
        <v>43.754943643446538</v>
      </c>
    </row>
    <row r="23" spans="1:27" s="362" customFormat="1">
      <c r="A23" s="246"/>
      <c r="B23" s="148">
        <f>PPA_SOLAR_Existing_Residential_PTC</f>
        <v>271.94680959612634</v>
      </c>
      <c r="C23" s="177" t="s">
        <v>394</v>
      </c>
      <c r="D23" s="262" t="s">
        <v>397</v>
      </c>
      <c r="E23" s="246">
        <v>262.3167766895819</v>
      </c>
      <c r="F23" s="246">
        <v>267.20326794188486</v>
      </c>
      <c r="G23" s="246">
        <v>271.94680959612634</v>
      </c>
      <c r="H23" s="246">
        <v>276.87257785650866</v>
      </c>
      <c r="I23" s="246">
        <v>281.99342760460792</v>
      </c>
      <c r="J23" s="246">
        <v>287.22544214217868</v>
      </c>
      <c r="K23" s="246">
        <v>292.67661629877568</v>
      </c>
      <c r="L23" s="246">
        <v>298.36271313100008</v>
      </c>
      <c r="M23" s="246">
        <v>304.37704042339089</v>
      </c>
      <c r="N23" s="246">
        <v>310.14343620665721</v>
      </c>
      <c r="O23" s="246">
        <v>327.65364864996474</v>
      </c>
      <c r="P23" s="246">
        <v>339.81615829955808</v>
      </c>
      <c r="Q23" s="246">
        <v>350.8014580474993</v>
      </c>
      <c r="R23" s="246">
        <v>357.45230616616294</v>
      </c>
      <c r="S23" s="246">
        <v>364.20774673734246</v>
      </c>
      <c r="T23" s="246">
        <v>371.06771785758889</v>
      </c>
      <c r="U23" s="246">
        <v>378.03199675142054</v>
      </c>
      <c r="V23" s="246">
        <v>385.10018399148856</v>
      </c>
      <c r="W23" s="246">
        <v>392.27168722761672</v>
      </c>
      <c r="X23" s="246">
        <v>399.54570365025506</v>
      </c>
      <c r="Y23" s="246">
        <v>406.92120109308723</v>
      </c>
      <c r="Z23" s="246">
        <v>414.39689767369856</v>
      </c>
      <c r="AA23" s="139">
        <v>421.97123986246004</v>
      </c>
    </row>
    <row r="24" spans="1:27" s="362" customFormat="1">
      <c r="A24" s="356" t="s">
        <v>201</v>
      </c>
      <c r="B24" s="357">
        <f>Capacity_Payment_SOLAR_Existing_Residential_Plus_Storage_PTC</f>
        <v>34.024823975905285</v>
      </c>
      <c r="C24" s="358" t="s">
        <v>394</v>
      </c>
      <c r="D24" s="442" t="s">
        <v>398</v>
      </c>
      <c r="E24" s="440">
        <v>32.798397951482855</v>
      </c>
      <c r="F24" s="360">
        <v>33.405525781423144</v>
      </c>
      <c r="G24" s="360">
        <v>34.024823975905285</v>
      </c>
      <c r="H24" s="360">
        <v>34.68331342541321</v>
      </c>
      <c r="I24" s="360">
        <v>35.364563925856046</v>
      </c>
      <c r="J24" s="360">
        <v>36.059770277058924</v>
      </c>
      <c r="K24" s="360">
        <v>36.775132810258583</v>
      </c>
      <c r="L24" s="360">
        <v>37.510967805565983</v>
      </c>
      <c r="M24" s="360">
        <v>38.266686992173156</v>
      </c>
      <c r="N24" s="360">
        <v>38.916625492732578</v>
      </c>
      <c r="O24" s="360">
        <v>39.572393913747405</v>
      </c>
      <c r="P24" s="360">
        <v>40.233615431162811</v>
      </c>
      <c r="Q24" s="360">
        <v>40.281103243556878</v>
      </c>
      <c r="R24" s="360">
        <v>40.938313689937694</v>
      </c>
      <c r="S24" s="360">
        <v>41.599271318638756</v>
      </c>
      <c r="T24" s="360">
        <v>42.263400070414157</v>
      </c>
      <c r="U24" s="360">
        <v>42.930062303740868</v>
      </c>
      <c r="V24" s="360">
        <v>43.598556490878032</v>
      </c>
      <c r="W24" s="360">
        <v>44.268112143820204</v>
      </c>
      <c r="X24" s="360">
        <v>44.937884354174741</v>
      </c>
      <c r="Y24" s="360">
        <v>45.606947919011461</v>
      </c>
      <c r="Z24" s="360">
        <v>46.274291022262247</v>
      </c>
      <c r="AA24" s="361">
        <v>46.938808435461262</v>
      </c>
    </row>
    <row r="25" spans="1:27" s="362" customFormat="1">
      <c r="A25" s="246"/>
      <c r="B25" s="148">
        <f>PPA_SOLAR_Commercial_PTC</f>
        <v>165.38038523043093</v>
      </c>
      <c r="C25" s="177" t="s">
        <v>394</v>
      </c>
      <c r="D25" s="262" t="s">
        <v>399</v>
      </c>
      <c r="E25" s="246">
        <v>162.44827449961511</v>
      </c>
      <c r="F25" s="246">
        <v>163.98532838522269</v>
      </c>
      <c r="G25" s="246">
        <v>165.38038523043093</v>
      </c>
      <c r="H25" s="246">
        <v>166.83728474552547</v>
      </c>
      <c r="I25" s="246">
        <v>168.35926761449275</v>
      </c>
      <c r="J25" s="246">
        <v>169.88939817111432</v>
      </c>
      <c r="K25" s="246">
        <v>171.48958599653733</v>
      </c>
      <c r="L25" s="246">
        <v>173.16368246665706</v>
      </c>
      <c r="M25" s="246">
        <v>176.13323631748426</v>
      </c>
      <c r="N25" s="246">
        <v>178.86760436157942</v>
      </c>
      <c r="O25" s="246">
        <v>193.28304436701163</v>
      </c>
      <c r="P25" s="246">
        <v>202.28869475259063</v>
      </c>
      <c r="Q25" s="246">
        <v>210.91360940676583</v>
      </c>
      <c r="R25" s="246">
        <v>214.31394800460944</v>
      </c>
      <c r="S25" s="246">
        <v>217.75480496756199</v>
      </c>
      <c r="T25" s="246">
        <v>221.23539515229476</v>
      </c>
      <c r="U25" s="246">
        <v>224.75480884048309</v>
      </c>
      <c r="V25" s="246">
        <v>228.31200120129373</v>
      </c>
      <c r="W25" s="246">
        <v>231.9057812584725</v>
      </c>
      <c r="X25" s="246">
        <v>235.534800037727</v>
      </c>
      <c r="Y25" s="246">
        <v>239.19753783460988</v>
      </c>
      <c r="Z25" s="246">
        <v>242.89229053915068</v>
      </c>
      <c r="AA25" s="139">
        <v>246.61715494853351</v>
      </c>
    </row>
    <row r="26" spans="1:27" s="362" customFormat="1">
      <c r="A26" s="356" t="s">
        <v>201</v>
      </c>
      <c r="B26" s="357">
        <f>Capacity_Payment_SOLAR_Commercial_Plus_Storage_PTC</f>
        <v>34.842276563356819</v>
      </c>
      <c r="C26" s="358" t="s">
        <v>394</v>
      </c>
      <c r="D26" s="442" t="s">
        <v>400</v>
      </c>
      <c r="E26" s="440">
        <v>33.458393470213956</v>
      </c>
      <c r="F26" s="360">
        <v>34.149990045272141</v>
      </c>
      <c r="G26" s="360">
        <v>34.842276563356819</v>
      </c>
      <c r="H26" s="360">
        <v>35.565441515830088</v>
      </c>
      <c r="I26" s="360">
        <v>36.309548396750515</v>
      </c>
      <c r="J26" s="360">
        <v>37.065388737893386</v>
      </c>
      <c r="K26" s="360">
        <v>37.840954630885626</v>
      </c>
      <c r="L26" s="360">
        <v>38.636561535096398</v>
      </c>
      <c r="M26" s="360">
        <v>39.45218429403797</v>
      </c>
      <c r="N26" s="360">
        <v>40.226375956464473</v>
      </c>
      <c r="O26" s="360">
        <v>41.013495897930127</v>
      </c>
      <c r="P26" s="360">
        <v>41.813591351815084</v>
      </c>
      <c r="Q26" s="360">
        <v>42.310384162700132</v>
      </c>
      <c r="R26" s="360">
        <v>43.129515565396829</v>
      </c>
      <c r="S26" s="360">
        <v>43.961482068182512</v>
      </c>
      <c r="T26" s="360">
        <v>44.806250313316426</v>
      </c>
      <c r="U26" s="360">
        <v>45.66376114539343</v>
      </c>
      <c r="V26" s="360">
        <v>46.533930128449562</v>
      </c>
      <c r="W26" s="360">
        <v>47.416645225314333</v>
      </c>
      <c r="X26" s="360">
        <v>48.311764295534488</v>
      </c>
      <c r="Y26" s="360">
        <v>49.219112396972498</v>
      </c>
      <c r="Z26" s="360">
        <v>50.138478874721237</v>
      </c>
      <c r="AA26" s="361">
        <v>51.069614224081995</v>
      </c>
    </row>
    <row r="27" spans="1:27" s="362" customFormat="1">
      <c r="A27" s="246"/>
      <c r="B27" s="148">
        <f>PPA_SOLAR_PV_Fixed_Array_PTC</f>
        <v>60.953136818214794</v>
      </c>
      <c r="C27" s="177" t="s">
        <v>394</v>
      </c>
      <c r="D27" s="262" t="s">
        <v>401</v>
      </c>
      <c r="E27" s="246">
        <v>67.173500285484252</v>
      </c>
      <c r="F27" s="246">
        <v>64.13630373825977</v>
      </c>
      <c r="G27" s="246">
        <v>60.953136818214794</v>
      </c>
      <c r="H27" s="246">
        <v>57.713246937122179</v>
      </c>
      <c r="I27" s="246">
        <v>54.415834544783202</v>
      </c>
      <c r="J27" s="246">
        <v>51.038617141823615</v>
      </c>
      <c r="K27" s="246">
        <v>47.603662663240982</v>
      </c>
      <c r="L27" s="246">
        <v>44.110456865492637</v>
      </c>
      <c r="M27" s="246">
        <v>44.19135353433721</v>
      </c>
      <c r="N27" s="246">
        <v>43.950131329751969</v>
      </c>
      <c r="O27" s="246">
        <v>55.378571797603186</v>
      </c>
      <c r="P27" s="246">
        <v>61.300615373954109</v>
      </c>
      <c r="Q27" s="246">
        <v>72.268593119531801</v>
      </c>
      <c r="R27" s="246">
        <v>72.525681463893264</v>
      </c>
      <c r="S27" s="246">
        <v>72.750309780159071</v>
      </c>
      <c r="T27" s="246">
        <v>72.93983778880019</v>
      </c>
      <c r="U27" s="246">
        <v>73.091440981501378</v>
      </c>
      <c r="V27" s="246">
        <v>73.202098722771765</v>
      </c>
      <c r="W27" s="246">
        <v>73.268580520202988</v>
      </c>
      <c r="X27" s="246">
        <v>73.287431318768625</v>
      </c>
      <c r="Y27" s="246">
        <v>73.254955713865343</v>
      </c>
      <c r="Z27" s="246">
        <v>73.16720098890795</v>
      </c>
      <c r="AA27" s="139">
        <v>73.019939249516696</v>
      </c>
    </row>
    <row r="28" spans="1:27" s="362" customFormat="1">
      <c r="A28" s="356" t="s">
        <v>201</v>
      </c>
      <c r="B28" s="357">
        <f>Capacity_Payment_SOLAR_PV_Fixed_Array_Plus_Storage_PTC</f>
        <v>18.828985025033305</v>
      </c>
      <c r="C28" s="358" t="s">
        <v>394</v>
      </c>
      <c r="D28" s="442" t="s">
        <v>402</v>
      </c>
      <c r="E28" s="440">
        <v>20.092804845725794</v>
      </c>
      <c r="F28" s="360">
        <v>19.313568512777508</v>
      </c>
      <c r="G28" s="360">
        <v>18.828985025033305</v>
      </c>
      <c r="H28" s="360">
        <v>18.533483678335859</v>
      </c>
      <c r="I28" s="360">
        <v>18.291385742474738</v>
      </c>
      <c r="J28" s="360">
        <v>17.950751571957639</v>
      </c>
      <c r="K28" s="360">
        <v>17.743048094482344</v>
      </c>
      <c r="L28" s="360">
        <v>17.518879330499519</v>
      </c>
      <c r="M28" s="360">
        <v>17.677042735503331</v>
      </c>
      <c r="N28" s="360">
        <v>17.812171039128941</v>
      </c>
      <c r="O28" s="360">
        <v>17.944294294398855</v>
      </c>
      <c r="P28" s="360">
        <v>18.073187516739612</v>
      </c>
      <c r="Q28" s="360">
        <v>17.909658923170529</v>
      </c>
      <c r="R28" s="360">
        <v>18.028949037332023</v>
      </c>
      <c r="S28" s="360">
        <v>18.144296289402764</v>
      </c>
      <c r="T28" s="360">
        <v>18.255431701887481</v>
      </c>
      <c r="U28" s="360">
        <v>18.362072798428855</v>
      </c>
      <c r="V28" s="360">
        <v>18.463923616374668</v>
      </c>
      <c r="W28" s="360">
        <v>18.560674017879748</v>
      </c>
      <c r="X28" s="360">
        <v>18.651998959867484</v>
      </c>
      <c r="Y28" s="360">
        <v>18.737557727491616</v>
      </c>
      <c r="Z28" s="360">
        <v>18.816993132595108</v>
      </c>
      <c r="AA28" s="361">
        <v>18.889930596257056</v>
      </c>
    </row>
    <row r="29" spans="1:27" s="362" customFormat="1">
      <c r="A29" s="262"/>
      <c r="B29" s="148">
        <f>PPA_SOLAR_PV_Single_Axis_Tracking_PTC</f>
        <v>33.506432662021012</v>
      </c>
      <c r="C29" s="177" t="s">
        <v>394</v>
      </c>
      <c r="D29" s="262" t="s">
        <v>403</v>
      </c>
      <c r="E29" s="246">
        <v>38.000020464403825</v>
      </c>
      <c r="F29" s="246">
        <v>35.801491361790653</v>
      </c>
      <c r="G29" s="246">
        <v>33.506432662021012</v>
      </c>
      <c r="H29" s="246">
        <v>31.17297496082573</v>
      </c>
      <c r="I29" s="246">
        <v>28.459568647282691</v>
      </c>
      <c r="J29" s="246">
        <v>25.713164907602433</v>
      </c>
      <c r="K29" s="246">
        <v>22.949237477832121</v>
      </c>
      <c r="L29" s="246">
        <v>20.168639070102142</v>
      </c>
      <c r="M29" s="246">
        <v>20.101119680662631</v>
      </c>
      <c r="N29" s="246">
        <v>19.778507206876334</v>
      </c>
      <c r="O29" s="246">
        <v>31.130630626254757</v>
      </c>
      <c r="P29" s="246">
        <v>36.981792684705496</v>
      </c>
      <c r="Q29" s="246">
        <v>48.339515745965926</v>
      </c>
      <c r="R29" s="246">
        <v>48.54048824062631</v>
      </c>
      <c r="S29" s="246">
        <v>48.715639211680575</v>
      </c>
      <c r="T29" s="246">
        <v>48.862782412008436</v>
      </c>
      <c r="U29" s="246">
        <v>48.979575221408702</v>
      </c>
      <c r="V29" s="246">
        <v>49.063508483193516</v>
      </c>
      <c r="W29" s="246">
        <v>49.111894655382848</v>
      </c>
      <c r="X29" s="246">
        <v>49.121855109085352</v>
      </c>
      <c r="Y29" s="246">
        <v>49.090306462854656</v>
      </c>
      <c r="Z29" s="246">
        <v>49.013945934643274</v>
      </c>
      <c r="AA29" s="139">
        <v>48.889235870012641</v>
      </c>
    </row>
    <row r="30" spans="1:27" s="362" customFormat="1">
      <c r="A30" s="262"/>
      <c r="B30" s="148">
        <f>PPA_SOLAR_Southern_NW_PV_Single_Axis_Tracking_PTC</f>
        <v>37.465596108595193</v>
      </c>
      <c r="C30" s="177" t="s">
        <v>394</v>
      </c>
      <c r="D30" s="262" t="s">
        <v>404</v>
      </c>
      <c r="E30" s="246">
        <v>41.580927666010936</v>
      </c>
      <c r="F30" s="246">
        <v>39.572176150843219</v>
      </c>
      <c r="G30" s="246">
        <v>37.465596108595193</v>
      </c>
      <c r="H30" s="246">
        <v>35.324009041286203</v>
      </c>
      <c r="I30" s="246">
        <v>32.779123889251558</v>
      </c>
      <c r="J30" s="246">
        <v>30.200364026908389</v>
      </c>
      <c r="K30" s="246">
        <v>27.604630617934667</v>
      </c>
      <c r="L30" s="246">
        <v>24.992712989771071</v>
      </c>
      <c r="M30" s="246">
        <v>25.045466171436765</v>
      </c>
      <c r="N30" s="246">
        <v>24.860057661046383</v>
      </c>
      <c r="O30" s="246">
        <v>36.321334205023717</v>
      </c>
      <c r="P30" s="246">
        <v>42.300979854328467</v>
      </c>
      <c r="Q30" s="246">
        <v>53.653169222289861</v>
      </c>
      <c r="R30" s="246">
        <v>54.004158428882597</v>
      </c>
      <c r="S30" s="246">
        <v>54.334034894832051</v>
      </c>
      <c r="T30" s="246">
        <v>54.640804638328405</v>
      </c>
      <c r="U30" s="246">
        <v>54.922325486754872</v>
      </c>
      <c r="V30" s="246">
        <v>55.176299622554509</v>
      </c>
      <c r="W30" s="246">
        <v>55.400262441423266</v>
      </c>
      <c r="X30" s="246">
        <v>55.591570608363263</v>
      </c>
      <c r="Y30" s="246">
        <v>55.747389250235031</v>
      </c>
      <c r="Z30" s="246">
        <v>55.864678224213414</v>
      </c>
      <c r="AA30" s="139">
        <v>55.940177394678955</v>
      </c>
    </row>
    <row r="31" spans="1:27" s="362" customFormat="1">
      <c r="A31" s="356" t="s">
        <v>201</v>
      </c>
      <c r="B31" s="357">
        <f>Capacity_Payment_SOLAR_100MW_400MWh_PTC</f>
        <v>15.502628737563997</v>
      </c>
      <c r="C31" s="358" t="s">
        <v>394</v>
      </c>
      <c r="D31" s="359" t="s">
        <v>405</v>
      </c>
      <c r="E31" s="440">
        <v>16.481764679516807</v>
      </c>
      <c r="F31" s="360">
        <v>15.877592196612934</v>
      </c>
      <c r="G31" s="360">
        <v>15.502628737563997</v>
      </c>
      <c r="H31" s="360">
        <v>15.274837847311607</v>
      </c>
      <c r="I31" s="360">
        <v>15.090118460097248</v>
      </c>
      <c r="J31" s="360">
        <v>14.833129215314599</v>
      </c>
      <c r="K31" s="360">
        <v>14.68021463223735</v>
      </c>
      <c r="L31" s="360">
        <v>14.517322239111815</v>
      </c>
      <c r="M31" s="360">
        <v>14.646805470868415</v>
      </c>
      <c r="N31" s="360">
        <v>14.727021770097981</v>
      </c>
      <c r="O31" s="360">
        <v>14.802259140861182</v>
      </c>
      <c r="P31" s="360">
        <v>14.87215397644392</v>
      </c>
      <c r="Q31" s="360">
        <v>14.717471510323309</v>
      </c>
      <c r="R31" s="360">
        <v>14.773667345604474</v>
      </c>
      <c r="S31" s="360">
        <v>14.823318278644621</v>
      </c>
      <c r="T31" s="360">
        <v>14.86596836314393</v>
      </c>
      <c r="U31" s="360">
        <v>14.901133510684014</v>
      </c>
      <c r="V31" s="360">
        <v>14.92830032272594</v>
      </c>
      <c r="W31" s="360">
        <v>14.946924180452722</v>
      </c>
      <c r="X31" s="360">
        <v>14.956427200413545</v>
      </c>
      <c r="Y31" s="360">
        <v>14.956194787362428</v>
      </c>
      <c r="Z31" s="360">
        <v>14.945579646010115</v>
      </c>
      <c r="AA31" s="361">
        <v>14.923886538381511</v>
      </c>
    </row>
    <row r="32" spans="1:27" s="362" customFormat="1">
      <c r="A32" s="356" t="s">
        <v>201</v>
      </c>
      <c r="B32" s="357">
        <f>Capacity_Payment_SOLAR_100MW_200MWh_PTC</f>
        <v>9.4554771544356431</v>
      </c>
      <c r="C32" s="358" t="s">
        <v>394</v>
      </c>
      <c r="D32" s="359" t="s">
        <v>406</v>
      </c>
      <c r="E32" s="440">
        <v>9.8545594760248854</v>
      </c>
      <c r="F32" s="360">
        <v>9.6499905283726495</v>
      </c>
      <c r="G32" s="360">
        <v>9.4554771544356431</v>
      </c>
      <c r="H32" s="360">
        <v>9.4158086943314565</v>
      </c>
      <c r="I32" s="360">
        <v>9.3852431545927129</v>
      </c>
      <c r="J32" s="360">
        <v>9.2902528843073036</v>
      </c>
      <c r="K32" s="360">
        <v>9.3057354640576673</v>
      </c>
      <c r="L32" s="360">
        <v>9.2731367310018111</v>
      </c>
      <c r="M32" s="360">
        <v>9.3557607341935292</v>
      </c>
      <c r="N32" s="360">
        <v>9.4094719088843419</v>
      </c>
      <c r="O32" s="360">
        <v>9.4602658170366301</v>
      </c>
      <c r="P32" s="360">
        <v>9.5079328239069838</v>
      </c>
      <c r="Q32" s="360">
        <v>9.410471764838082</v>
      </c>
      <c r="R32" s="360">
        <v>9.4500158556891627</v>
      </c>
      <c r="S32" s="360">
        <v>9.4857427993666317</v>
      </c>
      <c r="T32" s="360">
        <v>9.5173910915220716</v>
      </c>
      <c r="U32" s="360">
        <v>9.5446838252490185</v>
      </c>
      <c r="V32" s="360">
        <v>9.5677249383095209</v>
      </c>
      <c r="W32" s="360">
        <v>9.5858244702100635</v>
      </c>
      <c r="X32" s="360">
        <v>9.5986542736528477</v>
      </c>
      <c r="Y32" s="360">
        <v>9.6058666997485158</v>
      </c>
      <c r="Z32" s="360">
        <v>9.6070933499906932</v>
      </c>
      <c r="AA32" s="361">
        <v>9.6019436873719197</v>
      </c>
    </row>
    <row r="33" spans="1:27" s="362" customFormat="1">
      <c r="A33" s="356" t="s">
        <v>201</v>
      </c>
      <c r="B33" s="357">
        <f>Capacity_Payment_SOLAR_50MW_200MWh_PTC</f>
        <v>5.213547755375461</v>
      </c>
      <c r="C33" s="363" t="s">
        <v>394</v>
      </c>
      <c r="D33" s="364" t="s">
        <v>407</v>
      </c>
      <c r="E33" s="441">
        <v>5.4171256704946948</v>
      </c>
      <c r="F33" s="365">
        <v>5.3119753724946364</v>
      </c>
      <c r="G33" s="365">
        <v>5.213547755375461</v>
      </c>
      <c r="H33" s="365">
        <v>5.1942578826732397</v>
      </c>
      <c r="I33" s="365">
        <v>5.1799114517006899</v>
      </c>
      <c r="J33" s="365">
        <v>5.1336764260471348</v>
      </c>
      <c r="K33" s="365">
        <v>5.1436077875867277</v>
      </c>
      <c r="L33" s="365">
        <v>5.1294517517055436</v>
      </c>
      <c r="M33" s="365">
        <v>5.1733301467570545</v>
      </c>
      <c r="N33" s="365">
        <v>5.1906704440557636</v>
      </c>
      <c r="O33" s="365">
        <v>5.2055173744818513</v>
      </c>
      <c r="P33" s="365">
        <v>5.2176975880770442</v>
      </c>
      <c r="Q33" s="365">
        <v>5.156136717769856</v>
      </c>
      <c r="R33" s="365">
        <v>5.1618228209441908</v>
      </c>
      <c r="S33" s="365">
        <v>5.1642614084522904</v>
      </c>
      <c r="T33" s="365">
        <v>5.1632328555559468</v>
      </c>
      <c r="U33" s="365">
        <v>5.1585012029032464</v>
      </c>
      <c r="V33" s="365">
        <v>5.1500186301559063</v>
      </c>
      <c r="W33" s="365">
        <v>5.1373303815243041</v>
      </c>
      <c r="X33" s="365">
        <v>5.120155948638847</v>
      </c>
      <c r="Y33" s="365">
        <v>5.0981970620717245</v>
      </c>
      <c r="Z33" s="365">
        <v>5.0711364962392516</v>
      </c>
      <c r="AA33" s="366">
        <v>5.0386367369964642</v>
      </c>
    </row>
    <row r="34" spans="1:27" ht="15.75" thickBot="1">
      <c r="A34" s="263"/>
      <c r="B34" s="148">
        <f>PPA_Other_Geothermal</f>
        <v>54.47113763669271</v>
      </c>
      <c r="C34" s="232" t="s">
        <v>34</v>
      </c>
      <c r="D34" s="186" t="s">
        <v>19</v>
      </c>
      <c r="E34" s="233">
        <v>54.032105490266851</v>
      </c>
      <c r="F34" s="233">
        <v>54.291537654149231</v>
      </c>
      <c r="G34" s="233">
        <v>54.47113763669271</v>
      </c>
      <c r="H34" s="233">
        <v>54.641052039768816</v>
      </c>
      <c r="I34" s="247">
        <v>54.801460777330739</v>
      </c>
      <c r="J34" s="247">
        <v>54.931743054146047</v>
      </c>
      <c r="K34" s="247">
        <v>55.052158367234277</v>
      </c>
      <c r="L34" s="233">
        <v>55.163028730149222</v>
      </c>
      <c r="M34" s="233">
        <v>56.046266620894428</v>
      </c>
      <c r="N34" s="233">
        <v>56.943356371171092</v>
      </c>
      <c r="O34" s="233">
        <v>70.286341218356228</v>
      </c>
      <c r="P34" s="233">
        <v>77.83793481171503</v>
      </c>
      <c r="Q34" s="233">
        <v>92.181984888046316</v>
      </c>
      <c r="R34" s="233">
        <v>93.850776344046722</v>
      </c>
      <c r="S34" s="233">
        <v>95.550221546799605</v>
      </c>
      <c r="T34" s="233">
        <v>97.280885102013414</v>
      </c>
      <c r="U34" s="233">
        <v>99.043349611568004</v>
      </c>
      <c r="V34" s="233">
        <v>100.83820873461585</v>
      </c>
      <c r="W34" s="233">
        <v>102.66606740111246</v>
      </c>
      <c r="X34" s="233">
        <v>104.52754202954988</v>
      </c>
      <c r="Y34" s="233">
        <v>106.42326074896476</v>
      </c>
      <c r="Z34" s="233">
        <v>108.35386362531086</v>
      </c>
      <c r="AA34" s="140">
        <v>110.32000289229582</v>
      </c>
    </row>
    <row r="37" spans="1:27" ht="15.75" thickBot="1">
      <c r="C37" s="95"/>
      <c r="D37" s="95"/>
      <c r="E37" s="509" t="s">
        <v>144</v>
      </c>
      <c r="F37" s="509"/>
      <c r="G37" s="509"/>
      <c r="H37" s="509"/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09"/>
      <c r="U37" s="509"/>
      <c r="V37" s="509"/>
      <c r="W37" s="509"/>
      <c r="X37" s="509"/>
      <c r="Y37" s="509"/>
      <c r="Z37" s="509"/>
      <c r="AA37" s="509"/>
    </row>
    <row r="38" spans="1:27">
      <c r="B38" s="150" t="s">
        <v>147</v>
      </c>
      <c r="C38" s="170" t="s">
        <v>30</v>
      </c>
      <c r="D38" s="171" t="s">
        <v>29</v>
      </c>
      <c r="E38" s="234">
        <v>2023</v>
      </c>
      <c r="F38" s="234">
        <v>2024</v>
      </c>
      <c r="G38" s="234">
        <v>2025</v>
      </c>
      <c r="H38" s="234">
        <v>2026</v>
      </c>
      <c r="I38" s="234">
        <v>2027</v>
      </c>
      <c r="J38" s="234">
        <v>2028</v>
      </c>
      <c r="K38" s="234">
        <v>2029</v>
      </c>
      <c r="L38" s="234">
        <v>2030</v>
      </c>
      <c r="M38" s="234">
        <v>2031</v>
      </c>
      <c r="N38" s="234">
        <v>2032</v>
      </c>
      <c r="O38" s="234">
        <v>2033</v>
      </c>
      <c r="P38" s="234">
        <v>2034</v>
      </c>
      <c r="Q38" s="234">
        <v>2035</v>
      </c>
      <c r="R38" s="234">
        <v>2036</v>
      </c>
      <c r="S38" s="234">
        <v>2037</v>
      </c>
      <c r="T38" s="234">
        <v>2038</v>
      </c>
      <c r="U38" s="234">
        <v>2039</v>
      </c>
      <c r="V38" s="234">
        <v>2040</v>
      </c>
      <c r="W38" s="234">
        <v>2041</v>
      </c>
      <c r="X38" s="234">
        <v>2042</v>
      </c>
      <c r="Y38" s="234">
        <v>2043</v>
      </c>
      <c r="Z38" s="234">
        <v>2044</v>
      </c>
      <c r="AA38" s="235">
        <v>2045</v>
      </c>
    </row>
    <row r="39" spans="1:27">
      <c r="A39" s="263"/>
      <c r="B39" s="149">
        <f>INDEX(E39:AA39,1,MATCH('Other PPA'!$B$1,$E$38:$AA$38,0))</f>
        <v>7.4999999999999997E-2</v>
      </c>
      <c r="C39" s="238" t="s">
        <v>34</v>
      </c>
      <c r="D39" s="169" t="s">
        <v>3</v>
      </c>
      <c r="E39" s="243">
        <v>7.4999999999999997E-2</v>
      </c>
      <c r="F39" s="243">
        <v>7.4999999999999997E-2</v>
      </c>
      <c r="G39" s="243">
        <v>7.4999999999999997E-2</v>
      </c>
      <c r="H39" s="243">
        <v>7.4999999999999997E-2</v>
      </c>
      <c r="I39" s="243">
        <v>7.4999999999999997E-2</v>
      </c>
      <c r="J39" s="243">
        <v>7.4999999999999997E-2</v>
      </c>
      <c r="K39" s="243">
        <v>7.4999999999999997E-2</v>
      </c>
      <c r="L39" s="243">
        <v>7.4999999999999997E-2</v>
      </c>
      <c r="M39" s="243">
        <v>7.4999999999999997E-2</v>
      </c>
      <c r="N39" s="243">
        <v>7.4999999999999997E-2</v>
      </c>
      <c r="O39" s="243">
        <v>7.4999999999999997E-2</v>
      </c>
      <c r="P39" s="243">
        <v>7.4999999999999997E-2</v>
      </c>
      <c r="Q39" s="243">
        <v>7.4999999999999997E-2</v>
      </c>
      <c r="R39" s="243">
        <v>7.4999999999999997E-2</v>
      </c>
      <c r="S39" s="243">
        <v>7.4999999999999997E-2</v>
      </c>
      <c r="T39" s="243">
        <v>7.4999999999999997E-2</v>
      </c>
      <c r="U39" s="243">
        <v>7.4999999999999997E-2</v>
      </c>
      <c r="V39" s="243">
        <v>7.4999999999999997E-2</v>
      </c>
      <c r="W39" s="243">
        <v>7.4999999999999997E-2</v>
      </c>
      <c r="X39" s="243">
        <v>7.4999999999999997E-2</v>
      </c>
      <c r="Y39" s="243">
        <v>7.4999999999999997E-2</v>
      </c>
      <c r="Z39" s="243">
        <v>7.4999999999999997E-2</v>
      </c>
      <c r="AA39" s="244">
        <v>7.4999999999999997E-2</v>
      </c>
    </row>
    <row r="40" spans="1:27">
      <c r="A40" s="263"/>
      <c r="B40" s="149">
        <f>INDEX(E40:AA40,1,MATCH('Wind PPA'!$B$1,$E$38:$AA$38,0))</f>
        <v>7.4999999999999997E-2</v>
      </c>
      <c r="C40" s="176" t="s">
        <v>36</v>
      </c>
      <c r="D40" s="184" t="s">
        <v>4</v>
      </c>
      <c r="E40" s="236">
        <v>7.4999999999999997E-2</v>
      </c>
      <c r="F40" s="236">
        <v>7.4999999999999997E-2</v>
      </c>
      <c r="G40" s="236">
        <v>7.4999999999999997E-2</v>
      </c>
      <c r="H40" s="236">
        <v>7.4999999999999997E-2</v>
      </c>
      <c r="I40" s="236">
        <v>7.4999999999999997E-2</v>
      </c>
      <c r="J40" s="236">
        <v>7.4999999999999997E-2</v>
      </c>
      <c r="K40" s="236">
        <v>7.4999999999999997E-2</v>
      </c>
      <c r="L40" s="236">
        <v>7.4999999999999997E-2</v>
      </c>
      <c r="M40" s="236">
        <v>7.4999999999999997E-2</v>
      </c>
      <c r="N40" s="236">
        <v>7.4999999999999997E-2</v>
      </c>
      <c r="O40" s="236">
        <v>7.4999999999999997E-2</v>
      </c>
      <c r="P40" s="236">
        <v>7.4999999999999997E-2</v>
      </c>
      <c r="Q40" s="236">
        <v>7.4999999999999997E-2</v>
      </c>
      <c r="R40" s="236">
        <v>7.4999999999999997E-2</v>
      </c>
      <c r="S40" s="236">
        <v>7.4999999999999997E-2</v>
      </c>
      <c r="T40" s="236">
        <v>7.4999999999999997E-2</v>
      </c>
      <c r="U40" s="236">
        <v>7.4999999999999997E-2</v>
      </c>
      <c r="V40" s="236">
        <v>7.4999999999999997E-2</v>
      </c>
      <c r="W40" s="236">
        <v>7.4999999999999997E-2</v>
      </c>
      <c r="X40" s="236">
        <v>7.4999999999999997E-2</v>
      </c>
      <c r="Y40" s="236">
        <v>7.4999999999999997E-2</v>
      </c>
      <c r="Z40" s="236">
        <v>7.4999999999999997E-2</v>
      </c>
      <c r="AA40" s="218">
        <v>7.4999999999999997E-2</v>
      </c>
    </row>
    <row r="41" spans="1:27">
      <c r="A41" s="263"/>
      <c r="B41" s="149">
        <f>INDEX(E41:AA41,1,MATCH('Wind PPA'!$B$1,$E$38:$AA$38,0))</f>
        <v>7.4999999999999997E-2</v>
      </c>
      <c r="C41" s="176" t="s">
        <v>36</v>
      </c>
      <c r="D41" s="184" t="s">
        <v>5</v>
      </c>
      <c r="E41" s="236">
        <v>7.4999999999999997E-2</v>
      </c>
      <c r="F41" s="236">
        <v>7.4999999999999997E-2</v>
      </c>
      <c r="G41" s="236">
        <v>7.4999999999999997E-2</v>
      </c>
      <c r="H41" s="236">
        <v>7.4999999999999997E-2</v>
      </c>
      <c r="I41" s="236">
        <v>7.4999999999999997E-2</v>
      </c>
      <c r="J41" s="236">
        <v>7.4999999999999997E-2</v>
      </c>
      <c r="K41" s="236">
        <v>7.4999999999999997E-2</v>
      </c>
      <c r="L41" s="236">
        <v>7.4999999999999997E-2</v>
      </c>
      <c r="M41" s="236">
        <v>7.4999999999999997E-2</v>
      </c>
      <c r="N41" s="236">
        <v>7.4999999999999997E-2</v>
      </c>
      <c r="O41" s="236">
        <v>7.4999999999999997E-2</v>
      </c>
      <c r="P41" s="236">
        <v>7.4999999999999997E-2</v>
      </c>
      <c r="Q41" s="236">
        <v>7.4999999999999997E-2</v>
      </c>
      <c r="R41" s="236">
        <v>7.4999999999999997E-2</v>
      </c>
      <c r="S41" s="236">
        <v>7.4999999999999997E-2</v>
      </c>
      <c r="T41" s="236">
        <v>7.4999999999999997E-2</v>
      </c>
      <c r="U41" s="236">
        <v>7.4999999999999997E-2</v>
      </c>
      <c r="V41" s="236">
        <v>7.4999999999999997E-2</v>
      </c>
      <c r="W41" s="236">
        <v>7.4999999999999997E-2</v>
      </c>
      <c r="X41" s="236">
        <v>7.4999999999999997E-2</v>
      </c>
      <c r="Y41" s="236">
        <v>7.4999999999999997E-2</v>
      </c>
      <c r="Z41" s="236">
        <v>7.4999999999999997E-2</v>
      </c>
      <c r="AA41" s="218">
        <v>7.4999999999999997E-2</v>
      </c>
    </row>
    <row r="42" spans="1:27">
      <c r="A42" s="263"/>
      <c r="B42" s="149">
        <f>INDEX(E42:AA42,1,MATCH('Wind PPA'!$B$1,$E$38:$AA$38,0))</f>
        <v>7.4999999999999997E-2</v>
      </c>
      <c r="C42" s="176" t="s">
        <v>36</v>
      </c>
      <c r="D42" s="184" t="s">
        <v>6</v>
      </c>
      <c r="E42" s="236">
        <v>7.4999999999999997E-2</v>
      </c>
      <c r="F42" s="236">
        <v>7.4999999999999997E-2</v>
      </c>
      <c r="G42" s="236">
        <v>7.4999999999999997E-2</v>
      </c>
      <c r="H42" s="236">
        <v>7.4999999999999997E-2</v>
      </c>
      <c r="I42" s="236">
        <v>7.4999999999999997E-2</v>
      </c>
      <c r="J42" s="236">
        <v>7.4999999999999997E-2</v>
      </c>
      <c r="K42" s="236">
        <v>7.4999999999999997E-2</v>
      </c>
      <c r="L42" s="236">
        <v>7.4999999999999997E-2</v>
      </c>
      <c r="M42" s="236">
        <v>7.4999999999999997E-2</v>
      </c>
      <c r="N42" s="236">
        <v>7.4999999999999997E-2</v>
      </c>
      <c r="O42" s="236">
        <v>7.4999999999999997E-2</v>
      </c>
      <c r="P42" s="236">
        <v>7.4999999999999997E-2</v>
      </c>
      <c r="Q42" s="236">
        <v>7.4999999999999997E-2</v>
      </c>
      <c r="R42" s="236">
        <v>7.4999999999999997E-2</v>
      </c>
      <c r="S42" s="236">
        <v>7.4999999999999997E-2</v>
      </c>
      <c r="T42" s="236">
        <v>7.4999999999999997E-2</v>
      </c>
      <c r="U42" s="236">
        <v>7.4999999999999997E-2</v>
      </c>
      <c r="V42" s="236">
        <v>7.4999999999999997E-2</v>
      </c>
      <c r="W42" s="236">
        <v>7.4999999999999997E-2</v>
      </c>
      <c r="X42" s="236">
        <v>7.4999999999999997E-2</v>
      </c>
      <c r="Y42" s="236">
        <v>7.4999999999999997E-2</v>
      </c>
      <c r="Z42" s="236">
        <v>7.4999999999999997E-2</v>
      </c>
      <c r="AA42" s="218">
        <v>7.4999999999999997E-2</v>
      </c>
    </row>
    <row r="43" spans="1:27">
      <c r="A43" s="263"/>
      <c r="B43" s="149">
        <f>INDEX(E43:AA43,1,MATCH('Wind PPA'!$B$1,$E$38:$AA$38,0))</f>
        <v>7.4999999999999997E-2</v>
      </c>
      <c r="C43" s="211" t="s">
        <v>36</v>
      </c>
      <c r="D43" s="196" t="s">
        <v>7</v>
      </c>
      <c r="E43" s="245">
        <v>7.4999999999999997E-2</v>
      </c>
      <c r="F43" s="245">
        <v>7.4999999999999997E-2</v>
      </c>
      <c r="G43" s="245">
        <v>7.4999999999999997E-2</v>
      </c>
      <c r="H43" s="245">
        <v>7.4999999999999997E-2</v>
      </c>
      <c r="I43" s="245">
        <v>7.4999999999999997E-2</v>
      </c>
      <c r="J43" s="245">
        <v>7.4999999999999997E-2</v>
      </c>
      <c r="K43" s="245">
        <v>7.4999999999999997E-2</v>
      </c>
      <c r="L43" s="245">
        <v>7.4999999999999997E-2</v>
      </c>
      <c r="M43" s="245">
        <v>7.4999999999999997E-2</v>
      </c>
      <c r="N43" s="245">
        <v>7.4999999999999997E-2</v>
      </c>
      <c r="O43" s="245">
        <v>7.4999999999999997E-2</v>
      </c>
      <c r="P43" s="245">
        <v>7.4999999999999997E-2</v>
      </c>
      <c r="Q43" s="245">
        <v>7.4999999999999997E-2</v>
      </c>
      <c r="R43" s="245">
        <v>7.4999999999999997E-2</v>
      </c>
      <c r="S43" s="245">
        <v>7.4999999999999997E-2</v>
      </c>
      <c r="T43" s="245">
        <v>7.4999999999999997E-2</v>
      </c>
      <c r="U43" s="245">
        <v>7.4999999999999997E-2</v>
      </c>
      <c r="V43" s="245">
        <v>7.4999999999999997E-2</v>
      </c>
      <c r="W43" s="245">
        <v>7.4999999999999997E-2</v>
      </c>
      <c r="X43" s="245">
        <v>7.4999999999999997E-2</v>
      </c>
      <c r="Y43" s="245">
        <v>7.4999999999999997E-2</v>
      </c>
      <c r="Z43" s="245">
        <v>7.4999999999999997E-2</v>
      </c>
      <c r="AA43" s="226">
        <v>7.4999999999999997E-2</v>
      </c>
    </row>
    <row r="44" spans="1:27">
      <c r="A44" s="263"/>
      <c r="B44" s="149">
        <f>INDEX(E44:AA44,1,MATCH('Solar PPA'!$B$1,$E$38:$AA$38,0))</f>
        <v>7.4999999999999997E-2</v>
      </c>
      <c r="C44" s="177" t="s">
        <v>32</v>
      </c>
      <c r="D44" s="184" t="s">
        <v>130</v>
      </c>
      <c r="E44" s="236">
        <v>7.4999999999999997E-2</v>
      </c>
      <c r="F44" s="236">
        <v>7.4999999999999997E-2</v>
      </c>
      <c r="G44" s="236">
        <v>7.4999999999999997E-2</v>
      </c>
      <c r="H44" s="236">
        <v>7.4999999999999997E-2</v>
      </c>
      <c r="I44" s="236">
        <v>7.4999999999999997E-2</v>
      </c>
      <c r="J44" s="236">
        <v>7.4999999999999997E-2</v>
      </c>
      <c r="K44" s="236">
        <v>7.4999999999999997E-2</v>
      </c>
      <c r="L44" s="236">
        <v>7.4999999999999997E-2</v>
      </c>
      <c r="M44" s="236">
        <v>7.4999999999999997E-2</v>
      </c>
      <c r="N44" s="236">
        <v>7.4999999999999997E-2</v>
      </c>
      <c r="O44" s="236">
        <v>7.4999999999999997E-2</v>
      </c>
      <c r="P44" s="236">
        <v>7.4999999999999997E-2</v>
      </c>
      <c r="Q44" s="236">
        <v>7.4999999999999997E-2</v>
      </c>
      <c r="R44" s="236">
        <v>7.4999999999999997E-2</v>
      </c>
      <c r="S44" s="236">
        <v>7.4999999999999997E-2</v>
      </c>
      <c r="T44" s="236">
        <v>7.4999999999999997E-2</v>
      </c>
      <c r="U44" s="236">
        <v>7.4999999999999997E-2</v>
      </c>
      <c r="V44" s="236">
        <v>7.4999999999999997E-2</v>
      </c>
      <c r="W44" s="236">
        <v>7.4999999999999997E-2</v>
      </c>
      <c r="X44" s="236">
        <v>7.4999999999999997E-2</v>
      </c>
      <c r="Y44" s="236">
        <v>7.4999999999999997E-2</v>
      </c>
      <c r="Z44" s="236">
        <v>7.4999999999999997E-2</v>
      </c>
      <c r="AA44" s="218">
        <v>7.4999999999999997E-2</v>
      </c>
    </row>
    <row r="45" spans="1:27">
      <c r="A45" s="263"/>
      <c r="B45" s="149">
        <f>INDEX(E45:AA45,1,MATCH('Solar PPA'!$B$1,$E$38:$AA$38,0))</f>
        <v>7.4999999999999997E-2</v>
      </c>
      <c r="C45" s="177" t="s">
        <v>32</v>
      </c>
      <c r="D45" s="184" t="s">
        <v>139</v>
      </c>
      <c r="E45" s="236">
        <v>7.4999999999999997E-2</v>
      </c>
      <c r="F45" s="236">
        <v>7.4999999999999997E-2</v>
      </c>
      <c r="G45" s="236">
        <v>7.4999999999999997E-2</v>
      </c>
      <c r="H45" s="236">
        <v>7.4999999999999997E-2</v>
      </c>
      <c r="I45" s="236">
        <v>7.4999999999999997E-2</v>
      </c>
      <c r="J45" s="236">
        <v>7.4999999999999997E-2</v>
      </c>
      <c r="K45" s="236">
        <v>7.4999999999999997E-2</v>
      </c>
      <c r="L45" s="236">
        <v>7.4999999999999997E-2</v>
      </c>
      <c r="M45" s="236">
        <v>7.4999999999999997E-2</v>
      </c>
      <c r="N45" s="236">
        <v>7.4999999999999997E-2</v>
      </c>
      <c r="O45" s="236">
        <v>7.4999999999999997E-2</v>
      </c>
      <c r="P45" s="236">
        <v>7.4999999999999997E-2</v>
      </c>
      <c r="Q45" s="236">
        <v>7.4999999999999997E-2</v>
      </c>
      <c r="R45" s="236">
        <v>7.4999999999999997E-2</v>
      </c>
      <c r="S45" s="236">
        <v>7.4999999999999997E-2</v>
      </c>
      <c r="T45" s="236">
        <v>7.4999999999999997E-2</v>
      </c>
      <c r="U45" s="236">
        <v>7.4999999999999997E-2</v>
      </c>
      <c r="V45" s="236">
        <v>7.4999999999999997E-2</v>
      </c>
      <c r="W45" s="236">
        <v>7.4999999999999997E-2</v>
      </c>
      <c r="X45" s="236">
        <v>7.4999999999999997E-2</v>
      </c>
      <c r="Y45" s="236">
        <v>7.4999999999999997E-2</v>
      </c>
      <c r="Z45" s="236">
        <v>7.4999999999999997E-2</v>
      </c>
      <c r="AA45" s="218">
        <v>7.4999999999999997E-2</v>
      </c>
    </row>
    <row r="46" spans="1:27">
      <c r="A46" s="263"/>
      <c r="B46" s="149">
        <f>INDEX(E46:AA46,1,MATCH('Solar PPA'!$B$1,$E$38:$AA$38,0))</f>
        <v>7.4999999999999997E-2</v>
      </c>
      <c r="C46" s="177" t="s">
        <v>32</v>
      </c>
      <c r="D46" s="184" t="s">
        <v>131</v>
      </c>
      <c r="E46" s="236">
        <v>7.4999999999999997E-2</v>
      </c>
      <c r="F46" s="236">
        <v>7.4999999999999997E-2</v>
      </c>
      <c r="G46" s="236">
        <v>7.4999999999999997E-2</v>
      </c>
      <c r="H46" s="236">
        <v>7.4999999999999997E-2</v>
      </c>
      <c r="I46" s="236">
        <v>7.4999999999999997E-2</v>
      </c>
      <c r="J46" s="236">
        <v>7.4999999999999997E-2</v>
      </c>
      <c r="K46" s="236">
        <v>7.4999999999999997E-2</v>
      </c>
      <c r="L46" s="236">
        <v>7.4999999999999997E-2</v>
      </c>
      <c r="M46" s="236">
        <v>7.4999999999999997E-2</v>
      </c>
      <c r="N46" s="236">
        <v>7.4999999999999997E-2</v>
      </c>
      <c r="O46" s="236">
        <v>7.4999999999999997E-2</v>
      </c>
      <c r="P46" s="236">
        <v>7.4999999999999997E-2</v>
      </c>
      <c r="Q46" s="236">
        <v>7.4999999999999997E-2</v>
      </c>
      <c r="R46" s="236">
        <v>7.4999999999999997E-2</v>
      </c>
      <c r="S46" s="236">
        <v>7.4999999999999997E-2</v>
      </c>
      <c r="T46" s="236">
        <v>7.4999999999999997E-2</v>
      </c>
      <c r="U46" s="236">
        <v>7.4999999999999997E-2</v>
      </c>
      <c r="V46" s="236">
        <v>7.4999999999999997E-2</v>
      </c>
      <c r="W46" s="236">
        <v>7.4999999999999997E-2</v>
      </c>
      <c r="X46" s="236">
        <v>7.4999999999999997E-2</v>
      </c>
      <c r="Y46" s="236">
        <v>7.4999999999999997E-2</v>
      </c>
      <c r="Z46" s="236">
        <v>7.4999999999999997E-2</v>
      </c>
      <c r="AA46" s="218">
        <v>7.4999999999999997E-2</v>
      </c>
    </row>
    <row r="47" spans="1:27">
      <c r="A47" s="263"/>
      <c r="B47" s="149">
        <f>INDEX(E47:AA47,1,MATCH('Solar PPA'!$B$1,$E$38:$AA$38,0))</f>
        <v>7.4999999999999997E-2</v>
      </c>
      <c r="C47" s="177" t="s">
        <v>32</v>
      </c>
      <c r="D47" s="184" t="s">
        <v>132</v>
      </c>
      <c r="E47" s="236">
        <v>7.4999999999999997E-2</v>
      </c>
      <c r="F47" s="236">
        <v>7.4999999999999997E-2</v>
      </c>
      <c r="G47" s="236">
        <v>7.4999999999999997E-2</v>
      </c>
      <c r="H47" s="236">
        <v>7.4999999999999997E-2</v>
      </c>
      <c r="I47" s="236">
        <v>7.4999999999999997E-2</v>
      </c>
      <c r="J47" s="236">
        <v>7.4999999999999997E-2</v>
      </c>
      <c r="K47" s="236">
        <v>7.4999999999999997E-2</v>
      </c>
      <c r="L47" s="236">
        <v>7.4999999999999997E-2</v>
      </c>
      <c r="M47" s="236">
        <v>7.4999999999999997E-2</v>
      </c>
      <c r="N47" s="236">
        <v>7.4999999999999997E-2</v>
      </c>
      <c r="O47" s="236">
        <v>7.4999999999999997E-2</v>
      </c>
      <c r="P47" s="236">
        <v>7.4999999999999997E-2</v>
      </c>
      <c r="Q47" s="236">
        <v>7.4999999999999997E-2</v>
      </c>
      <c r="R47" s="236">
        <v>7.4999999999999997E-2</v>
      </c>
      <c r="S47" s="236">
        <v>7.4999999999999997E-2</v>
      </c>
      <c r="T47" s="236">
        <v>7.4999999999999997E-2</v>
      </c>
      <c r="U47" s="236">
        <v>7.4999999999999997E-2</v>
      </c>
      <c r="V47" s="236">
        <v>7.4999999999999997E-2</v>
      </c>
      <c r="W47" s="236">
        <v>7.4999999999999997E-2</v>
      </c>
      <c r="X47" s="236">
        <v>7.4999999999999997E-2</v>
      </c>
      <c r="Y47" s="236">
        <v>7.4999999999999997E-2</v>
      </c>
      <c r="Z47" s="236">
        <v>7.4999999999999997E-2</v>
      </c>
      <c r="AA47" s="218">
        <v>7.4999999999999997E-2</v>
      </c>
    </row>
    <row r="48" spans="1:27">
      <c r="A48" s="263"/>
      <c r="B48" s="149">
        <f>INDEX(E48:AA48,1,MATCH('Solar PPA'!$B$1,$E$38:$AA$38,0))</f>
        <v>7.4999999999999997E-2</v>
      </c>
      <c r="C48" s="177" t="s">
        <v>32</v>
      </c>
      <c r="D48" s="184" t="s">
        <v>133</v>
      </c>
      <c r="E48" s="236">
        <v>7.4999999999999997E-2</v>
      </c>
      <c r="F48" s="236">
        <v>7.4999999999999997E-2</v>
      </c>
      <c r="G48" s="236">
        <v>7.4999999999999997E-2</v>
      </c>
      <c r="H48" s="236">
        <v>7.4999999999999997E-2</v>
      </c>
      <c r="I48" s="236">
        <v>7.4999999999999997E-2</v>
      </c>
      <c r="J48" s="236">
        <v>7.4999999999999997E-2</v>
      </c>
      <c r="K48" s="236">
        <v>7.4999999999999997E-2</v>
      </c>
      <c r="L48" s="236">
        <v>7.4999999999999997E-2</v>
      </c>
      <c r="M48" s="236">
        <v>7.4999999999999997E-2</v>
      </c>
      <c r="N48" s="236">
        <v>7.4999999999999997E-2</v>
      </c>
      <c r="O48" s="236">
        <v>7.4999999999999997E-2</v>
      </c>
      <c r="P48" s="236">
        <v>7.4999999999999997E-2</v>
      </c>
      <c r="Q48" s="236">
        <v>7.4999999999999997E-2</v>
      </c>
      <c r="R48" s="236">
        <v>7.4999999999999997E-2</v>
      </c>
      <c r="S48" s="236">
        <v>7.4999999999999997E-2</v>
      </c>
      <c r="T48" s="236">
        <v>7.4999999999999997E-2</v>
      </c>
      <c r="U48" s="236">
        <v>7.4999999999999997E-2</v>
      </c>
      <c r="V48" s="236">
        <v>7.4999999999999997E-2</v>
      </c>
      <c r="W48" s="236">
        <v>7.4999999999999997E-2</v>
      </c>
      <c r="X48" s="236">
        <v>7.4999999999999997E-2</v>
      </c>
      <c r="Y48" s="236">
        <v>7.4999999999999997E-2</v>
      </c>
      <c r="Z48" s="236">
        <v>7.4999999999999997E-2</v>
      </c>
      <c r="AA48" s="218">
        <v>7.4999999999999997E-2</v>
      </c>
    </row>
    <row r="49" spans="1:27">
      <c r="A49" s="263"/>
      <c r="B49" s="149">
        <f>INDEX(E49:AA49,1,MATCH('Solar PPA'!$B$1,$E$38:$AA$38,0))</f>
        <v>7.4999999999999997E-2</v>
      </c>
      <c r="C49" s="177" t="s">
        <v>32</v>
      </c>
      <c r="D49" s="184" t="s">
        <v>134</v>
      </c>
      <c r="E49" s="236">
        <v>7.4999999999999997E-2</v>
      </c>
      <c r="F49" s="236">
        <v>7.4999999999999997E-2</v>
      </c>
      <c r="G49" s="236">
        <v>7.4999999999999997E-2</v>
      </c>
      <c r="H49" s="236">
        <v>7.4999999999999997E-2</v>
      </c>
      <c r="I49" s="236">
        <v>7.4999999999999997E-2</v>
      </c>
      <c r="J49" s="236">
        <v>7.4999999999999997E-2</v>
      </c>
      <c r="K49" s="236">
        <v>7.4999999999999997E-2</v>
      </c>
      <c r="L49" s="236">
        <v>7.4999999999999997E-2</v>
      </c>
      <c r="M49" s="236">
        <v>7.4999999999999997E-2</v>
      </c>
      <c r="N49" s="236">
        <v>7.4999999999999997E-2</v>
      </c>
      <c r="O49" s="236">
        <v>7.4999999999999997E-2</v>
      </c>
      <c r="P49" s="236">
        <v>7.4999999999999997E-2</v>
      </c>
      <c r="Q49" s="236">
        <v>7.4999999999999997E-2</v>
      </c>
      <c r="R49" s="236">
        <v>7.4999999999999997E-2</v>
      </c>
      <c r="S49" s="236">
        <v>7.4999999999999997E-2</v>
      </c>
      <c r="T49" s="236">
        <v>7.4999999999999997E-2</v>
      </c>
      <c r="U49" s="236">
        <v>7.4999999999999997E-2</v>
      </c>
      <c r="V49" s="236">
        <v>7.4999999999999997E-2</v>
      </c>
      <c r="W49" s="236">
        <v>7.4999999999999997E-2</v>
      </c>
      <c r="X49" s="236">
        <v>7.4999999999999997E-2</v>
      </c>
      <c r="Y49" s="236">
        <v>7.4999999999999997E-2</v>
      </c>
      <c r="Z49" s="236">
        <v>7.4999999999999997E-2</v>
      </c>
      <c r="AA49" s="218">
        <v>7.4999999999999997E-2</v>
      </c>
    </row>
    <row r="50" spans="1:27">
      <c r="A50" s="263"/>
      <c r="B50" s="149">
        <f>INDEX(E50:AA50,1,MATCH('Solar PPA'!$B$1,$E$38:$AA$38,0))</f>
        <v>7.4999999999999997E-2</v>
      </c>
      <c r="C50" s="177" t="s">
        <v>32</v>
      </c>
      <c r="D50" s="184" t="s">
        <v>8</v>
      </c>
      <c r="E50" s="236">
        <v>7.4999999999999997E-2</v>
      </c>
      <c r="F50" s="236">
        <v>7.4999999999999997E-2</v>
      </c>
      <c r="G50" s="236">
        <v>7.4999999999999997E-2</v>
      </c>
      <c r="H50" s="236">
        <v>7.4999999999999997E-2</v>
      </c>
      <c r="I50" s="236">
        <v>7.4999999999999997E-2</v>
      </c>
      <c r="J50" s="236">
        <v>7.4999999999999997E-2</v>
      </c>
      <c r="K50" s="236">
        <v>7.4999999999999997E-2</v>
      </c>
      <c r="L50" s="236">
        <v>7.4999999999999997E-2</v>
      </c>
      <c r="M50" s="236">
        <v>7.4999999999999997E-2</v>
      </c>
      <c r="N50" s="236">
        <v>7.4999999999999997E-2</v>
      </c>
      <c r="O50" s="236">
        <v>7.4999999999999997E-2</v>
      </c>
      <c r="P50" s="236">
        <v>7.4999999999999997E-2</v>
      </c>
      <c r="Q50" s="236">
        <v>7.4999999999999997E-2</v>
      </c>
      <c r="R50" s="236">
        <v>7.4999999999999997E-2</v>
      </c>
      <c r="S50" s="236">
        <v>7.4999999999999997E-2</v>
      </c>
      <c r="T50" s="236">
        <v>7.4999999999999997E-2</v>
      </c>
      <c r="U50" s="236">
        <v>7.4999999999999997E-2</v>
      </c>
      <c r="V50" s="236">
        <v>7.4999999999999997E-2</v>
      </c>
      <c r="W50" s="236">
        <v>7.4999999999999997E-2</v>
      </c>
      <c r="X50" s="236">
        <v>7.4999999999999997E-2</v>
      </c>
      <c r="Y50" s="236">
        <v>7.4999999999999997E-2</v>
      </c>
      <c r="Z50" s="236">
        <v>7.4999999999999997E-2</v>
      </c>
      <c r="AA50" s="218">
        <v>7.4999999999999997E-2</v>
      </c>
    </row>
    <row r="51" spans="1:27">
      <c r="A51" s="263"/>
      <c r="B51" s="149">
        <f>INDEX(E51:AA51,1,MATCH('Solar PPA'!$B$1,$E$38:$AA$38,0))</f>
        <v>7.4999999999999997E-2</v>
      </c>
      <c r="C51" s="177" t="s">
        <v>32</v>
      </c>
      <c r="D51" s="184" t="s">
        <v>9</v>
      </c>
      <c r="E51" s="236">
        <v>7.4999999999999997E-2</v>
      </c>
      <c r="F51" s="236">
        <v>7.4999999999999997E-2</v>
      </c>
      <c r="G51" s="236">
        <v>7.4999999999999997E-2</v>
      </c>
      <c r="H51" s="236">
        <v>7.4999999999999997E-2</v>
      </c>
      <c r="I51" s="236">
        <v>7.4999999999999997E-2</v>
      </c>
      <c r="J51" s="236">
        <v>7.4999999999999997E-2</v>
      </c>
      <c r="K51" s="236">
        <v>7.4999999999999997E-2</v>
      </c>
      <c r="L51" s="236">
        <v>7.4999999999999997E-2</v>
      </c>
      <c r="M51" s="236">
        <v>7.4999999999999997E-2</v>
      </c>
      <c r="N51" s="236">
        <v>7.4999999999999997E-2</v>
      </c>
      <c r="O51" s="236">
        <v>7.4999999999999997E-2</v>
      </c>
      <c r="P51" s="236">
        <v>7.4999999999999997E-2</v>
      </c>
      <c r="Q51" s="236">
        <v>7.4999999999999997E-2</v>
      </c>
      <c r="R51" s="236">
        <v>7.4999999999999997E-2</v>
      </c>
      <c r="S51" s="236">
        <v>7.4999999999999997E-2</v>
      </c>
      <c r="T51" s="236">
        <v>7.4999999999999997E-2</v>
      </c>
      <c r="U51" s="236">
        <v>7.4999999999999997E-2</v>
      </c>
      <c r="V51" s="236">
        <v>7.4999999999999997E-2</v>
      </c>
      <c r="W51" s="236">
        <v>7.4999999999999997E-2</v>
      </c>
      <c r="X51" s="236">
        <v>7.4999999999999997E-2</v>
      </c>
      <c r="Y51" s="236">
        <v>7.4999999999999997E-2</v>
      </c>
      <c r="Z51" s="236">
        <v>7.4999999999999997E-2</v>
      </c>
      <c r="AA51" s="218">
        <v>7.4999999999999997E-2</v>
      </c>
    </row>
    <row r="52" spans="1:27">
      <c r="A52" s="263"/>
      <c r="B52" s="149">
        <f>INDEX(E52:AA52,1,MATCH('Solar PPA'!$B$1,$E$38:$AA$38,0))</f>
        <v>7.4999999999999997E-2</v>
      </c>
      <c r="C52" s="177" t="s">
        <v>32</v>
      </c>
      <c r="D52" s="184" t="s">
        <v>138</v>
      </c>
      <c r="E52" s="236">
        <v>7.4999999999999997E-2</v>
      </c>
      <c r="F52" s="236">
        <v>7.4999999999999997E-2</v>
      </c>
      <c r="G52" s="236">
        <v>7.4999999999999997E-2</v>
      </c>
      <c r="H52" s="236">
        <v>7.4999999999999997E-2</v>
      </c>
      <c r="I52" s="236">
        <v>7.4999999999999997E-2</v>
      </c>
      <c r="J52" s="236">
        <v>7.4999999999999997E-2</v>
      </c>
      <c r="K52" s="236">
        <v>7.4999999999999997E-2</v>
      </c>
      <c r="L52" s="236">
        <v>7.4999999999999997E-2</v>
      </c>
      <c r="M52" s="236">
        <v>7.4999999999999997E-2</v>
      </c>
      <c r="N52" s="236">
        <v>7.4999999999999997E-2</v>
      </c>
      <c r="O52" s="236">
        <v>7.4999999999999997E-2</v>
      </c>
      <c r="P52" s="236">
        <v>7.4999999999999997E-2</v>
      </c>
      <c r="Q52" s="236">
        <v>7.4999999999999997E-2</v>
      </c>
      <c r="R52" s="236">
        <v>7.4999999999999997E-2</v>
      </c>
      <c r="S52" s="236">
        <v>7.4999999999999997E-2</v>
      </c>
      <c r="T52" s="236">
        <v>7.4999999999999997E-2</v>
      </c>
      <c r="U52" s="236">
        <v>7.4999999999999997E-2</v>
      </c>
      <c r="V52" s="236">
        <v>7.4999999999999997E-2</v>
      </c>
      <c r="W52" s="236">
        <v>7.4999999999999997E-2</v>
      </c>
      <c r="X52" s="236">
        <v>7.4999999999999997E-2</v>
      </c>
      <c r="Y52" s="236">
        <v>7.4999999999999997E-2</v>
      </c>
      <c r="Z52" s="236">
        <v>7.4999999999999997E-2</v>
      </c>
      <c r="AA52" s="218">
        <v>7.4999999999999997E-2</v>
      </c>
    </row>
    <row r="53" spans="1:27">
      <c r="A53" s="263"/>
      <c r="B53" s="149">
        <f>INDEX(E53:AA53,1,MATCH('Solar PPA'!$B$1,$E$38:$AA$38,0))</f>
        <v>7.4999999999999997E-2</v>
      </c>
      <c r="C53" s="177" t="s">
        <v>32</v>
      </c>
      <c r="D53" s="184" t="s">
        <v>10</v>
      </c>
      <c r="E53" s="236">
        <v>7.4999999999999997E-2</v>
      </c>
      <c r="F53" s="236">
        <v>7.4999999999999997E-2</v>
      </c>
      <c r="G53" s="236">
        <v>7.4999999999999997E-2</v>
      </c>
      <c r="H53" s="236">
        <v>7.4999999999999997E-2</v>
      </c>
      <c r="I53" s="236">
        <v>7.4999999999999997E-2</v>
      </c>
      <c r="J53" s="236">
        <v>7.4999999999999997E-2</v>
      </c>
      <c r="K53" s="236">
        <v>7.4999999999999997E-2</v>
      </c>
      <c r="L53" s="236">
        <v>7.4999999999999997E-2</v>
      </c>
      <c r="M53" s="236">
        <v>7.4999999999999997E-2</v>
      </c>
      <c r="N53" s="236">
        <v>7.4999999999999997E-2</v>
      </c>
      <c r="O53" s="236">
        <v>7.4999999999999997E-2</v>
      </c>
      <c r="P53" s="236">
        <v>7.4999999999999997E-2</v>
      </c>
      <c r="Q53" s="236">
        <v>7.4999999999999997E-2</v>
      </c>
      <c r="R53" s="236">
        <v>7.4999999999999997E-2</v>
      </c>
      <c r="S53" s="236">
        <v>7.4999999999999997E-2</v>
      </c>
      <c r="T53" s="236">
        <v>7.4999999999999997E-2</v>
      </c>
      <c r="U53" s="236">
        <v>7.4999999999999997E-2</v>
      </c>
      <c r="V53" s="236">
        <v>7.4999999999999997E-2</v>
      </c>
      <c r="W53" s="236">
        <v>7.4999999999999997E-2</v>
      </c>
      <c r="X53" s="236">
        <v>7.4999999999999997E-2</v>
      </c>
      <c r="Y53" s="236">
        <v>7.4999999999999997E-2</v>
      </c>
      <c r="Z53" s="236">
        <v>7.4999999999999997E-2</v>
      </c>
      <c r="AA53" s="218">
        <v>7.4999999999999997E-2</v>
      </c>
    </row>
    <row r="54" spans="1:27">
      <c r="A54" s="263"/>
      <c r="B54" s="149">
        <f>INDEX(E54:AA54,1,MATCH('Solar PPA'!$B$1,$E$38:$AA$38,0))</f>
        <v>7.4999999999999997E-2</v>
      </c>
      <c r="C54" s="177" t="s">
        <v>32</v>
      </c>
      <c r="D54" s="184" t="s">
        <v>135</v>
      </c>
      <c r="E54" s="236">
        <v>7.4999999999999997E-2</v>
      </c>
      <c r="F54" s="236">
        <v>7.4999999999999997E-2</v>
      </c>
      <c r="G54" s="236">
        <v>7.4999999999999997E-2</v>
      </c>
      <c r="H54" s="236">
        <v>7.4999999999999997E-2</v>
      </c>
      <c r="I54" s="236">
        <v>7.4999999999999997E-2</v>
      </c>
      <c r="J54" s="236">
        <v>7.4999999999999997E-2</v>
      </c>
      <c r="K54" s="236">
        <v>7.4999999999999997E-2</v>
      </c>
      <c r="L54" s="236">
        <v>7.4999999999999997E-2</v>
      </c>
      <c r="M54" s="236">
        <v>7.4999999999999997E-2</v>
      </c>
      <c r="N54" s="236">
        <v>7.4999999999999997E-2</v>
      </c>
      <c r="O54" s="236">
        <v>7.4999999999999997E-2</v>
      </c>
      <c r="P54" s="236">
        <v>7.4999999999999997E-2</v>
      </c>
      <c r="Q54" s="236">
        <v>7.4999999999999997E-2</v>
      </c>
      <c r="R54" s="236">
        <v>7.4999999999999997E-2</v>
      </c>
      <c r="S54" s="236">
        <v>7.4999999999999997E-2</v>
      </c>
      <c r="T54" s="236">
        <v>7.4999999999999997E-2</v>
      </c>
      <c r="U54" s="236">
        <v>7.4999999999999997E-2</v>
      </c>
      <c r="V54" s="236">
        <v>7.4999999999999997E-2</v>
      </c>
      <c r="W54" s="236">
        <v>7.4999999999999997E-2</v>
      </c>
      <c r="X54" s="236">
        <v>7.4999999999999997E-2</v>
      </c>
      <c r="Y54" s="236">
        <v>7.4999999999999997E-2</v>
      </c>
      <c r="Z54" s="236">
        <v>7.4999999999999997E-2</v>
      </c>
      <c r="AA54" s="218">
        <v>7.4999999999999997E-2</v>
      </c>
    </row>
    <row r="55" spans="1:27">
      <c r="A55" s="263"/>
      <c r="B55" s="149">
        <f>INDEX(E55:AA55,1,MATCH('Solar PPA'!$B$1,$E$38:$AA$38,0))</f>
        <v>7.4999999999999997E-2</v>
      </c>
      <c r="C55" s="177" t="s">
        <v>32</v>
      </c>
      <c r="D55" s="184" t="s">
        <v>136</v>
      </c>
      <c r="E55" s="236">
        <v>7.4999999999999997E-2</v>
      </c>
      <c r="F55" s="236">
        <v>7.4999999999999997E-2</v>
      </c>
      <c r="G55" s="236">
        <v>7.4999999999999997E-2</v>
      </c>
      <c r="H55" s="236">
        <v>7.4999999999999997E-2</v>
      </c>
      <c r="I55" s="236">
        <v>7.4999999999999997E-2</v>
      </c>
      <c r="J55" s="236">
        <v>7.4999999999999997E-2</v>
      </c>
      <c r="K55" s="236">
        <v>7.4999999999999997E-2</v>
      </c>
      <c r="L55" s="236">
        <v>7.4999999999999997E-2</v>
      </c>
      <c r="M55" s="236">
        <v>7.4999999999999997E-2</v>
      </c>
      <c r="N55" s="236">
        <v>7.4999999999999997E-2</v>
      </c>
      <c r="O55" s="236">
        <v>7.4999999999999997E-2</v>
      </c>
      <c r="P55" s="236">
        <v>7.4999999999999997E-2</v>
      </c>
      <c r="Q55" s="236">
        <v>7.4999999999999997E-2</v>
      </c>
      <c r="R55" s="236">
        <v>7.4999999999999997E-2</v>
      </c>
      <c r="S55" s="236">
        <v>7.4999999999999997E-2</v>
      </c>
      <c r="T55" s="236">
        <v>7.4999999999999997E-2</v>
      </c>
      <c r="U55" s="236">
        <v>7.4999999999999997E-2</v>
      </c>
      <c r="V55" s="236">
        <v>7.4999999999999997E-2</v>
      </c>
      <c r="W55" s="236">
        <v>7.4999999999999997E-2</v>
      </c>
      <c r="X55" s="236">
        <v>7.4999999999999997E-2</v>
      </c>
      <c r="Y55" s="236">
        <v>7.4999999999999997E-2</v>
      </c>
      <c r="Z55" s="236">
        <v>7.4999999999999997E-2</v>
      </c>
      <c r="AA55" s="218">
        <v>7.4999999999999997E-2</v>
      </c>
    </row>
    <row r="56" spans="1:27">
      <c r="A56" s="263"/>
      <c r="B56" s="149">
        <f>INDEX(E56:AA56,1,MATCH('Solar PPA'!$B$1,$E$38:$AA$38,0))</f>
        <v>7.4999999999999997E-2</v>
      </c>
      <c r="C56" s="212" t="s">
        <v>32</v>
      </c>
      <c r="D56" s="196" t="s">
        <v>137</v>
      </c>
      <c r="E56" s="245">
        <v>7.4999999999999997E-2</v>
      </c>
      <c r="F56" s="245">
        <v>7.4999999999999997E-2</v>
      </c>
      <c r="G56" s="245">
        <v>7.4999999999999997E-2</v>
      </c>
      <c r="H56" s="245">
        <v>7.4999999999999997E-2</v>
      </c>
      <c r="I56" s="245">
        <v>7.4999999999999997E-2</v>
      </c>
      <c r="J56" s="245">
        <v>7.4999999999999997E-2</v>
      </c>
      <c r="K56" s="245">
        <v>7.4999999999999997E-2</v>
      </c>
      <c r="L56" s="245">
        <v>7.4999999999999997E-2</v>
      </c>
      <c r="M56" s="245">
        <v>7.4999999999999997E-2</v>
      </c>
      <c r="N56" s="245">
        <v>7.4999999999999997E-2</v>
      </c>
      <c r="O56" s="245">
        <v>7.4999999999999997E-2</v>
      </c>
      <c r="P56" s="245">
        <v>7.4999999999999997E-2</v>
      </c>
      <c r="Q56" s="245">
        <v>7.4999999999999997E-2</v>
      </c>
      <c r="R56" s="245">
        <v>7.4999999999999997E-2</v>
      </c>
      <c r="S56" s="245">
        <v>7.4999999999999997E-2</v>
      </c>
      <c r="T56" s="245">
        <v>7.4999999999999997E-2</v>
      </c>
      <c r="U56" s="245">
        <v>7.4999999999999997E-2</v>
      </c>
      <c r="V56" s="245">
        <v>7.4999999999999997E-2</v>
      </c>
      <c r="W56" s="245">
        <v>7.4999999999999997E-2</v>
      </c>
      <c r="X56" s="245">
        <v>7.4999999999999997E-2</v>
      </c>
      <c r="Y56" s="245">
        <v>7.4999999999999997E-2</v>
      </c>
      <c r="Z56" s="245">
        <v>7.4999999999999997E-2</v>
      </c>
      <c r="AA56" s="226">
        <v>7.4999999999999997E-2</v>
      </c>
    </row>
    <row r="57" spans="1:27" s="263" customFormat="1">
      <c r="B57" s="149">
        <f>INDEX(E57:AA57,1,MATCH('Solar PPA (PTC)'!$B$1,$E$38:$AA$38,0))</f>
        <v>7.4999999999999997E-2</v>
      </c>
      <c r="C57" s="177" t="s">
        <v>394</v>
      </c>
      <c r="D57" s="262" t="s">
        <v>395</v>
      </c>
      <c r="E57" s="236">
        <v>7.4999999999999997E-2</v>
      </c>
      <c r="F57" s="236">
        <v>7.4999999999999997E-2</v>
      </c>
      <c r="G57" s="236">
        <v>7.4999999999999997E-2</v>
      </c>
      <c r="H57" s="236">
        <v>7.4999999999999997E-2</v>
      </c>
      <c r="I57" s="236">
        <v>7.4999999999999997E-2</v>
      </c>
      <c r="J57" s="236">
        <v>7.4999999999999997E-2</v>
      </c>
      <c r="K57" s="236">
        <v>7.4999999999999997E-2</v>
      </c>
      <c r="L57" s="236">
        <v>7.4999999999999997E-2</v>
      </c>
      <c r="M57" s="236">
        <v>7.4999999999999997E-2</v>
      </c>
      <c r="N57" s="236">
        <v>7.4999999999999997E-2</v>
      </c>
      <c r="O57" s="236">
        <v>7.4999999999999997E-2</v>
      </c>
      <c r="P57" s="236">
        <v>7.4999999999999997E-2</v>
      </c>
      <c r="Q57" s="236">
        <v>7.4999999999999997E-2</v>
      </c>
      <c r="R57" s="236">
        <v>7.4999999999999997E-2</v>
      </c>
      <c r="S57" s="236">
        <v>7.4999999999999997E-2</v>
      </c>
      <c r="T57" s="236">
        <v>7.4999999999999997E-2</v>
      </c>
      <c r="U57" s="236">
        <v>7.4999999999999997E-2</v>
      </c>
      <c r="V57" s="236">
        <v>7.4999999999999997E-2</v>
      </c>
      <c r="W57" s="236">
        <v>7.4999999999999997E-2</v>
      </c>
      <c r="X57" s="236">
        <v>7.4999999999999997E-2</v>
      </c>
      <c r="Y57" s="236">
        <v>7.4999999999999997E-2</v>
      </c>
      <c r="Z57" s="236">
        <v>7.4999999999999997E-2</v>
      </c>
      <c r="AA57" s="218">
        <v>7.4999999999999997E-2</v>
      </c>
    </row>
    <row r="58" spans="1:27" s="263" customFormat="1">
      <c r="B58" s="149">
        <f>INDEX(E58:AA58,1,MATCH('Solar PPA (PTC)'!$B$1,$E$38:$AA$38,0))</f>
        <v>7.4999999999999997E-2</v>
      </c>
      <c r="C58" s="177" t="s">
        <v>394</v>
      </c>
      <c r="D58" s="262" t="s">
        <v>396</v>
      </c>
      <c r="E58" s="236">
        <v>7.4999999999999997E-2</v>
      </c>
      <c r="F58" s="236">
        <v>7.4999999999999997E-2</v>
      </c>
      <c r="G58" s="236">
        <v>7.4999999999999997E-2</v>
      </c>
      <c r="H58" s="236">
        <v>7.4999999999999997E-2</v>
      </c>
      <c r="I58" s="236">
        <v>7.4999999999999997E-2</v>
      </c>
      <c r="J58" s="236">
        <v>7.4999999999999997E-2</v>
      </c>
      <c r="K58" s="236">
        <v>7.4999999999999997E-2</v>
      </c>
      <c r="L58" s="236">
        <v>7.4999999999999997E-2</v>
      </c>
      <c r="M58" s="236">
        <v>7.4999999999999997E-2</v>
      </c>
      <c r="N58" s="236">
        <v>7.4999999999999997E-2</v>
      </c>
      <c r="O58" s="236">
        <v>7.4999999999999997E-2</v>
      </c>
      <c r="P58" s="236">
        <v>7.4999999999999997E-2</v>
      </c>
      <c r="Q58" s="236">
        <v>7.4999999999999997E-2</v>
      </c>
      <c r="R58" s="236">
        <v>7.4999999999999997E-2</v>
      </c>
      <c r="S58" s="236">
        <v>7.4999999999999997E-2</v>
      </c>
      <c r="T58" s="236">
        <v>7.4999999999999997E-2</v>
      </c>
      <c r="U58" s="236">
        <v>7.4999999999999997E-2</v>
      </c>
      <c r="V58" s="236">
        <v>7.4999999999999997E-2</v>
      </c>
      <c r="W58" s="236">
        <v>7.4999999999999997E-2</v>
      </c>
      <c r="X58" s="236">
        <v>7.4999999999999997E-2</v>
      </c>
      <c r="Y58" s="236">
        <v>7.4999999999999997E-2</v>
      </c>
      <c r="Z58" s="236">
        <v>7.4999999999999997E-2</v>
      </c>
      <c r="AA58" s="218">
        <v>7.4999999999999997E-2</v>
      </c>
    </row>
    <row r="59" spans="1:27" s="263" customFormat="1">
      <c r="B59" s="149">
        <f>INDEX(E59:AA59,1,MATCH('Solar PPA (PTC)'!$B$1,$E$38:$AA$38,0))</f>
        <v>7.4999999999999997E-2</v>
      </c>
      <c r="C59" s="177" t="s">
        <v>394</v>
      </c>
      <c r="D59" s="262" t="s">
        <v>397</v>
      </c>
      <c r="E59" s="236">
        <v>7.4999999999999997E-2</v>
      </c>
      <c r="F59" s="236">
        <v>7.4999999999999997E-2</v>
      </c>
      <c r="G59" s="236">
        <v>7.4999999999999997E-2</v>
      </c>
      <c r="H59" s="236">
        <v>7.4999999999999997E-2</v>
      </c>
      <c r="I59" s="236">
        <v>7.4999999999999997E-2</v>
      </c>
      <c r="J59" s="236">
        <v>7.4999999999999997E-2</v>
      </c>
      <c r="K59" s="236">
        <v>7.4999999999999997E-2</v>
      </c>
      <c r="L59" s="236">
        <v>7.4999999999999997E-2</v>
      </c>
      <c r="M59" s="236">
        <v>7.4999999999999997E-2</v>
      </c>
      <c r="N59" s="236">
        <v>7.4999999999999997E-2</v>
      </c>
      <c r="O59" s="236">
        <v>7.4999999999999997E-2</v>
      </c>
      <c r="P59" s="236">
        <v>7.4999999999999997E-2</v>
      </c>
      <c r="Q59" s="236">
        <v>7.4999999999999997E-2</v>
      </c>
      <c r="R59" s="236">
        <v>7.4999999999999997E-2</v>
      </c>
      <c r="S59" s="236">
        <v>7.4999999999999997E-2</v>
      </c>
      <c r="T59" s="236">
        <v>7.4999999999999997E-2</v>
      </c>
      <c r="U59" s="236">
        <v>7.4999999999999997E-2</v>
      </c>
      <c r="V59" s="236">
        <v>7.4999999999999997E-2</v>
      </c>
      <c r="W59" s="236">
        <v>7.4999999999999997E-2</v>
      </c>
      <c r="X59" s="236">
        <v>7.4999999999999997E-2</v>
      </c>
      <c r="Y59" s="236">
        <v>7.4999999999999997E-2</v>
      </c>
      <c r="Z59" s="236">
        <v>7.4999999999999997E-2</v>
      </c>
      <c r="AA59" s="218">
        <v>7.4999999999999997E-2</v>
      </c>
    </row>
    <row r="60" spans="1:27" s="263" customFormat="1">
      <c r="B60" s="149">
        <f>INDEX(E60:AA60,1,MATCH('Solar PPA (PTC)'!$B$1,$E$38:$AA$38,0))</f>
        <v>7.4999999999999997E-2</v>
      </c>
      <c r="C60" s="177" t="s">
        <v>394</v>
      </c>
      <c r="D60" s="262" t="s">
        <v>398</v>
      </c>
      <c r="E60" s="236">
        <v>7.4999999999999997E-2</v>
      </c>
      <c r="F60" s="236">
        <v>7.4999999999999997E-2</v>
      </c>
      <c r="G60" s="236">
        <v>7.4999999999999997E-2</v>
      </c>
      <c r="H60" s="236">
        <v>7.4999999999999997E-2</v>
      </c>
      <c r="I60" s="236">
        <v>7.4999999999999997E-2</v>
      </c>
      <c r="J60" s="236">
        <v>7.4999999999999997E-2</v>
      </c>
      <c r="K60" s="236">
        <v>7.4999999999999997E-2</v>
      </c>
      <c r="L60" s="236">
        <v>7.4999999999999997E-2</v>
      </c>
      <c r="M60" s="236">
        <v>7.4999999999999997E-2</v>
      </c>
      <c r="N60" s="236">
        <v>7.4999999999999997E-2</v>
      </c>
      <c r="O60" s="236">
        <v>7.4999999999999997E-2</v>
      </c>
      <c r="P60" s="236">
        <v>7.4999999999999997E-2</v>
      </c>
      <c r="Q60" s="236">
        <v>7.4999999999999997E-2</v>
      </c>
      <c r="R60" s="236">
        <v>7.4999999999999997E-2</v>
      </c>
      <c r="S60" s="236">
        <v>7.4999999999999997E-2</v>
      </c>
      <c r="T60" s="236">
        <v>7.4999999999999997E-2</v>
      </c>
      <c r="U60" s="236">
        <v>7.4999999999999997E-2</v>
      </c>
      <c r="V60" s="236">
        <v>7.4999999999999997E-2</v>
      </c>
      <c r="W60" s="236">
        <v>7.4999999999999997E-2</v>
      </c>
      <c r="X60" s="236">
        <v>7.4999999999999997E-2</v>
      </c>
      <c r="Y60" s="236">
        <v>7.4999999999999997E-2</v>
      </c>
      <c r="Z60" s="236">
        <v>7.4999999999999997E-2</v>
      </c>
      <c r="AA60" s="218">
        <v>7.4999999999999997E-2</v>
      </c>
    </row>
    <row r="61" spans="1:27" s="263" customFormat="1">
      <c r="B61" s="149">
        <f>INDEX(E61:AA61,1,MATCH('Solar PPA (PTC)'!$B$1,$E$38:$AA$38,0))</f>
        <v>7.4999999999999997E-2</v>
      </c>
      <c r="C61" s="177" t="s">
        <v>394</v>
      </c>
      <c r="D61" s="262" t="s">
        <v>399</v>
      </c>
      <c r="E61" s="236">
        <v>7.4999999999999997E-2</v>
      </c>
      <c r="F61" s="236">
        <v>7.4999999999999997E-2</v>
      </c>
      <c r="G61" s="236">
        <v>7.4999999999999997E-2</v>
      </c>
      <c r="H61" s="236">
        <v>7.4999999999999997E-2</v>
      </c>
      <c r="I61" s="236">
        <v>7.4999999999999997E-2</v>
      </c>
      <c r="J61" s="236">
        <v>7.4999999999999997E-2</v>
      </c>
      <c r="K61" s="236">
        <v>7.4999999999999997E-2</v>
      </c>
      <c r="L61" s="236">
        <v>7.4999999999999997E-2</v>
      </c>
      <c r="M61" s="236">
        <v>7.4999999999999997E-2</v>
      </c>
      <c r="N61" s="236">
        <v>7.4999999999999997E-2</v>
      </c>
      <c r="O61" s="236">
        <v>7.4999999999999997E-2</v>
      </c>
      <c r="P61" s="236">
        <v>7.4999999999999997E-2</v>
      </c>
      <c r="Q61" s="236">
        <v>7.4999999999999997E-2</v>
      </c>
      <c r="R61" s="236">
        <v>7.4999999999999997E-2</v>
      </c>
      <c r="S61" s="236">
        <v>7.4999999999999997E-2</v>
      </c>
      <c r="T61" s="236">
        <v>7.4999999999999997E-2</v>
      </c>
      <c r="U61" s="236">
        <v>7.4999999999999997E-2</v>
      </c>
      <c r="V61" s="236">
        <v>7.4999999999999997E-2</v>
      </c>
      <c r="W61" s="236">
        <v>7.4999999999999997E-2</v>
      </c>
      <c r="X61" s="236">
        <v>7.4999999999999997E-2</v>
      </c>
      <c r="Y61" s="236">
        <v>7.4999999999999997E-2</v>
      </c>
      <c r="Z61" s="236">
        <v>7.4999999999999997E-2</v>
      </c>
      <c r="AA61" s="218">
        <v>7.4999999999999997E-2</v>
      </c>
    </row>
    <row r="62" spans="1:27" s="263" customFormat="1">
      <c r="B62" s="149">
        <f>INDEX(E62:AA62,1,MATCH('Solar PPA (PTC)'!$B$1,$E$38:$AA$38,0))</f>
        <v>7.4999999999999997E-2</v>
      </c>
      <c r="C62" s="177" t="s">
        <v>394</v>
      </c>
      <c r="D62" s="262" t="s">
        <v>400</v>
      </c>
      <c r="E62" s="236">
        <v>7.4999999999999997E-2</v>
      </c>
      <c r="F62" s="236">
        <v>7.4999999999999997E-2</v>
      </c>
      <c r="G62" s="236">
        <v>7.4999999999999997E-2</v>
      </c>
      <c r="H62" s="236">
        <v>7.4999999999999997E-2</v>
      </c>
      <c r="I62" s="236">
        <v>7.4999999999999997E-2</v>
      </c>
      <c r="J62" s="236">
        <v>7.4999999999999997E-2</v>
      </c>
      <c r="K62" s="236">
        <v>7.4999999999999997E-2</v>
      </c>
      <c r="L62" s="236">
        <v>7.4999999999999997E-2</v>
      </c>
      <c r="M62" s="236">
        <v>7.4999999999999997E-2</v>
      </c>
      <c r="N62" s="236">
        <v>7.4999999999999997E-2</v>
      </c>
      <c r="O62" s="236">
        <v>7.4999999999999997E-2</v>
      </c>
      <c r="P62" s="236">
        <v>7.4999999999999997E-2</v>
      </c>
      <c r="Q62" s="236">
        <v>7.4999999999999997E-2</v>
      </c>
      <c r="R62" s="236">
        <v>7.4999999999999997E-2</v>
      </c>
      <c r="S62" s="236">
        <v>7.4999999999999997E-2</v>
      </c>
      <c r="T62" s="236">
        <v>7.4999999999999997E-2</v>
      </c>
      <c r="U62" s="236">
        <v>7.4999999999999997E-2</v>
      </c>
      <c r="V62" s="236">
        <v>7.4999999999999997E-2</v>
      </c>
      <c r="W62" s="236">
        <v>7.4999999999999997E-2</v>
      </c>
      <c r="X62" s="236">
        <v>7.4999999999999997E-2</v>
      </c>
      <c r="Y62" s="236">
        <v>7.4999999999999997E-2</v>
      </c>
      <c r="Z62" s="236">
        <v>7.4999999999999997E-2</v>
      </c>
      <c r="AA62" s="218">
        <v>7.4999999999999997E-2</v>
      </c>
    </row>
    <row r="63" spans="1:27" s="263" customFormat="1">
      <c r="B63" s="149">
        <f>INDEX(E63:AA63,1,MATCH('Solar PPA (PTC)'!$B$1,$E$38:$AA$38,0))</f>
        <v>7.4999999999999997E-2</v>
      </c>
      <c r="C63" s="177" t="s">
        <v>394</v>
      </c>
      <c r="D63" s="262" t="s">
        <v>401</v>
      </c>
      <c r="E63" s="236">
        <v>7.4999999999999997E-2</v>
      </c>
      <c r="F63" s="236">
        <v>7.4999999999999997E-2</v>
      </c>
      <c r="G63" s="236">
        <v>7.4999999999999997E-2</v>
      </c>
      <c r="H63" s="236">
        <v>7.4999999999999997E-2</v>
      </c>
      <c r="I63" s="236">
        <v>7.4999999999999997E-2</v>
      </c>
      <c r="J63" s="236">
        <v>7.4999999999999997E-2</v>
      </c>
      <c r="K63" s="236">
        <v>7.4999999999999997E-2</v>
      </c>
      <c r="L63" s="236">
        <v>7.4999999999999997E-2</v>
      </c>
      <c r="M63" s="236">
        <v>7.4999999999999997E-2</v>
      </c>
      <c r="N63" s="236">
        <v>7.4999999999999997E-2</v>
      </c>
      <c r="O63" s="236">
        <v>7.4999999999999997E-2</v>
      </c>
      <c r="P63" s="236">
        <v>7.4999999999999997E-2</v>
      </c>
      <c r="Q63" s="236">
        <v>7.4999999999999997E-2</v>
      </c>
      <c r="R63" s="236">
        <v>7.4999999999999997E-2</v>
      </c>
      <c r="S63" s="236">
        <v>7.4999999999999997E-2</v>
      </c>
      <c r="T63" s="236">
        <v>7.4999999999999997E-2</v>
      </c>
      <c r="U63" s="236">
        <v>7.4999999999999997E-2</v>
      </c>
      <c r="V63" s="236">
        <v>7.4999999999999997E-2</v>
      </c>
      <c r="W63" s="236">
        <v>7.4999999999999997E-2</v>
      </c>
      <c r="X63" s="236">
        <v>7.4999999999999997E-2</v>
      </c>
      <c r="Y63" s="236">
        <v>7.4999999999999997E-2</v>
      </c>
      <c r="Z63" s="236">
        <v>7.4999999999999997E-2</v>
      </c>
      <c r="AA63" s="218">
        <v>7.4999999999999997E-2</v>
      </c>
    </row>
    <row r="64" spans="1:27" s="263" customFormat="1">
      <c r="B64" s="149">
        <f>INDEX(E64:AA64,1,MATCH('Solar PPA (PTC)'!$B$1,$E$38:$AA$38,0))</f>
        <v>7.4999999999999997E-2</v>
      </c>
      <c r="C64" s="177" t="s">
        <v>394</v>
      </c>
      <c r="D64" s="262" t="s">
        <v>402</v>
      </c>
      <c r="E64" s="236">
        <v>7.4999999999999997E-2</v>
      </c>
      <c r="F64" s="236">
        <v>7.4999999999999997E-2</v>
      </c>
      <c r="G64" s="236">
        <v>7.4999999999999997E-2</v>
      </c>
      <c r="H64" s="236">
        <v>7.4999999999999997E-2</v>
      </c>
      <c r="I64" s="236">
        <v>7.4999999999999997E-2</v>
      </c>
      <c r="J64" s="236">
        <v>7.4999999999999997E-2</v>
      </c>
      <c r="K64" s="236">
        <v>7.4999999999999997E-2</v>
      </c>
      <c r="L64" s="236">
        <v>7.4999999999999997E-2</v>
      </c>
      <c r="M64" s="236">
        <v>7.4999999999999997E-2</v>
      </c>
      <c r="N64" s="236">
        <v>7.4999999999999997E-2</v>
      </c>
      <c r="O64" s="236">
        <v>7.4999999999999997E-2</v>
      </c>
      <c r="P64" s="236">
        <v>7.4999999999999997E-2</v>
      </c>
      <c r="Q64" s="236">
        <v>7.4999999999999997E-2</v>
      </c>
      <c r="R64" s="236">
        <v>7.4999999999999997E-2</v>
      </c>
      <c r="S64" s="236">
        <v>7.4999999999999997E-2</v>
      </c>
      <c r="T64" s="236">
        <v>7.4999999999999997E-2</v>
      </c>
      <c r="U64" s="236">
        <v>7.4999999999999997E-2</v>
      </c>
      <c r="V64" s="236">
        <v>7.4999999999999997E-2</v>
      </c>
      <c r="W64" s="236">
        <v>7.4999999999999997E-2</v>
      </c>
      <c r="X64" s="236">
        <v>7.4999999999999997E-2</v>
      </c>
      <c r="Y64" s="236">
        <v>7.4999999999999997E-2</v>
      </c>
      <c r="Z64" s="236">
        <v>7.4999999999999997E-2</v>
      </c>
      <c r="AA64" s="218">
        <v>7.4999999999999997E-2</v>
      </c>
    </row>
    <row r="65" spans="1:27" s="263" customFormat="1">
      <c r="B65" s="149">
        <f>INDEX(E65:AA65,1,MATCH('Solar PPA (PTC)'!$B$1,$E$38:$AA$38,0))</f>
        <v>7.4999999999999997E-2</v>
      </c>
      <c r="C65" s="177" t="s">
        <v>394</v>
      </c>
      <c r="D65" s="262" t="s">
        <v>403</v>
      </c>
      <c r="E65" s="236">
        <v>7.4999999999999997E-2</v>
      </c>
      <c r="F65" s="236">
        <v>7.4999999999999997E-2</v>
      </c>
      <c r="G65" s="236">
        <v>7.4999999999999997E-2</v>
      </c>
      <c r="H65" s="236">
        <v>7.4999999999999997E-2</v>
      </c>
      <c r="I65" s="236">
        <v>7.4999999999999997E-2</v>
      </c>
      <c r="J65" s="236">
        <v>7.4999999999999997E-2</v>
      </c>
      <c r="K65" s="236">
        <v>7.4999999999999997E-2</v>
      </c>
      <c r="L65" s="236">
        <v>7.4999999999999997E-2</v>
      </c>
      <c r="M65" s="236">
        <v>7.4999999999999997E-2</v>
      </c>
      <c r="N65" s="236">
        <v>7.4999999999999997E-2</v>
      </c>
      <c r="O65" s="236">
        <v>7.4999999999999997E-2</v>
      </c>
      <c r="P65" s="236">
        <v>7.4999999999999997E-2</v>
      </c>
      <c r="Q65" s="236">
        <v>7.4999999999999997E-2</v>
      </c>
      <c r="R65" s="236">
        <v>7.4999999999999997E-2</v>
      </c>
      <c r="S65" s="236">
        <v>7.4999999999999997E-2</v>
      </c>
      <c r="T65" s="236">
        <v>7.4999999999999997E-2</v>
      </c>
      <c r="U65" s="236">
        <v>7.4999999999999997E-2</v>
      </c>
      <c r="V65" s="236">
        <v>7.4999999999999997E-2</v>
      </c>
      <c r="W65" s="236">
        <v>7.4999999999999997E-2</v>
      </c>
      <c r="X65" s="236">
        <v>7.4999999999999997E-2</v>
      </c>
      <c r="Y65" s="236">
        <v>7.4999999999999997E-2</v>
      </c>
      <c r="Z65" s="236">
        <v>7.4999999999999997E-2</v>
      </c>
      <c r="AA65" s="218">
        <v>7.4999999999999997E-2</v>
      </c>
    </row>
    <row r="66" spans="1:27" s="263" customFormat="1">
      <c r="B66" s="149">
        <f>INDEX(E66:AA66,1,MATCH('Solar PPA (PTC)'!$B$1,$E$38:$AA$38,0))</f>
        <v>7.4999999999999997E-2</v>
      </c>
      <c r="C66" s="177" t="s">
        <v>394</v>
      </c>
      <c r="D66" s="262" t="s">
        <v>404</v>
      </c>
      <c r="E66" s="236">
        <v>7.4999999999999997E-2</v>
      </c>
      <c r="F66" s="236">
        <v>7.4999999999999997E-2</v>
      </c>
      <c r="G66" s="236">
        <v>7.4999999999999997E-2</v>
      </c>
      <c r="H66" s="236">
        <v>7.4999999999999997E-2</v>
      </c>
      <c r="I66" s="236">
        <v>7.4999999999999997E-2</v>
      </c>
      <c r="J66" s="236">
        <v>7.4999999999999997E-2</v>
      </c>
      <c r="K66" s="236">
        <v>7.4999999999999997E-2</v>
      </c>
      <c r="L66" s="236">
        <v>7.4999999999999997E-2</v>
      </c>
      <c r="M66" s="236">
        <v>7.4999999999999997E-2</v>
      </c>
      <c r="N66" s="236">
        <v>7.4999999999999997E-2</v>
      </c>
      <c r="O66" s="236">
        <v>7.4999999999999997E-2</v>
      </c>
      <c r="P66" s="236">
        <v>7.4999999999999997E-2</v>
      </c>
      <c r="Q66" s="236">
        <v>7.4999999999999997E-2</v>
      </c>
      <c r="R66" s="236">
        <v>7.4999999999999997E-2</v>
      </c>
      <c r="S66" s="236">
        <v>7.4999999999999997E-2</v>
      </c>
      <c r="T66" s="236">
        <v>7.4999999999999997E-2</v>
      </c>
      <c r="U66" s="236">
        <v>7.4999999999999997E-2</v>
      </c>
      <c r="V66" s="236">
        <v>7.4999999999999997E-2</v>
      </c>
      <c r="W66" s="236">
        <v>7.4999999999999997E-2</v>
      </c>
      <c r="X66" s="236">
        <v>7.4999999999999997E-2</v>
      </c>
      <c r="Y66" s="236">
        <v>7.4999999999999997E-2</v>
      </c>
      <c r="Z66" s="236">
        <v>7.4999999999999997E-2</v>
      </c>
      <c r="AA66" s="218">
        <v>7.4999999999999997E-2</v>
      </c>
    </row>
    <row r="67" spans="1:27" s="263" customFormat="1">
      <c r="B67" s="149">
        <f>INDEX(E67:AA67,1,MATCH('Solar PPA (PTC)'!$B$1,$E$38:$AA$38,0))</f>
        <v>7.4999999999999997E-2</v>
      </c>
      <c r="C67" s="177" t="s">
        <v>394</v>
      </c>
      <c r="D67" s="262" t="s">
        <v>405</v>
      </c>
      <c r="E67" s="236">
        <v>7.4999999999999997E-2</v>
      </c>
      <c r="F67" s="236">
        <v>7.4999999999999997E-2</v>
      </c>
      <c r="G67" s="236">
        <v>7.4999999999999997E-2</v>
      </c>
      <c r="H67" s="236">
        <v>7.4999999999999997E-2</v>
      </c>
      <c r="I67" s="236">
        <v>7.4999999999999997E-2</v>
      </c>
      <c r="J67" s="236">
        <v>7.4999999999999997E-2</v>
      </c>
      <c r="K67" s="236">
        <v>7.4999999999999997E-2</v>
      </c>
      <c r="L67" s="236">
        <v>7.4999999999999997E-2</v>
      </c>
      <c r="M67" s="236">
        <v>7.4999999999999997E-2</v>
      </c>
      <c r="N67" s="236">
        <v>7.4999999999999997E-2</v>
      </c>
      <c r="O67" s="236">
        <v>7.4999999999999997E-2</v>
      </c>
      <c r="P67" s="236">
        <v>7.4999999999999997E-2</v>
      </c>
      <c r="Q67" s="236">
        <v>7.4999999999999997E-2</v>
      </c>
      <c r="R67" s="236">
        <v>7.4999999999999997E-2</v>
      </c>
      <c r="S67" s="236">
        <v>7.4999999999999997E-2</v>
      </c>
      <c r="T67" s="236">
        <v>7.4999999999999997E-2</v>
      </c>
      <c r="U67" s="236">
        <v>7.4999999999999997E-2</v>
      </c>
      <c r="V67" s="236">
        <v>7.4999999999999997E-2</v>
      </c>
      <c r="W67" s="236">
        <v>7.4999999999999997E-2</v>
      </c>
      <c r="X67" s="236">
        <v>7.4999999999999997E-2</v>
      </c>
      <c r="Y67" s="236">
        <v>7.4999999999999997E-2</v>
      </c>
      <c r="Z67" s="236">
        <v>7.4999999999999997E-2</v>
      </c>
      <c r="AA67" s="218">
        <v>7.4999999999999997E-2</v>
      </c>
    </row>
    <row r="68" spans="1:27" s="263" customFormat="1">
      <c r="B68" s="149">
        <f>INDEX(E68:AA68,1,MATCH('Solar PPA (PTC)'!$B$1,$E$38:$AA$38,0))</f>
        <v>7.4999999999999997E-2</v>
      </c>
      <c r="C68" s="177" t="s">
        <v>394</v>
      </c>
      <c r="D68" s="262" t="s">
        <v>406</v>
      </c>
      <c r="E68" s="236">
        <v>7.4999999999999997E-2</v>
      </c>
      <c r="F68" s="236">
        <v>7.4999999999999997E-2</v>
      </c>
      <c r="G68" s="236">
        <v>7.4999999999999997E-2</v>
      </c>
      <c r="H68" s="236">
        <v>7.4999999999999997E-2</v>
      </c>
      <c r="I68" s="236">
        <v>7.4999999999999997E-2</v>
      </c>
      <c r="J68" s="236">
        <v>7.4999999999999997E-2</v>
      </c>
      <c r="K68" s="236">
        <v>7.4999999999999997E-2</v>
      </c>
      <c r="L68" s="236">
        <v>7.4999999999999997E-2</v>
      </c>
      <c r="M68" s="236">
        <v>7.4999999999999997E-2</v>
      </c>
      <c r="N68" s="236">
        <v>7.4999999999999997E-2</v>
      </c>
      <c r="O68" s="236">
        <v>7.4999999999999997E-2</v>
      </c>
      <c r="P68" s="236">
        <v>7.4999999999999997E-2</v>
      </c>
      <c r="Q68" s="236">
        <v>7.4999999999999997E-2</v>
      </c>
      <c r="R68" s="236">
        <v>7.4999999999999997E-2</v>
      </c>
      <c r="S68" s="236">
        <v>7.4999999999999997E-2</v>
      </c>
      <c r="T68" s="236">
        <v>7.4999999999999997E-2</v>
      </c>
      <c r="U68" s="236">
        <v>7.4999999999999997E-2</v>
      </c>
      <c r="V68" s="236">
        <v>7.4999999999999997E-2</v>
      </c>
      <c r="W68" s="236">
        <v>7.4999999999999997E-2</v>
      </c>
      <c r="X68" s="236">
        <v>7.4999999999999997E-2</v>
      </c>
      <c r="Y68" s="236">
        <v>7.4999999999999997E-2</v>
      </c>
      <c r="Z68" s="236">
        <v>7.4999999999999997E-2</v>
      </c>
      <c r="AA68" s="218">
        <v>7.4999999999999997E-2</v>
      </c>
    </row>
    <row r="69" spans="1:27" s="263" customFormat="1">
      <c r="B69" s="149">
        <f>INDEX(E69:AA69,1,MATCH('Solar PPA (PTC)'!$B$1,$E$38:$AA$38,0))</f>
        <v>7.4999999999999997E-2</v>
      </c>
      <c r="C69" s="212" t="s">
        <v>394</v>
      </c>
      <c r="D69" s="196" t="s">
        <v>407</v>
      </c>
      <c r="E69" s="245">
        <v>7.4999999999999997E-2</v>
      </c>
      <c r="F69" s="245">
        <v>7.4999999999999997E-2</v>
      </c>
      <c r="G69" s="245">
        <v>7.4999999999999997E-2</v>
      </c>
      <c r="H69" s="245">
        <v>7.4999999999999997E-2</v>
      </c>
      <c r="I69" s="245">
        <v>7.4999999999999997E-2</v>
      </c>
      <c r="J69" s="245">
        <v>7.4999999999999997E-2</v>
      </c>
      <c r="K69" s="245">
        <v>7.4999999999999997E-2</v>
      </c>
      <c r="L69" s="245">
        <v>7.4999999999999997E-2</v>
      </c>
      <c r="M69" s="245">
        <v>7.4999999999999997E-2</v>
      </c>
      <c r="N69" s="245">
        <v>7.4999999999999997E-2</v>
      </c>
      <c r="O69" s="245">
        <v>7.4999999999999997E-2</v>
      </c>
      <c r="P69" s="245">
        <v>7.4999999999999997E-2</v>
      </c>
      <c r="Q69" s="245">
        <v>7.4999999999999997E-2</v>
      </c>
      <c r="R69" s="245">
        <v>7.4999999999999997E-2</v>
      </c>
      <c r="S69" s="245">
        <v>7.4999999999999997E-2</v>
      </c>
      <c r="T69" s="245">
        <v>7.4999999999999997E-2</v>
      </c>
      <c r="U69" s="245">
        <v>7.4999999999999997E-2</v>
      </c>
      <c r="V69" s="245">
        <v>7.4999999999999997E-2</v>
      </c>
      <c r="W69" s="245">
        <v>7.4999999999999997E-2</v>
      </c>
      <c r="X69" s="245">
        <v>7.4999999999999997E-2</v>
      </c>
      <c r="Y69" s="245">
        <v>7.4999999999999997E-2</v>
      </c>
      <c r="Z69" s="245">
        <v>7.4999999999999997E-2</v>
      </c>
      <c r="AA69" s="226">
        <v>7.4999999999999997E-2</v>
      </c>
    </row>
    <row r="70" spans="1:27" ht="15.75" thickBot="1">
      <c r="A70" s="263"/>
      <c r="B70" s="149">
        <f>INDEX(E70:AA70,1,MATCH('Other PPA'!$B$1,$E$38:$AA$38,0))</f>
        <v>7.4999999999999997E-2</v>
      </c>
      <c r="C70" s="232" t="s">
        <v>34</v>
      </c>
      <c r="D70" s="186" t="s">
        <v>19</v>
      </c>
      <c r="E70" s="237">
        <v>7.4999999999999997E-2</v>
      </c>
      <c r="F70" s="237">
        <v>7.4999999999999997E-2</v>
      </c>
      <c r="G70" s="237">
        <v>7.4999999999999997E-2</v>
      </c>
      <c r="H70" s="237">
        <v>7.4999999999999997E-2</v>
      </c>
      <c r="I70" s="237">
        <v>7.4999999999999997E-2</v>
      </c>
      <c r="J70" s="237">
        <v>7.4999999999999997E-2</v>
      </c>
      <c r="K70" s="237">
        <v>7.4999999999999997E-2</v>
      </c>
      <c r="L70" s="237">
        <v>7.4999999999999997E-2</v>
      </c>
      <c r="M70" s="237">
        <v>7.4999999999999997E-2</v>
      </c>
      <c r="N70" s="237">
        <v>7.4999999999999997E-2</v>
      </c>
      <c r="O70" s="237">
        <v>7.4999999999999997E-2</v>
      </c>
      <c r="P70" s="237">
        <v>7.4999999999999997E-2</v>
      </c>
      <c r="Q70" s="237">
        <v>7.4999999999999997E-2</v>
      </c>
      <c r="R70" s="237">
        <v>7.4999999999999997E-2</v>
      </c>
      <c r="S70" s="237">
        <v>7.4999999999999997E-2</v>
      </c>
      <c r="T70" s="237">
        <v>7.4999999999999997E-2</v>
      </c>
      <c r="U70" s="237">
        <v>7.4999999999999997E-2</v>
      </c>
      <c r="V70" s="237">
        <v>7.4999999999999997E-2</v>
      </c>
      <c r="W70" s="237">
        <v>7.4999999999999997E-2</v>
      </c>
      <c r="X70" s="237">
        <v>7.4999999999999997E-2</v>
      </c>
      <c r="Y70" s="237">
        <v>7.4999999999999997E-2</v>
      </c>
      <c r="Z70" s="237">
        <v>7.4999999999999997E-2</v>
      </c>
      <c r="AA70" s="219">
        <v>7.4999999999999997E-2</v>
      </c>
    </row>
    <row r="73" spans="1:27" ht="15.75" thickBot="1">
      <c r="C73" s="95"/>
      <c r="D73" s="95"/>
      <c r="E73" s="509" t="s">
        <v>201</v>
      </c>
      <c r="F73" s="509"/>
      <c r="G73" s="509"/>
      <c r="H73" s="509"/>
      <c r="I73" s="509"/>
      <c r="J73" s="509"/>
      <c r="K73" s="509"/>
      <c r="L73" s="509"/>
      <c r="M73" s="509"/>
      <c r="N73" s="509"/>
      <c r="O73" s="509"/>
      <c r="P73" s="509"/>
      <c r="Q73" s="509"/>
      <c r="R73" s="509"/>
      <c r="S73" s="509"/>
      <c r="T73" s="509"/>
      <c r="U73" s="509"/>
      <c r="V73" s="509"/>
      <c r="W73" s="509"/>
      <c r="X73" s="509"/>
      <c r="Y73" s="509"/>
      <c r="Z73" s="509"/>
      <c r="AA73" s="509"/>
    </row>
    <row r="74" spans="1:27">
      <c r="A74" s="86"/>
      <c r="C74" s="170" t="s">
        <v>30</v>
      </c>
      <c r="D74" s="171" t="s">
        <v>29</v>
      </c>
      <c r="E74" s="234">
        <v>2023</v>
      </c>
      <c r="F74" s="234">
        <v>2024</v>
      </c>
      <c r="G74" s="234">
        <v>2025</v>
      </c>
      <c r="H74" s="234">
        <v>2026</v>
      </c>
      <c r="I74" s="234">
        <v>2027</v>
      </c>
      <c r="J74" s="234">
        <v>2028</v>
      </c>
      <c r="K74" s="234">
        <v>2029</v>
      </c>
      <c r="L74" s="234">
        <v>2030</v>
      </c>
      <c r="M74" s="234">
        <v>2031</v>
      </c>
      <c r="N74" s="234">
        <v>2032</v>
      </c>
      <c r="O74" s="234">
        <v>2033</v>
      </c>
      <c r="P74" s="234">
        <v>2034</v>
      </c>
      <c r="Q74" s="234">
        <v>2035</v>
      </c>
      <c r="R74" s="234">
        <v>2036</v>
      </c>
      <c r="S74" s="234">
        <v>2037</v>
      </c>
      <c r="T74" s="234">
        <v>2038</v>
      </c>
      <c r="U74" s="234">
        <v>2039</v>
      </c>
      <c r="V74" s="234">
        <v>2040</v>
      </c>
      <c r="W74" s="234">
        <v>2041</v>
      </c>
      <c r="X74" s="234">
        <v>2042</v>
      </c>
      <c r="Y74" s="234">
        <v>2043</v>
      </c>
      <c r="Z74" s="234">
        <v>2044</v>
      </c>
      <c r="AA74" s="235">
        <v>2045</v>
      </c>
    </row>
    <row r="75" spans="1:27">
      <c r="A75" s="263"/>
      <c r="C75" s="238" t="s">
        <v>34</v>
      </c>
      <c r="D75" s="169" t="s">
        <v>3</v>
      </c>
      <c r="E75" s="239">
        <v>0</v>
      </c>
      <c r="F75" s="239">
        <v>0</v>
      </c>
      <c r="G75" s="239">
        <v>0</v>
      </c>
      <c r="H75" s="239">
        <v>0</v>
      </c>
      <c r="I75" s="239">
        <v>0</v>
      </c>
      <c r="J75" s="239">
        <v>0</v>
      </c>
      <c r="K75" s="239">
        <v>0</v>
      </c>
      <c r="L75" s="239">
        <v>0</v>
      </c>
      <c r="M75" s="239">
        <v>0</v>
      </c>
      <c r="N75" s="239">
        <v>0</v>
      </c>
      <c r="O75" s="239">
        <v>0</v>
      </c>
      <c r="P75" s="239">
        <v>0</v>
      </c>
      <c r="Q75" s="239">
        <v>0</v>
      </c>
      <c r="R75" s="239">
        <v>0</v>
      </c>
      <c r="S75" s="239">
        <v>0</v>
      </c>
      <c r="T75" s="239">
        <v>0</v>
      </c>
      <c r="U75" s="239">
        <v>0</v>
      </c>
      <c r="V75" s="239">
        <v>0</v>
      </c>
      <c r="W75" s="239">
        <v>0</v>
      </c>
      <c r="X75" s="239">
        <v>0</v>
      </c>
      <c r="Y75" s="239">
        <v>0</v>
      </c>
      <c r="Z75" s="239">
        <v>0</v>
      </c>
      <c r="AA75" s="240">
        <v>0</v>
      </c>
    </row>
    <row r="76" spans="1:27">
      <c r="C76" s="176" t="s">
        <v>36</v>
      </c>
      <c r="D76" s="184" t="s">
        <v>4</v>
      </c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139"/>
    </row>
    <row r="77" spans="1:27">
      <c r="C77" s="176" t="s">
        <v>36</v>
      </c>
      <c r="D77" s="184" t="s">
        <v>5</v>
      </c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139"/>
    </row>
    <row r="78" spans="1:27">
      <c r="C78" s="176" t="s">
        <v>36</v>
      </c>
      <c r="D78" s="184" t="s">
        <v>6</v>
      </c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139"/>
    </row>
    <row r="79" spans="1:27">
      <c r="C79" s="211" t="s">
        <v>36</v>
      </c>
      <c r="D79" s="196" t="s">
        <v>7</v>
      </c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2"/>
    </row>
    <row r="80" spans="1:27">
      <c r="C80" s="177" t="s">
        <v>32</v>
      </c>
      <c r="D80" s="184" t="s">
        <v>130</v>
      </c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139"/>
    </row>
    <row r="81" spans="1:27">
      <c r="A81" s="263"/>
      <c r="C81" s="177" t="s">
        <v>32</v>
      </c>
      <c r="D81" s="184" t="s">
        <v>139</v>
      </c>
      <c r="E81" s="231">
        <f>E9</f>
        <v>21.277588949731545</v>
      </c>
      <c r="F81" s="246">
        <f t="shared" ref="F81:AA87" si="0">F9</f>
        <v>21.614408675032436</v>
      </c>
      <c r="G81" s="246">
        <f>G9</f>
        <v>21.970529735773209</v>
      </c>
      <c r="H81" s="246">
        <f t="shared" si="0"/>
        <v>22.359967491646426</v>
      </c>
      <c r="I81" s="246">
        <f t="shared" si="0"/>
        <v>22.766160998153179</v>
      </c>
      <c r="J81" s="246">
        <f t="shared" si="0"/>
        <v>23.184202407831751</v>
      </c>
      <c r="K81" s="246">
        <f t="shared" si="0"/>
        <v>23.616302238424534</v>
      </c>
      <c r="L81" s="246">
        <f t="shared" si="0"/>
        <v>24.06264273390472</v>
      </c>
      <c r="M81" s="246">
        <f t="shared" si="0"/>
        <v>24.522498453893139</v>
      </c>
      <c r="N81" s="246">
        <f t="shared" si="0"/>
        <v>24.870065616703194</v>
      </c>
      <c r="O81" s="246">
        <f t="shared" si="0"/>
        <v>26.402920928077194</v>
      </c>
      <c r="P81" s="246">
        <f t="shared" si="0"/>
        <v>27.986624760385357</v>
      </c>
      <c r="Q81" s="246">
        <f t="shared" si="0"/>
        <v>37.719895157226354</v>
      </c>
      <c r="R81" s="246">
        <f t="shared" si="0"/>
        <v>38.320743747766841</v>
      </c>
      <c r="S81" s="246">
        <f t="shared" si="0"/>
        <v>38.924115014136326</v>
      </c>
      <c r="T81" s="246">
        <f t="shared" si="0"/>
        <v>39.529390488607866</v>
      </c>
      <c r="U81" s="246">
        <f t="shared" si="0"/>
        <v>40.13590465830454</v>
      </c>
      <c r="V81" s="246">
        <f t="shared" si="0"/>
        <v>40.742927511790974</v>
      </c>
      <c r="W81" s="246">
        <f t="shared" si="0"/>
        <v>41.349659449879987</v>
      </c>
      <c r="X81" s="246">
        <f t="shared" si="0"/>
        <v>41.955225814375019</v>
      </c>
      <c r="Y81" s="246">
        <f t="shared" si="0"/>
        <v>42.558670997396845</v>
      </c>
      <c r="Z81" s="246">
        <f t="shared" si="0"/>
        <v>43.158952109759362</v>
      </c>
      <c r="AA81" s="139">
        <f t="shared" si="0"/>
        <v>43.754932166866233</v>
      </c>
    </row>
    <row r="82" spans="1:27">
      <c r="C82" s="177" t="s">
        <v>32</v>
      </c>
      <c r="D82" s="184" t="s">
        <v>131</v>
      </c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139"/>
    </row>
    <row r="83" spans="1:27">
      <c r="C83" s="177" t="s">
        <v>32</v>
      </c>
      <c r="D83" s="184" t="s">
        <v>132</v>
      </c>
      <c r="E83" s="246">
        <f>E11</f>
        <v>22.548251020106861</v>
      </c>
      <c r="F83" s="246">
        <f t="shared" si="0"/>
        <v>22.914255813220482</v>
      </c>
      <c r="G83" s="246">
        <f t="shared" si="0"/>
        <v>23.299249243851381</v>
      </c>
      <c r="H83" s="246">
        <f t="shared" si="0"/>
        <v>23.718200699777849</v>
      </c>
      <c r="I83" s="246">
        <f t="shared" si="0"/>
        <v>24.154563509342005</v>
      </c>
      <c r="J83" s="246">
        <f t="shared" si="0"/>
        <v>24.603149781482742</v>
      </c>
      <c r="K83" s="246">
        <f t="shared" si="0"/>
        <v>25.066466456728655</v>
      </c>
      <c r="L83" s="246">
        <f t="shared" si="0"/>
        <v>25.544710567962699</v>
      </c>
      <c r="M83" s="246">
        <f t="shared" si="0"/>
        <v>26.03717177931237</v>
      </c>
      <c r="N83" s="246">
        <f t="shared" si="0"/>
        <v>26.418061779696412</v>
      </c>
      <c r="O83" s="246">
        <f t="shared" si="0"/>
        <v>28.076209702223618</v>
      </c>
      <c r="P83" s="246">
        <f t="shared" si="0"/>
        <v>29.789976970784913</v>
      </c>
      <c r="Q83" s="246">
        <f t="shared" si="0"/>
        <v>40.281107198742099</v>
      </c>
      <c r="R83" s="246">
        <f t="shared" si="0"/>
        <v>40.938302192902846</v>
      </c>
      <c r="S83" s="246">
        <f t="shared" si="0"/>
        <v>41.599259745737186</v>
      </c>
      <c r="T83" s="246">
        <f t="shared" si="0"/>
        <v>42.263388404777785</v>
      </c>
      <c r="U83" s="246">
        <f t="shared" si="0"/>
        <v>42.930050529009229</v>
      </c>
      <c r="V83" s="246">
        <f t="shared" si="0"/>
        <v>43.598544591703458</v>
      </c>
      <c r="W83" s="246">
        <f t="shared" si="0"/>
        <v>44.268100105738739</v>
      </c>
      <c r="X83" s="246">
        <f t="shared" si="0"/>
        <v>44.937872164498842</v>
      </c>
      <c r="Y83" s="246">
        <f t="shared" si="0"/>
        <v>45.60693556704863</v>
      </c>
      <c r="Z83" s="246">
        <f t="shared" si="0"/>
        <v>46.274278499958108</v>
      </c>
      <c r="AA83" s="139">
        <f t="shared" si="0"/>
        <v>46.938795737418388</v>
      </c>
    </row>
    <row r="84" spans="1:27">
      <c r="C84" s="177" t="s">
        <v>32</v>
      </c>
      <c r="D84" s="184" t="s">
        <v>133</v>
      </c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139"/>
    </row>
    <row r="85" spans="1:27">
      <c r="C85" s="177" t="s">
        <v>32</v>
      </c>
      <c r="D85" s="184" t="s">
        <v>134</v>
      </c>
      <c r="E85" s="246">
        <f>E13</f>
        <v>25.971992871357806</v>
      </c>
      <c r="F85" s="246">
        <f t="shared" si="0"/>
        <v>26.487500812029726</v>
      </c>
      <c r="G85" s="246">
        <f t="shared" si="0"/>
        <v>27.00865819776806</v>
      </c>
      <c r="H85" s="246">
        <f t="shared" si="0"/>
        <v>27.556872504653224</v>
      </c>
      <c r="I85" s="246">
        <f t="shared" si="0"/>
        <v>28.12212140572349</v>
      </c>
      <c r="J85" s="246">
        <f t="shared" si="0"/>
        <v>28.697838298436878</v>
      </c>
      <c r="K85" s="246">
        <f t="shared" si="0"/>
        <v>29.28931812342741</v>
      </c>
      <c r="L85" s="246">
        <f t="shared" si="0"/>
        <v>29.896789064856858</v>
      </c>
      <c r="M85" s="246">
        <f t="shared" si="0"/>
        <v>30.520133632751353</v>
      </c>
      <c r="N85" s="246">
        <f t="shared" si="0"/>
        <v>31.097819992478573</v>
      </c>
      <c r="O85" s="246">
        <f t="shared" si="0"/>
        <v>32.928024455360472</v>
      </c>
      <c r="P85" s="246">
        <f t="shared" si="0"/>
        <v>34.821515151708482</v>
      </c>
      <c r="Q85" s="246">
        <f t="shared" si="0"/>
        <v>39.062248558237741</v>
      </c>
      <c r="R85" s="246">
        <f t="shared" si="0"/>
        <v>39.809921407614539</v>
      </c>
      <c r="S85" s="246">
        <f t="shared" si="0"/>
        <v>40.568856917844087</v>
      </c>
      <c r="T85" s="246">
        <f t="shared" si="0"/>
        <v>41.338987482365518</v>
      </c>
      <c r="U85" s="246">
        <f t="shared" si="0"/>
        <v>42.120218599604655</v>
      </c>
      <c r="V85" s="246">
        <f t="shared" si="0"/>
        <v>42.912429709144384</v>
      </c>
      <c r="W85" s="246">
        <f t="shared" si="0"/>
        <v>43.715471855252929</v>
      </c>
      <c r="X85" s="246">
        <f t="shared" si="0"/>
        <v>44.529165166766767</v>
      </c>
      <c r="Y85" s="246">
        <f t="shared" si="0"/>
        <v>45.353296140622405</v>
      </c>
      <c r="Z85" s="246">
        <f t="shared" si="0"/>
        <v>46.187614713251222</v>
      </c>
      <c r="AA85" s="139">
        <f t="shared" si="0"/>
        <v>47.031831104341514</v>
      </c>
    </row>
    <row r="86" spans="1:27">
      <c r="C86" s="177" t="s">
        <v>32</v>
      </c>
      <c r="D86" s="184" t="s">
        <v>8</v>
      </c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139"/>
    </row>
    <row r="87" spans="1:27">
      <c r="C87" s="177" t="s">
        <v>32</v>
      </c>
      <c r="D87" s="184" t="s">
        <v>9</v>
      </c>
      <c r="E87" s="246">
        <f>E15</f>
        <v>14.721040700354843</v>
      </c>
      <c r="F87" s="246">
        <f t="shared" si="0"/>
        <v>14.204900135538814</v>
      </c>
      <c r="G87" s="246">
        <f t="shared" si="0"/>
        <v>13.887269350560917</v>
      </c>
      <c r="H87" s="246">
        <f t="shared" si="0"/>
        <v>13.696898996090539</v>
      </c>
      <c r="I87" s="246">
        <f t="shared" si="0"/>
        <v>13.542601465390325</v>
      </c>
      <c r="J87" s="246">
        <f t="shared" si="0"/>
        <v>13.322642850157669</v>
      </c>
      <c r="K87" s="246">
        <f t="shared" si="0"/>
        <v>13.192093666719094</v>
      </c>
      <c r="L87" s="246">
        <f t="shared" si="0"/>
        <v>13.050711776466027</v>
      </c>
      <c r="M87" s="246">
        <f t="shared" si="0"/>
        <v>13.16538239263687</v>
      </c>
      <c r="N87" s="246">
        <f t="shared" si="0"/>
        <v>13.25959176396462</v>
      </c>
      <c r="O87" s="246">
        <f t="shared" si="0"/>
        <v>13.963590768419607</v>
      </c>
      <c r="P87" s="246">
        <f t="shared" si="0"/>
        <v>14.675482321751705</v>
      </c>
      <c r="Q87" s="246">
        <f t="shared" si="0"/>
        <v>16.352042152667156</v>
      </c>
      <c r="R87" s="246">
        <f t="shared" si="0"/>
        <v>16.458265155431722</v>
      </c>
      <c r="S87" s="246">
        <f t="shared" si="0"/>
        <v>16.560738117242131</v>
      </c>
      <c r="T87" s="246">
        <f t="shared" si="0"/>
        <v>16.659192981713769</v>
      </c>
      <c r="U87" s="246">
        <f t="shared" si="0"/>
        <v>16.75336202798789</v>
      </c>
      <c r="V87" s="246">
        <f t="shared" si="0"/>
        <v>16.842964604192762</v>
      </c>
      <c r="W87" s="246">
        <f t="shared" si="0"/>
        <v>16.927706455961509</v>
      </c>
      <c r="X87" s="246">
        <f t="shared" si="0"/>
        <v>17.007279025738697</v>
      </c>
      <c r="Y87" s="246">
        <f t="shared" si="0"/>
        <v>17.081358702708069</v>
      </c>
      <c r="Z87" s="246">
        <f t="shared" si="0"/>
        <v>17.149605985766105</v>
      </c>
      <c r="AA87" s="139">
        <f t="shared" si="0"/>
        <v>17.211664651906283</v>
      </c>
    </row>
    <row r="88" spans="1:27">
      <c r="C88" s="177" t="s">
        <v>32</v>
      </c>
      <c r="D88" s="184" t="s">
        <v>138</v>
      </c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139"/>
    </row>
    <row r="89" spans="1:27">
      <c r="C89" s="177" t="s">
        <v>32</v>
      </c>
      <c r="D89" s="184" t="s">
        <v>10</v>
      </c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139"/>
    </row>
    <row r="90" spans="1:27">
      <c r="C90" s="177" t="s">
        <v>32</v>
      </c>
      <c r="D90" s="184" t="s">
        <v>135</v>
      </c>
      <c r="E90" s="246">
        <f>E18</f>
        <v>12.413313186467049</v>
      </c>
      <c r="F90" s="246">
        <f t="shared" ref="F90:AA92" si="1">F18</f>
        <v>12.008402674660877</v>
      </c>
      <c r="G90" s="246">
        <f t="shared" si="1"/>
        <v>11.759880548441799</v>
      </c>
      <c r="H90" s="246">
        <f t="shared" si="1"/>
        <v>11.611711420937649</v>
      </c>
      <c r="I90" s="246">
        <f t="shared" si="1"/>
        <v>11.493496852331484</v>
      </c>
      <c r="J90" s="246">
        <f t="shared" si="1"/>
        <v>11.327905479651657</v>
      </c>
      <c r="K90" s="246">
        <f t="shared" si="1"/>
        <v>11.233424486223797</v>
      </c>
      <c r="L90" s="246">
        <f t="shared" si="1"/>
        <v>11.133232548497354</v>
      </c>
      <c r="M90" s="246">
        <f t="shared" si="1"/>
        <v>11.229776374854415</v>
      </c>
      <c r="N90" s="246">
        <f t="shared" si="1"/>
        <v>11.279002953257857</v>
      </c>
      <c r="O90" s="246">
        <f t="shared" si="1"/>
        <v>11.787367582023078</v>
      </c>
      <c r="P90" s="246">
        <f t="shared" si="1"/>
        <v>12.298811912721144</v>
      </c>
      <c r="Q90" s="246">
        <f t="shared" si="1"/>
        <v>13.537758798852538</v>
      </c>
      <c r="R90" s="246">
        <f t="shared" si="1"/>
        <v>13.584067435867267</v>
      </c>
      <c r="S90" s="246">
        <f t="shared" si="1"/>
        <v>13.623967676046632</v>
      </c>
      <c r="T90" s="246">
        <f t="shared" si="1"/>
        <v>13.657013803711289</v>
      </c>
      <c r="U90" s="246">
        <f t="shared" si="1"/>
        <v>13.682732905836232</v>
      </c>
      <c r="V90" s="246">
        <f t="shared" si="1"/>
        <v>13.700623179899296</v>
      </c>
      <c r="W90" s="246">
        <f t="shared" si="1"/>
        <v>13.710152036677288</v>
      </c>
      <c r="X90" s="246">
        <f t="shared" si="1"/>
        <v>13.710754083574532</v>
      </c>
      <c r="Y90" s="246">
        <f t="shared" si="1"/>
        <v>13.701828945752009</v>
      </c>
      <c r="Z90" s="246">
        <f t="shared" si="1"/>
        <v>13.682738906529377</v>
      </c>
      <c r="AA90" s="139">
        <f t="shared" si="1"/>
        <v>13.652806446193205</v>
      </c>
    </row>
    <row r="91" spans="1:27">
      <c r="C91" s="177" t="s">
        <v>32</v>
      </c>
      <c r="D91" s="184" t="s">
        <v>136</v>
      </c>
      <c r="E91" s="246">
        <f>E19</f>
        <v>7.4374255723038969</v>
      </c>
      <c r="F91" s="246">
        <f t="shared" si="1"/>
        <v>7.3032395022039625</v>
      </c>
      <c r="G91" s="246">
        <f t="shared" si="1"/>
        <v>7.1768364471151234</v>
      </c>
      <c r="H91" s="246">
        <f t="shared" si="1"/>
        <v>7.155094645962186</v>
      </c>
      <c r="I91" s="246">
        <f t="shared" si="1"/>
        <v>7.1396388203442278</v>
      </c>
      <c r="J91" s="246">
        <f t="shared" si="1"/>
        <v>7.0812348961403089</v>
      </c>
      <c r="K91" s="246">
        <f t="shared" si="1"/>
        <v>7.0972713232887559</v>
      </c>
      <c r="L91" s="246">
        <f t="shared" si="1"/>
        <v>7.0810368420516392</v>
      </c>
      <c r="M91" s="246">
        <f t="shared" si="1"/>
        <v>7.1420933223332304</v>
      </c>
      <c r="N91" s="246">
        <f t="shared" si="1"/>
        <v>7.1757257820501756</v>
      </c>
      <c r="O91" s="246">
        <f t="shared" si="1"/>
        <v>7.5071108322215103</v>
      </c>
      <c r="P91" s="246">
        <f t="shared" si="1"/>
        <v>7.8408273228582557</v>
      </c>
      <c r="Q91" s="246">
        <f t="shared" si="1"/>
        <v>8.6462099638634395</v>
      </c>
      <c r="R91" s="246">
        <f t="shared" si="1"/>
        <v>8.679347471632866</v>
      </c>
      <c r="S91" s="246">
        <f t="shared" si="1"/>
        <v>8.7087563597847755</v>
      </c>
      <c r="T91" s="246">
        <f t="shared" si="1"/>
        <v>8.7341816057553174</v>
      </c>
      <c r="U91" s="246">
        <f t="shared" si="1"/>
        <v>8.7553535406041796</v>
      </c>
      <c r="V91" s="246">
        <f t="shared" si="1"/>
        <v>8.7723836123933019</v>
      </c>
      <c r="W91" s="246">
        <f t="shared" si="1"/>
        <v>8.7845896518737643</v>
      </c>
      <c r="X91" s="246">
        <f t="shared" si="1"/>
        <v>8.7916516064403556</v>
      </c>
      <c r="Y91" s="246">
        <f t="shared" si="1"/>
        <v>8.793230221751438</v>
      </c>
      <c r="Z91" s="246">
        <f t="shared" si="1"/>
        <v>8.7889655043453363</v>
      </c>
      <c r="AA91" s="139">
        <f t="shared" si="1"/>
        <v>8.7784767023186614</v>
      </c>
    </row>
    <row r="92" spans="1:27">
      <c r="C92" s="212" t="s">
        <v>32</v>
      </c>
      <c r="D92" s="196" t="s">
        <v>137</v>
      </c>
      <c r="E92" s="241">
        <f>E20</f>
        <v>4.2085626535368066</v>
      </c>
      <c r="F92" s="241">
        <f t="shared" si="1"/>
        <v>4.1386034308909219</v>
      </c>
      <c r="G92" s="241">
        <f t="shared" si="1"/>
        <v>4.0742282433306558</v>
      </c>
      <c r="H92" s="241">
        <f t="shared" si="1"/>
        <v>4.0639009612810755</v>
      </c>
      <c r="I92" s="241">
        <f t="shared" si="1"/>
        <v>4.0571094229948459</v>
      </c>
      <c r="J92" s="241">
        <f t="shared" si="1"/>
        <v>4.0291673436130528</v>
      </c>
      <c r="K92" s="241">
        <f t="shared" si="1"/>
        <v>4.039375668381588</v>
      </c>
      <c r="L92" s="241">
        <f t="shared" si="1"/>
        <v>4.0334017014770494</v>
      </c>
      <c r="M92" s="241">
        <f t="shared" si="1"/>
        <v>4.0664956563878825</v>
      </c>
      <c r="N92" s="241">
        <f t="shared" si="1"/>
        <v>4.0737973465247812</v>
      </c>
      <c r="O92" s="241">
        <f t="shared" si="1"/>
        <v>4.228938944179581</v>
      </c>
      <c r="P92" s="241">
        <f t="shared" si="1"/>
        <v>4.3841443766246995</v>
      </c>
      <c r="Q92" s="241">
        <f t="shared" si="1"/>
        <v>4.7740051535006991</v>
      </c>
      <c r="R92" s="241">
        <f t="shared" si="1"/>
        <v>4.7764886733459404</v>
      </c>
      <c r="S92" s="241">
        <f t="shared" si="1"/>
        <v>4.7757611442937913</v>
      </c>
      <c r="T92" s="241">
        <f t="shared" si="1"/>
        <v>4.7716264640091639</v>
      </c>
      <c r="U92" s="241">
        <f t="shared" si="1"/>
        <v>4.7638411696513101</v>
      </c>
      <c r="V92" s="241">
        <f t="shared" si="1"/>
        <v>4.7523479836134435</v>
      </c>
      <c r="W92" s="241">
        <f t="shared" si="1"/>
        <v>4.7367129799831558</v>
      </c>
      <c r="X92" s="241">
        <f t="shared" si="1"/>
        <v>4.7166546194651335</v>
      </c>
      <c r="Y92" s="241">
        <f t="shared" si="1"/>
        <v>4.691878836983582</v>
      </c>
      <c r="Z92" s="241">
        <f t="shared" si="1"/>
        <v>4.6620727288468089</v>
      </c>
      <c r="AA92" s="242">
        <f t="shared" si="1"/>
        <v>4.6269032829039674</v>
      </c>
    </row>
    <row r="93" spans="1:27" s="263" customFormat="1">
      <c r="B93" s="94"/>
      <c r="C93" s="177" t="s">
        <v>394</v>
      </c>
      <c r="D93" s="262" t="s">
        <v>395</v>
      </c>
      <c r="E93" s="246"/>
      <c r="F93" s="246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139"/>
    </row>
    <row r="94" spans="1:27" s="263" customFormat="1">
      <c r="B94" s="94"/>
      <c r="C94" s="177" t="s">
        <v>394</v>
      </c>
      <c r="D94" s="262" t="s">
        <v>396</v>
      </c>
      <c r="E94" s="246">
        <f>E22</f>
        <v>30.795587878570473</v>
      </c>
      <c r="F94" s="246">
        <f t="shared" ref="F94" si="2">F22</f>
        <v>31.356302194620135</v>
      </c>
      <c r="G94" s="246">
        <f>G22</f>
        <v>31.929991971901995</v>
      </c>
      <c r="H94" s="246">
        <f t="shared" ref="H94:AA94" si="3">H22</f>
        <v>32.541857879018487</v>
      </c>
      <c r="I94" s="246">
        <f t="shared" si="3"/>
        <v>33.175447114208708</v>
      </c>
      <c r="J94" s="246">
        <f t="shared" si="3"/>
        <v>33.822492898895412</v>
      </c>
      <c r="K94" s="246">
        <f t="shared" si="3"/>
        <v>34.488635331289011</v>
      </c>
      <c r="L94" s="246">
        <f t="shared" si="3"/>
        <v>35.174167383202786</v>
      </c>
      <c r="M94" s="246">
        <f t="shared" si="3"/>
        <v>35.878476961256595</v>
      </c>
      <c r="N94" s="246">
        <f t="shared" si="3"/>
        <v>36.475874796571901</v>
      </c>
      <c r="O94" s="246">
        <f t="shared" si="3"/>
        <v>37.077946610645157</v>
      </c>
      <c r="P94" s="246">
        <f t="shared" si="3"/>
        <v>37.684290376251376</v>
      </c>
      <c r="Q94" s="246">
        <f t="shared" si="3"/>
        <v>37.719890641490679</v>
      </c>
      <c r="R94" s="246">
        <f t="shared" si="3"/>
        <v>38.320754239339529</v>
      </c>
      <c r="S94" s="246">
        <f t="shared" si="3"/>
        <v>38.92412555979017</v>
      </c>
      <c r="T94" s="246">
        <f t="shared" si="3"/>
        <v>39.52940110481785</v>
      </c>
      <c r="U94" s="246">
        <f t="shared" si="3"/>
        <v>40.135915361028893</v>
      </c>
      <c r="V94" s="246">
        <f t="shared" si="3"/>
        <v>40.742938315628898</v>
      </c>
      <c r="W94" s="246">
        <f t="shared" si="3"/>
        <v>41.349670368994069</v>
      </c>
      <c r="X94" s="246">
        <f t="shared" si="3"/>
        <v>41.95523686028222</v>
      </c>
      <c r="Y94" s="246">
        <f t="shared" si="3"/>
        <v>42.558682180383016</v>
      </c>
      <c r="Z94" s="246">
        <f t="shared" si="3"/>
        <v>43.158963437164537</v>
      </c>
      <c r="AA94" s="139">
        <f t="shared" si="3"/>
        <v>43.754943643446538</v>
      </c>
    </row>
    <row r="95" spans="1:27" s="263" customFormat="1">
      <c r="B95" s="94"/>
      <c r="C95" s="177" t="s">
        <v>394</v>
      </c>
      <c r="D95" s="262" t="s">
        <v>397</v>
      </c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  <c r="AA95" s="139"/>
    </row>
    <row r="96" spans="1:27" s="263" customFormat="1">
      <c r="B96" s="94"/>
      <c r="C96" s="177" t="s">
        <v>394</v>
      </c>
      <c r="D96" s="262" t="s">
        <v>398</v>
      </c>
      <c r="E96" s="246">
        <f>E24</f>
        <v>32.798397951482855</v>
      </c>
      <c r="F96" s="246">
        <f t="shared" ref="F96:AA96" si="4">F24</f>
        <v>33.405525781423144</v>
      </c>
      <c r="G96" s="246">
        <f t="shared" si="4"/>
        <v>34.024823975905285</v>
      </c>
      <c r="H96" s="246">
        <f t="shared" si="4"/>
        <v>34.68331342541321</v>
      </c>
      <c r="I96" s="246">
        <f t="shared" si="4"/>
        <v>35.364563925856046</v>
      </c>
      <c r="J96" s="246">
        <f t="shared" si="4"/>
        <v>36.059770277058924</v>
      </c>
      <c r="K96" s="246">
        <f t="shared" si="4"/>
        <v>36.775132810258583</v>
      </c>
      <c r="L96" s="246">
        <f t="shared" si="4"/>
        <v>37.510967805565983</v>
      </c>
      <c r="M96" s="246">
        <f t="shared" si="4"/>
        <v>38.266686992173156</v>
      </c>
      <c r="N96" s="246">
        <f t="shared" si="4"/>
        <v>38.916625492732578</v>
      </c>
      <c r="O96" s="246">
        <f t="shared" si="4"/>
        <v>39.572393913747405</v>
      </c>
      <c r="P96" s="246">
        <f t="shared" si="4"/>
        <v>40.233615431162811</v>
      </c>
      <c r="Q96" s="246">
        <f t="shared" si="4"/>
        <v>40.281103243556878</v>
      </c>
      <c r="R96" s="246">
        <f t="shared" si="4"/>
        <v>40.938313689937694</v>
      </c>
      <c r="S96" s="246">
        <f t="shared" si="4"/>
        <v>41.599271318638756</v>
      </c>
      <c r="T96" s="246">
        <f t="shared" si="4"/>
        <v>42.263400070414157</v>
      </c>
      <c r="U96" s="246">
        <f t="shared" si="4"/>
        <v>42.930062303740868</v>
      </c>
      <c r="V96" s="246">
        <f t="shared" si="4"/>
        <v>43.598556490878032</v>
      </c>
      <c r="W96" s="246">
        <f t="shared" si="4"/>
        <v>44.268112143820204</v>
      </c>
      <c r="X96" s="246">
        <f t="shared" si="4"/>
        <v>44.937884354174741</v>
      </c>
      <c r="Y96" s="246">
        <f t="shared" si="4"/>
        <v>45.606947919011461</v>
      </c>
      <c r="Z96" s="246">
        <f t="shared" si="4"/>
        <v>46.274291022262247</v>
      </c>
      <c r="AA96" s="139">
        <f t="shared" si="4"/>
        <v>46.938808435461262</v>
      </c>
    </row>
    <row r="97" spans="2:27" s="263" customFormat="1">
      <c r="B97" s="94"/>
      <c r="C97" s="177" t="s">
        <v>394</v>
      </c>
      <c r="D97" s="262" t="s">
        <v>399</v>
      </c>
      <c r="E97" s="246"/>
      <c r="F97" s="246"/>
      <c r="G97" s="246"/>
      <c r="H97" s="246"/>
      <c r="I97" s="246"/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  <c r="AA97" s="139"/>
    </row>
    <row r="98" spans="2:27" s="263" customFormat="1">
      <c r="B98" s="94"/>
      <c r="C98" s="177" t="s">
        <v>394</v>
      </c>
      <c r="D98" s="262" t="s">
        <v>400</v>
      </c>
      <c r="E98" s="246">
        <f>E26</f>
        <v>33.458393470213956</v>
      </c>
      <c r="F98" s="246">
        <f t="shared" ref="F98:AA98" si="5">F26</f>
        <v>34.149990045272141</v>
      </c>
      <c r="G98" s="246">
        <f t="shared" si="5"/>
        <v>34.842276563356819</v>
      </c>
      <c r="H98" s="246">
        <f t="shared" si="5"/>
        <v>35.565441515830088</v>
      </c>
      <c r="I98" s="246">
        <f t="shared" si="5"/>
        <v>36.309548396750515</v>
      </c>
      <c r="J98" s="246">
        <f t="shared" si="5"/>
        <v>37.065388737893386</v>
      </c>
      <c r="K98" s="246">
        <f t="shared" si="5"/>
        <v>37.840954630885626</v>
      </c>
      <c r="L98" s="246">
        <f t="shared" si="5"/>
        <v>38.636561535096398</v>
      </c>
      <c r="M98" s="246">
        <f t="shared" si="5"/>
        <v>39.45218429403797</v>
      </c>
      <c r="N98" s="246">
        <f t="shared" si="5"/>
        <v>40.226375956464473</v>
      </c>
      <c r="O98" s="246">
        <f t="shared" si="5"/>
        <v>41.013495897930127</v>
      </c>
      <c r="P98" s="246">
        <f t="shared" si="5"/>
        <v>41.813591351815084</v>
      </c>
      <c r="Q98" s="246">
        <f t="shared" si="5"/>
        <v>42.310384162700132</v>
      </c>
      <c r="R98" s="246">
        <f t="shared" si="5"/>
        <v>43.129515565396829</v>
      </c>
      <c r="S98" s="246">
        <f t="shared" si="5"/>
        <v>43.961482068182512</v>
      </c>
      <c r="T98" s="246">
        <f t="shared" si="5"/>
        <v>44.806250313316426</v>
      </c>
      <c r="U98" s="246">
        <f t="shared" si="5"/>
        <v>45.66376114539343</v>
      </c>
      <c r="V98" s="246">
        <f t="shared" si="5"/>
        <v>46.533930128449562</v>
      </c>
      <c r="W98" s="246">
        <f t="shared" si="5"/>
        <v>47.416645225314333</v>
      </c>
      <c r="X98" s="246">
        <f t="shared" si="5"/>
        <v>48.311764295534488</v>
      </c>
      <c r="Y98" s="246">
        <f t="shared" si="5"/>
        <v>49.219112396972498</v>
      </c>
      <c r="Z98" s="246">
        <f t="shared" si="5"/>
        <v>50.138478874721237</v>
      </c>
      <c r="AA98" s="139">
        <f t="shared" si="5"/>
        <v>51.069614224081995</v>
      </c>
    </row>
    <row r="99" spans="2:27" s="263" customFormat="1">
      <c r="B99" s="94"/>
      <c r="C99" s="177" t="s">
        <v>394</v>
      </c>
      <c r="D99" s="262" t="s">
        <v>401</v>
      </c>
      <c r="E99" s="246"/>
      <c r="F99" s="246"/>
      <c r="G99" s="246"/>
      <c r="H99" s="246"/>
      <c r="I99" s="246"/>
      <c r="J99" s="246"/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  <c r="AA99" s="139"/>
    </row>
    <row r="100" spans="2:27" s="263" customFormat="1">
      <c r="B100" s="94"/>
      <c r="C100" s="177" t="s">
        <v>394</v>
      </c>
      <c r="D100" s="262" t="s">
        <v>402</v>
      </c>
      <c r="E100" s="246">
        <f>E28</f>
        <v>20.092804845725794</v>
      </c>
      <c r="F100" s="246">
        <f t="shared" ref="F100:AA100" si="6">F28</f>
        <v>19.313568512777508</v>
      </c>
      <c r="G100" s="246">
        <f t="shared" si="6"/>
        <v>18.828985025033305</v>
      </c>
      <c r="H100" s="246">
        <f t="shared" si="6"/>
        <v>18.533483678335859</v>
      </c>
      <c r="I100" s="246">
        <f t="shared" si="6"/>
        <v>18.291385742474738</v>
      </c>
      <c r="J100" s="246">
        <f t="shared" si="6"/>
        <v>17.950751571957639</v>
      </c>
      <c r="K100" s="246">
        <f t="shared" si="6"/>
        <v>17.743048094482344</v>
      </c>
      <c r="L100" s="246">
        <f t="shared" si="6"/>
        <v>17.518879330499519</v>
      </c>
      <c r="M100" s="246">
        <f t="shared" si="6"/>
        <v>17.677042735503331</v>
      </c>
      <c r="N100" s="246">
        <f t="shared" si="6"/>
        <v>17.812171039128941</v>
      </c>
      <c r="O100" s="246">
        <f t="shared" si="6"/>
        <v>17.944294294398855</v>
      </c>
      <c r="P100" s="246">
        <f t="shared" si="6"/>
        <v>18.073187516739612</v>
      </c>
      <c r="Q100" s="246">
        <f t="shared" si="6"/>
        <v>17.909658923170529</v>
      </c>
      <c r="R100" s="246">
        <f t="shared" si="6"/>
        <v>18.028949037332023</v>
      </c>
      <c r="S100" s="246">
        <f t="shared" si="6"/>
        <v>18.144296289402764</v>
      </c>
      <c r="T100" s="246">
        <f t="shared" si="6"/>
        <v>18.255431701887481</v>
      </c>
      <c r="U100" s="246">
        <f t="shared" si="6"/>
        <v>18.362072798428855</v>
      </c>
      <c r="V100" s="246">
        <f t="shared" si="6"/>
        <v>18.463923616374668</v>
      </c>
      <c r="W100" s="246">
        <f t="shared" si="6"/>
        <v>18.560674017879748</v>
      </c>
      <c r="X100" s="246">
        <f t="shared" si="6"/>
        <v>18.651998959867484</v>
      </c>
      <c r="Y100" s="246">
        <f t="shared" si="6"/>
        <v>18.737557727491616</v>
      </c>
      <c r="Z100" s="246">
        <f t="shared" si="6"/>
        <v>18.816993132595108</v>
      </c>
      <c r="AA100" s="139">
        <f t="shared" si="6"/>
        <v>18.889930596257056</v>
      </c>
    </row>
    <row r="101" spans="2:27" s="263" customFormat="1">
      <c r="B101" s="94"/>
      <c r="C101" s="177" t="s">
        <v>394</v>
      </c>
      <c r="D101" s="262" t="s">
        <v>403</v>
      </c>
      <c r="E101" s="246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139"/>
    </row>
    <row r="102" spans="2:27" s="263" customFormat="1">
      <c r="B102" s="94"/>
      <c r="C102" s="177" t="s">
        <v>394</v>
      </c>
      <c r="D102" s="262" t="s">
        <v>404</v>
      </c>
      <c r="E102" s="246"/>
      <c r="F102" s="246"/>
      <c r="G102" s="246"/>
      <c r="H102" s="246"/>
      <c r="I102" s="246"/>
      <c r="J102" s="246"/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  <c r="AA102" s="139"/>
    </row>
    <row r="103" spans="2:27" s="263" customFormat="1">
      <c r="B103" s="94"/>
      <c r="C103" s="177" t="s">
        <v>394</v>
      </c>
      <c r="D103" s="262" t="s">
        <v>405</v>
      </c>
      <c r="E103" s="246">
        <f>E31</f>
        <v>16.481764679516807</v>
      </c>
      <c r="F103" s="246">
        <f t="shared" ref="F103:AA103" si="7">F31</f>
        <v>15.877592196612934</v>
      </c>
      <c r="G103" s="246">
        <f t="shared" si="7"/>
        <v>15.502628737563997</v>
      </c>
      <c r="H103" s="246">
        <f t="shared" si="7"/>
        <v>15.274837847311607</v>
      </c>
      <c r="I103" s="246">
        <f t="shared" si="7"/>
        <v>15.090118460097248</v>
      </c>
      <c r="J103" s="246">
        <f t="shared" si="7"/>
        <v>14.833129215314599</v>
      </c>
      <c r="K103" s="246">
        <f t="shared" si="7"/>
        <v>14.68021463223735</v>
      </c>
      <c r="L103" s="246">
        <f t="shared" si="7"/>
        <v>14.517322239111815</v>
      </c>
      <c r="M103" s="246">
        <f t="shared" si="7"/>
        <v>14.646805470868415</v>
      </c>
      <c r="N103" s="246">
        <f t="shared" si="7"/>
        <v>14.727021770097981</v>
      </c>
      <c r="O103" s="246">
        <f t="shared" si="7"/>
        <v>14.802259140861182</v>
      </c>
      <c r="P103" s="246">
        <f t="shared" si="7"/>
        <v>14.87215397644392</v>
      </c>
      <c r="Q103" s="246">
        <f t="shared" si="7"/>
        <v>14.717471510323309</v>
      </c>
      <c r="R103" s="246">
        <f t="shared" si="7"/>
        <v>14.773667345604474</v>
      </c>
      <c r="S103" s="246">
        <f t="shared" si="7"/>
        <v>14.823318278644621</v>
      </c>
      <c r="T103" s="246">
        <f t="shared" si="7"/>
        <v>14.86596836314393</v>
      </c>
      <c r="U103" s="246">
        <f t="shared" si="7"/>
        <v>14.901133510684014</v>
      </c>
      <c r="V103" s="246">
        <f t="shared" si="7"/>
        <v>14.92830032272594</v>
      </c>
      <c r="W103" s="246">
        <f t="shared" si="7"/>
        <v>14.946924180452722</v>
      </c>
      <c r="X103" s="246">
        <f t="shared" si="7"/>
        <v>14.956427200413545</v>
      </c>
      <c r="Y103" s="246">
        <f t="shared" si="7"/>
        <v>14.956194787362428</v>
      </c>
      <c r="Z103" s="246">
        <f t="shared" si="7"/>
        <v>14.945579646010115</v>
      </c>
      <c r="AA103" s="139">
        <f t="shared" si="7"/>
        <v>14.923886538381511</v>
      </c>
    </row>
    <row r="104" spans="2:27" s="263" customFormat="1">
      <c r="B104" s="94"/>
      <c r="C104" s="177" t="s">
        <v>394</v>
      </c>
      <c r="D104" s="262" t="s">
        <v>406</v>
      </c>
      <c r="E104" s="246">
        <f>E32</f>
        <v>9.8545594760248854</v>
      </c>
      <c r="F104" s="246">
        <f t="shared" ref="F104:AA104" si="8">F32</f>
        <v>9.6499905283726495</v>
      </c>
      <c r="G104" s="246">
        <f t="shared" si="8"/>
        <v>9.4554771544356431</v>
      </c>
      <c r="H104" s="246">
        <f t="shared" si="8"/>
        <v>9.4158086943314565</v>
      </c>
      <c r="I104" s="246">
        <f t="shared" si="8"/>
        <v>9.3852431545927129</v>
      </c>
      <c r="J104" s="246">
        <f t="shared" si="8"/>
        <v>9.2902528843073036</v>
      </c>
      <c r="K104" s="246">
        <f t="shared" si="8"/>
        <v>9.3057354640576673</v>
      </c>
      <c r="L104" s="246">
        <f t="shared" si="8"/>
        <v>9.2731367310018111</v>
      </c>
      <c r="M104" s="246">
        <f t="shared" si="8"/>
        <v>9.3557607341935292</v>
      </c>
      <c r="N104" s="246">
        <f t="shared" si="8"/>
        <v>9.4094719088843419</v>
      </c>
      <c r="O104" s="246">
        <f t="shared" si="8"/>
        <v>9.4602658170366301</v>
      </c>
      <c r="P104" s="246">
        <f t="shared" si="8"/>
        <v>9.5079328239069838</v>
      </c>
      <c r="Q104" s="246">
        <f t="shared" si="8"/>
        <v>9.410471764838082</v>
      </c>
      <c r="R104" s="246">
        <f t="shared" si="8"/>
        <v>9.4500158556891627</v>
      </c>
      <c r="S104" s="246">
        <f t="shared" si="8"/>
        <v>9.4857427993666317</v>
      </c>
      <c r="T104" s="246">
        <f t="shared" si="8"/>
        <v>9.5173910915220716</v>
      </c>
      <c r="U104" s="246">
        <f t="shared" si="8"/>
        <v>9.5446838252490185</v>
      </c>
      <c r="V104" s="246">
        <f t="shared" si="8"/>
        <v>9.5677249383095209</v>
      </c>
      <c r="W104" s="246">
        <f t="shared" si="8"/>
        <v>9.5858244702100635</v>
      </c>
      <c r="X104" s="246">
        <f t="shared" si="8"/>
        <v>9.5986542736528477</v>
      </c>
      <c r="Y104" s="246">
        <f t="shared" si="8"/>
        <v>9.6058666997485158</v>
      </c>
      <c r="Z104" s="246">
        <f t="shared" si="8"/>
        <v>9.6070933499906932</v>
      </c>
      <c r="AA104" s="139">
        <f t="shared" si="8"/>
        <v>9.6019436873719197</v>
      </c>
    </row>
    <row r="105" spans="2:27" s="263" customFormat="1">
      <c r="B105" s="94"/>
      <c r="C105" s="212" t="s">
        <v>394</v>
      </c>
      <c r="D105" s="196" t="s">
        <v>407</v>
      </c>
      <c r="E105" s="249">
        <f>E33</f>
        <v>5.4171256704946948</v>
      </c>
      <c r="F105" s="249">
        <f t="shared" ref="F105:AA105" si="9">F33</f>
        <v>5.3119753724946364</v>
      </c>
      <c r="G105" s="249">
        <f t="shared" si="9"/>
        <v>5.213547755375461</v>
      </c>
      <c r="H105" s="249">
        <f t="shared" si="9"/>
        <v>5.1942578826732397</v>
      </c>
      <c r="I105" s="249">
        <f t="shared" si="9"/>
        <v>5.1799114517006899</v>
      </c>
      <c r="J105" s="249">
        <f t="shared" si="9"/>
        <v>5.1336764260471348</v>
      </c>
      <c r="K105" s="249">
        <f t="shared" si="9"/>
        <v>5.1436077875867277</v>
      </c>
      <c r="L105" s="249">
        <f t="shared" si="9"/>
        <v>5.1294517517055436</v>
      </c>
      <c r="M105" s="249">
        <f t="shared" si="9"/>
        <v>5.1733301467570545</v>
      </c>
      <c r="N105" s="249">
        <f t="shared" si="9"/>
        <v>5.1906704440557636</v>
      </c>
      <c r="O105" s="249">
        <f t="shared" si="9"/>
        <v>5.2055173744818513</v>
      </c>
      <c r="P105" s="249">
        <f t="shared" si="9"/>
        <v>5.2176975880770442</v>
      </c>
      <c r="Q105" s="249">
        <f t="shared" si="9"/>
        <v>5.156136717769856</v>
      </c>
      <c r="R105" s="249">
        <f t="shared" si="9"/>
        <v>5.1618228209441908</v>
      </c>
      <c r="S105" s="249">
        <f t="shared" si="9"/>
        <v>5.1642614084522904</v>
      </c>
      <c r="T105" s="249">
        <f t="shared" si="9"/>
        <v>5.1632328555559468</v>
      </c>
      <c r="U105" s="249">
        <f t="shared" si="9"/>
        <v>5.1585012029032464</v>
      </c>
      <c r="V105" s="249">
        <f t="shared" si="9"/>
        <v>5.1500186301559063</v>
      </c>
      <c r="W105" s="249">
        <f t="shared" si="9"/>
        <v>5.1373303815243041</v>
      </c>
      <c r="X105" s="249">
        <f t="shared" si="9"/>
        <v>5.120155948638847</v>
      </c>
      <c r="Y105" s="249">
        <f t="shared" si="9"/>
        <v>5.0981970620717245</v>
      </c>
      <c r="Z105" s="249">
        <f t="shared" si="9"/>
        <v>5.0711364962392516</v>
      </c>
      <c r="AA105" s="242">
        <f t="shared" si="9"/>
        <v>5.0386367369964642</v>
      </c>
    </row>
    <row r="106" spans="2:27" ht="15.75" thickBot="1">
      <c r="C106" s="232" t="s">
        <v>34</v>
      </c>
      <c r="D106" s="186" t="s">
        <v>19</v>
      </c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140"/>
    </row>
  </sheetData>
  <mergeCells count="3">
    <mergeCell ref="E1:AA1"/>
    <mergeCell ref="E37:AA37"/>
    <mergeCell ref="E73:AA7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ED7B0-9A6D-45E1-B748-BB32EA616020}">
  <sheetPr codeName="Sheet1">
    <tabColor rgb="FFB9F8FF"/>
  </sheetPr>
  <dimension ref="A1:AB56"/>
  <sheetViews>
    <sheetView workbookViewId="0">
      <selection activeCell="P55" sqref="P55:AA55"/>
    </sheetView>
  </sheetViews>
  <sheetFormatPr defaultRowHeight="15"/>
  <cols>
    <col min="8" max="9" width="11.7109375" customWidth="1"/>
    <col min="10" max="10" width="14.28515625" bestFit="1" customWidth="1"/>
    <col min="11" max="14" width="11.7109375" customWidth="1"/>
    <col min="15" max="15" width="11.7109375" bestFit="1" customWidth="1"/>
    <col min="16" max="17" width="11.7109375" customWidth="1"/>
  </cols>
  <sheetData>
    <row r="1" spans="2:28" s="95" customFormat="1">
      <c r="C1" s="95">
        <v>4</v>
      </c>
      <c r="D1" s="95">
        <v>8</v>
      </c>
      <c r="E1" s="95">
        <v>4</v>
      </c>
      <c r="F1" s="95">
        <v>8</v>
      </c>
      <c r="G1" s="95">
        <v>16</v>
      </c>
      <c r="H1" s="95">
        <v>4</v>
      </c>
      <c r="I1" s="95">
        <v>4</v>
      </c>
      <c r="J1" s="95">
        <v>100</v>
      </c>
      <c r="K1" s="95">
        <v>4</v>
      </c>
      <c r="L1" s="95">
        <v>8.5</v>
      </c>
      <c r="M1" s="95">
        <v>16</v>
      </c>
      <c r="N1" s="95">
        <v>24</v>
      </c>
    </row>
    <row r="2" spans="2:28" s="95" customFormat="1"/>
    <row r="3" spans="2:28" s="95" customFormat="1">
      <c r="B3" s="166" t="s">
        <v>185</v>
      </c>
      <c r="C3" s="165">
        <f>Fixed_kW_Dist_Scale_4hr_Li_Ion</f>
        <v>181.6306979179266</v>
      </c>
      <c r="D3" s="165">
        <f>Fixed_kW_Dist_Scale_8hr_Li_Ion</f>
        <v>321.22000016956628</v>
      </c>
      <c r="E3" s="165">
        <f>Fixed_kW_4hr_Li_Ion</f>
        <v>138.87925516300916</v>
      </c>
      <c r="F3" s="165">
        <f>Fixed_kW_8hr_Li_Ion</f>
        <v>245.63084840938618</v>
      </c>
      <c r="G3" s="165">
        <f>Fixed_kW_16hr_Li_Ion</f>
        <v>459.13403490214006</v>
      </c>
      <c r="H3" s="165">
        <f>Fixed_kW_4hr_Vanadium</f>
        <v>190.95956345198317</v>
      </c>
      <c r="I3" s="165">
        <f>Fixed_kW_4hr_Zinc_Bromide</f>
        <v>206.75933662432232</v>
      </c>
      <c r="J3" s="165">
        <f>Fixed_kW_100hr_Iron_Oxide</f>
        <v>250.94091026879363</v>
      </c>
      <c r="K3" s="165">
        <f>Fixed_kW_Liquid_Air</f>
        <v>180.7187205276488</v>
      </c>
      <c r="L3" s="165">
        <f>Fixed_kW_Pumped_Hydro_8.5hr_400MW</f>
        <v>547.9680473355063</v>
      </c>
      <c r="M3" s="165">
        <f>Fixed_kW_Pumped_Hydro_16hr_100MW</f>
        <v>478.68829375393523</v>
      </c>
      <c r="N3" s="165">
        <f>Fixed_kW_Pumped_Hydro_24hr_100MW</f>
        <v>432.3650296955289</v>
      </c>
      <c r="P3" s="165">
        <f>'Ownership Storage'!D23</f>
        <v>191.60692624276669</v>
      </c>
      <c r="Q3" s="165">
        <f>'Ownership Storage'!D44</f>
        <v>174.86537014755848</v>
      </c>
      <c r="R3" s="165">
        <f>'Ownership Storage'!D65</f>
        <v>157.5583098403157</v>
      </c>
      <c r="S3" s="165">
        <f>'Ownership Storage'!D86</f>
        <v>144.76456106816207</v>
      </c>
      <c r="T3" s="165">
        <f>'Ownership Storage'!D107</f>
        <v>138.36768668208521</v>
      </c>
      <c r="U3" s="165">
        <f>'Ownership Storage'!D128</f>
        <v>252.62655663945773</v>
      </c>
      <c r="V3" s="165">
        <f>'Ownership Storage'!D149</f>
        <v>281.67599169450216</v>
      </c>
      <c r="W3" s="165">
        <f>'Ownership Storage'!D170</f>
        <v>177.49244112449941</v>
      </c>
      <c r="X3" s="165">
        <f>'Ownership Storage'!D191</f>
        <v>132.82238108442468</v>
      </c>
      <c r="Y3" s="165">
        <f>'Ownership Storage'!D212</f>
        <v>273.32707779589936</v>
      </c>
      <c r="Z3" s="165">
        <f>'Ownership Storage'!D233</f>
        <v>155.0092328004408</v>
      </c>
      <c r="AA3" s="165">
        <f>'Ownership Storage'!D254</f>
        <v>114.24618900258491</v>
      </c>
    </row>
    <row r="4" spans="2:28" s="95" customFormat="1">
      <c r="C4" s="510" t="s">
        <v>181</v>
      </c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P4" s="510" t="s">
        <v>182</v>
      </c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</row>
    <row r="5" spans="2:28" s="162" customFormat="1" ht="75">
      <c r="C5" s="164" t="s">
        <v>11</v>
      </c>
      <c r="D5" s="164" t="s">
        <v>12</v>
      </c>
      <c r="E5" s="164" t="s">
        <v>13</v>
      </c>
      <c r="F5" s="164" t="s">
        <v>14</v>
      </c>
      <c r="G5" s="164" t="s">
        <v>15</v>
      </c>
      <c r="H5" s="164" t="s">
        <v>16</v>
      </c>
      <c r="I5" s="164" t="s">
        <v>17</v>
      </c>
      <c r="J5" s="164" t="s">
        <v>18</v>
      </c>
      <c r="K5" s="164" t="s">
        <v>22</v>
      </c>
      <c r="L5" s="164" t="s">
        <v>23</v>
      </c>
      <c r="M5" s="164" t="s">
        <v>24</v>
      </c>
      <c r="N5" s="164" t="s">
        <v>25</v>
      </c>
      <c r="P5" s="164" t="s">
        <v>11</v>
      </c>
      <c r="Q5" s="164" t="s">
        <v>12</v>
      </c>
      <c r="R5" s="164" t="s">
        <v>13</v>
      </c>
      <c r="S5" s="164" t="s">
        <v>14</v>
      </c>
      <c r="T5" s="164" t="s">
        <v>15</v>
      </c>
      <c r="U5" s="164" t="s">
        <v>16</v>
      </c>
      <c r="V5" s="164" t="s">
        <v>17</v>
      </c>
      <c r="W5" s="164" t="s">
        <v>18</v>
      </c>
      <c r="X5" s="164" t="s">
        <v>22</v>
      </c>
      <c r="Y5" s="164" t="s">
        <v>23</v>
      </c>
      <c r="Z5" s="164" t="s">
        <v>24</v>
      </c>
      <c r="AA5" s="164" t="s">
        <v>25</v>
      </c>
      <c r="AB5" s="95"/>
    </row>
    <row r="6" spans="2:28" s="95" customFormat="1">
      <c r="B6" s="95">
        <v>2023</v>
      </c>
      <c r="C6" s="254">
        <v>194.40685067042219</v>
      </c>
      <c r="D6" s="254">
        <v>349.03803558158819</v>
      </c>
      <c r="E6" s="254">
        <v>148.67017116402008</v>
      </c>
      <c r="F6" s="254">
        <v>266.94582704160314</v>
      </c>
      <c r="G6" s="254">
        <v>503.49713879676909</v>
      </c>
      <c r="H6" s="254">
        <v>193.87338153278279</v>
      </c>
      <c r="I6" s="254">
        <v>209.55604609407587</v>
      </c>
      <c r="J6" s="254">
        <v>248.20849096348738</v>
      </c>
      <c r="K6" s="254">
        <v>172.75786661451298</v>
      </c>
      <c r="L6" s="438">
        <v>523.71784877804805</v>
      </c>
      <c r="M6" s="438">
        <v>457.50896866832517</v>
      </c>
      <c r="N6" s="438">
        <v>413.23901564773735</v>
      </c>
      <c r="O6" s="163"/>
      <c r="P6" s="99">
        <f t="shared" ref="P6:P28" si="0">C6/12</f>
        <v>16.200570889201849</v>
      </c>
      <c r="Q6" s="99">
        <f t="shared" ref="Q6:Q28" si="1">D6/12</f>
        <v>29.08650296513235</v>
      </c>
      <c r="R6" s="99">
        <f t="shared" ref="R6:R28" si="2">E6/12</f>
        <v>12.389180930335007</v>
      </c>
      <c r="S6" s="99">
        <f t="shared" ref="S6:S28" si="3">F6/12</f>
        <v>22.24548558680026</v>
      </c>
      <c r="T6" s="99">
        <f t="shared" ref="T6:T28" si="4">G6/12</f>
        <v>41.95809489973076</v>
      </c>
      <c r="U6" s="99">
        <f t="shared" ref="U6:U28" si="5">H6/12</f>
        <v>16.156115127731898</v>
      </c>
      <c r="V6" s="99">
        <f t="shared" ref="V6:V28" si="6">I6/12</f>
        <v>17.463003841172988</v>
      </c>
      <c r="W6" s="99">
        <f t="shared" ref="W6:W28" si="7">J6/12</f>
        <v>20.684040913623949</v>
      </c>
      <c r="X6" s="99">
        <f t="shared" ref="X6:X28" si="8">K6/12</f>
        <v>14.396488884542748</v>
      </c>
      <c r="Y6" s="439">
        <f t="shared" ref="Y6:Y28" si="9">L6/12</f>
        <v>43.64315406483734</v>
      </c>
      <c r="Z6" s="99">
        <f t="shared" ref="Z6:Z28" si="10">M6/12</f>
        <v>38.125747389027097</v>
      </c>
      <c r="AA6" s="99">
        <f t="shared" ref="AA6:AA28" si="11">N6/12</f>
        <v>34.436584637311448</v>
      </c>
    </row>
    <row r="7" spans="2:28" s="95" customFormat="1">
      <c r="B7" s="95">
        <v>2024</v>
      </c>
      <c r="C7" s="254">
        <v>186.56795890429714</v>
      </c>
      <c r="D7" s="254">
        <v>330.93572046608114</v>
      </c>
      <c r="E7" s="254">
        <v>142.66309456987418</v>
      </c>
      <c r="F7" s="254">
        <v>253.07481279659336</v>
      </c>
      <c r="G7" s="254">
        <v>473.89824925003177</v>
      </c>
      <c r="H7" s="254">
        <v>191.35051892633948</v>
      </c>
      <c r="I7" s="254">
        <v>207.03683978628354</v>
      </c>
      <c r="J7" s="254">
        <v>249.68948595746994</v>
      </c>
      <c r="K7" s="254">
        <v>176.77916747435765</v>
      </c>
      <c r="L7" s="438">
        <v>536.00396083154681</v>
      </c>
      <c r="M7" s="438">
        <v>468.23765475240981</v>
      </c>
      <c r="N7" s="438">
        <v>422.92634331608161</v>
      </c>
      <c r="O7" s="163"/>
      <c r="P7" s="99">
        <f t="shared" si="0"/>
        <v>15.547329908691429</v>
      </c>
      <c r="Q7" s="99">
        <f t="shared" si="1"/>
        <v>27.57797670550676</v>
      </c>
      <c r="R7" s="99">
        <f t="shared" si="2"/>
        <v>11.888591214156181</v>
      </c>
      <c r="S7" s="99">
        <f t="shared" si="3"/>
        <v>21.089567733049446</v>
      </c>
      <c r="T7" s="99">
        <f t="shared" si="4"/>
        <v>39.491520770835983</v>
      </c>
      <c r="U7" s="99">
        <f t="shared" si="5"/>
        <v>15.945876577194957</v>
      </c>
      <c r="V7" s="99">
        <f t="shared" si="6"/>
        <v>17.253069982190294</v>
      </c>
      <c r="W7" s="99">
        <f t="shared" si="7"/>
        <v>20.807457163122496</v>
      </c>
      <c r="X7" s="99">
        <f t="shared" si="8"/>
        <v>14.731597289529804</v>
      </c>
      <c r="Y7" s="439">
        <f t="shared" si="9"/>
        <v>44.666996735962236</v>
      </c>
      <c r="Z7" s="99">
        <f t="shared" si="10"/>
        <v>39.01980456270082</v>
      </c>
      <c r="AA7" s="99">
        <f t="shared" si="11"/>
        <v>35.243861943006799</v>
      </c>
    </row>
    <row r="8" spans="2:28" s="95" customFormat="1">
      <c r="B8" s="95">
        <v>2025</v>
      </c>
      <c r="C8" s="254">
        <v>181.6306979179266</v>
      </c>
      <c r="D8" s="254">
        <v>321.22000016956628</v>
      </c>
      <c r="E8" s="254">
        <v>138.87925516300916</v>
      </c>
      <c r="F8" s="254">
        <v>245.63084840938618</v>
      </c>
      <c r="G8" s="254">
        <v>459.13403490214006</v>
      </c>
      <c r="H8" s="254">
        <v>190.95956345198317</v>
      </c>
      <c r="I8" s="254">
        <v>206.75933662432232</v>
      </c>
      <c r="J8" s="254">
        <v>250.94091026879363</v>
      </c>
      <c r="K8" s="254">
        <v>180.7187205276488</v>
      </c>
      <c r="L8" s="438">
        <v>547.9680473355063</v>
      </c>
      <c r="M8" s="438">
        <v>478.68829375393523</v>
      </c>
      <c r="N8" s="438">
        <v>432.3650296955289</v>
      </c>
      <c r="O8" s="163"/>
      <c r="P8" s="99">
        <f t="shared" si="0"/>
        <v>15.13589149316055</v>
      </c>
      <c r="Q8" s="99">
        <f t="shared" si="1"/>
        <v>26.768333347463855</v>
      </c>
      <c r="R8" s="99">
        <f t="shared" si="2"/>
        <v>11.573271263584097</v>
      </c>
      <c r="S8" s="99">
        <f t="shared" si="3"/>
        <v>20.469237367448848</v>
      </c>
      <c r="T8" s="99">
        <f t="shared" si="4"/>
        <v>38.261169575178336</v>
      </c>
      <c r="U8" s="99">
        <f t="shared" si="5"/>
        <v>15.913296954331932</v>
      </c>
      <c r="V8" s="99">
        <f t="shared" si="6"/>
        <v>17.229944718693528</v>
      </c>
      <c r="W8" s="99">
        <f t="shared" si="7"/>
        <v>20.911742522399468</v>
      </c>
      <c r="X8" s="99">
        <f t="shared" si="8"/>
        <v>15.059893377304066</v>
      </c>
      <c r="Y8" s="439">
        <f t="shared" si="9"/>
        <v>45.664003944625527</v>
      </c>
      <c r="Z8" s="99">
        <f t="shared" si="10"/>
        <v>39.890691146161267</v>
      </c>
      <c r="AA8" s="99">
        <f t="shared" si="11"/>
        <v>36.030419141294075</v>
      </c>
    </row>
    <row r="9" spans="2:28" s="95" customFormat="1">
      <c r="B9" s="95">
        <v>2026</v>
      </c>
      <c r="C9" s="254">
        <v>178.56281583934108</v>
      </c>
      <c r="D9" s="254">
        <v>313.22599729619793</v>
      </c>
      <c r="E9" s="254">
        <v>136.52770893516333</v>
      </c>
      <c r="F9" s="254">
        <v>239.50497499200492</v>
      </c>
      <c r="G9" s="254">
        <v>445.45950710568832</v>
      </c>
      <c r="H9" s="254">
        <v>190.73701717450572</v>
      </c>
      <c r="I9" s="254">
        <v>206.66154030291941</v>
      </c>
      <c r="J9" s="254">
        <v>252.21104484548701</v>
      </c>
      <c r="K9" s="254">
        <v>184.74534217892207</v>
      </c>
      <c r="L9" s="438">
        <v>560.19861537322129</v>
      </c>
      <c r="M9" s="438">
        <v>489.37161396166192</v>
      </c>
      <c r="N9" s="438">
        <v>442.01379700595118</v>
      </c>
      <c r="O9" s="163"/>
      <c r="P9" s="99">
        <f t="shared" si="0"/>
        <v>14.880234653278423</v>
      </c>
      <c r="Q9" s="99">
        <f t="shared" si="1"/>
        <v>26.102166441349826</v>
      </c>
      <c r="R9" s="99">
        <f t="shared" si="2"/>
        <v>11.377309077930278</v>
      </c>
      <c r="S9" s="99">
        <f t="shared" si="3"/>
        <v>19.958747916000409</v>
      </c>
      <c r="T9" s="99">
        <f t="shared" si="4"/>
        <v>37.121625592140695</v>
      </c>
      <c r="U9" s="99">
        <f t="shared" si="5"/>
        <v>15.89475143120881</v>
      </c>
      <c r="V9" s="99">
        <f t="shared" si="6"/>
        <v>17.221795025243285</v>
      </c>
      <c r="W9" s="99">
        <f t="shared" si="7"/>
        <v>21.01758707045725</v>
      </c>
      <c r="X9" s="99">
        <f t="shared" si="8"/>
        <v>15.395445181576839</v>
      </c>
      <c r="Y9" s="439">
        <f t="shared" si="9"/>
        <v>46.683217947768441</v>
      </c>
      <c r="Z9" s="99">
        <f t="shared" si="10"/>
        <v>40.780967830138493</v>
      </c>
      <c r="AA9" s="99">
        <f t="shared" si="11"/>
        <v>36.834483083829262</v>
      </c>
    </row>
    <row r="10" spans="2:28" s="95" customFormat="1">
      <c r="B10" s="95">
        <v>2027</v>
      </c>
      <c r="C10" s="254">
        <v>176.06877855435749</v>
      </c>
      <c r="D10" s="254">
        <v>306.68792493626489</v>
      </c>
      <c r="E10" s="254">
        <v>134.61539254882484</v>
      </c>
      <c r="F10" s="254">
        <v>234.49364791236303</v>
      </c>
      <c r="G10" s="254">
        <v>434.25015863943946</v>
      </c>
      <c r="H10" s="254">
        <v>190.97979009422727</v>
      </c>
      <c r="I10" s="254">
        <v>207.05538729926613</v>
      </c>
      <c r="J10" s="254">
        <v>253.50021121593525</v>
      </c>
      <c r="K10" s="254">
        <v>188.86090948037807</v>
      </c>
      <c r="L10" s="438">
        <v>572.70156351813171</v>
      </c>
      <c r="M10" s="438">
        <v>500.29275907504751</v>
      </c>
      <c r="N10" s="438">
        <v>451.87728420732589</v>
      </c>
      <c r="O10" s="163"/>
      <c r="P10" s="99">
        <f t="shared" si="0"/>
        <v>14.672398212863124</v>
      </c>
      <c r="Q10" s="99">
        <f t="shared" si="1"/>
        <v>25.557327078022073</v>
      </c>
      <c r="R10" s="99">
        <f t="shared" si="2"/>
        <v>11.217949379068736</v>
      </c>
      <c r="S10" s="99">
        <f t="shared" si="3"/>
        <v>19.541137326030253</v>
      </c>
      <c r="T10" s="99">
        <f t="shared" si="4"/>
        <v>36.187513219953289</v>
      </c>
      <c r="U10" s="99">
        <f t="shared" si="5"/>
        <v>15.914982507852272</v>
      </c>
      <c r="V10" s="99">
        <f t="shared" si="6"/>
        <v>17.254615608272179</v>
      </c>
      <c r="W10" s="99">
        <f t="shared" si="7"/>
        <v>21.125017601327936</v>
      </c>
      <c r="X10" s="99">
        <f t="shared" si="8"/>
        <v>15.738409123364839</v>
      </c>
      <c r="Y10" s="439">
        <f t="shared" si="9"/>
        <v>47.725130293177642</v>
      </c>
      <c r="Z10" s="99">
        <f t="shared" si="10"/>
        <v>41.691063256253962</v>
      </c>
      <c r="AA10" s="99">
        <f t="shared" si="11"/>
        <v>37.656440350610488</v>
      </c>
    </row>
    <row r="11" spans="2:28" s="95" customFormat="1">
      <c r="B11" s="95">
        <v>2028</v>
      </c>
      <c r="C11" s="254">
        <v>172.72676604706163</v>
      </c>
      <c r="D11" s="254">
        <v>299.14920442959703</v>
      </c>
      <c r="E11" s="254">
        <v>132.05208383787433</v>
      </c>
      <c r="F11" s="254">
        <v>228.71329337689946</v>
      </c>
      <c r="G11" s="254">
        <v>422.03571245494976</v>
      </c>
      <c r="H11" s="254">
        <v>191.36004162095779</v>
      </c>
      <c r="I11" s="254">
        <v>207.59655054762493</v>
      </c>
      <c r="J11" s="254">
        <v>254.73940686491224</v>
      </c>
      <c r="K11" s="254">
        <v>193.01584948894643</v>
      </c>
      <c r="L11" s="438">
        <v>585.30099791553096</v>
      </c>
      <c r="M11" s="438">
        <v>511.29919977469876</v>
      </c>
      <c r="N11" s="438">
        <v>461.81858445988712</v>
      </c>
      <c r="O11" s="163"/>
      <c r="P11" s="99">
        <f t="shared" si="0"/>
        <v>14.393897170588469</v>
      </c>
      <c r="Q11" s="99">
        <f t="shared" si="1"/>
        <v>24.929100369133085</v>
      </c>
      <c r="R11" s="99">
        <f t="shared" si="2"/>
        <v>11.004340319822861</v>
      </c>
      <c r="S11" s="99">
        <f t="shared" si="3"/>
        <v>19.05944111474162</v>
      </c>
      <c r="T11" s="99">
        <f t="shared" si="4"/>
        <v>35.169642704579147</v>
      </c>
      <c r="U11" s="99">
        <f t="shared" si="5"/>
        <v>15.946670135079815</v>
      </c>
      <c r="V11" s="99">
        <f t="shared" si="6"/>
        <v>17.299712545635412</v>
      </c>
      <c r="W11" s="99">
        <f t="shared" si="7"/>
        <v>21.228283905409352</v>
      </c>
      <c r="X11" s="99">
        <f t="shared" si="8"/>
        <v>16.08465412407887</v>
      </c>
      <c r="Y11" s="439">
        <f t="shared" si="9"/>
        <v>48.775083159627577</v>
      </c>
      <c r="Z11" s="99">
        <f t="shared" si="10"/>
        <v>42.608266647891561</v>
      </c>
      <c r="AA11" s="99">
        <f t="shared" si="11"/>
        <v>38.484882038323924</v>
      </c>
    </row>
    <row r="12" spans="2:28" s="95" customFormat="1">
      <c r="B12" s="95">
        <v>2029</v>
      </c>
      <c r="C12" s="254">
        <v>170.71938165200473</v>
      </c>
      <c r="D12" s="254">
        <v>292.83243158070934</v>
      </c>
      <c r="E12" s="254">
        <v>130.51118593475789</v>
      </c>
      <c r="F12" s="254">
        <v>223.867851666142</v>
      </c>
      <c r="G12" s="254">
        <v>410.58118312891008</v>
      </c>
      <c r="H12" s="254">
        <v>192.01994251278333</v>
      </c>
      <c r="I12" s="254">
        <v>208.4345871197593</v>
      </c>
      <c r="J12" s="254">
        <v>255.99909783613029</v>
      </c>
      <c r="K12" s="254">
        <v>197.26219817770323</v>
      </c>
      <c r="L12" s="438">
        <v>598.17761986967218</v>
      </c>
      <c r="M12" s="438">
        <v>522.54778216974194</v>
      </c>
      <c r="N12" s="438">
        <v>471.9785933180047</v>
      </c>
      <c r="O12" s="163"/>
      <c r="P12" s="99">
        <f t="shared" si="0"/>
        <v>14.226615137667061</v>
      </c>
      <c r="Q12" s="99">
        <f t="shared" si="1"/>
        <v>24.402702631725777</v>
      </c>
      <c r="R12" s="99">
        <f t="shared" si="2"/>
        <v>10.875932161229825</v>
      </c>
      <c r="S12" s="99">
        <f t="shared" si="3"/>
        <v>18.655654305511835</v>
      </c>
      <c r="T12" s="99">
        <f t="shared" si="4"/>
        <v>34.21509859407584</v>
      </c>
      <c r="U12" s="99">
        <f t="shared" si="5"/>
        <v>16.001661876065278</v>
      </c>
      <c r="V12" s="99">
        <f t="shared" si="6"/>
        <v>17.369548926646608</v>
      </c>
      <c r="W12" s="99">
        <f t="shared" si="7"/>
        <v>21.333258153010856</v>
      </c>
      <c r="X12" s="99">
        <f t="shared" si="8"/>
        <v>16.438516514808601</v>
      </c>
      <c r="Y12" s="439">
        <f t="shared" si="9"/>
        <v>49.848134989139346</v>
      </c>
      <c r="Z12" s="99">
        <f t="shared" si="10"/>
        <v>43.545648514145164</v>
      </c>
      <c r="AA12" s="99">
        <f t="shared" si="11"/>
        <v>39.331549443167056</v>
      </c>
    </row>
    <row r="13" spans="2:28" s="95" customFormat="1">
      <c r="B13" s="95">
        <v>2030</v>
      </c>
      <c r="C13" s="254">
        <v>168.63372458841829</v>
      </c>
      <c r="D13" s="254">
        <v>287.42470909523473</v>
      </c>
      <c r="E13" s="254">
        <v>128.90950519044853</v>
      </c>
      <c r="F13" s="254">
        <v>219.71752155275067</v>
      </c>
      <c r="G13" s="254">
        <v>401.33355427735466</v>
      </c>
      <c r="H13" s="254">
        <v>192.58757410750871</v>
      </c>
      <c r="I13" s="254">
        <v>209.17888690204691</v>
      </c>
      <c r="J13" s="254">
        <v>257.27972447018681</v>
      </c>
      <c r="K13" s="254">
        <v>201.60196653761267</v>
      </c>
      <c r="L13" s="438">
        <v>611.33752750680526</v>
      </c>
      <c r="M13" s="438">
        <v>534.04383337747606</v>
      </c>
      <c r="N13" s="438">
        <v>482.36212237100062</v>
      </c>
      <c r="O13" s="163"/>
      <c r="P13" s="99">
        <f t="shared" si="0"/>
        <v>14.052810382368191</v>
      </c>
      <c r="Q13" s="99">
        <f t="shared" si="1"/>
        <v>23.952059091269561</v>
      </c>
      <c r="R13" s="99">
        <f t="shared" si="2"/>
        <v>10.74245876587071</v>
      </c>
      <c r="S13" s="99">
        <f t="shared" si="3"/>
        <v>18.309793462729221</v>
      </c>
      <c r="T13" s="99">
        <f t="shared" si="4"/>
        <v>33.444462856446222</v>
      </c>
      <c r="U13" s="99">
        <f t="shared" si="5"/>
        <v>16.04896450895906</v>
      </c>
      <c r="V13" s="99">
        <f t="shared" si="6"/>
        <v>17.431573908503911</v>
      </c>
      <c r="W13" s="99">
        <f t="shared" si="7"/>
        <v>21.439977039182235</v>
      </c>
      <c r="X13" s="99">
        <f t="shared" si="8"/>
        <v>16.800163878134388</v>
      </c>
      <c r="Y13" s="439">
        <f t="shared" si="9"/>
        <v>50.944793958900441</v>
      </c>
      <c r="Z13" s="99">
        <f t="shared" si="10"/>
        <v>44.503652781456339</v>
      </c>
      <c r="AA13" s="99">
        <f t="shared" si="11"/>
        <v>40.196843530916716</v>
      </c>
    </row>
    <row r="14" spans="2:28" s="95" customFormat="1">
      <c r="B14" s="95">
        <v>2031</v>
      </c>
      <c r="C14" s="254">
        <v>170.1933395996374</v>
      </c>
      <c r="D14" s="254">
        <v>290.06501160908641</v>
      </c>
      <c r="E14" s="254">
        <v>130.10230596272794</v>
      </c>
      <c r="F14" s="254">
        <v>221.73680942214477</v>
      </c>
      <c r="G14" s="254">
        <v>405.00581634097841</v>
      </c>
      <c r="H14" s="254">
        <v>193.27093882191502</v>
      </c>
      <c r="I14" s="254">
        <v>210.04801432432058</v>
      </c>
      <c r="J14" s="254">
        <v>258.58173677870366</v>
      </c>
      <c r="K14" s="254">
        <v>206.03720980144021</v>
      </c>
      <c r="L14" s="438">
        <v>624.78695311195474</v>
      </c>
      <c r="M14" s="438">
        <v>545.79279771178039</v>
      </c>
      <c r="N14" s="438">
        <v>492.97408906316286</v>
      </c>
      <c r="O14" s="163"/>
      <c r="P14" s="99">
        <f t="shared" si="0"/>
        <v>14.182778299969783</v>
      </c>
      <c r="Q14" s="99">
        <f t="shared" si="1"/>
        <v>24.172084300757202</v>
      </c>
      <c r="R14" s="99">
        <f t="shared" si="2"/>
        <v>10.841858830227329</v>
      </c>
      <c r="S14" s="99">
        <f t="shared" si="3"/>
        <v>18.478067451845398</v>
      </c>
      <c r="T14" s="99">
        <f t="shared" si="4"/>
        <v>33.750484695081532</v>
      </c>
      <c r="U14" s="99">
        <f t="shared" si="5"/>
        <v>16.105911568492917</v>
      </c>
      <c r="V14" s="99">
        <f t="shared" si="6"/>
        <v>17.50400119369338</v>
      </c>
      <c r="W14" s="99">
        <f t="shared" si="7"/>
        <v>21.54847806489197</v>
      </c>
      <c r="X14" s="99">
        <f t="shared" si="8"/>
        <v>17.169767483453352</v>
      </c>
      <c r="Y14" s="439">
        <f t="shared" si="9"/>
        <v>52.065579425996226</v>
      </c>
      <c r="Z14" s="99">
        <f t="shared" si="10"/>
        <v>45.482733142648364</v>
      </c>
      <c r="AA14" s="99">
        <f t="shared" si="11"/>
        <v>41.081174088596903</v>
      </c>
    </row>
    <row r="15" spans="2:28" s="95" customFormat="1">
      <c r="B15" s="95">
        <v>2032</v>
      </c>
      <c r="C15" s="254">
        <v>170.46673810459183</v>
      </c>
      <c r="D15" s="254">
        <v>290.53068686618167</v>
      </c>
      <c r="E15" s="254">
        <v>131.23376249060436</v>
      </c>
      <c r="F15" s="254">
        <v>222.10807609395616</v>
      </c>
      <c r="G15" s="254">
        <v>405.68368510375626</v>
      </c>
      <c r="H15" s="254">
        <v>194.10301564258523</v>
      </c>
      <c r="I15" s="254">
        <v>211.0766835245937</v>
      </c>
      <c r="J15" s="254">
        <v>259.90559465706542</v>
      </c>
      <c r="K15" s="254">
        <v>210.57002841707185</v>
      </c>
      <c r="L15" s="438">
        <v>638.53226608041814</v>
      </c>
      <c r="M15" s="438">
        <v>557.80023926143997</v>
      </c>
      <c r="N15" s="438">
        <v>503.81951902255253</v>
      </c>
      <c r="O15" s="163"/>
      <c r="P15" s="99">
        <f t="shared" si="0"/>
        <v>14.205561508715986</v>
      </c>
      <c r="Q15" s="99">
        <f t="shared" si="1"/>
        <v>24.210890572181807</v>
      </c>
      <c r="R15" s="99">
        <f t="shared" si="2"/>
        <v>10.93614687421703</v>
      </c>
      <c r="S15" s="99">
        <f t="shared" si="3"/>
        <v>18.509006341163012</v>
      </c>
      <c r="T15" s="99">
        <f t="shared" si="4"/>
        <v>33.806973758646357</v>
      </c>
      <c r="U15" s="99">
        <f t="shared" si="5"/>
        <v>16.175251303548769</v>
      </c>
      <c r="V15" s="99">
        <f t="shared" si="6"/>
        <v>17.589723627049477</v>
      </c>
      <c r="W15" s="99">
        <f t="shared" si="7"/>
        <v>21.658799554755451</v>
      </c>
      <c r="X15" s="99">
        <f t="shared" si="8"/>
        <v>17.547502368089322</v>
      </c>
      <c r="Y15" s="439">
        <f t="shared" si="9"/>
        <v>53.211022173368178</v>
      </c>
      <c r="Z15" s="99">
        <f t="shared" si="10"/>
        <v>46.483353271786662</v>
      </c>
      <c r="AA15" s="99">
        <f t="shared" si="11"/>
        <v>41.984959918546046</v>
      </c>
    </row>
    <row r="16" spans="2:28" s="95" customFormat="1">
      <c r="B16" s="95">
        <v>2033</v>
      </c>
      <c r="C16" s="254">
        <v>226.06218496389431</v>
      </c>
      <c r="D16" s="254">
        <v>385.28332142992986</v>
      </c>
      <c r="E16" s="254">
        <v>174.85286501727944</v>
      </c>
      <c r="F16" s="254">
        <v>294.7836060162785</v>
      </c>
      <c r="G16" s="254">
        <v>538.42655601057709</v>
      </c>
      <c r="H16" s="254">
        <v>236.60234478930334</v>
      </c>
      <c r="I16" s="254">
        <v>255.87775581700802</v>
      </c>
      <c r="J16" s="254">
        <v>353.05851049323439</v>
      </c>
      <c r="K16" s="254">
        <v>290.63365725491172</v>
      </c>
      <c r="L16" s="438">
        <v>652.57997593418725</v>
      </c>
      <c r="M16" s="438">
        <v>570.0718445251913</v>
      </c>
      <c r="N16" s="438">
        <v>514.90354844104866</v>
      </c>
      <c r="O16" s="163"/>
      <c r="P16" s="99">
        <f t="shared" si="0"/>
        <v>18.838515413657859</v>
      </c>
      <c r="Q16" s="99">
        <f t="shared" si="1"/>
        <v>32.106943452494157</v>
      </c>
      <c r="R16" s="99">
        <f t="shared" si="2"/>
        <v>14.571072084773286</v>
      </c>
      <c r="S16" s="99">
        <f t="shared" si="3"/>
        <v>24.565300501356543</v>
      </c>
      <c r="T16" s="99">
        <f t="shared" si="4"/>
        <v>44.868879667548093</v>
      </c>
      <c r="U16" s="99">
        <f t="shared" si="5"/>
        <v>19.716862065775278</v>
      </c>
      <c r="V16" s="99">
        <f t="shared" si="6"/>
        <v>21.323146318084003</v>
      </c>
      <c r="W16" s="99">
        <f t="shared" si="7"/>
        <v>29.421542541102866</v>
      </c>
      <c r="X16" s="99">
        <f t="shared" si="8"/>
        <v>24.219471437909309</v>
      </c>
      <c r="Y16" s="439">
        <f t="shared" si="9"/>
        <v>54.38166466118227</v>
      </c>
      <c r="Z16" s="99">
        <f t="shared" si="10"/>
        <v>47.505987043765941</v>
      </c>
      <c r="AA16" s="99">
        <f t="shared" si="11"/>
        <v>42.908629036754057</v>
      </c>
    </row>
    <row r="17" spans="1:27" s="95" customFormat="1">
      <c r="B17" s="95">
        <v>2034</v>
      </c>
      <c r="C17" s="254">
        <v>226.61013899340452</v>
      </c>
      <c r="D17" s="254">
        <v>386.21681243170559</v>
      </c>
      <c r="E17" s="254">
        <v>176.32803042652458</v>
      </c>
      <c r="F17" s="254">
        <v>295.51662522063378</v>
      </c>
      <c r="G17" s="254">
        <v>539.76506665155523</v>
      </c>
      <c r="H17" s="254">
        <v>237.55654828929343</v>
      </c>
      <c r="I17" s="254">
        <v>257.04159009828362</v>
      </c>
      <c r="J17" s="254">
        <v>354.57069834248477</v>
      </c>
      <c r="K17" s="254">
        <v>297.02759771451969</v>
      </c>
      <c r="L17" s="438">
        <v>666.93673540473924</v>
      </c>
      <c r="M17" s="438">
        <v>582.61342510474572</v>
      </c>
      <c r="N17" s="438">
        <v>526.23142650675163</v>
      </c>
      <c r="O17" s="163"/>
      <c r="P17" s="99">
        <f t="shared" si="0"/>
        <v>18.884178249450375</v>
      </c>
      <c r="Q17" s="99">
        <f t="shared" si="1"/>
        <v>32.184734369308799</v>
      </c>
      <c r="R17" s="99">
        <f t="shared" si="2"/>
        <v>14.694002535543715</v>
      </c>
      <c r="S17" s="99">
        <f t="shared" si="3"/>
        <v>24.626385435052814</v>
      </c>
      <c r="T17" s="99">
        <f t="shared" si="4"/>
        <v>44.980422220962936</v>
      </c>
      <c r="U17" s="99">
        <f t="shared" si="5"/>
        <v>19.796379024107786</v>
      </c>
      <c r="V17" s="99">
        <f t="shared" si="6"/>
        <v>21.420132508190303</v>
      </c>
      <c r="W17" s="99">
        <f t="shared" si="7"/>
        <v>29.547558195207063</v>
      </c>
      <c r="X17" s="99">
        <f t="shared" si="8"/>
        <v>24.752299809543306</v>
      </c>
      <c r="Y17" s="439">
        <f t="shared" si="9"/>
        <v>55.578061283728267</v>
      </c>
      <c r="Z17" s="99">
        <f t="shared" si="10"/>
        <v>48.551118758728812</v>
      </c>
      <c r="AA17" s="99">
        <f t="shared" si="11"/>
        <v>43.852618875562634</v>
      </c>
    </row>
    <row r="18" spans="1:27" s="95" customFormat="1">
      <c r="B18" s="95">
        <v>2035</v>
      </c>
      <c r="C18" s="254">
        <v>227.03750163580426</v>
      </c>
      <c r="D18" s="254">
        <v>386.9447638109325</v>
      </c>
      <c r="E18" s="254">
        <v>177.78347432710754</v>
      </c>
      <c r="F18" s="254">
        <v>296.09367630341762</v>
      </c>
      <c r="G18" s="254">
        <v>540.81868773600934</v>
      </c>
      <c r="H18" s="254">
        <v>239.01323317615234</v>
      </c>
      <c r="I18" s="254">
        <v>258.73680455538891</v>
      </c>
      <c r="J18" s="254">
        <v>356.10639636938356</v>
      </c>
      <c r="K18" s="254">
        <v>303.56220486423905</v>
      </c>
      <c r="L18" s="438">
        <v>681.60934358364341</v>
      </c>
      <c r="M18" s="438">
        <v>595.43092045705009</v>
      </c>
      <c r="N18" s="438">
        <v>537.80851788990014</v>
      </c>
      <c r="O18" s="163"/>
      <c r="P18" s="99">
        <f t="shared" si="0"/>
        <v>18.919791802983688</v>
      </c>
      <c r="Q18" s="99">
        <f t="shared" si="1"/>
        <v>32.245396984244373</v>
      </c>
      <c r="R18" s="99">
        <f t="shared" si="2"/>
        <v>14.815289527258962</v>
      </c>
      <c r="S18" s="99">
        <f t="shared" si="3"/>
        <v>24.674473025284801</v>
      </c>
      <c r="T18" s="99">
        <f t="shared" si="4"/>
        <v>45.068223978000781</v>
      </c>
      <c r="U18" s="99">
        <f t="shared" si="5"/>
        <v>19.917769431346027</v>
      </c>
      <c r="V18" s="99">
        <f t="shared" si="6"/>
        <v>21.561400379615744</v>
      </c>
      <c r="W18" s="99">
        <f t="shared" si="7"/>
        <v>29.675533030781963</v>
      </c>
      <c r="X18" s="99">
        <f t="shared" si="8"/>
        <v>25.296850405353254</v>
      </c>
      <c r="Y18" s="439">
        <f t="shared" si="9"/>
        <v>56.800778631970282</v>
      </c>
      <c r="Z18" s="99">
        <f t="shared" si="10"/>
        <v>49.619243371420843</v>
      </c>
      <c r="AA18" s="99">
        <f t="shared" si="11"/>
        <v>44.817376490825012</v>
      </c>
    </row>
    <row r="19" spans="1:27" s="95" customFormat="1">
      <c r="B19" s="95">
        <v>2036</v>
      </c>
      <c r="C19" s="254">
        <v>227.33640445923717</v>
      </c>
      <c r="D19" s="254">
        <v>387.45376515452807</v>
      </c>
      <c r="E19" s="254">
        <v>179.2176149925902</v>
      </c>
      <c r="F19" s="254">
        <v>296.50457686083638</v>
      </c>
      <c r="G19" s="254">
        <v>541.56882090359488</v>
      </c>
      <c r="H19" s="254">
        <v>240.80363897225544</v>
      </c>
      <c r="I19" s="254">
        <v>260.7862043837784</v>
      </c>
      <c r="J19" s="254">
        <v>357.6661065754289</v>
      </c>
      <c r="K19" s="254">
        <v>310.24057337125225</v>
      </c>
      <c r="L19" s="438">
        <v>696.6047491424838</v>
      </c>
      <c r="M19" s="438">
        <v>608.53040070710529</v>
      </c>
      <c r="N19" s="438">
        <v>549.6403052834778</v>
      </c>
      <c r="O19" s="163"/>
      <c r="P19" s="99">
        <f t="shared" si="0"/>
        <v>18.944700371603098</v>
      </c>
      <c r="Q19" s="99">
        <f t="shared" si="1"/>
        <v>32.287813762877342</v>
      </c>
      <c r="R19" s="99">
        <f t="shared" si="2"/>
        <v>14.934801249382517</v>
      </c>
      <c r="S19" s="99">
        <f t="shared" si="3"/>
        <v>24.708714738403032</v>
      </c>
      <c r="T19" s="99">
        <f t="shared" si="4"/>
        <v>45.130735075299576</v>
      </c>
      <c r="U19" s="99">
        <f t="shared" si="5"/>
        <v>20.066969914354619</v>
      </c>
      <c r="V19" s="99">
        <f t="shared" si="6"/>
        <v>21.7321836986482</v>
      </c>
      <c r="W19" s="99">
        <f t="shared" si="7"/>
        <v>29.805508881285743</v>
      </c>
      <c r="X19" s="99">
        <f t="shared" si="8"/>
        <v>25.85338111427102</v>
      </c>
      <c r="Y19" s="439">
        <f t="shared" si="9"/>
        <v>58.050395761873652</v>
      </c>
      <c r="Z19" s="99">
        <f t="shared" si="10"/>
        <v>50.710866725592105</v>
      </c>
      <c r="AA19" s="99">
        <f t="shared" si="11"/>
        <v>45.803358773623152</v>
      </c>
    </row>
    <row r="20" spans="1:27" s="95" customFormat="1">
      <c r="B20" s="95">
        <v>2037</v>
      </c>
      <c r="C20" s="254">
        <v>227.49854163928475</v>
      </c>
      <c r="D20" s="254">
        <v>387.72966061501671</v>
      </c>
      <c r="E20" s="254">
        <v>179.69657106655944</v>
      </c>
      <c r="F20" s="254">
        <v>296.7385789287593</v>
      </c>
      <c r="G20" s="254">
        <v>541.99583481136335</v>
      </c>
      <c r="H20" s="254">
        <v>242.89380333385728</v>
      </c>
      <c r="I20" s="254">
        <v>263.15419402140668</v>
      </c>
      <c r="J20" s="254">
        <v>359.25034198240513</v>
      </c>
      <c r="K20" s="254">
        <v>317.06586598541998</v>
      </c>
      <c r="L20" s="438">
        <v>711.93005362361828</v>
      </c>
      <c r="M20" s="438">
        <v>621.91806952266154</v>
      </c>
      <c r="N20" s="438">
        <v>561.73239199971442</v>
      </c>
      <c r="O20" s="163"/>
      <c r="P20" s="99">
        <f t="shared" si="0"/>
        <v>18.958211803273731</v>
      </c>
      <c r="Q20" s="99">
        <f t="shared" si="1"/>
        <v>32.310805051251393</v>
      </c>
      <c r="R20" s="99">
        <f t="shared" si="2"/>
        <v>14.974714255546621</v>
      </c>
      <c r="S20" s="99">
        <f t="shared" si="3"/>
        <v>24.728214910729942</v>
      </c>
      <c r="T20" s="99">
        <f t="shared" si="4"/>
        <v>45.166319567613613</v>
      </c>
      <c r="U20" s="99">
        <f t="shared" si="5"/>
        <v>20.24115027782144</v>
      </c>
      <c r="V20" s="99">
        <f t="shared" si="6"/>
        <v>21.929516168450558</v>
      </c>
      <c r="W20" s="99">
        <f t="shared" si="7"/>
        <v>29.937528498533762</v>
      </c>
      <c r="X20" s="99">
        <f t="shared" si="8"/>
        <v>26.422155498784999</v>
      </c>
      <c r="Y20" s="439">
        <f t="shared" si="9"/>
        <v>59.327504468634856</v>
      </c>
      <c r="Z20" s="99">
        <f t="shared" si="10"/>
        <v>51.826505793555128</v>
      </c>
      <c r="AA20" s="99">
        <f t="shared" si="11"/>
        <v>46.811032666642866</v>
      </c>
    </row>
    <row r="21" spans="1:27" s="95" customFormat="1">
      <c r="B21" s="95">
        <v>2038</v>
      </c>
      <c r="C21" s="254">
        <v>227.51514478645723</v>
      </c>
      <c r="D21" s="254">
        <v>387.75750601085173</v>
      </c>
      <c r="E21" s="254">
        <v>180.08731087021681</v>
      </c>
      <c r="F21" s="254">
        <v>296.78433646054879</v>
      </c>
      <c r="G21" s="254">
        <v>542.07900573371603</v>
      </c>
      <c r="H21" s="254">
        <v>245.34834383268185</v>
      </c>
      <c r="I21" s="254">
        <v>265.90873207524163</v>
      </c>
      <c r="J21" s="254">
        <v>360.85962687479235</v>
      </c>
      <c r="K21" s="254">
        <v>324.0413150370992</v>
      </c>
      <c r="L21" s="438">
        <v>727.59251480333819</v>
      </c>
      <c r="M21" s="438">
        <v>635.60026705216012</v>
      </c>
      <c r="N21" s="438">
        <v>574.09050462370806</v>
      </c>
      <c r="O21" s="163"/>
      <c r="P21" s="99">
        <f t="shared" si="0"/>
        <v>18.959595398871436</v>
      </c>
      <c r="Q21" s="99">
        <f t="shared" si="1"/>
        <v>32.313125500904313</v>
      </c>
      <c r="R21" s="99">
        <f t="shared" si="2"/>
        <v>15.007275905851401</v>
      </c>
      <c r="S21" s="99">
        <f t="shared" si="3"/>
        <v>24.732028038379067</v>
      </c>
      <c r="T21" s="99">
        <f t="shared" si="4"/>
        <v>45.173250477809667</v>
      </c>
      <c r="U21" s="99">
        <f t="shared" si="5"/>
        <v>20.445695319390154</v>
      </c>
      <c r="V21" s="99">
        <f t="shared" si="6"/>
        <v>22.159061006270136</v>
      </c>
      <c r="W21" s="99">
        <f t="shared" si="7"/>
        <v>30.071635572899364</v>
      </c>
      <c r="X21" s="99">
        <f t="shared" si="8"/>
        <v>27.003442919758267</v>
      </c>
      <c r="Y21" s="439">
        <f t="shared" si="9"/>
        <v>60.632709566944847</v>
      </c>
      <c r="Z21" s="99">
        <f t="shared" si="10"/>
        <v>52.966688921013343</v>
      </c>
      <c r="AA21" s="99">
        <f t="shared" si="11"/>
        <v>47.840875385309005</v>
      </c>
    </row>
    <row r="22" spans="1:27" s="95" customFormat="1">
      <c r="B22" s="95">
        <v>2039</v>
      </c>
      <c r="C22" s="254">
        <v>227.3769562440001</v>
      </c>
      <c r="D22" s="254">
        <v>387.52152331983194</v>
      </c>
      <c r="E22" s="254">
        <v>180.38425313225284</v>
      </c>
      <c r="F22" s="254">
        <v>296.6298708295966</v>
      </c>
      <c r="G22" s="254">
        <v>541.79645455460945</v>
      </c>
      <c r="H22" s="254">
        <v>247.80062821622195</v>
      </c>
      <c r="I22" s="254">
        <v>268.66477633564062</v>
      </c>
      <c r="J22" s="254">
        <v>362.49449704750702</v>
      </c>
      <c r="K22" s="254">
        <v>331.17022396791532</v>
      </c>
      <c r="L22" s="438">
        <v>743.59955012901139</v>
      </c>
      <c r="M22" s="438">
        <v>649.58347292730764</v>
      </c>
      <c r="N22" s="438">
        <v>586.7204957254296</v>
      </c>
      <c r="O22" s="163"/>
      <c r="P22" s="99">
        <f t="shared" si="0"/>
        <v>18.948079687000007</v>
      </c>
      <c r="Q22" s="99">
        <f t="shared" si="1"/>
        <v>32.29346027665266</v>
      </c>
      <c r="R22" s="99">
        <f t="shared" si="2"/>
        <v>15.032021094354404</v>
      </c>
      <c r="S22" s="99">
        <f t="shared" si="3"/>
        <v>24.719155902466383</v>
      </c>
      <c r="T22" s="99">
        <f t="shared" si="4"/>
        <v>45.149704546217457</v>
      </c>
      <c r="U22" s="99">
        <f t="shared" si="5"/>
        <v>20.650052351351828</v>
      </c>
      <c r="V22" s="99">
        <f t="shared" si="6"/>
        <v>22.388731361303385</v>
      </c>
      <c r="W22" s="99">
        <f t="shared" si="7"/>
        <v>30.207874753958919</v>
      </c>
      <c r="X22" s="99">
        <f t="shared" si="8"/>
        <v>27.597518663992943</v>
      </c>
      <c r="Y22" s="439">
        <f t="shared" si="9"/>
        <v>61.966629177417616</v>
      </c>
      <c r="Z22" s="99">
        <f t="shared" si="10"/>
        <v>54.131956077275639</v>
      </c>
      <c r="AA22" s="99">
        <f t="shared" si="11"/>
        <v>48.893374643785798</v>
      </c>
    </row>
    <row r="23" spans="1:27" s="95" customFormat="1">
      <c r="B23" s="95">
        <v>2040</v>
      </c>
      <c r="C23" s="254">
        <v>227.07420075964495</v>
      </c>
      <c r="D23" s="254">
        <v>387.00505240139472</v>
      </c>
      <c r="E23" s="254">
        <v>180.58151813915731</v>
      </c>
      <c r="F23" s="254">
        <v>296.2625342321673</v>
      </c>
      <c r="G23" s="254">
        <v>541.12507992481665</v>
      </c>
      <c r="H23" s="254">
        <v>250.25173344146435</v>
      </c>
      <c r="I23" s="254">
        <v>271.4235433573769</v>
      </c>
      <c r="J23" s="254">
        <v>364.15550005909665</v>
      </c>
      <c r="K23" s="254">
        <v>338.45596889520948</v>
      </c>
      <c r="L23" s="438">
        <v>759.95874023184933</v>
      </c>
      <c r="M23" s="438">
        <v>663.8743093317081</v>
      </c>
      <c r="N23" s="438">
        <v>599.62834663138904</v>
      </c>
      <c r="O23" s="163"/>
      <c r="P23" s="99">
        <f t="shared" si="0"/>
        <v>18.922850063303745</v>
      </c>
      <c r="Q23" s="99">
        <f t="shared" si="1"/>
        <v>32.250421033449562</v>
      </c>
      <c r="R23" s="99">
        <f t="shared" si="2"/>
        <v>15.048459844929775</v>
      </c>
      <c r="S23" s="99">
        <f t="shared" si="3"/>
        <v>24.688544519347275</v>
      </c>
      <c r="T23" s="99">
        <f t="shared" si="4"/>
        <v>45.09375666040139</v>
      </c>
      <c r="U23" s="99">
        <f t="shared" si="5"/>
        <v>20.854311120122031</v>
      </c>
      <c r="V23" s="99">
        <f t="shared" si="6"/>
        <v>22.61862861311474</v>
      </c>
      <c r="W23" s="99">
        <f t="shared" si="7"/>
        <v>30.346291671591388</v>
      </c>
      <c r="X23" s="99">
        <f t="shared" si="8"/>
        <v>28.204664074600789</v>
      </c>
      <c r="Y23" s="439">
        <f t="shared" si="9"/>
        <v>63.32989501932078</v>
      </c>
      <c r="Z23" s="99">
        <f t="shared" si="10"/>
        <v>55.322859110975678</v>
      </c>
      <c r="AA23" s="99">
        <f t="shared" si="11"/>
        <v>49.969028885949086</v>
      </c>
    </row>
    <row r="24" spans="1:27" s="95" customFormat="1">
      <c r="B24" s="95">
        <v>2041</v>
      </c>
      <c r="C24" s="254">
        <v>226.59655542873608</v>
      </c>
      <c r="D24" s="254">
        <v>386.19049977297703</v>
      </c>
      <c r="E24" s="254">
        <v>180.67291108395199</v>
      </c>
      <c r="F24" s="254">
        <v>295.66897085812599</v>
      </c>
      <c r="G24" s="254">
        <v>540.04048734238529</v>
      </c>
      <c r="H24" s="254">
        <v>252.70282682979069</v>
      </c>
      <c r="I24" s="254">
        <v>274.18634649375815</v>
      </c>
      <c r="J24" s="254">
        <v>365.84319549050093</v>
      </c>
      <c r="K24" s="254">
        <v>345.90200021090408</v>
      </c>
      <c r="L24" s="438">
        <v>776.67783251694993</v>
      </c>
      <c r="M24" s="438">
        <v>678.47954413700597</v>
      </c>
      <c r="N24" s="438">
        <v>612.82017025727964</v>
      </c>
      <c r="O24" s="163"/>
      <c r="P24" s="99">
        <f t="shared" si="0"/>
        <v>18.883046285728007</v>
      </c>
      <c r="Q24" s="99">
        <f t="shared" si="1"/>
        <v>32.182541647748089</v>
      </c>
      <c r="R24" s="99">
        <f t="shared" si="2"/>
        <v>15.056075923662666</v>
      </c>
      <c r="S24" s="99">
        <f t="shared" si="3"/>
        <v>24.639080904843834</v>
      </c>
      <c r="T24" s="99">
        <f t="shared" si="4"/>
        <v>45.003373945198774</v>
      </c>
      <c r="U24" s="99">
        <f t="shared" si="5"/>
        <v>21.058568902482559</v>
      </c>
      <c r="V24" s="99">
        <f t="shared" si="6"/>
        <v>22.84886220781318</v>
      </c>
      <c r="W24" s="99">
        <f t="shared" si="7"/>
        <v>30.486932957541743</v>
      </c>
      <c r="X24" s="99">
        <f t="shared" si="8"/>
        <v>28.825166684242006</v>
      </c>
      <c r="Y24" s="439">
        <f t="shared" si="9"/>
        <v>64.723152709745833</v>
      </c>
      <c r="Z24" s="99">
        <f t="shared" si="10"/>
        <v>56.539962011417167</v>
      </c>
      <c r="AA24" s="99">
        <f t="shared" si="11"/>
        <v>51.068347521439968</v>
      </c>
    </row>
    <row r="25" spans="1:27" s="95" customFormat="1">
      <c r="A25" s="1"/>
      <c r="B25" s="95">
        <v>2042</v>
      </c>
      <c r="C25" s="254">
        <v>225.93311779956491</v>
      </c>
      <c r="D25" s="254">
        <v>385.0592842544059</v>
      </c>
      <c r="E25" s="254">
        <v>180.65190442171215</v>
      </c>
      <c r="F25" s="254">
        <v>294.83507568862751</v>
      </c>
      <c r="G25" s="254">
        <v>538.51691389889675</v>
      </c>
      <c r="H25" s="254">
        <v>255.15516666696482</v>
      </c>
      <c r="I25" s="254">
        <v>276.95459656814882</v>
      </c>
      <c r="J25" s="254">
        <v>367.55815520950682</v>
      </c>
      <c r="K25" s="254">
        <v>353.51184421554399</v>
      </c>
      <c r="L25" s="438">
        <v>793.76474483232334</v>
      </c>
      <c r="M25" s="438">
        <v>693.40609410802006</v>
      </c>
      <c r="N25" s="438">
        <v>626.3022140029401</v>
      </c>
      <c r="O25" s="163"/>
      <c r="P25" s="99">
        <f t="shared" si="0"/>
        <v>18.827759816630408</v>
      </c>
      <c r="Q25" s="99">
        <f t="shared" si="1"/>
        <v>32.088273687867158</v>
      </c>
      <c r="R25" s="99">
        <f t="shared" si="2"/>
        <v>15.054325368476013</v>
      </c>
      <c r="S25" s="99">
        <f t="shared" si="3"/>
        <v>24.569589640718959</v>
      </c>
      <c r="T25" s="99">
        <f t="shared" si="4"/>
        <v>44.876409491574726</v>
      </c>
      <c r="U25" s="99">
        <f t="shared" si="5"/>
        <v>21.2629305555804</v>
      </c>
      <c r="V25" s="99">
        <f t="shared" si="6"/>
        <v>23.079549714012401</v>
      </c>
      <c r="W25" s="99">
        <f t="shared" si="7"/>
        <v>30.629846267458902</v>
      </c>
      <c r="X25" s="99">
        <f t="shared" si="8"/>
        <v>29.459320351295332</v>
      </c>
      <c r="Y25" s="439">
        <f t="shared" si="9"/>
        <v>66.147062069360274</v>
      </c>
      <c r="Z25" s="99">
        <f t="shared" si="10"/>
        <v>57.783841175668336</v>
      </c>
      <c r="AA25" s="99">
        <f t="shared" si="11"/>
        <v>52.191851166911675</v>
      </c>
    </row>
    <row r="26" spans="1:27" s="95" customFormat="1">
      <c r="A26" s="1"/>
      <c r="B26" s="95">
        <v>2043</v>
      </c>
      <c r="C26" s="254">
        <v>225.07237202476594</v>
      </c>
      <c r="D26" s="254">
        <v>383.59177928238256</v>
      </c>
      <c r="E26" s="254">
        <v>180.51161916988121</v>
      </c>
      <c r="F26" s="254">
        <v>293.74595077082455</v>
      </c>
      <c r="G26" s="254">
        <v>536.52714841768613</v>
      </c>
      <c r="H26" s="254">
        <v>257.61010268466066</v>
      </c>
      <c r="I26" s="254">
        <v>279.72980242196911</v>
      </c>
      <c r="J26" s="254">
        <v>369.30096364102326</v>
      </c>
      <c r="K26" s="254">
        <v>361.28910478828601</v>
      </c>
      <c r="L26" s="438">
        <v>811.22756921863413</v>
      </c>
      <c r="M26" s="438">
        <v>708.66102817839669</v>
      </c>
      <c r="N26" s="438">
        <v>640.08086271100456</v>
      </c>
      <c r="O26" s="163"/>
      <c r="P26" s="99">
        <f t="shared" si="0"/>
        <v>18.756031002063828</v>
      </c>
      <c r="Q26" s="99">
        <f t="shared" si="1"/>
        <v>31.965981606865213</v>
      </c>
      <c r="R26" s="99">
        <f t="shared" si="2"/>
        <v>15.042634930823434</v>
      </c>
      <c r="S26" s="99">
        <f t="shared" si="3"/>
        <v>24.478829230902047</v>
      </c>
      <c r="T26" s="99">
        <f t="shared" si="4"/>
        <v>44.710595701473842</v>
      </c>
      <c r="U26" s="99">
        <f t="shared" si="5"/>
        <v>21.467508557055055</v>
      </c>
      <c r="V26" s="99">
        <f t="shared" si="6"/>
        <v>23.310816868497426</v>
      </c>
      <c r="W26" s="99">
        <f t="shared" si="7"/>
        <v>30.775080303418605</v>
      </c>
      <c r="X26" s="99">
        <f t="shared" si="8"/>
        <v>30.107425399023835</v>
      </c>
      <c r="Y26" s="439">
        <f t="shared" si="9"/>
        <v>67.602297434886182</v>
      </c>
      <c r="Z26" s="99">
        <f t="shared" si="10"/>
        <v>59.055085681533058</v>
      </c>
      <c r="AA26" s="99">
        <f t="shared" si="11"/>
        <v>53.340071892583715</v>
      </c>
    </row>
    <row r="27" spans="1:27" s="95" customFormat="1">
      <c r="A27" s="1"/>
      <c r="B27" s="95">
        <v>2044</v>
      </c>
      <c r="C27" s="254">
        <v>224.00215293511459</v>
      </c>
      <c r="D27" s="254">
        <v>381.76725168431938</v>
      </c>
      <c r="E27" s="254">
        <v>180.2448050873935</v>
      </c>
      <c r="F27" s="254">
        <v>292.38585880996317</v>
      </c>
      <c r="G27" s="254">
        <v>534.04244669244554</v>
      </c>
      <c r="H27" s="254">
        <v>260.06907642391428</v>
      </c>
      <c r="I27" s="254">
        <v>282.51357133958874</v>
      </c>
      <c r="J27" s="254">
        <v>371.07221804329942</v>
      </c>
      <c r="K27" s="254">
        <v>369.23746509362826</v>
      </c>
      <c r="L27" s="438">
        <v>829.07457574144428</v>
      </c>
      <c r="M27" s="438">
        <v>724.25157079832138</v>
      </c>
      <c r="N27" s="438">
        <v>654.16264169064686</v>
      </c>
      <c r="O27" s="163"/>
      <c r="P27" s="99">
        <f t="shared" si="0"/>
        <v>18.666846077926216</v>
      </c>
      <c r="Q27" s="99">
        <f t="shared" si="1"/>
        <v>31.813937640359949</v>
      </c>
      <c r="R27" s="99">
        <f t="shared" si="2"/>
        <v>15.020400423949459</v>
      </c>
      <c r="S27" s="99">
        <f t="shared" si="3"/>
        <v>24.365488234163596</v>
      </c>
      <c r="T27" s="99">
        <f t="shared" si="4"/>
        <v>44.503537224370461</v>
      </c>
      <c r="U27" s="99">
        <f t="shared" si="5"/>
        <v>21.67242303532619</v>
      </c>
      <c r="V27" s="99">
        <f t="shared" si="6"/>
        <v>23.542797611632395</v>
      </c>
      <c r="W27" s="99">
        <f t="shared" si="7"/>
        <v>30.922684836941617</v>
      </c>
      <c r="X27" s="99">
        <f t="shared" si="8"/>
        <v>30.769788757802356</v>
      </c>
      <c r="Y27" s="439">
        <f t="shared" si="9"/>
        <v>69.089547978453695</v>
      </c>
      <c r="Z27" s="99">
        <f t="shared" si="10"/>
        <v>60.354297566526782</v>
      </c>
      <c r="AA27" s="99">
        <f t="shared" si="11"/>
        <v>54.513553474220572</v>
      </c>
    </row>
    <row r="28" spans="1:27" s="95" customFormat="1">
      <c r="A28" s="1"/>
      <c r="B28" s="95">
        <v>2045</v>
      </c>
      <c r="C28" s="99">
        <v>222.70960790416123</v>
      </c>
      <c r="D28" s="254">
        <v>379.5637966873137</v>
      </c>
      <c r="E28" s="254">
        <v>179.84381966242626</v>
      </c>
      <c r="F28" s="254">
        <v>290.73817390901752</v>
      </c>
      <c r="G28" s="254">
        <v>531.03244151601393</v>
      </c>
      <c r="H28" s="254">
        <v>262.53362148125308</v>
      </c>
      <c r="I28" s="254">
        <v>285.3076093509282</v>
      </c>
      <c r="J28" s="254">
        <v>372.87252879022117</v>
      </c>
      <c r="K28" s="254">
        <v>377.3606893256881</v>
      </c>
      <c r="L28" s="438">
        <v>847.31421640775591</v>
      </c>
      <c r="M28" s="438">
        <v>740.18510535588439</v>
      </c>
      <c r="N28" s="438">
        <v>668.55421980784104</v>
      </c>
      <c r="O28" s="163"/>
      <c r="P28" s="99">
        <f t="shared" si="0"/>
        <v>18.559133992013436</v>
      </c>
      <c r="Q28" s="99">
        <f t="shared" si="1"/>
        <v>31.630316390609476</v>
      </c>
      <c r="R28" s="99">
        <f t="shared" si="2"/>
        <v>14.986984971868855</v>
      </c>
      <c r="S28" s="99">
        <f t="shared" si="3"/>
        <v>24.228181159084794</v>
      </c>
      <c r="T28" s="99">
        <f t="shared" si="4"/>
        <v>44.252703459667828</v>
      </c>
      <c r="U28" s="99">
        <f t="shared" si="5"/>
        <v>21.877801790104424</v>
      </c>
      <c r="V28" s="99">
        <f t="shared" si="6"/>
        <v>23.77563411257735</v>
      </c>
      <c r="W28" s="99">
        <f t="shared" si="7"/>
        <v>31.072710732518431</v>
      </c>
      <c r="X28" s="99">
        <f t="shared" si="8"/>
        <v>31.446724110474008</v>
      </c>
      <c r="Y28" s="439">
        <f t="shared" si="9"/>
        <v>70.609518033979654</v>
      </c>
      <c r="Z28" s="99">
        <f t="shared" si="10"/>
        <v>61.682092112990368</v>
      </c>
      <c r="AA28" s="99">
        <f t="shared" si="11"/>
        <v>55.71285165065342</v>
      </c>
    </row>
    <row r="29" spans="1:27" s="95" customFormat="1">
      <c r="A29" s="1"/>
      <c r="C29" s="99"/>
      <c r="D29" s="99"/>
      <c r="E29" s="99"/>
      <c r="F29" s="99"/>
      <c r="G29" s="99"/>
      <c r="H29" s="99"/>
      <c r="I29" s="99"/>
      <c r="J29" s="99"/>
      <c r="K29" s="163"/>
      <c r="L29" s="163"/>
      <c r="M29" s="163"/>
      <c r="N29" s="163"/>
      <c r="O29" s="163"/>
      <c r="P29" s="99"/>
      <c r="Q29" s="99"/>
      <c r="R29" s="99"/>
      <c r="S29" s="99"/>
      <c r="T29" s="99"/>
      <c r="U29" s="99"/>
      <c r="V29" s="99"/>
      <c r="W29" s="99"/>
    </row>
    <row r="30" spans="1:27" s="95" customFormat="1">
      <c r="C30" s="99"/>
      <c r="D30" s="99"/>
      <c r="E30" s="99"/>
      <c r="F30" s="99"/>
      <c r="G30" s="99"/>
      <c r="H30" s="99"/>
      <c r="I30" s="99"/>
    </row>
    <row r="31" spans="1:27" s="95" customFormat="1">
      <c r="C31" s="99"/>
      <c r="D31" s="99"/>
      <c r="E31" s="99"/>
      <c r="F31" s="99"/>
      <c r="G31" s="99"/>
      <c r="H31" s="99"/>
      <c r="I31" s="99"/>
    </row>
    <row r="32" spans="1:27" s="95" customFormat="1">
      <c r="C32" s="510" t="s">
        <v>183</v>
      </c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P32" s="510" t="s">
        <v>184</v>
      </c>
      <c r="Q32" s="510"/>
      <c r="R32" s="510"/>
      <c r="S32" s="510"/>
      <c r="T32" s="510"/>
      <c r="U32" s="510"/>
      <c r="V32" s="510"/>
      <c r="W32" s="510"/>
      <c r="X32" s="510"/>
      <c r="Y32" s="510"/>
      <c r="Z32" s="510"/>
      <c r="AA32" s="510"/>
    </row>
    <row r="33" spans="2:27" s="95" customFormat="1">
      <c r="B33" s="95">
        <v>2023</v>
      </c>
      <c r="C33" s="99">
        <f t="shared" ref="C33:N33" si="12">C6/C$1</f>
        <v>48.601712667605547</v>
      </c>
      <c r="D33" s="99">
        <f t="shared" si="12"/>
        <v>43.629754447698524</v>
      </c>
      <c r="E33" s="99">
        <f t="shared" si="12"/>
        <v>37.167542791005019</v>
      </c>
      <c r="F33" s="99">
        <f t="shared" si="12"/>
        <v>33.368228380200392</v>
      </c>
      <c r="G33" s="99">
        <f t="shared" si="12"/>
        <v>31.468571174798068</v>
      </c>
      <c r="H33" s="99">
        <f t="shared" si="12"/>
        <v>48.468345383195697</v>
      </c>
      <c r="I33" s="99">
        <f t="shared" si="12"/>
        <v>52.389011523518967</v>
      </c>
      <c r="J33" s="99">
        <f t="shared" si="12"/>
        <v>2.4820849096348736</v>
      </c>
      <c r="K33" s="99">
        <f t="shared" si="12"/>
        <v>43.189466653628244</v>
      </c>
      <c r="L33" s="99">
        <f t="shared" si="12"/>
        <v>61.613864562123297</v>
      </c>
      <c r="M33" s="99">
        <f t="shared" si="12"/>
        <v>28.594310541770323</v>
      </c>
      <c r="N33" s="99">
        <f t="shared" si="12"/>
        <v>17.218292318655724</v>
      </c>
      <c r="O33" s="99"/>
      <c r="P33" s="254">
        <v>203.50837672441293</v>
      </c>
      <c r="Q33" s="254">
        <v>187.66907051253963</v>
      </c>
      <c r="R33" s="254">
        <v>167.08222229115222</v>
      </c>
      <c r="S33" s="254">
        <v>154.97864022423724</v>
      </c>
      <c r="T33" s="254">
        <v>148.92684919077976</v>
      </c>
      <c r="U33" s="254">
        <v>257.89594039512156</v>
      </c>
      <c r="V33" s="254">
        <v>287.11990502584854</v>
      </c>
      <c r="W33" s="254">
        <v>183.1202884738627</v>
      </c>
      <c r="X33" s="254">
        <v>132.93073697419865</v>
      </c>
      <c r="Y33" s="254">
        <v>265.41485377315092</v>
      </c>
      <c r="Z33" s="254">
        <v>152.33418931988729</v>
      </c>
      <c r="AA33" s="254">
        <v>113.37522280237161</v>
      </c>
    </row>
    <row r="34" spans="2:27" s="95" customFormat="1">
      <c r="B34" s="95">
        <v>2024</v>
      </c>
      <c r="C34" s="99">
        <f t="shared" ref="C34:N34" si="13">C7/C$1</f>
        <v>46.641989726074286</v>
      </c>
      <c r="D34" s="99">
        <f t="shared" si="13"/>
        <v>41.366965058260142</v>
      </c>
      <c r="E34" s="99">
        <f t="shared" si="13"/>
        <v>35.665773642468544</v>
      </c>
      <c r="F34" s="99">
        <f t="shared" si="13"/>
        <v>31.63435159957417</v>
      </c>
      <c r="G34" s="99">
        <f t="shared" si="13"/>
        <v>29.618640578126985</v>
      </c>
      <c r="H34" s="99">
        <f t="shared" si="13"/>
        <v>47.837629731584869</v>
      </c>
      <c r="I34" s="99">
        <f t="shared" si="13"/>
        <v>51.759209946570884</v>
      </c>
      <c r="J34" s="99">
        <f t="shared" si="13"/>
        <v>2.4968948595746996</v>
      </c>
      <c r="K34" s="99">
        <f t="shared" si="13"/>
        <v>44.194791868589412</v>
      </c>
      <c r="L34" s="99">
        <f t="shared" si="13"/>
        <v>63.059289509593739</v>
      </c>
      <c r="M34" s="99">
        <f t="shared" si="13"/>
        <v>29.264853422025613</v>
      </c>
      <c r="N34" s="99">
        <f t="shared" si="13"/>
        <v>17.621930971503399</v>
      </c>
      <c r="O34" s="99"/>
      <c r="P34" s="254">
        <v>196.0665421668987</v>
      </c>
      <c r="Q34" s="254">
        <v>179.26174870460449</v>
      </c>
      <c r="R34" s="254">
        <v>161.09930392667655</v>
      </c>
      <c r="S34" s="254">
        <v>148.25629009139661</v>
      </c>
      <c r="T34" s="254">
        <v>141.83478317375668</v>
      </c>
      <c r="U34" s="254">
        <v>253.74801768859322</v>
      </c>
      <c r="V34" s="254">
        <v>282.74950228326304</v>
      </c>
      <c r="W34" s="254">
        <v>179.1807958519162</v>
      </c>
      <c r="X34" s="254">
        <v>132.35932058920233</v>
      </c>
      <c r="Y34" s="254">
        <v>269.0666311665168</v>
      </c>
      <c r="Z34" s="254">
        <v>153.3322610036123</v>
      </c>
      <c r="AA34" s="254">
        <v>113.45923891278279</v>
      </c>
    </row>
    <row r="35" spans="2:27" s="95" customFormat="1">
      <c r="B35" s="95">
        <v>2025</v>
      </c>
      <c r="C35" s="99">
        <f t="shared" ref="C35:N35" si="14">C8/C$1</f>
        <v>45.407674479481649</v>
      </c>
      <c r="D35" s="99">
        <f t="shared" si="14"/>
        <v>40.152500021195785</v>
      </c>
      <c r="E35" s="99">
        <f t="shared" si="14"/>
        <v>34.719813790752291</v>
      </c>
      <c r="F35" s="99">
        <f t="shared" si="14"/>
        <v>30.703856051173272</v>
      </c>
      <c r="G35" s="99">
        <f t="shared" si="14"/>
        <v>28.695877181383754</v>
      </c>
      <c r="H35" s="99">
        <f t="shared" si="14"/>
        <v>47.739890862995793</v>
      </c>
      <c r="I35" s="99">
        <f t="shared" si="14"/>
        <v>51.689834156080579</v>
      </c>
      <c r="J35" s="99">
        <f t="shared" si="14"/>
        <v>2.5094091026879362</v>
      </c>
      <c r="K35" s="99">
        <f t="shared" si="14"/>
        <v>45.1796801319122</v>
      </c>
      <c r="L35" s="99">
        <f t="shared" si="14"/>
        <v>64.466829098294852</v>
      </c>
      <c r="M35" s="99">
        <f t="shared" si="14"/>
        <v>29.918018359620952</v>
      </c>
      <c r="N35" s="99">
        <f t="shared" si="14"/>
        <v>18.015209570647038</v>
      </c>
      <c r="O35" s="99"/>
      <c r="P35" s="254">
        <v>191.60692624276669</v>
      </c>
      <c r="Q35" s="254">
        <v>174.86537014755848</v>
      </c>
      <c r="R35" s="254">
        <v>157.5583098403157</v>
      </c>
      <c r="S35" s="254">
        <v>144.76456106816207</v>
      </c>
      <c r="T35" s="254">
        <v>138.36768668208521</v>
      </c>
      <c r="U35" s="254">
        <v>252.62655663945773</v>
      </c>
      <c r="V35" s="254">
        <v>281.67599169450216</v>
      </c>
      <c r="W35" s="254">
        <v>177.49244112449941</v>
      </c>
      <c r="X35" s="254">
        <v>132.82238108442468</v>
      </c>
      <c r="Y35" s="254">
        <v>273.32707779589936</v>
      </c>
      <c r="Z35" s="254">
        <v>155.0092328004408</v>
      </c>
      <c r="AA35" s="254">
        <v>114.24618900258491</v>
      </c>
    </row>
    <row r="36" spans="2:27" s="95" customFormat="1">
      <c r="B36" s="95">
        <v>2026</v>
      </c>
      <c r="C36" s="99">
        <f t="shared" ref="C36:N36" si="15">C9/C$1</f>
        <v>44.640703959835271</v>
      </c>
      <c r="D36" s="99">
        <f t="shared" si="15"/>
        <v>39.153249662024741</v>
      </c>
      <c r="E36" s="99">
        <f t="shared" si="15"/>
        <v>34.131927233790833</v>
      </c>
      <c r="F36" s="99">
        <f t="shared" si="15"/>
        <v>29.938121874000615</v>
      </c>
      <c r="G36" s="99">
        <f t="shared" si="15"/>
        <v>27.84121919410552</v>
      </c>
      <c r="H36" s="99">
        <f t="shared" si="15"/>
        <v>47.684254293626431</v>
      </c>
      <c r="I36" s="99">
        <f t="shared" si="15"/>
        <v>51.665385075729851</v>
      </c>
      <c r="J36" s="99">
        <f t="shared" si="15"/>
        <v>2.5221104484548702</v>
      </c>
      <c r="K36" s="99">
        <f t="shared" si="15"/>
        <v>46.186335544730518</v>
      </c>
      <c r="L36" s="99">
        <f t="shared" si="15"/>
        <v>65.905719455673093</v>
      </c>
      <c r="M36" s="99">
        <f t="shared" si="15"/>
        <v>30.58572587260387</v>
      </c>
      <c r="N36" s="99">
        <f t="shared" si="15"/>
        <v>18.417241541914631</v>
      </c>
      <c r="O36" s="99"/>
      <c r="P36" s="254">
        <v>189.46072213474952</v>
      </c>
      <c r="Q36" s="254">
        <v>171.97918566513957</v>
      </c>
      <c r="R36" s="254">
        <v>155.982618515621</v>
      </c>
      <c r="S36" s="254">
        <v>142.62229561090544</v>
      </c>
      <c r="T36" s="254">
        <v>135.9421341585477</v>
      </c>
      <c r="U36" s="254">
        <v>252.82511631295876</v>
      </c>
      <c r="V36" s="254">
        <v>282.0210096655199</v>
      </c>
      <c r="W36" s="254">
        <v>178.59193651155979</v>
      </c>
      <c r="X36" s="254">
        <v>134.60562533424954</v>
      </c>
      <c r="Y36" s="254">
        <v>278.6019549968201</v>
      </c>
      <c r="Z36" s="254">
        <v>157.64307286302133</v>
      </c>
      <c r="AA36" s="254">
        <v>115.97018131956507</v>
      </c>
    </row>
    <row r="37" spans="2:27" s="95" customFormat="1">
      <c r="B37" s="95">
        <v>2027</v>
      </c>
      <c r="C37" s="99">
        <f t="shared" ref="C37:N37" si="16">C10/C$1</f>
        <v>44.017194638589373</v>
      </c>
      <c r="D37" s="99">
        <f t="shared" si="16"/>
        <v>38.335990617033112</v>
      </c>
      <c r="E37" s="99">
        <f t="shared" si="16"/>
        <v>33.653848137206211</v>
      </c>
      <c r="F37" s="99">
        <f t="shared" si="16"/>
        <v>29.311705989045379</v>
      </c>
      <c r="G37" s="99">
        <f t="shared" si="16"/>
        <v>27.140634914964966</v>
      </c>
      <c r="H37" s="99">
        <f t="shared" si="16"/>
        <v>47.744947523556817</v>
      </c>
      <c r="I37" s="99">
        <f t="shared" si="16"/>
        <v>51.763846824816532</v>
      </c>
      <c r="J37" s="99">
        <f t="shared" si="16"/>
        <v>2.5350021121593524</v>
      </c>
      <c r="K37" s="99">
        <f t="shared" si="16"/>
        <v>47.215227370094517</v>
      </c>
      <c r="L37" s="99">
        <f t="shared" si="16"/>
        <v>67.376654531544901</v>
      </c>
      <c r="M37" s="99">
        <f t="shared" si="16"/>
        <v>31.26829744219047</v>
      </c>
      <c r="N37" s="99">
        <f t="shared" si="16"/>
        <v>18.828220175305244</v>
      </c>
      <c r="O37" s="99"/>
      <c r="P37" s="254">
        <v>188.12979914656552</v>
      </c>
      <c r="Q37" s="254">
        <v>170.03102876887755</v>
      </c>
      <c r="R37" s="254">
        <v>155.11499665729133</v>
      </c>
      <c r="S37" s="254">
        <v>141.28211310150661</v>
      </c>
      <c r="T37" s="254">
        <v>134.36567132361427</v>
      </c>
      <c r="U37" s="254">
        <v>253.98089155912925</v>
      </c>
      <c r="V37" s="254">
        <v>283.4051156161126</v>
      </c>
      <c r="W37" s="254">
        <v>180.90348102216518</v>
      </c>
      <c r="X37" s="254">
        <v>136.97900205169557</v>
      </c>
      <c r="Y37" s="254">
        <v>284.3809105725025</v>
      </c>
      <c r="Z37" s="254">
        <v>160.72215341717899</v>
      </c>
      <c r="AA37" s="254">
        <v>118.119149078531</v>
      </c>
    </row>
    <row r="38" spans="2:27" s="95" customFormat="1">
      <c r="B38" s="95">
        <v>2028</v>
      </c>
      <c r="C38" s="99">
        <f t="shared" ref="C38:N38" si="17">C11/C$1</f>
        <v>43.181691511765408</v>
      </c>
      <c r="D38" s="99">
        <f t="shared" si="17"/>
        <v>37.393650553699629</v>
      </c>
      <c r="E38" s="99">
        <f t="shared" si="17"/>
        <v>33.013020959468584</v>
      </c>
      <c r="F38" s="99">
        <f t="shared" si="17"/>
        <v>28.589161672112432</v>
      </c>
      <c r="G38" s="99">
        <f t="shared" si="17"/>
        <v>26.37723202843436</v>
      </c>
      <c r="H38" s="99">
        <f t="shared" si="17"/>
        <v>47.840010405239447</v>
      </c>
      <c r="I38" s="99">
        <f t="shared" si="17"/>
        <v>51.899137636906232</v>
      </c>
      <c r="J38" s="99">
        <f t="shared" si="17"/>
        <v>2.5473940686491225</v>
      </c>
      <c r="K38" s="99">
        <f t="shared" si="17"/>
        <v>48.253962372236607</v>
      </c>
      <c r="L38" s="99">
        <f t="shared" si="17"/>
        <v>68.858940931238934</v>
      </c>
      <c r="M38" s="99">
        <f t="shared" si="17"/>
        <v>31.956199985918673</v>
      </c>
      <c r="N38" s="99">
        <f t="shared" si="17"/>
        <v>19.242441019161962</v>
      </c>
      <c r="O38" s="99"/>
      <c r="P38" s="254">
        <v>186.6196648499548</v>
      </c>
      <c r="Q38" s="254">
        <v>168.18054105872895</v>
      </c>
      <c r="R38" s="254">
        <v>154.22504697070397</v>
      </c>
      <c r="S38" s="254">
        <v>140.13183484150315</v>
      </c>
      <c r="T38" s="254">
        <v>133.08522877690271</v>
      </c>
      <c r="U38" s="254">
        <v>255.96628397019597</v>
      </c>
      <c r="V38" s="254">
        <v>285.68280161785958</v>
      </c>
      <c r="W38" s="254">
        <v>184.88785979818391</v>
      </c>
      <c r="X38" s="254">
        <v>140.14559393521341</v>
      </c>
      <c r="Y38" s="254">
        <v>290.74469812940868</v>
      </c>
      <c r="Z38" s="254">
        <v>164.36544831666808</v>
      </c>
      <c r="AA38" s="254">
        <v>120.82517788256982</v>
      </c>
    </row>
    <row r="39" spans="2:27" s="95" customFormat="1">
      <c r="B39" s="95">
        <v>2029</v>
      </c>
      <c r="C39" s="99">
        <f t="shared" ref="C39:N39" si="18">C12/C$1</f>
        <v>42.679845413001182</v>
      </c>
      <c r="D39" s="99">
        <f t="shared" si="18"/>
        <v>36.604053947588667</v>
      </c>
      <c r="E39" s="99">
        <f t="shared" si="18"/>
        <v>32.627796483689472</v>
      </c>
      <c r="F39" s="99">
        <f t="shared" si="18"/>
        <v>27.98348145826775</v>
      </c>
      <c r="G39" s="99">
        <f t="shared" si="18"/>
        <v>25.66132394555688</v>
      </c>
      <c r="H39" s="99">
        <f t="shared" si="18"/>
        <v>48.004985628195833</v>
      </c>
      <c r="I39" s="99">
        <f t="shared" si="18"/>
        <v>52.108646779939825</v>
      </c>
      <c r="J39" s="99">
        <f t="shared" si="18"/>
        <v>2.5599909783613031</v>
      </c>
      <c r="K39" s="99">
        <f t="shared" si="18"/>
        <v>49.315549544425807</v>
      </c>
      <c r="L39" s="99">
        <f t="shared" si="18"/>
        <v>70.373837631726133</v>
      </c>
      <c r="M39" s="99">
        <f t="shared" si="18"/>
        <v>32.659236385608871</v>
      </c>
      <c r="N39" s="99">
        <f t="shared" si="18"/>
        <v>19.665774721583528</v>
      </c>
      <c r="O39" s="99"/>
      <c r="P39" s="254">
        <v>186.29422708471023</v>
      </c>
      <c r="Q39" s="254">
        <v>166.93840846281628</v>
      </c>
      <c r="R39" s="254">
        <v>154.27113396807525</v>
      </c>
      <c r="S39" s="254">
        <v>139.4756098348426</v>
      </c>
      <c r="T39" s="254">
        <v>132.07784776822629</v>
      </c>
      <c r="U39" s="254">
        <v>258.3958863793024</v>
      </c>
      <c r="V39" s="254">
        <v>288.44630815911148</v>
      </c>
      <c r="W39" s="254">
        <v>189.28521925357757</v>
      </c>
      <c r="X39" s="254">
        <v>143.53292480608505</v>
      </c>
      <c r="Y39" s="254">
        <v>297.35450713559203</v>
      </c>
      <c r="Z39" s="254">
        <v>168.19491382697123</v>
      </c>
      <c r="AA39" s="254">
        <v>123.69675744332284</v>
      </c>
    </row>
    <row r="40" spans="2:27" s="95" customFormat="1">
      <c r="B40" s="95">
        <v>2030</v>
      </c>
      <c r="C40" s="99">
        <f t="shared" ref="C40:N40" si="19">C13/C$1</f>
        <v>42.158431147104572</v>
      </c>
      <c r="D40" s="99">
        <f t="shared" si="19"/>
        <v>35.928088636904342</v>
      </c>
      <c r="E40" s="99">
        <f t="shared" si="19"/>
        <v>32.227376297612132</v>
      </c>
      <c r="F40" s="99">
        <f t="shared" si="19"/>
        <v>27.464690194093833</v>
      </c>
      <c r="G40" s="99">
        <f t="shared" si="19"/>
        <v>25.083347142334667</v>
      </c>
      <c r="H40" s="99">
        <f t="shared" si="19"/>
        <v>48.146893526877179</v>
      </c>
      <c r="I40" s="99">
        <f t="shared" si="19"/>
        <v>52.294721725511728</v>
      </c>
      <c r="J40" s="99">
        <f t="shared" si="19"/>
        <v>2.5727972447018681</v>
      </c>
      <c r="K40" s="99">
        <f t="shared" si="19"/>
        <v>50.400491634403167</v>
      </c>
      <c r="L40" s="99">
        <f t="shared" si="19"/>
        <v>71.922062059624153</v>
      </c>
      <c r="M40" s="99">
        <f t="shared" si="19"/>
        <v>33.377739586092254</v>
      </c>
      <c r="N40" s="99">
        <f t="shared" si="19"/>
        <v>20.098421765458358</v>
      </c>
      <c r="O40" s="99"/>
      <c r="P40" s="254">
        <v>186.01674722018547</v>
      </c>
      <c r="Q40" s="254">
        <v>166.16857101693535</v>
      </c>
      <c r="R40" s="254">
        <v>154.37910832406436</v>
      </c>
      <c r="S40" s="254">
        <v>139.20648614018947</v>
      </c>
      <c r="T40" s="254">
        <v>131.62017504825209</v>
      </c>
      <c r="U40" s="254">
        <v>260.88973175248111</v>
      </c>
      <c r="V40" s="254">
        <v>291.27915967440333</v>
      </c>
      <c r="W40" s="254">
        <v>194.05686890759728</v>
      </c>
      <c r="X40" s="254">
        <v>147.12369965315588</v>
      </c>
      <c r="Y40" s="254">
        <v>304.20020512152604</v>
      </c>
      <c r="Z40" s="254">
        <v>172.19910076011541</v>
      </c>
      <c r="AA40" s="254">
        <v>126.7219849360267</v>
      </c>
    </row>
    <row r="41" spans="2:27" s="95" customFormat="1">
      <c r="B41" s="95">
        <v>2031</v>
      </c>
      <c r="C41" s="99">
        <f t="shared" ref="C41:N41" si="20">C14/C$1</f>
        <v>42.548334899909349</v>
      </c>
      <c r="D41" s="99">
        <f t="shared" si="20"/>
        <v>36.258126451135801</v>
      </c>
      <c r="E41" s="99">
        <f t="shared" si="20"/>
        <v>32.525576490681985</v>
      </c>
      <c r="F41" s="99">
        <f t="shared" si="20"/>
        <v>27.717101177768097</v>
      </c>
      <c r="G41" s="99">
        <f t="shared" si="20"/>
        <v>25.312863521311151</v>
      </c>
      <c r="H41" s="99">
        <f t="shared" si="20"/>
        <v>48.317734705478756</v>
      </c>
      <c r="I41" s="99">
        <f t="shared" si="20"/>
        <v>52.512003581080144</v>
      </c>
      <c r="J41" s="99">
        <f t="shared" si="20"/>
        <v>2.5858173677870364</v>
      </c>
      <c r="K41" s="99">
        <f t="shared" si="20"/>
        <v>51.509302450360053</v>
      </c>
      <c r="L41" s="99">
        <f t="shared" si="20"/>
        <v>73.504347424935858</v>
      </c>
      <c r="M41" s="99">
        <f t="shared" si="20"/>
        <v>34.112049856986275</v>
      </c>
      <c r="N41" s="99">
        <f t="shared" si="20"/>
        <v>20.540587044298452</v>
      </c>
      <c r="O41" s="99"/>
      <c r="P41" s="254">
        <v>188.22518296469522</v>
      </c>
      <c r="Q41" s="254">
        <v>168.18629016834745</v>
      </c>
      <c r="R41" s="254">
        <v>156.29540147623595</v>
      </c>
      <c r="S41" s="254">
        <v>140.97690732869242</v>
      </c>
      <c r="T41" s="254">
        <v>133.31766025492078</v>
      </c>
      <c r="U41" s="254">
        <v>262.91218665419296</v>
      </c>
      <c r="V41" s="254">
        <v>293.61471526984263</v>
      </c>
      <c r="W41" s="254">
        <v>197.41998335987176</v>
      </c>
      <c r="X41" s="254">
        <v>150.09195969403046</v>
      </c>
      <c r="Y41" s="254">
        <v>310.70421338460284</v>
      </c>
      <c r="Z41" s="254">
        <v>175.79908472724117</v>
      </c>
      <c r="AA41" s="254">
        <v>129.32147235502259</v>
      </c>
    </row>
    <row r="42" spans="2:27" s="95" customFormat="1">
      <c r="B42" s="95">
        <v>2032</v>
      </c>
      <c r="C42" s="99">
        <f t="shared" ref="C42:N42" si="21">C15/C$1</f>
        <v>42.616684526147957</v>
      </c>
      <c r="D42" s="99">
        <f t="shared" si="21"/>
        <v>36.316335858272708</v>
      </c>
      <c r="E42" s="99">
        <f t="shared" si="21"/>
        <v>32.808440622651091</v>
      </c>
      <c r="F42" s="99">
        <f t="shared" si="21"/>
        <v>27.76350951174452</v>
      </c>
      <c r="G42" s="99">
        <f t="shared" si="21"/>
        <v>25.355230318984766</v>
      </c>
      <c r="H42" s="99">
        <f t="shared" si="21"/>
        <v>48.525753910646308</v>
      </c>
      <c r="I42" s="99">
        <f t="shared" si="21"/>
        <v>52.769170881148426</v>
      </c>
      <c r="J42" s="99">
        <f t="shared" si="21"/>
        <v>2.5990559465706542</v>
      </c>
      <c r="K42" s="99">
        <f t="shared" si="21"/>
        <v>52.642507104267963</v>
      </c>
      <c r="L42" s="99">
        <f t="shared" si="21"/>
        <v>75.121443068284492</v>
      </c>
      <c r="M42" s="99">
        <f t="shared" si="21"/>
        <v>34.862514953839998</v>
      </c>
      <c r="N42" s="99">
        <f t="shared" si="21"/>
        <v>20.992479959273023</v>
      </c>
      <c r="O42" s="99"/>
      <c r="P42" s="254">
        <v>189.76667190163198</v>
      </c>
      <c r="Q42" s="254">
        <v>169.69547512598606</v>
      </c>
      <c r="R42" s="254">
        <v>158.52027526736353</v>
      </c>
      <c r="S42" s="254">
        <v>142.44849727785552</v>
      </c>
      <c r="T42" s="254">
        <v>134.77637496896807</v>
      </c>
      <c r="U42" s="254">
        <v>265.58092277626736</v>
      </c>
      <c r="V42" s="254">
        <v>296.64863475315946</v>
      </c>
      <c r="W42" s="254">
        <v>201.99260198622937</v>
      </c>
      <c r="X42" s="254">
        <v>153.65224627195249</v>
      </c>
      <c r="Y42" s="254">
        <v>317.72094582876224</v>
      </c>
      <c r="Z42" s="254">
        <v>179.84790434093858</v>
      </c>
      <c r="AA42" s="254">
        <v>132.34778449653118</v>
      </c>
    </row>
    <row r="43" spans="2:27" s="95" customFormat="1">
      <c r="B43" s="95">
        <v>2033</v>
      </c>
      <c r="C43" s="99">
        <f t="shared" ref="C43:N43" si="22">C16/C$1</f>
        <v>56.515546240973578</v>
      </c>
      <c r="D43" s="99">
        <f t="shared" si="22"/>
        <v>48.160415178741232</v>
      </c>
      <c r="E43" s="99">
        <f t="shared" si="22"/>
        <v>43.71321625431986</v>
      </c>
      <c r="F43" s="99">
        <f t="shared" si="22"/>
        <v>36.847950752034812</v>
      </c>
      <c r="G43" s="99">
        <f t="shared" si="22"/>
        <v>33.651659750661068</v>
      </c>
      <c r="H43" s="99">
        <f t="shared" si="22"/>
        <v>59.150586197325836</v>
      </c>
      <c r="I43" s="99">
        <f t="shared" si="22"/>
        <v>63.969438954252006</v>
      </c>
      <c r="J43" s="99">
        <f t="shared" si="22"/>
        <v>3.530585104932344</v>
      </c>
      <c r="K43" s="99">
        <f t="shared" si="22"/>
        <v>72.658414313727931</v>
      </c>
      <c r="L43" s="99">
        <f t="shared" si="22"/>
        <v>76.774114815786731</v>
      </c>
      <c r="M43" s="99">
        <f t="shared" si="22"/>
        <v>35.629490282824456</v>
      </c>
      <c r="N43" s="99">
        <f t="shared" si="22"/>
        <v>21.454314518377029</v>
      </c>
      <c r="O43" s="99"/>
      <c r="P43" s="254">
        <v>235.60716216762572</v>
      </c>
      <c r="Q43" s="254">
        <v>208.98998771005225</v>
      </c>
      <c r="R43" s="254">
        <v>194.82242184697034</v>
      </c>
      <c r="S43" s="254">
        <v>172.95155372882752</v>
      </c>
      <c r="T43" s="254">
        <v>162.76904018510737</v>
      </c>
      <c r="U43" s="254">
        <v>309.35445743615503</v>
      </c>
      <c r="V43" s="254">
        <v>344.78799663982892</v>
      </c>
      <c r="W43" s="254">
        <v>214.26480153186341</v>
      </c>
      <c r="X43" s="254">
        <v>177.49051145104488</v>
      </c>
      <c r="Y43" s="254">
        <v>325.12253965754201</v>
      </c>
      <c r="Z43" s="254">
        <v>184.2162912569863</v>
      </c>
      <c r="AA43" s="254">
        <v>135.67116877600188</v>
      </c>
    </row>
    <row r="44" spans="2:27" s="95" customFormat="1">
      <c r="B44" s="95">
        <v>2034</v>
      </c>
      <c r="C44" s="99">
        <f t="shared" ref="C44:N44" si="23">C17/C$1</f>
        <v>56.65253474835113</v>
      </c>
      <c r="D44" s="99">
        <f t="shared" si="23"/>
        <v>48.277101553963199</v>
      </c>
      <c r="E44" s="99">
        <f t="shared" si="23"/>
        <v>44.082007606631144</v>
      </c>
      <c r="F44" s="99">
        <f t="shared" si="23"/>
        <v>36.939578152579223</v>
      </c>
      <c r="G44" s="99">
        <f t="shared" si="23"/>
        <v>33.735316665722202</v>
      </c>
      <c r="H44" s="99">
        <f t="shared" si="23"/>
        <v>59.389137072323358</v>
      </c>
      <c r="I44" s="99">
        <f t="shared" si="23"/>
        <v>64.260397524570905</v>
      </c>
      <c r="J44" s="99">
        <f t="shared" si="23"/>
        <v>3.5457069834248478</v>
      </c>
      <c r="K44" s="99">
        <f t="shared" si="23"/>
        <v>74.256899428629922</v>
      </c>
      <c r="L44" s="99">
        <f t="shared" si="23"/>
        <v>78.463145341734034</v>
      </c>
      <c r="M44" s="99">
        <f t="shared" si="23"/>
        <v>36.413339069046607</v>
      </c>
      <c r="N44" s="99">
        <f t="shared" si="23"/>
        <v>21.926309437781317</v>
      </c>
      <c r="O44" s="99"/>
      <c r="P44" s="254">
        <v>237.62427245679345</v>
      </c>
      <c r="Q44" s="254">
        <v>210.94242092959396</v>
      </c>
      <c r="R44" s="254">
        <v>197.57799293554464</v>
      </c>
      <c r="S44" s="254">
        <v>174.82415587262048</v>
      </c>
      <c r="T44" s="254">
        <v>164.61625053061019</v>
      </c>
      <c r="U44" s="254">
        <v>312.50268805931205</v>
      </c>
      <c r="V44" s="254">
        <v>348.34488910126078</v>
      </c>
      <c r="W44" s="254">
        <v>219.71987315744525</v>
      </c>
      <c r="X44" s="254">
        <v>181.95667833536086</v>
      </c>
      <c r="Y44" s="254">
        <v>332.66918819086163</v>
      </c>
      <c r="Z44" s="254">
        <v>188.66300232549369</v>
      </c>
      <c r="AA44" s="254">
        <v>139.04988714992763</v>
      </c>
    </row>
    <row r="45" spans="2:27" s="95" customFormat="1">
      <c r="B45" s="95">
        <v>2035</v>
      </c>
      <c r="C45" s="99">
        <f t="shared" ref="C45:N45" si="24">C18/C$1</f>
        <v>56.759375408951065</v>
      </c>
      <c r="D45" s="99">
        <f t="shared" si="24"/>
        <v>48.368095476366562</v>
      </c>
      <c r="E45" s="99">
        <f t="shared" si="24"/>
        <v>44.445868581776885</v>
      </c>
      <c r="F45" s="99">
        <f t="shared" si="24"/>
        <v>37.011709537927203</v>
      </c>
      <c r="G45" s="99">
        <f t="shared" si="24"/>
        <v>33.801167983500584</v>
      </c>
      <c r="H45" s="99">
        <f t="shared" si="24"/>
        <v>59.753308294038085</v>
      </c>
      <c r="I45" s="99">
        <f t="shared" si="24"/>
        <v>64.684201138847229</v>
      </c>
      <c r="J45" s="99">
        <f t="shared" si="24"/>
        <v>3.5610639636938357</v>
      </c>
      <c r="K45" s="99">
        <f t="shared" si="24"/>
        <v>75.890551216059762</v>
      </c>
      <c r="L45" s="99">
        <f t="shared" si="24"/>
        <v>80.189334539252172</v>
      </c>
      <c r="M45" s="99">
        <f t="shared" si="24"/>
        <v>37.214432528565631</v>
      </c>
      <c r="N45" s="99">
        <f t="shared" si="24"/>
        <v>22.408688245412506</v>
      </c>
      <c r="O45" s="99"/>
      <c r="P45" s="254">
        <v>239.62621241545634</v>
      </c>
      <c r="Q45" s="254">
        <v>212.89387749164467</v>
      </c>
      <c r="R45" s="254">
        <v>200.39872969110414</v>
      </c>
      <c r="S45" s="254">
        <v>176.71552152337642</v>
      </c>
      <c r="T45" s="254">
        <v>166.48760959465196</v>
      </c>
      <c r="U45" s="254">
        <v>316.25588602994571</v>
      </c>
      <c r="V45" s="254">
        <v>352.5661115728945</v>
      </c>
      <c r="W45" s="254">
        <v>225.44999674878713</v>
      </c>
      <c r="X45" s="254">
        <v>186.59332583851995</v>
      </c>
      <c r="Y45" s="254">
        <v>340.43254778933289</v>
      </c>
      <c r="Z45" s="254">
        <v>193.25822583492695</v>
      </c>
      <c r="AA45" s="254">
        <v>142.55362212549838</v>
      </c>
    </row>
    <row r="46" spans="2:27" s="95" customFormat="1">
      <c r="B46" s="95">
        <v>2036</v>
      </c>
      <c r="C46" s="99">
        <f t="shared" ref="C46:N46" si="25">C19/C$1</f>
        <v>56.834101114809293</v>
      </c>
      <c r="D46" s="99">
        <f t="shared" si="25"/>
        <v>48.431720644316009</v>
      </c>
      <c r="E46" s="99">
        <f t="shared" si="25"/>
        <v>44.80440374814755</v>
      </c>
      <c r="F46" s="99">
        <f t="shared" si="25"/>
        <v>37.063072107604548</v>
      </c>
      <c r="G46" s="99">
        <f t="shared" si="25"/>
        <v>33.84805130647468</v>
      </c>
      <c r="H46" s="99">
        <f t="shared" si="25"/>
        <v>60.20090974306386</v>
      </c>
      <c r="I46" s="99">
        <f t="shared" si="25"/>
        <v>65.196551095944599</v>
      </c>
      <c r="J46" s="99">
        <f t="shared" si="25"/>
        <v>3.5766610657542888</v>
      </c>
      <c r="K46" s="99">
        <f t="shared" si="25"/>
        <v>77.560143342813063</v>
      </c>
      <c r="L46" s="99">
        <f t="shared" si="25"/>
        <v>81.953499899115741</v>
      </c>
      <c r="M46" s="99">
        <f t="shared" si="25"/>
        <v>38.03315004419408</v>
      </c>
      <c r="N46" s="99">
        <f t="shared" si="25"/>
        <v>22.901679386811576</v>
      </c>
      <c r="O46" s="99"/>
      <c r="P46" s="254">
        <v>241.51513171978846</v>
      </c>
      <c r="Q46" s="254">
        <v>214.74743350222468</v>
      </c>
      <c r="R46" s="254">
        <v>203.19178872309615</v>
      </c>
      <c r="S46" s="254">
        <v>178.53001223203836</v>
      </c>
      <c r="T46" s="254">
        <v>168.28783064194653</v>
      </c>
      <c r="U46" s="254">
        <v>320.32061475172452</v>
      </c>
      <c r="V46" s="254">
        <v>357.13337265718923</v>
      </c>
      <c r="W46" s="254">
        <v>231.14572723122222</v>
      </c>
      <c r="X46" s="254">
        <v>191.25792347240429</v>
      </c>
      <c r="Y46" s="254">
        <v>348.31473145629326</v>
      </c>
      <c r="Z46" s="254">
        <v>197.9025744188902</v>
      </c>
      <c r="AA46" s="254">
        <v>146.08246942785431</v>
      </c>
    </row>
    <row r="47" spans="2:27" s="95" customFormat="1">
      <c r="B47" s="95">
        <v>2037</v>
      </c>
      <c r="C47" s="99">
        <f t="shared" ref="C47:N47" si="26">C20/C$1</f>
        <v>56.874635409821188</v>
      </c>
      <c r="D47" s="99">
        <f t="shared" si="26"/>
        <v>48.466207576877089</v>
      </c>
      <c r="E47" s="99">
        <f t="shared" si="26"/>
        <v>44.924142766639861</v>
      </c>
      <c r="F47" s="99">
        <f t="shared" si="26"/>
        <v>37.092322366094912</v>
      </c>
      <c r="G47" s="99">
        <f t="shared" si="26"/>
        <v>33.874739675710209</v>
      </c>
      <c r="H47" s="99">
        <f t="shared" si="26"/>
        <v>60.723450833464319</v>
      </c>
      <c r="I47" s="99">
        <f t="shared" si="26"/>
        <v>65.78854850535167</v>
      </c>
      <c r="J47" s="99">
        <f t="shared" si="26"/>
        <v>3.5925034198240513</v>
      </c>
      <c r="K47" s="99">
        <f t="shared" si="26"/>
        <v>79.266466496354994</v>
      </c>
      <c r="L47" s="99">
        <f t="shared" si="26"/>
        <v>83.756476896896274</v>
      </c>
      <c r="M47" s="99">
        <f t="shared" si="26"/>
        <v>38.869879345166346</v>
      </c>
      <c r="N47" s="99">
        <f t="shared" si="26"/>
        <v>23.405516333321433</v>
      </c>
      <c r="O47" s="99"/>
      <c r="P47" s="254">
        <v>243.37554277079732</v>
      </c>
      <c r="Q47" s="254">
        <v>216.5885793017178</v>
      </c>
      <c r="R47" s="254">
        <v>205.30452447458418</v>
      </c>
      <c r="S47" s="254">
        <v>180.35447541263792</v>
      </c>
      <c r="T47" s="254">
        <v>170.10413234037057</v>
      </c>
      <c r="U47" s="254">
        <v>324.79131271967964</v>
      </c>
      <c r="V47" s="254">
        <v>362.1467479681283</v>
      </c>
      <c r="W47" s="254">
        <v>237.11504416679617</v>
      </c>
      <c r="X47" s="254">
        <v>196.09423394661189</v>
      </c>
      <c r="Y47" s="254">
        <v>356.41880915883701</v>
      </c>
      <c r="Z47" s="254">
        <v>202.69758466661128</v>
      </c>
      <c r="AA47" s="254">
        <v>149.73743736577256</v>
      </c>
    </row>
    <row r="48" spans="2:27" s="95" customFormat="1">
      <c r="B48" s="95">
        <v>2038</v>
      </c>
      <c r="C48" s="99">
        <f t="shared" ref="C48:N48" si="27">C21/C$1</f>
        <v>56.878786196614307</v>
      </c>
      <c r="D48" s="99">
        <f t="shared" si="27"/>
        <v>48.469688251356466</v>
      </c>
      <c r="E48" s="99">
        <f t="shared" si="27"/>
        <v>45.021827717554203</v>
      </c>
      <c r="F48" s="99">
        <f t="shared" si="27"/>
        <v>37.098042057568598</v>
      </c>
      <c r="G48" s="99">
        <f t="shared" si="27"/>
        <v>33.879937858357252</v>
      </c>
      <c r="H48" s="99">
        <f t="shared" si="27"/>
        <v>61.337085958170462</v>
      </c>
      <c r="I48" s="99">
        <f t="shared" si="27"/>
        <v>66.477183018810408</v>
      </c>
      <c r="J48" s="99">
        <f t="shared" si="27"/>
        <v>3.6085962687479234</v>
      </c>
      <c r="K48" s="99">
        <f t="shared" si="27"/>
        <v>81.010328759274799</v>
      </c>
      <c r="L48" s="99">
        <f t="shared" si="27"/>
        <v>85.599119388628026</v>
      </c>
      <c r="M48" s="99">
        <f t="shared" si="27"/>
        <v>39.725016690760008</v>
      </c>
      <c r="N48" s="99">
        <f t="shared" si="27"/>
        <v>23.920437692654502</v>
      </c>
      <c r="O48" s="99"/>
      <c r="P48" s="254">
        <v>245.07036742270674</v>
      </c>
      <c r="Q48" s="254">
        <v>218.28126915810711</v>
      </c>
      <c r="R48" s="254">
        <v>207.29732352637001</v>
      </c>
      <c r="S48" s="254">
        <v>182.05429816802143</v>
      </c>
      <c r="T48" s="254">
        <v>171.80229371051482</v>
      </c>
      <c r="U48" s="254">
        <v>329.54894349194785</v>
      </c>
      <c r="V48" s="254">
        <v>367.48089216552574</v>
      </c>
      <c r="W48" s="254">
        <v>242.91836617895493</v>
      </c>
      <c r="X48" s="254">
        <v>200.89943040590842</v>
      </c>
      <c r="Y48" s="254">
        <v>364.60467514078078</v>
      </c>
      <c r="Z48" s="254">
        <v>207.50158370972585</v>
      </c>
      <c r="AA48" s="254">
        <v>153.37631316826872</v>
      </c>
    </row>
    <row r="49" spans="2:27" s="95" customFormat="1">
      <c r="B49" s="95">
        <v>2039</v>
      </c>
      <c r="C49" s="99">
        <f t="shared" ref="C49:N49" si="28">C22/C$1</f>
        <v>56.844239061000025</v>
      </c>
      <c r="D49" s="99">
        <f t="shared" si="28"/>
        <v>48.440190414978993</v>
      </c>
      <c r="E49" s="99">
        <f t="shared" si="28"/>
        <v>45.096063283063209</v>
      </c>
      <c r="F49" s="99">
        <f t="shared" si="28"/>
        <v>37.078733853699575</v>
      </c>
      <c r="G49" s="99">
        <f t="shared" si="28"/>
        <v>33.862278409663091</v>
      </c>
      <c r="H49" s="99">
        <f t="shared" si="28"/>
        <v>61.950157054055488</v>
      </c>
      <c r="I49" s="99">
        <f t="shared" si="28"/>
        <v>67.166194083910156</v>
      </c>
      <c r="J49" s="99">
        <f t="shared" si="28"/>
        <v>3.6249449704750702</v>
      </c>
      <c r="K49" s="99">
        <f t="shared" si="28"/>
        <v>82.79255599197883</v>
      </c>
      <c r="L49" s="99">
        <f t="shared" si="28"/>
        <v>87.482300015177813</v>
      </c>
      <c r="M49" s="99">
        <f t="shared" si="28"/>
        <v>40.598967057956727</v>
      </c>
      <c r="N49" s="99">
        <f t="shared" si="28"/>
        <v>24.446687321892899</v>
      </c>
      <c r="O49" s="99"/>
      <c r="P49" s="254">
        <v>246.83231167760695</v>
      </c>
      <c r="Q49" s="254">
        <v>220.05929910665756</v>
      </c>
      <c r="R49" s="254">
        <v>209.4058198715006</v>
      </c>
      <c r="S49" s="254">
        <v>183.86478951354061</v>
      </c>
      <c r="T49" s="254">
        <v>173.61803754145873</v>
      </c>
      <c r="U49" s="254">
        <v>334.57111851067509</v>
      </c>
      <c r="V49" s="254">
        <v>373.10170348644908</v>
      </c>
      <c r="W49" s="254">
        <v>249.36701735168981</v>
      </c>
      <c r="X49" s="254">
        <v>206.0506970561635</v>
      </c>
      <c r="Y49" s="254">
        <v>373.13930303546141</v>
      </c>
      <c r="Z49" s="254">
        <v>212.57994359292346</v>
      </c>
      <c r="AA49" s="254">
        <v>157.26391709955419</v>
      </c>
    </row>
    <row r="50" spans="2:27" s="95" customFormat="1">
      <c r="B50" s="95">
        <v>2040</v>
      </c>
      <c r="C50" s="99">
        <f t="shared" ref="C50:N50" si="29">C23/C$1</f>
        <v>56.768550189911238</v>
      </c>
      <c r="D50" s="99">
        <f t="shared" si="29"/>
        <v>48.37563155017434</v>
      </c>
      <c r="E50" s="99">
        <f t="shared" si="29"/>
        <v>45.145379534789328</v>
      </c>
      <c r="F50" s="99">
        <f t="shared" si="29"/>
        <v>37.032816779020912</v>
      </c>
      <c r="G50" s="99">
        <f t="shared" si="29"/>
        <v>33.82031749530104</v>
      </c>
      <c r="H50" s="99">
        <f t="shared" si="29"/>
        <v>62.562933360366088</v>
      </c>
      <c r="I50" s="99">
        <f t="shared" si="29"/>
        <v>67.855885839344225</v>
      </c>
      <c r="J50" s="99">
        <f t="shared" si="29"/>
        <v>3.6415550005909667</v>
      </c>
      <c r="K50" s="99">
        <f t="shared" si="29"/>
        <v>84.61399222380237</v>
      </c>
      <c r="L50" s="99">
        <f t="shared" si="29"/>
        <v>89.406910615511691</v>
      </c>
      <c r="M50" s="99">
        <f t="shared" si="29"/>
        <v>41.492144333231757</v>
      </c>
      <c r="N50" s="99">
        <f t="shared" si="29"/>
        <v>24.984514442974543</v>
      </c>
      <c r="O50" s="99"/>
      <c r="P50" s="254">
        <v>248.4957243212462</v>
      </c>
      <c r="Q50" s="254">
        <v>221.75816892227562</v>
      </c>
      <c r="R50" s="254">
        <v>211.46746482738865</v>
      </c>
      <c r="S50" s="254">
        <v>185.62304700079281</v>
      </c>
      <c r="T50" s="254">
        <v>175.38889827916216</v>
      </c>
      <c r="U50" s="254">
        <v>339.63772104131453</v>
      </c>
      <c r="V50" s="254">
        <v>378.77401946279645</v>
      </c>
      <c r="W50" s="254">
        <v>255.92757272209275</v>
      </c>
      <c r="X50" s="254">
        <v>211.30173986717597</v>
      </c>
      <c r="Y50" s="254">
        <v>381.85218265797221</v>
      </c>
      <c r="Z50" s="254">
        <v>217.76051730769845</v>
      </c>
      <c r="AA50" s="254">
        <v>161.22753823147508</v>
      </c>
    </row>
    <row r="51" spans="2:27" s="95" customFormat="1">
      <c r="B51" s="95">
        <v>2041</v>
      </c>
      <c r="C51" s="99">
        <f t="shared" ref="C51:N51" si="30">C24/C$1</f>
        <v>56.64913885718402</v>
      </c>
      <c r="D51" s="99">
        <f t="shared" si="30"/>
        <v>48.273812471622129</v>
      </c>
      <c r="E51" s="99">
        <f t="shared" si="30"/>
        <v>45.168227770987997</v>
      </c>
      <c r="F51" s="99">
        <f t="shared" si="30"/>
        <v>36.958621357265748</v>
      </c>
      <c r="G51" s="99">
        <f t="shared" si="30"/>
        <v>33.752530458899081</v>
      </c>
      <c r="H51" s="99">
        <f t="shared" si="30"/>
        <v>63.175706707447674</v>
      </c>
      <c r="I51" s="99">
        <f t="shared" si="30"/>
        <v>68.546586623439538</v>
      </c>
      <c r="J51" s="99">
        <f t="shared" si="30"/>
        <v>3.6584319549050095</v>
      </c>
      <c r="K51" s="99">
        <f t="shared" si="30"/>
        <v>86.475500052726019</v>
      </c>
      <c r="L51" s="99">
        <f t="shared" si="30"/>
        <v>91.373862649052938</v>
      </c>
      <c r="M51" s="99">
        <f t="shared" si="30"/>
        <v>42.404971508562873</v>
      </c>
      <c r="N51" s="99">
        <f t="shared" si="30"/>
        <v>25.534173760719984</v>
      </c>
      <c r="O51" s="99"/>
      <c r="P51" s="254">
        <v>249.92650250634159</v>
      </c>
      <c r="Q51" s="254">
        <v>223.24499124300331</v>
      </c>
      <c r="R51" s="254">
        <v>213.35144329577761</v>
      </c>
      <c r="S51" s="254">
        <v>187.19787077675178</v>
      </c>
      <c r="T51" s="254">
        <v>176.98413742738359</v>
      </c>
      <c r="U51" s="254">
        <v>344.57353318197528</v>
      </c>
      <c r="V51" s="254">
        <v>384.31067382098655</v>
      </c>
      <c r="W51" s="254">
        <v>262.17469151360979</v>
      </c>
      <c r="X51" s="254">
        <v>216.45640134080497</v>
      </c>
      <c r="Y51" s="254">
        <v>390.60803904459192</v>
      </c>
      <c r="Z51" s="254">
        <v>222.90635705661211</v>
      </c>
      <c r="AA51" s="254">
        <v>165.12965244071177</v>
      </c>
    </row>
    <row r="52" spans="2:27" s="95" customFormat="1">
      <c r="B52" s="95">
        <v>2042</v>
      </c>
      <c r="C52" s="99">
        <f t="shared" ref="C52:N52" si="31">C25/C$1</f>
        <v>56.483279449891228</v>
      </c>
      <c r="D52" s="99">
        <f t="shared" si="31"/>
        <v>48.132410531800737</v>
      </c>
      <c r="E52" s="99">
        <f t="shared" si="31"/>
        <v>45.162976105428037</v>
      </c>
      <c r="F52" s="99">
        <f t="shared" si="31"/>
        <v>36.854384461078439</v>
      </c>
      <c r="G52" s="99">
        <f t="shared" si="31"/>
        <v>33.657307118681047</v>
      </c>
      <c r="H52" s="99">
        <f t="shared" si="31"/>
        <v>63.788791666741204</v>
      </c>
      <c r="I52" s="99">
        <f t="shared" si="31"/>
        <v>69.238649142037204</v>
      </c>
      <c r="J52" s="99">
        <f t="shared" si="31"/>
        <v>3.6755815520950681</v>
      </c>
      <c r="K52" s="99">
        <f t="shared" si="31"/>
        <v>88.377961053885997</v>
      </c>
      <c r="L52" s="99">
        <f t="shared" si="31"/>
        <v>93.384087627332164</v>
      </c>
      <c r="M52" s="99">
        <f t="shared" si="31"/>
        <v>43.337880881751254</v>
      </c>
      <c r="N52" s="99">
        <f t="shared" si="31"/>
        <v>26.095925583455838</v>
      </c>
      <c r="O52" s="99"/>
      <c r="P52" s="254">
        <v>251.35253780053878</v>
      </c>
      <c r="Q52" s="254">
        <v>224.74894137463713</v>
      </c>
      <c r="R52" s="254">
        <v>215.28913116000618</v>
      </c>
      <c r="S52" s="254">
        <v>188.8202186262387</v>
      </c>
      <c r="T52" s="254">
        <v>178.63520001395005</v>
      </c>
      <c r="U52" s="254">
        <v>349.71122778003996</v>
      </c>
      <c r="V52" s="254">
        <v>390.06738227500063</v>
      </c>
      <c r="W52" s="254">
        <v>268.90785809723303</v>
      </c>
      <c r="X52" s="254">
        <v>221.88644422227944</v>
      </c>
      <c r="Y52" s="254">
        <v>399.67019504297053</v>
      </c>
      <c r="Z52" s="254">
        <v>228.2790760512552</v>
      </c>
      <c r="AA52" s="254">
        <v>169.23128393380512</v>
      </c>
    </row>
    <row r="53" spans="2:27" s="95" customFormat="1">
      <c r="B53" s="95">
        <v>2043</v>
      </c>
      <c r="C53" s="99">
        <f t="shared" ref="C53:N53" si="32">C26/C$1</f>
        <v>56.268093006191485</v>
      </c>
      <c r="D53" s="99">
        <f t="shared" si="32"/>
        <v>47.94897241029782</v>
      </c>
      <c r="E53" s="99">
        <f t="shared" si="32"/>
        <v>45.127904792470304</v>
      </c>
      <c r="F53" s="99">
        <f t="shared" si="32"/>
        <v>36.718243846353069</v>
      </c>
      <c r="G53" s="99">
        <f t="shared" si="32"/>
        <v>33.532946776105383</v>
      </c>
      <c r="H53" s="99">
        <f t="shared" si="32"/>
        <v>64.402525671165165</v>
      </c>
      <c r="I53" s="99">
        <f t="shared" si="32"/>
        <v>69.932450605492278</v>
      </c>
      <c r="J53" s="99">
        <f t="shared" si="32"/>
        <v>3.6930096364102325</v>
      </c>
      <c r="K53" s="99">
        <f t="shared" si="32"/>
        <v>90.322276197071503</v>
      </c>
      <c r="L53" s="99">
        <f t="shared" si="32"/>
        <v>95.438537555133422</v>
      </c>
      <c r="M53" s="99">
        <f t="shared" si="32"/>
        <v>44.291314261149793</v>
      </c>
      <c r="N53" s="99">
        <f t="shared" si="32"/>
        <v>26.670035946291858</v>
      </c>
      <c r="O53" s="99"/>
      <c r="P53" s="254">
        <v>252.59959389855402</v>
      </c>
      <c r="Q53" s="254">
        <v>226.09713898968607</v>
      </c>
      <c r="R53" s="254">
        <v>217.10998506223299</v>
      </c>
      <c r="S53" s="254">
        <v>190.31909323006602</v>
      </c>
      <c r="T53" s="254">
        <v>180.1716033598918</v>
      </c>
      <c r="U53" s="254">
        <v>354.82086943132595</v>
      </c>
      <c r="V53" s="254">
        <v>395.79850082662443</v>
      </c>
      <c r="W53" s="254">
        <v>275.56932374897252</v>
      </c>
      <c r="X53" s="254">
        <v>227.33436621977862</v>
      </c>
      <c r="Y53" s="254">
        <v>408.86043210305314</v>
      </c>
      <c r="Z53" s="254">
        <v>233.69870849352014</v>
      </c>
      <c r="AA53" s="254">
        <v>173.35186494948616</v>
      </c>
    </row>
    <row r="54" spans="2:27" s="95" customFormat="1">
      <c r="B54" s="95">
        <v>2044</v>
      </c>
      <c r="C54" s="99">
        <f t="shared" ref="C54:N54" si="33">C27/C$1</f>
        <v>56.000538233778649</v>
      </c>
      <c r="D54" s="99">
        <f t="shared" si="33"/>
        <v>47.720906460539922</v>
      </c>
      <c r="E54" s="99">
        <f t="shared" si="33"/>
        <v>45.061201271848375</v>
      </c>
      <c r="F54" s="99">
        <f t="shared" si="33"/>
        <v>36.548232351245396</v>
      </c>
      <c r="G54" s="99">
        <f t="shared" si="33"/>
        <v>33.377652918277846</v>
      </c>
      <c r="H54" s="99">
        <f t="shared" si="33"/>
        <v>65.017269105978571</v>
      </c>
      <c r="I54" s="99">
        <f t="shared" si="33"/>
        <v>70.628392834897184</v>
      </c>
      <c r="J54" s="99">
        <f t="shared" si="33"/>
        <v>3.710722180432994</v>
      </c>
      <c r="K54" s="99">
        <f t="shared" si="33"/>
        <v>92.309366273407065</v>
      </c>
      <c r="L54" s="99">
        <f t="shared" si="33"/>
        <v>97.538185381346381</v>
      </c>
      <c r="M54" s="99">
        <f t="shared" si="33"/>
        <v>45.265723174895086</v>
      </c>
      <c r="N54" s="99">
        <f t="shared" si="33"/>
        <v>27.256776737110286</v>
      </c>
      <c r="O54" s="99"/>
      <c r="P54" s="254">
        <v>253.74071874589032</v>
      </c>
      <c r="Q54" s="254">
        <v>227.36406448262582</v>
      </c>
      <c r="R54" s="254">
        <v>218.89096735394932</v>
      </c>
      <c r="S54" s="254">
        <v>191.77096442115874</v>
      </c>
      <c r="T54" s="254">
        <v>181.67036093926146</v>
      </c>
      <c r="U54" s="254">
        <v>360.01978293521051</v>
      </c>
      <c r="V54" s="254">
        <v>401.62957178032934</v>
      </c>
      <c r="W54" s="254">
        <v>282.43872003175738</v>
      </c>
      <c r="X54" s="254">
        <v>232.93094533315497</v>
      </c>
      <c r="Y54" s="254">
        <v>418.27306714086683</v>
      </c>
      <c r="Z54" s="254">
        <v>239.25778561192399</v>
      </c>
      <c r="AA54" s="254">
        <v>177.58331150992126</v>
      </c>
    </row>
    <row r="55" spans="2:27" s="95" customFormat="1">
      <c r="B55" s="95">
        <v>2045</v>
      </c>
      <c r="C55" s="99">
        <f t="shared" ref="C55:N55" si="34">C28/C$1</f>
        <v>55.677401976040308</v>
      </c>
      <c r="D55" s="99">
        <f t="shared" si="34"/>
        <v>47.445474585914212</v>
      </c>
      <c r="E55" s="99">
        <f t="shared" si="34"/>
        <v>44.960954915606564</v>
      </c>
      <c r="F55" s="99">
        <f t="shared" si="34"/>
        <v>36.34227173862719</v>
      </c>
      <c r="G55" s="99">
        <f t="shared" si="34"/>
        <v>33.189527594750871</v>
      </c>
      <c r="H55" s="99">
        <f t="shared" si="34"/>
        <v>65.63340537031327</v>
      </c>
      <c r="I55" s="99">
        <f t="shared" si="34"/>
        <v>71.326902337732051</v>
      </c>
      <c r="J55" s="99">
        <f t="shared" si="34"/>
        <v>3.7287252879022117</v>
      </c>
      <c r="K55" s="99">
        <f t="shared" si="34"/>
        <v>94.340172331422025</v>
      </c>
      <c r="L55" s="99">
        <f t="shared" si="34"/>
        <v>99.684025459735992</v>
      </c>
      <c r="M55" s="99">
        <f t="shared" si="34"/>
        <v>46.261569084742774</v>
      </c>
      <c r="N55" s="99">
        <f t="shared" si="34"/>
        <v>27.85642582532671</v>
      </c>
      <c r="O55" s="99"/>
      <c r="P55" s="254">
        <v>254.23614885715426</v>
      </c>
      <c r="Q55" s="254">
        <v>228.0114677799765</v>
      </c>
      <c r="R55" s="254">
        <v>220.09646405169465</v>
      </c>
      <c r="S55" s="254">
        <v>192.63968425883274</v>
      </c>
      <c r="T55" s="254">
        <v>182.59589915569063</v>
      </c>
      <c r="U55" s="254">
        <v>364.5675998813598</v>
      </c>
      <c r="V55" s="254">
        <v>406.76936555437561</v>
      </c>
      <c r="W55" s="254">
        <v>287.7266953664253</v>
      </c>
      <c r="X55" s="254">
        <v>237.84768867700237</v>
      </c>
      <c r="Y55" s="254">
        <v>427.32929215460996</v>
      </c>
      <c r="Z55" s="254">
        <v>244.37567443203039</v>
      </c>
      <c r="AA55" s="254">
        <v>181.34436189978365</v>
      </c>
    </row>
    <row r="56" spans="2:27" s="95" customFormat="1"/>
  </sheetData>
  <mergeCells count="4">
    <mergeCell ref="P4:AA4"/>
    <mergeCell ref="C4:N4"/>
    <mergeCell ref="C32:N32"/>
    <mergeCell ref="P32:AA32"/>
  </mergeCells>
  <phoneticPr fontId="1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57159-374B-4D9A-B213-49C2676FCEFB}">
  <sheetPr codeName="Sheet17">
    <tabColor rgb="FFB9F8FF"/>
  </sheetPr>
  <dimension ref="A1:Z14"/>
  <sheetViews>
    <sheetView workbookViewId="0">
      <selection activeCell="Z3" sqref="Z3:Z11"/>
    </sheetView>
  </sheetViews>
  <sheetFormatPr defaultRowHeight="15"/>
  <cols>
    <col min="1" max="1" width="8" bestFit="1" customWidth="1"/>
    <col min="2" max="2" width="40.85546875" style="1" bestFit="1" customWidth="1"/>
    <col min="3" max="3" width="19" style="1" bestFit="1" customWidth="1"/>
    <col min="4" max="10" width="7" style="1" bestFit="1" customWidth="1"/>
    <col min="11" max="11" width="7.7109375" bestFit="1" customWidth="1"/>
    <col min="12" max="14" width="7" style="1" bestFit="1" customWidth="1"/>
    <col min="15" max="22" width="7.7109375" bestFit="1" customWidth="1"/>
    <col min="23" max="26" width="8.5703125" bestFit="1" customWidth="1"/>
  </cols>
  <sheetData>
    <row r="1" spans="1:26" ht="15.75" thickBot="1"/>
    <row r="2" spans="1:26" ht="15.75" thickBot="1">
      <c r="D2" s="274">
        <v>2023</v>
      </c>
      <c r="E2" s="275">
        <f>D2+1</f>
        <v>2024</v>
      </c>
      <c r="F2" s="275">
        <f t="shared" ref="F2:J2" si="0">E2+1</f>
        <v>2025</v>
      </c>
      <c r="G2" s="275">
        <f t="shared" si="0"/>
        <v>2026</v>
      </c>
      <c r="H2" s="275">
        <f t="shared" si="0"/>
        <v>2027</v>
      </c>
      <c r="I2" s="275">
        <f t="shared" si="0"/>
        <v>2028</v>
      </c>
      <c r="J2" s="275">
        <f t="shared" si="0"/>
        <v>2029</v>
      </c>
      <c r="K2" s="275">
        <f t="shared" ref="K2" si="1">J2+1</f>
        <v>2030</v>
      </c>
      <c r="L2" s="275">
        <f t="shared" ref="L2" si="2">K2+1</f>
        <v>2031</v>
      </c>
      <c r="M2" s="275">
        <f t="shared" ref="M2" si="3">L2+1</f>
        <v>2032</v>
      </c>
      <c r="N2" s="275">
        <f t="shared" ref="N2" si="4">M2+1</f>
        <v>2033</v>
      </c>
      <c r="O2" s="275">
        <f t="shared" ref="O2" si="5">N2+1</f>
        <v>2034</v>
      </c>
      <c r="P2" s="275">
        <f t="shared" ref="P2" si="6">O2+1</f>
        <v>2035</v>
      </c>
      <c r="Q2" s="275">
        <f t="shared" ref="Q2" si="7">P2+1</f>
        <v>2036</v>
      </c>
      <c r="R2" s="275">
        <f t="shared" ref="R2" si="8">Q2+1</f>
        <v>2037</v>
      </c>
      <c r="S2" s="275">
        <f t="shared" ref="S2" si="9">R2+1</f>
        <v>2038</v>
      </c>
      <c r="T2" s="275">
        <f t="shared" ref="T2" si="10">S2+1</f>
        <v>2039</v>
      </c>
      <c r="U2" s="275">
        <f t="shared" ref="U2" si="11">T2+1</f>
        <v>2040</v>
      </c>
      <c r="V2" s="275">
        <f t="shared" ref="V2" si="12">U2+1</f>
        <v>2041</v>
      </c>
      <c r="W2" s="275">
        <f t="shared" ref="W2" si="13">V2+1</f>
        <v>2042</v>
      </c>
      <c r="X2" s="275">
        <f t="shared" ref="X2" si="14">W2+1</f>
        <v>2043</v>
      </c>
      <c r="Y2" s="275">
        <f t="shared" ref="Y2" si="15">X2+1</f>
        <v>2044</v>
      </c>
      <c r="Z2" s="276">
        <f t="shared" ref="Z2" si="16">Y2+1</f>
        <v>2045</v>
      </c>
    </row>
    <row r="3" spans="1:26">
      <c r="A3" s="277">
        <f>Upgrades!D61</f>
        <v>-30.789194367453629</v>
      </c>
      <c r="B3" s="517" t="s">
        <v>27</v>
      </c>
      <c r="C3" s="272" t="s">
        <v>101</v>
      </c>
      <c r="D3" s="278">
        <v>-33.087785392370201</v>
      </c>
      <c r="E3" s="278">
        <v>-31.330763157654683</v>
      </c>
      <c r="F3" s="278">
        <v>-30.789194367453629</v>
      </c>
      <c r="G3" s="278">
        <v>-30.971448181179106</v>
      </c>
      <c r="H3" s="278">
        <v>-31.665899832514853</v>
      </c>
      <c r="I3" s="278">
        <v>-32.654587721713909</v>
      </c>
      <c r="J3" s="278">
        <v>-33.777785475678634</v>
      </c>
      <c r="K3" s="83">
        <v>-34.943544921550014</v>
      </c>
      <c r="L3" s="278">
        <v>-36.947137483407374</v>
      </c>
      <c r="M3" s="278">
        <v>-38.04786541038294</v>
      </c>
      <c r="N3" s="278">
        <v>-39.176055275303781</v>
      </c>
      <c r="O3" s="83">
        <v>-40.279202155435911</v>
      </c>
      <c r="P3" s="83">
        <v>-41.470910984473669</v>
      </c>
      <c r="Q3" s="83">
        <v>-42.685012015184228</v>
      </c>
      <c r="R3" s="83">
        <v>-42.080281108350462</v>
      </c>
      <c r="S3" s="83">
        <v>-43.262593491120882</v>
      </c>
      <c r="T3" s="83">
        <v>-44.52725214536644</v>
      </c>
      <c r="U3" s="83">
        <v>-45.790596977928402</v>
      </c>
      <c r="V3" s="83">
        <v>-46.960501352833539</v>
      </c>
      <c r="W3" s="83">
        <v>-48.158598883045983</v>
      </c>
      <c r="X3" s="83">
        <v>-49.413221489860781</v>
      </c>
      <c r="Y3" s="83">
        <v>-50.62146042243841</v>
      </c>
      <c r="Z3" s="279">
        <v>-51.871321147994905</v>
      </c>
    </row>
    <row r="4" spans="1:26">
      <c r="A4" s="277">
        <f>Upgrades!D62</f>
        <v>116.42666770501536</v>
      </c>
      <c r="B4" s="512"/>
      <c r="C4" s="270" t="s">
        <v>102</v>
      </c>
      <c r="D4" s="278">
        <v>111.27686406047184</v>
      </c>
      <c r="E4" s="278">
        <v>113.88510212334883</v>
      </c>
      <c r="F4" s="278">
        <v>116.42666770501536</v>
      </c>
      <c r="G4" s="278">
        <v>119.02479420278387</v>
      </c>
      <c r="H4" s="278">
        <v>121.25771769841393</v>
      </c>
      <c r="I4" s="278">
        <v>123.47652432017259</v>
      </c>
      <c r="J4" s="278">
        <v>125.7165956568266</v>
      </c>
      <c r="K4" s="83">
        <v>127.97658355761152</v>
      </c>
      <c r="L4" s="278">
        <v>123.24637530212038</v>
      </c>
      <c r="M4" s="278">
        <v>125.38732600551199</v>
      </c>
      <c r="N4" s="278">
        <v>127.53976952534015</v>
      </c>
      <c r="O4" s="83">
        <v>129.70157980267828</v>
      </c>
      <c r="P4" s="83">
        <v>131.87041679763087</v>
      </c>
      <c r="Q4" s="83">
        <v>134.04370957711018</v>
      </c>
      <c r="R4" s="83">
        <v>151.26232256913278</v>
      </c>
      <c r="S4" s="83">
        <v>154.59009366565371</v>
      </c>
      <c r="T4" s="83">
        <v>157.99107572629808</v>
      </c>
      <c r="U4" s="83">
        <v>161.4668793922767</v>
      </c>
      <c r="V4" s="83">
        <v>165.01915073890675</v>
      </c>
      <c r="W4" s="83">
        <v>168.64957205516274</v>
      </c>
      <c r="X4" s="83">
        <v>172.35986264037629</v>
      </c>
      <c r="Y4" s="83">
        <v>176.15177961846453</v>
      </c>
      <c r="Z4" s="279">
        <v>180.02711877007079</v>
      </c>
    </row>
    <row r="5" spans="1:26">
      <c r="A5" s="277">
        <f>Upgrades!D63</f>
        <v>-45.342527830580558</v>
      </c>
      <c r="B5" s="512"/>
      <c r="C5" s="270" t="s">
        <v>103</v>
      </c>
      <c r="D5" s="278">
        <v>-46.997393399929173</v>
      </c>
      <c r="E5" s="278">
        <v>-45.566400923073274</v>
      </c>
      <c r="F5" s="278">
        <v>-45.342527830580558</v>
      </c>
      <c r="G5" s="278">
        <v>-45.849547456527091</v>
      </c>
      <c r="H5" s="278">
        <v>-46.823114544816612</v>
      </c>
      <c r="I5" s="278">
        <v>-48.089153261735468</v>
      </c>
      <c r="J5" s="278">
        <v>-49.492359932781966</v>
      </c>
      <c r="K5" s="83">
        <v>-50.940617866251465</v>
      </c>
      <c r="L5" s="278">
        <v>-52.352934396172436</v>
      </c>
      <c r="M5" s="278">
        <v>-53.72128116107195</v>
      </c>
      <c r="N5" s="278">
        <v>-55.118526465971286</v>
      </c>
      <c r="O5" s="83">
        <v>-56.491899630770703</v>
      </c>
      <c r="P5" s="83">
        <v>-57.95471308417752</v>
      </c>
      <c r="Q5" s="83">
        <v>-59.440475712323</v>
      </c>
      <c r="R5" s="83">
        <v>-60.988071429492081</v>
      </c>
      <c r="S5" s="83">
        <v>-62.586355199327585</v>
      </c>
      <c r="T5" s="83">
        <v>-64.276136611153703</v>
      </c>
      <c r="U5" s="83">
        <v>-65.973956901962978</v>
      </c>
      <c r="V5" s="83">
        <v>-67.587895195196879</v>
      </c>
      <c r="W5" s="83">
        <v>-69.239795389941335</v>
      </c>
      <c r="X5" s="83">
        <v>-70.958204319907836</v>
      </c>
      <c r="Y5" s="83">
        <v>-72.64043287474648</v>
      </c>
      <c r="Z5" s="279">
        <v>-74.374710994253761</v>
      </c>
    </row>
    <row r="6" spans="1:26">
      <c r="A6" s="277">
        <f>Upgrades!D90</f>
        <v>59.841084702101476</v>
      </c>
      <c r="B6" s="511" t="s">
        <v>28</v>
      </c>
      <c r="C6" s="269" t="s">
        <v>101</v>
      </c>
      <c r="D6" s="280">
        <v>60.695963810794005</v>
      </c>
      <c r="E6" s="280">
        <v>59.692585102243918</v>
      </c>
      <c r="F6" s="280">
        <v>59.841084702101476</v>
      </c>
      <c r="G6" s="280">
        <v>60.692495726652837</v>
      </c>
      <c r="H6" s="280">
        <v>61.985946016628425</v>
      </c>
      <c r="I6" s="280">
        <v>63.563906309932726</v>
      </c>
      <c r="J6" s="280">
        <v>65.279940689421153</v>
      </c>
      <c r="K6" s="281">
        <v>67.046552659412711</v>
      </c>
      <c r="L6" s="280">
        <v>68.62833764939495</v>
      </c>
      <c r="M6" s="280">
        <v>68.362103036863701</v>
      </c>
      <c r="N6" s="280">
        <v>67.959371047459186</v>
      </c>
      <c r="O6" s="281">
        <v>67.357895379286774</v>
      </c>
      <c r="P6" s="281">
        <v>66.652594901761304</v>
      </c>
      <c r="Q6" s="281">
        <v>65.766488012071406</v>
      </c>
      <c r="R6" s="281">
        <v>65.062091536615483</v>
      </c>
      <c r="S6" s="281">
        <v>63.858877456742377</v>
      </c>
      <c r="T6" s="281">
        <v>62.494816662558947</v>
      </c>
      <c r="U6" s="281">
        <v>60.872819757322944</v>
      </c>
      <c r="V6" s="281">
        <v>58.886560932858593</v>
      </c>
      <c r="W6" s="281">
        <v>56.631785010178767</v>
      </c>
      <c r="X6" s="281">
        <v>54.114143090734103</v>
      </c>
      <c r="Y6" s="281">
        <v>51.213016022245753</v>
      </c>
      <c r="Z6" s="282">
        <v>47.98785803281703</v>
      </c>
    </row>
    <row r="7" spans="1:26">
      <c r="A7" s="277">
        <f>Upgrades!D91</f>
        <v>26.98116085931596</v>
      </c>
      <c r="B7" s="512"/>
      <c r="C7" s="270" t="s">
        <v>102</v>
      </c>
      <c r="D7" s="278">
        <v>25.796091786541393</v>
      </c>
      <c r="E7" s="278">
        <v>26.393572766616405</v>
      </c>
      <c r="F7" s="278">
        <v>26.98116085931596</v>
      </c>
      <c r="G7" s="278">
        <v>27.581671037530487</v>
      </c>
      <c r="H7" s="278">
        <v>28.118850710656094</v>
      </c>
      <c r="I7" s="278">
        <v>28.656262417014815</v>
      </c>
      <c r="J7" s="278">
        <v>29.200513336473332</v>
      </c>
      <c r="K7" s="83">
        <v>29.75142540711775</v>
      </c>
      <c r="L7" s="278">
        <v>29.040879320420622</v>
      </c>
      <c r="M7" s="278">
        <v>29.576576068848901</v>
      </c>
      <c r="N7" s="278">
        <v>30.117616350101677</v>
      </c>
      <c r="O7" s="83">
        <v>30.66368735932101</v>
      </c>
      <c r="P7" s="83">
        <v>31.214439160709933</v>
      </c>
      <c r="Q7" s="83">
        <v>31.769481662732453</v>
      </c>
      <c r="R7" s="83">
        <v>35.049906619680335</v>
      </c>
      <c r="S7" s="83">
        <v>35.821004565313295</v>
      </c>
      <c r="T7" s="83">
        <v>36.609066665750184</v>
      </c>
      <c r="U7" s="83">
        <v>37.414466132396718</v>
      </c>
      <c r="V7" s="83">
        <v>38.237584387309433</v>
      </c>
      <c r="W7" s="83">
        <v>39.078811243830231</v>
      </c>
      <c r="X7" s="83">
        <v>39.938545091194491</v>
      </c>
      <c r="Y7" s="83">
        <v>40.817193083200777</v>
      </c>
      <c r="Z7" s="279">
        <v>41.715171331031215</v>
      </c>
    </row>
    <row r="8" spans="1:26">
      <c r="A8" s="277">
        <f>Upgrades!D92</f>
        <v>56.468439594686984</v>
      </c>
      <c r="B8" s="513"/>
      <c r="C8" s="271" t="s">
        <v>103</v>
      </c>
      <c r="D8" s="283">
        <v>57.471452337476329</v>
      </c>
      <c r="E8" s="283">
        <v>56.393388506416869</v>
      </c>
      <c r="F8" s="283">
        <v>56.468439594686984</v>
      </c>
      <c r="G8" s="283">
        <v>57.244786846961524</v>
      </c>
      <c r="H8" s="283">
        <v>58.471089677796421</v>
      </c>
      <c r="I8" s="283">
        <v>59.981873507805879</v>
      </c>
      <c r="J8" s="283">
        <v>61.629876522361997</v>
      </c>
      <c r="K8" s="284">
        <v>63.327624483522996</v>
      </c>
      <c r="L8" s="283">
        <v>64.998227734342379</v>
      </c>
      <c r="M8" s="283">
        <v>64.665031028257587</v>
      </c>
      <c r="N8" s="283">
        <v>64.19466900369649</v>
      </c>
      <c r="O8" s="284">
        <v>63.524934459371657</v>
      </c>
      <c r="P8" s="284">
        <v>62.750790006672581</v>
      </c>
      <c r="Q8" s="284">
        <v>61.795302804229863</v>
      </c>
      <c r="R8" s="284">
        <v>60.680853209155437</v>
      </c>
      <c r="S8" s="284">
        <v>59.381251886078203</v>
      </c>
      <c r="T8" s="284">
        <v>57.918683329340176</v>
      </c>
      <c r="U8" s="284">
        <v>56.196011490773351</v>
      </c>
      <c r="V8" s="284">
        <v>54.106862884444908</v>
      </c>
      <c r="W8" s="284">
        <v>51.746933604699997</v>
      </c>
      <c r="X8" s="284">
        <v>49.121824954334812</v>
      </c>
      <c r="Y8" s="284">
        <v>46.110866886845649</v>
      </c>
      <c r="Z8" s="285">
        <v>42.773461616438155</v>
      </c>
    </row>
    <row r="9" spans="1:26">
      <c r="A9" s="277">
        <f>Upgrades!D29</f>
        <v>194.93881643581878</v>
      </c>
      <c r="B9" s="514" t="s">
        <v>26</v>
      </c>
      <c r="C9" s="269" t="s">
        <v>101</v>
      </c>
      <c r="D9" s="280">
        <v>186.18012438427323</v>
      </c>
      <c r="E9" s="280">
        <v>190.5928110822623</v>
      </c>
      <c r="F9" s="280">
        <v>194.93881643581878</v>
      </c>
      <c r="G9" s="280">
        <v>199.38294149096444</v>
      </c>
      <c r="H9" s="280">
        <v>203.92901852965761</v>
      </c>
      <c r="I9" s="280">
        <v>208.52760692906122</v>
      </c>
      <c r="J9" s="280">
        <v>213.23049033573653</v>
      </c>
      <c r="K9" s="281">
        <v>218.03926531077016</v>
      </c>
      <c r="L9" s="280">
        <v>222.95684033611366</v>
      </c>
      <c r="M9" s="280">
        <v>227.98499169249692</v>
      </c>
      <c r="N9" s="280">
        <v>233.12681690607207</v>
      </c>
      <c r="O9" s="281">
        <v>238.38555536053403</v>
      </c>
      <c r="P9" s="281">
        <v>243.76333210574344</v>
      </c>
      <c r="Q9" s="281">
        <v>249.26234821514049</v>
      </c>
      <c r="R9" s="281">
        <v>254.8861486090349</v>
      </c>
      <c r="S9" s="281">
        <v>260.6371798571983</v>
      </c>
      <c r="T9" s="281">
        <v>266.51798149599279</v>
      </c>
      <c r="U9" s="281">
        <v>272.53245487220437</v>
      </c>
      <c r="V9" s="281">
        <v>278.68215785458102</v>
      </c>
      <c r="W9" s="281">
        <v>284.9712075363816</v>
      </c>
      <c r="X9" s="281">
        <v>291.40265283958848</v>
      </c>
      <c r="Y9" s="281">
        <v>297.97966765067792</v>
      </c>
      <c r="Z9" s="282">
        <v>304.70555742216158</v>
      </c>
    </row>
    <row r="10" spans="1:26">
      <c r="A10" s="277">
        <f>Upgrades!D30</f>
        <v>677.94715295929734</v>
      </c>
      <c r="B10" s="515"/>
      <c r="C10" s="270" t="s">
        <v>102</v>
      </c>
      <c r="D10" s="278">
        <v>647.95374588897118</v>
      </c>
      <c r="E10" s="278">
        <v>663.14666961132605</v>
      </c>
      <c r="F10" s="278">
        <v>677.94715295929734</v>
      </c>
      <c r="G10" s="278">
        <v>693.07712846880099</v>
      </c>
      <c r="H10" s="278">
        <v>708.54387719631688</v>
      </c>
      <c r="I10" s="278">
        <v>724.13184249463529</v>
      </c>
      <c r="J10" s="278">
        <v>740.06274302951749</v>
      </c>
      <c r="K10" s="83">
        <v>756.34412337616686</v>
      </c>
      <c r="L10" s="278">
        <v>772.98369409044267</v>
      </c>
      <c r="M10" s="278">
        <v>789.98933536043228</v>
      </c>
      <c r="N10" s="278">
        <v>807.36910073836168</v>
      </c>
      <c r="O10" s="83">
        <v>825.13122095460585</v>
      </c>
      <c r="P10" s="83">
        <v>843.28410781560694</v>
      </c>
      <c r="Q10" s="83">
        <v>861.83635818755045</v>
      </c>
      <c r="R10" s="83">
        <v>880.79675806767602</v>
      </c>
      <c r="S10" s="83">
        <v>900.1742867451652</v>
      </c>
      <c r="T10" s="83">
        <v>919.97812105355911</v>
      </c>
      <c r="U10" s="83">
        <v>940.21763971673749</v>
      </c>
      <c r="V10" s="83">
        <v>960.90242779050561</v>
      </c>
      <c r="W10" s="83">
        <v>982.04228120189691</v>
      </c>
      <c r="X10" s="83">
        <v>1003.647211388339</v>
      </c>
      <c r="Y10" s="83">
        <v>1025.7274500388819</v>
      </c>
      <c r="Z10" s="279">
        <v>1048.2934539397374</v>
      </c>
    </row>
    <row r="11" spans="1:26" ht="15.75" thickBot="1">
      <c r="A11" s="277">
        <f>Upgrades!D31</f>
        <v>40.156361422280625</v>
      </c>
      <c r="B11" s="516"/>
      <c r="C11" s="273" t="s">
        <v>103</v>
      </c>
      <c r="D11" s="286">
        <v>38.245479204142789</v>
      </c>
      <c r="E11" s="286">
        <v>39.189461855932166</v>
      </c>
      <c r="F11" s="286">
        <v>40.156361422280625</v>
      </c>
      <c r="G11" s="286">
        <v>41.146154169320447</v>
      </c>
      <c r="H11" s="286">
        <v>42.161010037347893</v>
      </c>
      <c r="I11" s="286">
        <v>43.200702249920653</v>
      </c>
      <c r="J11" s="286">
        <v>44.26639375365491</v>
      </c>
      <c r="K11" s="287">
        <v>45.357958603882679</v>
      </c>
      <c r="L11" s="286">
        <v>46.476544881674727</v>
      </c>
      <c r="M11" s="286">
        <v>47.622129738060259</v>
      </c>
      <c r="N11" s="286">
        <v>48.795971988637866</v>
      </c>
      <c r="O11" s="287">
        <v>49.99943185491621</v>
      </c>
      <c r="P11" s="287">
        <v>51.232713883002077</v>
      </c>
      <c r="Q11" s="287">
        <v>52.496056391498875</v>
      </c>
      <c r="R11" s="287">
        <v>53.790998365273119</v>
      </c>
      <c r="S11" s="287">
        <v>55.117936308073745</v>
      </c>
      <c r="T11" s="287">
        <v>56.477314588787408</v>
      </c>
      <c r="U11" s="287">
        <v>57.870893293040524</v>
      </c>
      <c r="V11" s="287">
        <v>59.298041920675587</v>
      </c>
      <c r="W11" s="287">
        <v>60.760641051930335</v>
      </c>
      <c r="X11" s="287">
        <v>62.259453892479229</v>
      </c>
      <c r="Y11" s="287">
        <v>63.795318326732264</v>
      </c>
      <c r="Z11" s="288">
        <v>65.369152413089083</v>
      </c>
    </row>
    <row r="13" spans="1:26">
      <c r="B13" s="1" t="s">
        <v>202</v>
      </c>
    </row>
    <row r="14" spans="1:26">
      <c r="B14" s="1" t="s">
        <v>203</v>
      </c>
    </row>
  </sheetData>
  <mergeCells count="3">
    <mergeCell ref="B6:B8"/>
    <mergeCell ref="B9:B11"/>
    <mergeCell ref="B3:B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F08EC-245B-494C-9045-A3C1DBEBB776}">
  <sheetPr codeName="Sheet19"/>
  <dimension ref="A1:BX356"/>
  <sheetViews>
    <sheetView zoomScale="70" zoomScaleNormal="70" workbookViewId="0">
      <pane ySplit="1" topLeftCell="A2" activePane="bottomLeft" state="frozen"/>
      <selection activeCell="A2" sqref="A2"/>
      <selection pane="bottomLeft" activeCell="F247" sqref="F247"/>
    </sheetView>
  </sheetViews>
  <sheetFormatPr defaultRowHeight="15" outlineLevelRow="1"/>
  <cols>
    <col min="1" max="1" width="25.28515625" style="38" bestFit="1" customWidth="1"/>
    <col min="2" max="2" width="19.140625" style="38" bestFit="1" customWidth="1"/>
    <col min="3" max="3" width="110.140625" style="38" bestFit="1" customWidth="1"/>
    <col min="4" max="4" width="66.42578125" style="38" customWidth="1"/>
    <col min="5" max="5" width="67.28515625" style="38" customWidth="1"/>
    <col min="6" max="71" width="8.85546875" style="329" bestFit="1" customWidth="1"/>
    <col min="72" max="72" width="8.85546875" style="329" customWidth="1"/>
    <col min="73" max="76" width="8.85546875" style="329" bestFit="1" customWidth="1"/>
    <col min="77" max="16384" width="9.140625" style="38"/>
  </cols>
  <sheetData>
    <row r="1" spans="1:76">
      <c r="A1" s="38" t="s">
        <v>338</v>
      </c>
      <c r="B1" s="259" t="s">
        <v>248</v>
      </c>
      <c r="C1" s="259" t="s">
        <v>247</v>
      </c>
      <c r="D1" s="259" t="s">
        <v>150</v>
      </c>
      <c r="E1" s="257" t="s">
        <v>37</v>
      </c>
      <c r="F1" s="327">
        <v>2020</v>
      </c>
      <c r="G1" s="327">
        <v>2021</v>
      </c>
      <c r="H1" s="327">
        <v>2022</v>
      </c>
      <c r="I1" s="327">
        <v>2023</v>
      </c>
      <c r="J1" s="327">
        <v>2024</v>
      </c>
      <c r="K1" s="327">
        <v>2025</v>
      </c>
      <c r="L1" s="327">
        <v>2026</v>
      </c>
      <c r="M1" s="327">
        <v>2027</v>
      </c>
      <c r="N1" s="327">
        <v>2028</v>
      </c>
      <c r="O1" s="327">
        <v>2029</v>
      </c>
      <c r="P1" s="327">
        <v>2030</v>
      </c>
      <c r="Q1" s="327">
        <v>2031</v>
      </c>
      <c r="R1" s="327">
        <v>2032</v>
      </c>
      <c r="S1" s="327">
        <v>2033</v>
      </c>
      <c r="T1" s="327">
        <v>2034</v>
      </c>
      <c r="U1" s="327">
        <v>2035</v>
      </c>
      <c r="V1" s="327">
        <v>2036</v>
      </c>
      <c r="W1" s="327">
        <v>2037</v>
      </c>
      <c r="X1" s="327">
        <v>2038</v>
      </c>
      <c r="Y1" s="327">
        <v>2039</v>
      </c>
      <c r="Z1" s="327">
        <v>2040</v>
      </c>
      <c r="AA1" s="327">
        <v>2041</v>
      </c>
      <c r="AB1" s="327">
        <v>2042</v>
      </c>
      <c r="AC1" s="327">
        <v>2043</v>
      </c>
      <c r="AD1" s="327">
        <v>2044</v>
      </c>
      <c r="AE1" s="327">
        <v>2045</v>
      </c>
      <c r="AF1" s="327">
        <v>2046</v>
      </c>
      <c r="AG1" s="327">
        <v>2047</v>
      </c>
      <c r="AH1" s="327">
        <v>2048</v>
      </c>
      <c r="AI1" s="327">
        <v>2049</v>
      </c>
      <c r="AJ1" s="327">
        <v>2050</v>
      </c>
      <c r="AK1" s="327">
        <v>2051</v>
      </c>
      <c r="AL1" s="327">
        <v>2052</v>
      </c>
      <c r="AM1" s="327">
        <v>2053</v>
      </c>
      <c r="AN1" s="327">
        <v>2054</v>
      </c>
      <c r="AO1" s="327">
        <v>2055</v>
      </c>
      <c r="AP1" s="327">
        <v>2056</v>
      </c>
      <c r="AQ1" s="327">
        <v>2057</v>
      </c>
      <c r="AR1" s="327">
        <v>2058</v>
      </c>
      <c r="AS1" s="327">
        <v>2059</v>
      </c>
      <c r="AT1" s="327">
        <v>2060</v>
      </c>
      <c r="AU1" s="327">
        <v>2061</v>
      </c>
      <c r="AV1" s="327">
        <v>2062</v>
      </c>
      <c r="AW1" s="327">
        <v>2063</v>
      </c>
      <c r="AX1" s="327">
        <v>2064</v>
      </c>
      <c r="AY1" s="327">
        <v>2065</v>
      </c>
      <c r="AZ1" s="327">
        <v>2066</v>
      </c>
      <c r="BA1" s="327">
        <v>2067</v>
      </c>
      <c r="BB1" s="327">
        <v>2068</v>
      </c>
      <c r="BC1" s="327">
        <v>2069</v>
      </c>
      <c r="BD1" s="327">
        <v>2070</v>
      </c>
      <c r="BE1" s="327">
        <v>2071</v>
      </c>
      <c r="BF1" s="327">
        <v>2072</v>
      </c>
      <c r="BG1" s="327">
        <v>2073</v>
      </c>
      <c r="BH1" s="327">
        <v>2074</v>
      </c>
      <c r="BI1" s="327">
        <v>2075</v>
      </c>
      <c r="BJ1" s="327">
        <v>2076</v>
      </c>
      <c r="BK1" s="327">
        <v>2077</v>
      </c>
      <c r="BL1" s="327">
        <v>2078</v>
      </c>
      <c r="BM1" s="327">
        <v>2079</v>
      </c>
      <c r="BN1" s="327">
        <v>2080</v>
      </c>
      <c r="BO1" s="327">
        <v>2081</v>
      </c>
      <c r="BP1" s="327">
        <v>2082</v>
      </c>
      <c r="BQ1" s="327">
        <v>2083</v>
      </c>
      <c r="BR1" s="327">
        <v>2084</v>
      </c>
      <c r="BS1" s="327">
        <v>2085</v>
      </c>
      <c r="BT1" s="327">
        <v>2086</v>
      </c>
      <c r="BU1" s="327">
        <v>2087</v>
      </c>
      <c r="BV1" s="327">
        <v>2088</v>
      </c>
      <c r="BW1" s="327">
        <v>2089</v>
      </c>
      <c r="BX1" s="327">
        <v>2090</v>
      </c>
    </row>
    <row r="2" spans="1:76">
      <c r="F2" s="328"/>
      <c r="G2" s="328"/>
      <c r="H2" s="328"/>
    </row>
    <row r="3" spans="1:76">
      <c r="B3" s="259" t="str">
        <f>D3</f>
        <v>Net Capacity Factor (%)</v>
      </c>
      <c r="D3" s="259" t="s">
        <v>38</v>
      </c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</row>
    <row r="4" spans="1:76" hidden="1" outlineLevel="1">
      <c r="B4" s="349"/>
      <c r="C4" s="349" t="s">
        <v>231</v>
      </c>
      <c r="D4" s="349" t="s">
        <v>38</v>
      </c>
      <c r="E4" s="349" t="s">
        <v>26</v>
      </c>
      <c r="F4" s="325">
        <v>0.5</v>
      </c>
      <c r="G4" s="325">
        <v>0.5</v>
      </c>
      <c r="H4" s="325">
        <v>0.5</v>
      </c>
      <c r="I4" s="325">
        <v>0.5</v>
      </c>
      <c r="J4" s="325">
        <v>0.5</v>
      </c>
      <c r="K4" s="325">
        <v>0.5</v>
      </c>
      <c r="L4" s="325">
        <v>0.5</v>
      </c>
      <c r="M4" s="325">
        <v>0.5</v>
      </c>
      <c r="N4" s="325">
        <v>0.5</v>
      </c>
      <c r="O4" s="325">
        <v>0.5</v>
      </c>
      <c r="P4" s="325">
        <v>0.5</v>
      </c>
      <c r="Q4" s="325">
        <v>0.5</v>
      </c>
      <c r="R4" s="325">
        <v>0.5</v>
      </c>
      <c r="S4" s="325">
        <v>0.5</v>
      </c>
      <c r="T4" s="325">
        <v>0.5</v>
      </c>
      <c r="U4" s="325">
        <v>0.5</v>
      </c>
      <c r="V4" s="325">
        <v>0.5</v>
      </c>
      <c r="W4" s="325">
        <v>0.5</v>
      </c>
      <c r="X4" s="325">
        <v>0.5</v>
      </c>
      <c r="Y4" s="325">
        <v>0.5</v>
      </c>
      <c r="Z4" s="325">
        <v>0.5</v>
      </c>
      <c r="AA4" s="325">
        <v>0.5</v>
      </c>
      <c r="AB4" s="325">
        <v>0.5</v>
      </c>
      <c r="AC4" s="325">
        <v>0.5</v>
      </c>
      <c r="AD4" s="325">
        <v>0.5</v>
      </c>
      <c r="AE4" s="325">
        <v>0.5</v>
      </c>
      <c r="AF4" s="325">
        <v>0.5</v>
      </c>
      <c r="AG4" s="325">
        <v>0.5</v>
      </c>
      <c r="AH4" s="325">
        <v>0.5</v>
      </c>
      <c r="AI4" s="325">
        <v>0.5</v>
      </c>
      <c r="AJ4" s="325">
        <v>0.5</v>
      </c>
      <c r="AK4" s="325">
        <v>0.5</v>
      </c>
      <c r="AL4" s="325">
        <v>0.5</v>
      </c>
      <c r="AM4" s="325">
        <v>0.5</v>
      </c>
      <c r="AN4" s="325">
        <v>0.5</v>
      </c>
      <c r="AO4" s="325">
        <v>0.5</v>
      </c>
      <c r="AP4" s="325">
        <v>0.5</v>
      </c>
      <c r="AQ4" s="325">
        <v>0.5</v>
      </c>
      <c r="AR4" s="325">
        <v>0.5</v>
      </c>
      <c r="AS4" s="325">
        <v>0.5</v>
      </c>
      <c r="AT4" s="325">
        <v>0.5</v>
      </c>
      <c r="AU4" s="325">
        <v>0.5</v>
      </c>
      <c r="AV4" s="325">
        <v>0.5</v>
      </c>
      <c r="AW4" s="325">
        <v>0.5</v>
      </c>
      <c r="AX4" s="325">
        <v>0.5</v>
      </c>
      <c r="AY4" s="325">
        <v>0.5</v>
      </c>
      <c r="AZ4" s="325">
        <v>0.5</v>
      </c>
      <c r="BA4" s="325">
        <v>0.5</v>
      </c>
      <c r="BB4" s="325">
        <v>0.5</v>
      </c>
      <c r="BC4" s="325">
        <v>0.5</v>
      </c>
      <c r="BD4" s="325">
        <v>0.5</v>
      </c>
      <c r="BE4" s="325">
        <v>0.5</v>
      </c>
      <c r="BF4" s="325">
        <v>0.5</v>
      </c>
      <c r="BG4" s="325">
        <v>0.5</v>
      </c>
      <c r="BH4" s="325">
        <v>0.5</v>
      </c>
      <c r="BI4" s="325">
        <v>0.5</v>
      </c>
      <c r="BJ4" s="325">
        <v>0.5</v>
      </c>
      <c r="BK4" s="325">
        <v>0.5</v>
      </c>
      <c r="BL4" s="325">
        <v>0.5</v>
      </c>
      <c r="BM4" s="325">
        <v>0.5</v>
      </c>
      <c r="BN4" s="325">
        <v>0.5</v>
      </c>
      <c r="BO4" s="325">
        <v>0.5</v>
      </c>
      <c r="BP4" s="325">
        <v>0.5</v>
      </c>
      <c r="BQ4" s="325">
        <v>0.5</v>
      </c>
      <c r="BR4" s="325">
        <v>0.5</v>
      </c>
      <c r="BS4" s="325">
        <v>0.5</v>
      </c>
      <c r="BT4" s="325">
        <v>0.5</v>
      </c>
      <c r="BU4" s="325">
        <v>0.5</v>
      </c>
      <c r="BV4" s="325">
        <v>0.5</v>
      </c>
      <c r="BW4" s="325">
        <v>0.5</v>
      </c>
      <c r="BX4" s="325">
        <v>0.5</v>
      </c>
    </row>
    <row r="5" spans="1:76" hidden="1" outlineLevel="1">
      <c r="B5" s="349"/>
      <c r="C5" s="349" t="s">
        <v>231</v>
      </c>
      <c r="D5" s="349" t="s">
        <v>38</v>
      </c>
      <c r="E5" s="349" t="s">
        <v>27</v>
      </c>
      <c r="F5" s="325">
        <v>0.91324200913242004</v>
      </c>
      <c r="G5" s="325">
        <v>0.91324200913242004</v>
      </c>
      <c r="H5" s="325">
        <v>0.91324200913242004</v>
      </c>
      <c r="I5" s="325">
        <v>0.91324200913242004</v>
      </c>
      <c r="J5" s="325">
        <v>0.91324200913242004</v>
      </c>
      <c r="K5" s="325">
        <v>0.91324200913242004</v>
      </c>
      <c r="L5" s="325">
        <v>0.91324200913242004</v>
      </c>
      <c r="M5" s="325">
        <v>0.91324200913242004</v>
      </c>
      <c r="N5" s="325">
        <v>0.91324200913242004</v>
      </c>
      <c r="O5" s="325">
        <v>0.91324200913242004</v>
      </c>
      <c r="P5" s="325">
        <v>0.91324200913242004</v>
      </c>
      <c r="Q5" s="325">
        <v>0.91324200913242004</v>
      </c>
      <c r="R5" s="325">
        <v>0.91324200913242004</v>
      </c>
      <c r="S5" s="325">
        <v>0.91324200913242004</v>
      </c>
      <c r="T5" s="325">
        <v>0.91324200913242004</v>
      </c>
      <c r="U5" s="325">
        <v>0.91324200913242004</v>
      </c>
      <c r="V5" s="325">
        <v>0.91324200913242004</v>
      </c>
      <c r="W5" s="325">
        <v>0.91324200913242004</v>
      </c>
      <c r="X5" s="325">
        <v>0.91324200913242004</v>
      </c>
      <c r="Y5" s="325">
        <v>0.91324200913242004</v>
      </c>
      <c r="Z5" s="325">
        <v>0.91324200913242004</v>
      </c>
      <c r="AA5" s="325">
        <v>0.91324200913242004</v>
      </c>
      <c r="AB5" s="325">
        <v>0.91324200913242004</v>
      </c>
      <c r="AC5" s="325">
        <v>0.91324200913242004</v>
      </c>
      <c r="AD5" s="325">
        <v>0.91324200913242004</v>
      </c>
      <c r="AE5" s="325">
        <v>0.91324200913242004</v>
      </c>
      <c r="AF5" s="325">
        <v>0.91324200913242004</v>
      </c>
      <c r="AG5" s="325">
        <v>0.91324200913242004</v>
      </c>
      <c r="AH5" s="325">
        <v>0.91324200913242004</v>
      </c>
      <c r="AI5" s="325">
        <v>0.91324200913242004</v>
      </c>
      <c r="AJ5" s="325">
        <v>0.91324200913242004</v>
      </c>
      <c r="AK5" s="325">
        <v>0.91324200913242004</v>
      </c>
      <c r="AL5" s="325">
        <v>0.91324200913242004</v>
      </c>
      <c r="AM5" s="325">
        <v>0.91324200913242004</v>
      </c>
      <c r="AN5" s="325">
        <v>0.91324200913242004</v>
      </c>
      <c r="AO5" s="325">
        <v>0.91324200913242004</v>
      </c>
      <c r="AP5" s="325">
        <v>0.91324200913242004</v>
      </c>
      <c r="AQ5" s="325">
        <v>0.91324200913242004</v>
      </c>
      <c r="AR5" s="325">
        <v>0.91324200913242004</v>
      </c>
      <c r="AS5" s="325">
        <v>0.91324200913242004</v>
      </c>
      <c r="AT5" s="325">
        <v>0.91324200913242004</v>
      </c>
      <c r="AU5" s="325">
        <v>0.91324200913242004</v>
      </c>
      <c r="AV5" s="325">
        <v>0.91324200913242004</v>
      </c>
      <c r="AW5" s="325">
        <v>0.91324200913242004</v>
      </c>
      <c r="AX5" s="325">
        <v>0.91324200913242004</v>
      </c>
      <c r="AY5" s="325">
        <v>0.91324200913242004</v>
      </c>
      <c r="AZ5" s="325">
        <v>0.91324200913242004</v>
      </c>
      <c r="BA5" s="325">
        <v>0.91324200913242004</v>
      </c>
      <c r="BB5" s="325">
        <v>0.91324200913242004</v>
      </c>
      <c r="BC5" s="325">
        <v>0.91324200913242004</v>
      </c>
      <c r="BD5" s="325">
        <v>0.91324200913242004</v>
      </c>
      <c r="BE5" s="325">
        <v>0.91324200913242004</v>
      </c>
      <c r="BF5" s="325">
        <v>0.91324200913242004</v>
      </c>
      <c r="BG5" s="325">
        <v>0.91324200913242004</v>
      </c>
      <c r="BH5" s="325">
        <v>0.91324200913242004</v>
      </c>
      <c r="BI5" s="325">
        <v>0.91324200913242004</v>
      </c>
      <c r="BJ5" s="325">
        <v>0.91324200913242004</v>
      </c>
      <c r="BK5" s="325">
        <v>0.91324200913242004</v>
      </c>
      <c r="BL5" s="325">
        <v>0.91324200913242004</v>
      </c>
      <c r="BM5" s="325">
        <v>0.91324200913242004</v>
      </c>
      <c r="BN5" s="325">
        <v>0.91324200913242004</v>
      </c>
      <c r="BO5" s="325">
        <v>0.91324200913242004</v>
      </c>
      <c r="BP5" s="325">
        <v>0.91324200913242004</v>
      </c>
      <c r="BQ5" s="325">
        <v>0.91324200913242004</v>
      </c>
      <c r="BR5" s="325">
        <v>0.91324200913242004</v>
      </c>
      <c r="BS5" s="325">
        <v>0.91324200913242004</v>
      </c>
      <c r="BT5" s="325">
        <v>0.91324200913242004</v>
      </c>
      <c r="BU5" s="325">
        <v>0.91324200913242004</v>
      </c>
      <c r="BV5" s="325">
        <v>0.91324200913242004</v>
      </c>
      <c r="BW5" s="325">
        <v>0.91324200913242004</v>
      </c>
      <c r="BX5" s="325">
        <v>0.91324200913242004</v>
      </c>
    </row>
    <row r="6" spans="1:76" hidden="1" outlineLevel="1">
      <c r="B6" s="349"/>
      <c r="C6" s="349" t="s">
        <v>231</v>
      </c>
      <c r="D6" s="349" t="s">
        <v>38</v>
      </c>
      <c r="E6" s="349" t="s">
        <v>28</v>
      </c>
      <c r="F6" s="326">
        <f>F5</f>
        <v>0.91324200913242004</v>
      </c>
      <c r="G6" s="326">
        <f t="shared" ref="G6:BR6" si="0">G5</f>
        <v>0.91324200913242004</v>
      </c>
      <c r="H6" s="326">
        <f t="shared" si="0"/>
        <v>0.91324200913242004</v>
      </c>
      <c r="I6" s="326">
        <f t="shared" si="0"/>
        <v>0.91324200913242004</v>
      </c>
      <c r="J6" s="326">
        <f t="shared" si="0"/>
        <v>0.91324200913242004</v>
      </c>
      <c r="K6" s="326">
        <f t="shared" si="0"/>
        <v>0.91324200913242004</v>
      </c>
      <c r="L6" s="326">
        <f t="shared" si="0"/>
        <v>0.91324200913242004</v>
      </c>
      <c r="M6" s="326">
        <f t="shared" si="0"/>
        <v>0.91324200913242004</v>
      </c>
      <c r="N6" s="326">
        <f t="shared" si="0"/>
        <v>0.91324200913242004</v>
      </c>
      <c r="O6" s="326">
        <f t="shared" si="0"/>
        <v>0.91324200913242004</v>
      </c>
      <c r="P6" s="326">
        <f t="shared" si="0"/>
        <v>0.91324200913242004</v>
      </c>
      <c r="Q6" s="326">
        <f t="shared" si="0"/>
        <v>0.91324200913242004</v>
      </c>
      <c r="R6" s="326">
        <f t="shared" si="0"/>
        <v>0.91324200913242004</v>
      </c>
      <c r="S6" s="326">
        <f t="shared" si="0"/>
        <v>0.91324200913242004</v>
      </c>
      <c r="T6" s="326">
        <f t="shared" si="0"/>
        <v>0.91324200913242004</v>
      </c>
      <c r="U6" s="326">
        <f t="shared" si="0"/>
        <v>0.91324200913242004</v>
      </c>
      <c r="V6" s="326">
        <f t="shared" si="0"/>
        <v>0.91324200913242004</v>
      </c>
      <c r="W6" s="326">
        <f t="shared" si="0"/>
        <v>0.91324200913242004</v>
      </c>
      <c r="X6" s="326">
        <f t="shared" si="0"/>
        <v>0.91324200913242004</v>
      </c>
      <c r="Y6" s="326">
        <f t="shared" si="0"/>
        <v>0.91324200913242004</v>
      </c>
      <c r="Z6" s="326">
        <f t="shared" si="0"/>
        <v>0.91324200913242004</v>
      </c>
      <c r="AA6" s="326">
        <f t="shared" si="0"/>
        <v>0.91324200913242004</v>
      </c>
      <c r="AB6" s="326">
        <f t="shared" si="0"/>
        <v>0.91324200913242004</v>
      </c>
      <c r="AC6" s="326">
        <f t="shared" si="0"/>
        <v>0.91324200913242004</v>
      </c>
      <c r="AD6" s="326">
        <f t="shared" si="0"/>
        <v>0.91324200913242004</v>
      </c>
      <c r="AE6" s="326">
        <f t="shared" si="0"/>
        <v>0.91324200913242004</v>
      </c>
      <c r="AF6" s="326">
        <f t="shared" si="0"/>
        <v>0.91324200913242004</v>
      </c>
      <c r="AG6" s="326">
        <f t="shared" si="0"/>
        <v>0.91324200913242004</v>
      </c>
      <c r="AH6" s="326">
        <f t="shared" si="0"/>
        <v>0.91324200913242004</v>
      </c>
      <c r="AI6" s="326">
        <f t="shared" si="0"/>
        <v>0.91324200913242004</v>
      </c>
      <c r="AJ6" s="326">
        <f t="shared" si="0"/>
        <v>0.91324200913242004</v>
      </c>
      <c r="AK6" s="326">
        <f t="shared" si="0"/>
        <v>0.91324200913242004</v>
      </c>
      <c r="AL6" s="326">
        <f t="shared" si="0"/>
        <v>0.91324200913242004</v>
      </c>
      <c r="AM6" s="326">
        <f t="shared" si="0"/>
        <v>0.91324200913242004</v>
      </c>
      <c r="AN6" s="326">
        <f t="shared" si="0"/>
        <v>0.91324200913242004</v>
      </c>
      <c r="AO6" s="326">
        <f t="shared" si="0"/>
        <v>0.91324200913242004</v>
      </c>
      <c r="AP6" s="326">
        <f t="shared" si="0"/>
        <v>0.91324200913242004</v>
      </c>
      <c r="AQ6" s="326">
        <f t="shared" si="0"/>
        <v>0.91324200913242004</v>
      </c>
      <c r="AR6" s="326">
        <f t="shared" si="0"/>
        <v>0.91324200913242004</v>
      </c>
      <c r="AS6" s="326">
        <f t="shared" si="0"/>
        <v>0.91324200913242004</v>
      </c>
      <c r="AT6" s="326">
        <f t="shared" si="0"/>
        <v>0.91324200913242004</v>
      </c>
      <c r="AU6" s="326">
        <f t="shared" si="0"/>
        <v>0.91324200913242004</v>
      </c>
      <c r="AV6" s="326">
        <f t="shared" si="0"/>
        <v>0.91324200913242004</v>
      </c>
      <c r="AW6" s="326">
        <f t="shared" si="0"/>
        <v>0.91324200913242004</v>
      </c>
      <c r="AX6" s="326">
        <f t="shared" si="0"/>
        <v>0.91324200913242004</v>
      </c>
      <c r="AY6" s="326">
        <f t="shared" si="0"/>
        <v>0.91324200913242004</v>
      </c>
      <c r="AZ6" s="326">
        <f t="shared" si="0"/>
        <v>0.91324200913242004</v>
      </c>
      <c r="BA6" s="326">
        <f t="shared" si="0"/>
        <v>0.91324200913242004</v>
      </c>
      <c r="BB6" s="326">
        <f t="shared" si="0"/>
        <v>0.91324200913242004</v>
      </c>
      <c r="BC6" s="326">
        <f t="shared" si="0"/>
        <v>0.91324200913242004</v>
      </c>
      <c r="BD6" s="326">
        <f t="shared" si="0"/>
        <v>0.91324200913242004</v>
      </c>
      <c r="BE6" s="326">
        <f t="shared" si="0"/>
        <v>0.91324200913242004</v>
      </c>
      <c r="BF6" s="326">
        <f t="shared" si="0"/>
        <v>0.91324200913242004</v>
      </c>
      <c r="BG6" s="326">
        <f t="shared" si="0"/>
        <v>0.91324200913242004</v>
      </c>
      <c r="BH6" s="326">
        <f t="shared" si="0"/>
        <v>0.91324200913242004</v>
      </c>
      <c r="BI6" s="326">
        <f t="shared" si="0"/>
        <v>0.91324200913242004</v>
      </c>
      <c r="BJ6" s="326">
        <f t="shared" si="0"/>
        <v>0.91324200913242004</v>
      </c>
      <c r="BK6" s="326">
        <f t="shared" si="0"/>
        <v>0.91324200913242004</v>
      </c>
      <c r="BL6" s="326">
        <f t="shared" si="0"/>
        <v>0.91324200913242004</v>
      </c>
      <c r="BM6" s="326">
        <f t="shared" si="0"/>
        <v>0.91324200913242004</v>
      </c>
      <c r="BN6" s="326">
        <f t="shared" si="0"/>
        <v>0.91324200913242004</v>
      </c>
      <c r="BO6" s="326">
        <f t="shared" si="0"/>
        <v>0.91324200913242004</v>
      </c>
      <c r="BP6" s="326">
        <f t="shared" si="0"/>
        <v>0.91324200913242004</v>
      </c>
      <c r="BQ6" s="326">
        <f t="shared" si="0"/>
        <v>0.91324200913242004</v>
      </c>
      <c r="BR6" s="326">
        <f t="shared" si="0"/>
        <v>0.91324200913242004</v>
      </c>
      <c r="BS6" s="326">
        <f t="shared" ref="BS6:BX6" si="1">BS5</f>
        <v>0.91324200913242004</v>
      </c>
      <c r="BT6" s="326">
        <f t="shared" si="1"/>
        <v>0.91324200913242004</v>
      </c>
      <c r="BU6" s="326">
        <f t="shared" si="1"/>
        <v>0.91324200913242004</v>
      </c>
      <c r="BV6" s="326">
        <f t="shared" si="1"/>
        <v>0.91324200913242004</v>
      </c>
      <c r="BW6" s="326">
        <f t="shared" si="1"/>
        <v>0.91324200913242004</v>
      </c>
      <c r="BX6" s="326">
        <f t="shared" si="1"/>
        <v>0.91324200913242004</v>
      </c>
    </row>
    <row r="7" spans="1:76" hidden="1" outlineLevel="1">
      <c r="A7" s="38" t="s">
        <v>342</v>
      </c>
      <c r="B7" s="352"/>
      <c r="C7" s="352" t="s">
        <v>232</v>
      </c>
      <c r="D7" s="352" t="s">
        <v>38</v>
      </c>
      <c r="E7" s="352" t="s">
        <v>130</v>
      </c>
      <c r="F7" s="379">
        <v>0.13671379637149922</v>
      </c>
      <c r="G7" s="379">
        <v>0.13692498926011076</v>
      </c>
      <c r="H7" s="379">
        <v>0.13713618214872231</v>
      </c>
      <c r="I7" s="379">
        <v>0.13734737503733385</v>
      </c>
      <c r="J7" s="379">
        <v>0.1375585679259454</v>
      </c>
      <c r="K7" s="379">
        <v>0.13776976081455694</v>
      </c>
      <c r="L7" s="379">
        <v>0.13798095370316849</v>
      </c>
      <c r="M7" s="379">
        <v>0.13819214659178003</v>
      </c>
      <c r="N7" s="379">
        <v>0.13840333948039157</v>
      </c>
      <c r="O7" s="379">
        <v>0.13861453236900312</v>
      </c>
      <c r="P7" s="379">
        <v>0.13882572525761461</v>
      </c>
      <c r="Q7" s="379">
        <v>0.13900497715890081</v>
      </c>
      <c r="R7" s="379">
        <v>0.13918422906018701</v>
      </c>
      <c r="S7" s="379">
        <v>0.13936348096147322</v>
      </c>
      <c r="T7" s="379">
        <v>0.13954273286275942</v>
      </c>
      <c r="U7" s="379">
        <v>0.13972198476404563</v>
      </c>
      <c r="V7" s="379">
        <v>0.13990123666533183</v>
      </c>
      <c r="W7" s="379">
        <v>0.14008048856661803</v>
      </c>
      <c r="X7" s="379">
        <v>0.14025974046790424</v>
      </c>
      <c r="Y7" s="379">
        <v>0.14043899236919044</v>
      </c>
      <c r="Z7" s="379">
        <v>0.14061824427047664</v>
      </c>
      <c r="AA7" s="379">
        <v>0.14079749617176285</v>
      </c>
      <c r="AB7" s="379">
        <v>0.14097674807304905</v>
      </c>
      <c r="AC7" s="379">
        <v>0.14115599997433526</v>
      </c>
      <c r="AD7" s="379">
        <v>0.14133525187562146</v>
      </c>
      <c r="AE7" s="379">
        <v>0.14151450377690766</v>
      </c>
      <c r="AF7" s="379">
        <v>0.14169375567819387</v>
      </c>
      <c r="AG7" s="379">
        <v>0.14187300757948007</v>
      </c>
      <c r="AH7" s="379">
        <v>0.14205225948076627</v>
      </c>
      <c r="AI7" s="379">
        <v>0.14223151138205248</v>
      </c>
      <c r="AJ7" s="379">
        <v>0.14241076328333849</v>
      </c>
      <c r="AK7" s="207">
        <f t="shared" ref="AK7" si="2">AJ7*1.002</f>
        <v>0.14269558480990516</v>
      </c>
      <c r="AL7" s="207">
        <f t="shared" ref="AL7" si="3">AK7*1.002</f>
        <v>0.14298097597952497</v>
      </c>
      <c r="AM7" s="207">
        <f t="shared" ref="AM7" si="4">AL7*1.002</f>
        <v>0.14326693793148401</v>
      </c>
      <c r="AN7" s="207">
        <f t="shared" ref="AN7" si="5">AM7*1.002</f>
        <v>0.14355347180734698</v>
      </c>
      <c r="AO7" s="207">
        <f t="shared" ref="AO7" si="6">AN7*1.002</f>
        <v>0.14384057875096168</v>
      </c>
      <c r="AP7" s="207">
        <f t="shared" ref="AP7" si="7">AO7*1.002</f>
        <v>0.14412825990846359</v>
      </c>
      <c r="AQ7" s="207">
        <f t="shared" ref="AQ7" si="8">AP7*1.002</f>
        <v>0.14441651642828052</v>
      </c>
      <c r="AR7" s="207">
        <f t="shared" ref="AR7" si="9">AQ7*1.002</f>
        <v>0.14470534946113708</v>
      </c>
      <c r="AS7" s="207">
        <f t="shared" ref="AS7" si="10">AR7*1.002</f>
        <v>0.14499476016005935</v>
      </c>
      <c r="AT7" s="207">
        <f t="shared" ref="AT7" si="11">AS7*1.002</f>
        <v>0.14528474968037947</v>
      </c>
      <c r="AU7" s="207">
        <f t="shared" ref="AU7" si="12">AT7*1.002</f>
        <v>0.14557531917974023</v>
      </c>
      <c r="AV7" s="207">
        <f t="shared" ref="AV7" si="13">AU7*1.002</f>
        <v>0.14586646981809973</v>
      </c>
      <c r="AW7" s="207">
        <f t="shared" ref="AW7" si="14">AV7*1.002</f>
        <v>0.14615820275773592</v>
      </c>
      <c r="AX7" s="207">
        <f t="shared" ref="AX7" si="15">AW7*1.002</f>
        <v>0.14645051916325139</v>
      </c>
      <c r="AY7" s="207">
        <f t="shared" ref="AY7" si="16">AX7*1.002</f>
        <v>0.14674342020157788</v>
      </c>
      <c r="AZ7" s="207">
        <f t="shared" ref="AZ7" si="17">AY7*1.002</f>
        <v>0.14703690704198102</v>
      </c>
      <c r="BA7" s="207">
        <f t="shared" ref="BA7" si="18">AZ7*1.002</f>
        <v>0.147330980856065</v>
      </c>
      <c r="BB7" s="207">
        <f t="shared" ref="BB7" si="19">BA7*1.002</f>
        <v>0.14762564281777713</v>
      </c>
      <c r="BC7" s="207">
        <f t="shared" ref="BC7" si="20">BB7*1.002</f>
        <v>0.14792089410341269</v>
      </c>
      <c r="BD7" s="207">
        <f t="shared" ref="BD7" si="21">BC7*1.002</f>
        <v>0.14821673589161952</v>
      </c>
      <c r="BE7" s="207">
        <f t="shared" ref="BE7" si="22">BD7*1.002</f>
        <v>0.14851316936340275</v>
      </c>
      <c r="BF7" s="207">
        <f t="shared" ref="BF7" si="23">BE7*1.002</f>
        <v>0.14881019570212956</v>
      </c>
      <c r="BG7" s="207">
        <f t="shared" ref="BG7" si="24">BF7*1.002</f>
        <v>0.14910781609353382</v>
      </c>
      <c r="BH7" s="207">
        <f t="shared" ref="BH7" si="25">BG7*1.002</f>
        <v>0.14940603172572089</v>
      </c>
      <c r="BI7" s="207">
        <f t="shared" ref="BI7" si="26">BH7*1.002</f>
        <v>0.14970484378917234</v>
      </c>
      <c r="BJ7" s="207">
        <f t="shared" ref="BJ7" si="27">BI7*1.002</f>
        <v>0.1500042534767507</v>
      </c>
      <c r="BK7" s="207">
        <f t="shared" ref="BK7" si="28">BJ7*1.002</f>
        <v>0.1503042619837042</v>
      </c>
      <c r="BL7" s="207">
        <f t="shared" ref="BL7" si="29">BK7*1.002</f>
        <v>0.1506048705076716</v>
      </c>
      <c r="BM7" s="207">
        <f t="shared" ref="BM7" si="30">BL7*1.002</f>
        <v>0.15090608024868696</v>
      </c>
      <c r="BN7" s="207">
        <f t="shared" ref="BN7" si="31">BM7*1.002</f>
        <v>0.15120789240918434</v>
      </c>
      <c r="BO7" s="207">
        <f t="shared" ref="BO7" si="32">BN7*1.002</f>
        <v>0.15151030819400271</v>
      </c>
      <c r="BP7" s="207">
        <f t="shared" ref="BP7" si="33">BO7*1.002</f>
        <v>0.15181332881039072</v>
      </c>
      <c r="BQ7" s="207">
        <f t="shared" ref="BQ7" si="34">BP7*1.002</f>
        <v>0.15211695546801152</v>
      </c>
      <c r="BR7" s="207">
        <f t="shared" ref="BR7" si="35">BQ7*1.002</f>
        <v>0.15242118937894755</v>
      </c>
      <c r="BS7" s="207">
        <f t="shared" ref="BS7" si="36">BR7*1.002</f>
        <v>0.15272603175770544</v>
      </c>
      <c r="BT7" s="207">
        <f t="shared" ref="BT7" si="37">BS7*1.002</f>
        <v>0.15303148382122084</v>
      </c>
      <c r="BU7" s="207">
        <f t="shared" ref="BU7" si="38">BT7*1.002</f>
        <v>0.15333754678886327</v>
      </c>
      <c r="BV7" s="207">
        <f t="shared" ref="BV7" si="39">BU7*1.002</f>
        <v>0.15364422188244101</v>
      </c>
      <c r="BW7" s="207">
        <f t="shared" ref="BW7" si="40">BV7*1.002</f>
        <v>0.15395151032620588</v>
      </c>
      <c r="BX7" s="207">
        <f t="shared" ref="BX7" si="41">BW7*1.002</f>
        <v>0.1542594133468583</v>
      </c>
    </row>
    <row r="8" spans="1:76" hidden="1" outlineLevel="1">
      <c r="B8" s="352"/>
      <c r="C8" s="352" t="s">
        <v>232</v>
      </c>
      <c r="D8" s="352" t="s">
        <v>38</v>
      </c>
      <c r="E8" s="352" t="s">
        <v>172</v>
      </c>
      <c r="F8" s="326">
        <f>F7</f>
        <v>0.13671379637149922</v>
      </c>
      <c r="G8" s="326">
        <f t="shared" ref="G8:BR8" si="42">G7</f>
        <v>0.13692498926011076</v>
      </c>
      <c r="H8" s="326">
        <f t="shared" si="42"/>
        <v>0.13713618214872231</v>
      </c>
      <c r="I8" s="326">
        <f t="shared" si="42"/>
        <v>0.13734737503733385</v>
      </c>
      <c r="J8" s="326">
        <f t="shared" si="42"/>
        <v>0.1375585679259454</v>
      </c>
      <c r="K8" s="326">
        <f t="shared" si="42"/>
        <v>0.13776976081455694</v>
      </c>
      <c r="L8" s="326">
        <f t="shared" si="42"/>
        <v>0.13798095370316849</v>
      </c>
      <c r="M8" s="326">
        <f t="shared" si="42"/>
        <v>0.13819214659178003</v>
      </c>
      <c r="N8" s="326">
        <f t="shared" si="42"/>
        <v>0.13840333948039157</v>
      </c>
      <c r="O8" s="326">
        <f t="shared" si="42"/>
        <v>0.13861453236900312</v>
      </c>
      <c r="P8" s="326">
        <f t="shared" si="42"/>
        <v>0.13882572525761461</v>
      </c>
      <c r="Q8" s="326">
        <f t="shared" si="42"/>
        <v>0.13900497715890081</v>
      </c>
      <c r="R8" s="326">
        <f t="shared" si="42"/>
        <v>0.13918422906018701</v>
      </c>
      <c r="S8" s="326">
        <f t="shared" si="42"/>
        <v>0.13936348096147322</v>
      </c>
      <c r="T8" s="326">
        <f t="shared" si="42"/>
        <v>0.13954273286275942</v>
      </c>
      <c r="U8" s="326">
        <f t="shared" si="42"/>
        <v>0.13972198476404563</v>
      </c>
      <c r="V8" s="326">
        <f t="shared" si="42"/>
        <v>0.13990123666533183</v>
      </c>
      <c r="W8" s="326">
        <f t="shared" si="42"/>
        <v>0.14008048856661803</v>
      </c>
      <c r="X8" s="326">
        <f t="shared" si="42"/>
        <v>0.14025974046790424</v>
      </c>
      <c r="Y8" s="326">
        <f t="shared" si="42"/>
        <v>0.14043899236919044</v>
      </c>
      <c r="Z8" s="326">
        <f t="shared" si="42"/>
        <v>0.14061824427047664</v>
      </c>
      <c r="AA8" s="326">
        <f t="shared" si="42"/>
        <v>0.14079749617176285</v>
      </c>
      <c r="AB8" s="326">
        <f t="shared" si="42"/>
        <v>0.14097674807304905</v>
      </c>
      <c r="AC8" s="326">
        <f t="shared" si="42"/>
        <v>0.14115599997433526</v>
      </c>
      <c r="AD8" s="326">
        <f t="shared" si="42"/>
        <v>0.14133525187562146</v>
      </c>
      <c r="AE8" s="326">
        <f t="shared" si="42"/>
        <v>0.14151450377690766</v>
      </c>
      <c r="AF8" s="326">
        <f t="shared" si="42"/>
        <v>0.14169375567819387</v>
      </c>
      <c r="AG8" s="326">
        <f t="shared" si="42"/>
        <v>0.14187300757948007</v>
      </c>
      <c r="AH8" s="326">
        <f t="shared" si="42"/>
        <v>0.14205225948076627</v>
      </c>
      <c r="AI8" s="326">
        <f t="shared" si="42"/>
        <v>0.14223151138205248</v>
      </c>
      <c r="AJ8" s="326">
        <f t="shared" si="42"/>
        <v>0.14241076328333849</v>
      </c>
      <c r="AK8" s="326">
        <f t="shared" si="42"/>
        <v>0.14269558480990516</v>
      </c>
      <c r="AL8" s="326">
        <f t="shared" si="42"/>
        <v>0.14298097597952497</v>
      </c>
      <c r="AM8" s="326">
        <f t="shared" si="42"/>
        <v>0.14326693793148401</v>
      </c>
      <c r="AN8" s="326">
        <f t="shared" si="42"/>
        <v>0.14355347180734698</v>
      </c>
      <c r="AO8" s="326">
        <f t="shared" si="42"/>
        <v>0.14384057875096168</v>
      </c>
      <c r="AP8" s="326">
        <f t="shared" si="42"/>
        <v>0.14412825990846359</v>
      </c>
      <c r="AQ8" s="326">
        <f t="shared" si="42"/>
        <v>0.14441651642828052</v>
      </c>
      <c r="AR8" s="326">
        <f t="shared" si="42"/>
        <v>0.14470534946113708</v>
      </c>
      <c r="AS8" s="326">
        <f t="shared" si="42"/>
        <v>0.14499476016005935</v>
      </c>
      <c r="AT8" s="326">
        <f t="shared" si="42"/>
        <v>0.14528474968037947</v>
      </c>
      <c r="AU8" s="326">
        <f t="shared" si="42"/>
        <v>0.14557531917974023</v>
      </c>
      <c r="AV8" s="326">
        <f t="shared" si="42"/>
        <v>0.14586646981809973</v>
      </c>
      <c r="AW8" s="326">
        <f t="shared" si="42"/>
        <v>0.14615820275773592</v>
      </c>
      <c r="AX8" s="326">
        <f t="shared" si="42"/>
        <v>0.14645051916325139</v>
      </c>
      <c r="AY8" s="326">
        <f t="shared" si="42"/>
        <v>0.14674342020157788</v>
      </c>
      <c r="AZ8" s="326">
        <f t="shared" si="42"/>
        <v>0.14703690704198102</v>
      </c>
      <c r="BA8" s="326">
        <f t="shared" si="42"/>
        <v>0.147330980856065</v>
      </c>
      <c r="BB8" s="326">
        <f t="shared" si="42"/>
        <v>0.14762564281777713</v>
      </c>
      <c r="BC8" s="326">
        <f t="shared" si="42"/>
        <v>0.14792089410341269</v>
      </c>
      <c r="BD8" s="326">
        <f t="shared" si="42"/>
        <v>0.14821673589161952</v>
      </c>
      <c r="BE8" s="326">
        <f t="shared" si="42"/>
        <v>0.14851316936340275</v>
      </c>
      <c r="BF8" s="326">
        <f t="shared" si="42"/>
        <v>0.14881019570212956</v>
      </c>
      <c r="BG8" s="326">
        <f t="shared" si="42"/>
        <v>0.14910781609353382</v>
      </c>
      <c r="BH8" s="326">
        <f t="shared" si="42"/>
        <v>0.14940603172572089</v>
      </c>
      <c r="BI8" s="326">
        <f t="shared" si="42"/>
        <v>0.14970484378917234</v>
      </c>
      <c r="BJ8" s="326">
        <f t="shared" si="42"/>
        <v>0.1500042534767507</v>
      </c>
      <c r="BK8" s="326">
        <f t="shared" si="42"/>
        <v>0.1503042619837042</v>
      </c>
      <c r="BL8" s="326">
        <f t="shared" si="42"/>
        <v>0.1506048705076716</v>
      </c>
      <c r="BM8" s="326">
        <f t="shared" si="42"/>
        <v>0.15090608024868696</v>
      </c>
      <c r="BN8" s="326">
        <f t="shared" si="42"/>
        <v>0.15120789240918434</v>
      </c>
      <c r="BO8" s="326">
        <f t="shared" si="42"/>
        <v>0.15151030819400271</v>
      </c>
      <c r="BP8" s="326">
        <f t="shared" si="42"/>
        <v>0.15181332881039072</v>
      </c>
      <c r="BQ8" s="326">
        <f t="shared" si="42"/>
        <v>0.15211695546801152</v>
      </c>
      <c r="BR8" s="326">
        <f t="shared" si="42"/>
        <v>0.15242118937894755</v>
      </c>
      <c r="BS8" s="326">
        <f t="shared" ref="BS8:BX8" si="43">BS7</f>
        <v>0.15272603175770544</v>
      </c>
      <c r="BT8" s="326">
        <f t="shared" si="43"/>
        <v>0.15303148382122084</v>
      </c>
      <c r="BU8" s="326">
        <f t="shared" si="43"/>
        <v>0.15333754678886327</v>
      </c>
      <c r="BV8" s="326">
        <f t="shared" si="43"/>
        <v>0.15364422188244101</v>
      </c>
      <c r="BW8" s="326">
        <f t="shared" si="43"/>
        <v>0.15395151032620588</v>
      </c>
      <c r="BX8" s="326">
        <f t="shared" si="43"/>
        <v>0.1542594133468583</v>
      </c>
    </row>
    <row r="9" spans="1:76" hidden="1" outlineLevel="1">
      <c r="B9" s="352"/>
      <c r="C9" s="352" t="s">
        <v>232</v>
      </c>
      <c r="D9" s="352" t="s">
        <v>38</v>
      </c>
      <c r="E9" s="352" t="s">
        <v>131</v>
      </c>
      <c r="F9" s="326">
        <f>F7</f>
        <v>0.13671379637149922</v>
      </c>
      <c r="G9" s="326">
        <f t="shared" ref="G9:BR9" si="44">G7</f>
        <v>0.13692498926011076</v>
      </c>
      <c r="H9" s="326">
        <f t="shared" si="44"/>
        <v>0.13713618214872231</v>
      </c>
      <c r="I9" s="326">
        <f t="shared" si="44"/>
        <v>0.13734737503733385</v>
      </c>
      <c r="J9" s="326">
        <f t="shared" si="44"/>
        <v>0.1375585679259454</v>
      </c>
      <c r="K9" s="326">
        <f t="shared" si="44"/>
        <v>0.13776976081455694</v>
      </c>
      <c r="L9" s="326">
        <f t="shared" si="44"/>
        <v>0.13798095370316849</v>
      </c>
      <c r="M9" s="326">
        <f t="shared" si="44"/>
        <v>0.13819214659178003</v>
      </c>
      <c r="N9" s="326">
        <f t="shared" si="44"/>
        <v>0.13840333948039157</v>
      </c>
      <c r="O9" s="326">
        <f t="shared" si="44"/>
        <v>0.13861453236900312</v>
      </c>
      <c r="P9" s="326">
        <f t="shared" si="44"/>
        <v>0.13882572525761461</v>
      </c>
      <c r="Q9" s="326">
        <f t="shared" si="44"/>
        <v>0.13900497715890081</v>
      </c>
      <c r="R9" s="326">
        <f t="shared" si="44"/>
        <v>0.13918422906018701</v>
      </c>
      <c r="S9" s="326">
        <f t="shared" si="44"/>
        <v>0.13936348096147322</v>
      </c>
      <c r="T9" s="326">
        <f t="shared" si="44"/>
        <v>0.13954273286275942</v>
      </c>
      <c r="U9" s="326">
        <f t="shared" si="44"/>
        <v>0.13972198476404563</v>
      </c>
      <c r="V9" s="326">
        <f t="shared" si="44"/>
        <v>0.13990123666533183</v>
      </c>
      <c r="W9" s="326">
        <f t="shared" si="44"/>
        <v>0.14008048856661803</v>
      </c>
      <c r="X9" s="326">
        <f t="shared" si="44"/>
        <v>0.14025974046790424</v>
      </c>
      <c r="Y9" s="326">
        <f t="shared" si="44"/>
        <v>0.14043899236919044</v>
      </c>
      <c r="Z9" s="326">
        <f t="shared" si="44"/>
        <v>0.14061824427047664</v>
      </c>
      <c r="AA9" s="326">
        <f t="shared" si="44"/>
        <v>0.14079749617176285</v>
      </c>
      <c r="AB9" s="326">
        <f t="shared" si="44"/>
        <v>0.14097674807304905</v>
      </c>
      <c r="AC9" s="326">
        <f t="shared" si="44"/>
        <v>0.14115599997433526</v>
      </c>
      <c r="AD9" s="326">
        <f t="shared" si="44"/>
        <v>0.14133525187562146</v>
      </c>
      <c r="AE9" s="326">
        <f t="shared" si="44"/>
        <v>0.14151450377690766</v>
      </c>
      <c r="AF9" s="326">
        <f t="shared" si="44"/>
        <v>0.14169375567819387</v>
      </c>
      <c r="AG9" s="326">
        <f t="shared" si="44"/>
        <v>0.14187300757948007</v>
      </c>
      <c r="AH9" s="326">
        <f t="shared" si="44"/>
        <v>0.14205225948076627</v>
      </c>
      <c r="AI9" s="326">
        <f t="shared" si="44"/>
        <v>0.14223151138205248</v>
      </c>
      <c r="AJ9" s="326">
        <f t="shared" si="44"/>
        <v>0.14241076328333849</v>
      </c>
      <c r="AK9" s="326">
        <f t="shared" si="44"/>
        <v>0.14269558480990516</v>
      </c>
      <c r="AL9" s="326">
        <f t="shared" si="44"/>
        <v>0.14298097597952497</v>
      </c>
      <c r="AM9" s="326">
        <f t="shared" si="44"/>
        <v>0.14326693793148401</v>
      </c>
      <c r="AN9" s="326">
        <f t="shared" si="44"/>
        <v>0.14355347180734698</v>
      </c>
      <c r="AO9" s="326">
        <f t="shared" si="44"/>
        <v>0.14384057875096168</v>
      </c>
      <c r="AP9" s="326">
        <f t="shared" si="44"/>
        <v>0.14412825990846359</v>
      </c>
      <c r="AQ9" s="326">
        <f t="shared" si="44"/>
        <v>0.14441651642828052</v>
      </c>
      <c r="AR9" s="326">
        <f t="shared" si="44"/>
        <v>0.14470534946113708</v>
      </c>
      <c r="AS9" s="326">
        <f t="shared" si="44"/>
        <v>0.14499476016005935</v>
      </c>
      <c r="AT9" s="326">
        <f t="shared" si="44"/>
        <v>0.14528474968037947</v>
      </c>
      <c r="AU9" s="326">
        <f t="shared" si="44"/>
        <v>0.14557531917974023</v>
      </c>
      <c r="AV9" s="326">
        <f t="shared" si="44"/>
        <v>0.14586646981809973</v>
      </c>
      <c r="AW9" s="326">
        <f t="shared" si="44"/>
        <v>0.14615820275773592</v>
      </c>
      <c r="AX9" s="326">
        <f t="shared" si="44"/>
        <v>0.14645051916325139</v>
      </c>
      <c r="AY9" s="326">
        <f t="shared" si="44"/>
        <v>0.14674342020157788</v>
      </c>
      <c r="AZ9" s="326">
        <f t="shared" si="44"/>
        <v>0.14703690704198102</v>
      </c>
      <c r="BA9" s="326">
        <f t="shared" si="44"/>
        <v>0.147330980856065</v>
      </c>
      <c r="BB9" s="326">
        <f t="shared" si="44"/>
        <v>0.14762564281777713</v>
      </c>
      <c r="BC9" s="326">
        <f t="shared" si="44"/>
        <v>0.14792089410341269</v>
      </c>
      <c r="BD9" s="326">
        <f t="shared" si="44"/>
        <v>0.14821673589161952</v>
      </c>
      <c r="BE9" s="326">
        <f t="shared" si="44"/>
        <v>0.14851316936340275</v>
      </c>
      <c r="BF9" s="326">
        <f t="shared" si="44"/>
        <v>0.14881019570212956</v>
      </c>
      <c r="BG9" s="326">
        <f t="shared" si="44"/>
        <v>0.14910781609353382</v>
      </c>
      <c r="BH9" s="326">
        <f t="shared" si="44"/>
        <v>0.14940603172572089</v>
      </c>
      <c r="BI9" s="326">
        <f t="shared" si="44"/>
        <v>0.14970484378917234</v>
      </c>
      <c r="BJ9" s="326">
        <f t="shared" si="44"/>
        <v>0.1500042534767507</v>
      </c>
      <c r="BK9" s="326">
        <f t="shared" si="44"/>
        <v>0.1503042619837042</v>
      </c>
      <c r="BL9" s="326">
        <f t="shared" si="44"/>
        <v>0.1506048705076716</v>
      </c>
      <c r="BM9" s="326">
        <f t="shared" si="44"/>
        <v>0.15090608024868696</v>
      </c>
      <c r="BN9" s="326">
        <f t="shared" si="44"/>
        <v>0.15120789240918434</v>
      </c>
      <c r="BO9" s="326">
        <f t="shared" si="44"/>
        <v>0.15151030819400271</v>
      </c>
      <c r="BP9" s="326">
        <f t="shared" si="44"/>
        <v>0.15181332881039072</v>
      </c>
      <c r="BQ9" s="326">
        <f t="shared" si="44"/>
        <v>0.15211695546801152</v>
      </c>
      <c r="BR9" s="326">
        <f t="shared" si="44"/>
        <v>0.15242118937894755</v>
      </c>
      <c r="BS9" s="326">
        <f t="shared" ref="BS9:BX9" si="45">BS7</f>
        <v>0.15272603175770544</v>
      </c>
      <c r="BT9" s="326">
        <f t="shared" si="45"/>
        <v>0.15303148382122084</v>
      </c>
      <c r="BU9" s="326">
        <f t="shared" si="45"/>
        <v>0.15333754678886327</v>
      </c>
      <c r="BV9" s="326">
        <f t="shared" si="45"/>
        <v>0.15364422188244101</v>
      </c>
      <c r="BW9" s="326">
        <f t="shared" si="45"/>
        <v>0.15395151032620588</v>
      </c>
      <c r="BX9" s="326">
        <f t="shared" si="45"/>
        <v>0.1542594133468583</v>
      </c>
    </row>
    <row r="10" spans="1:76" hidden="1" outlineLevel="1">
      <c r="B10" s="352"/>
      <c r="C10" s="352" t="s">
        <v>232</v>
      </c>
      <c r="D10" s="352" t="s">
        <v>38</v>
      </c>
      <c r="E10" s="352" t="s">
        <v>173</v>
      </c>
      <c r="F10" s="326">
        <f>F7</f>
        <v>0.13671379637149922</v>
      </c>
      <c r="G10" s="326">
        <f t="shared" ref="G10:BR10" si="46">G7</f>
        <v>0.13692498926011076</v>
      </c>
      <c r="H10" s="326">
        <f t="shared" si="46"/>
        <v>0.13713618214872231</v>
      </c>
      <c r="I10" s="326">
        <f t="shared" si="46"/>
        <v>0.13734737503733385</v>
      </c>
      <c r="J10" s="326">
        <f t="shared" si="46"/>
        <v>0.1375585679259454</v>
      </c>
      <c r="K10" s="326">
        <f t="shared" si="46"/>
        <v>0.13776976081455694</v>
      </c>
      <c r="L10" s="326">
        <f t="shared" si="46"/>
        <v>0.13798095370316849</v>
      </c>
      <c r="M10" s="326">
        <f t="shared" si="46"/>
        <v>0.13819214659178003</v>
      </c>
      <c r="N10" s="326">
        <f t="shared" si="46"/>
        <v>0.13840333948039157</v>
      </c>
      <c r="O10" s="326">
        <f t="shared" si="46"/>
        <v>0.13861453236900312</v>
      </c>
      <c r="P10" s="326">
        <f t="shared" si="46"/>
        <v>0.13882572525761461</v>
      </c>
      <c r="Q10" s="326">
        <f t="shared" si="46"/>
        <v>0.13900497715890081</v>
      </c>
      <c r="R10" s="326">
        <f t="shared" si="46"/>
        <v>0.13918422906018701</v>
      </c>
      <c r="S10" s="326">
        <f t="shared" si="46"/>
        <v>0.13936348096147322</v>
      </c>
      <c r="T10" s="326">
        <f t="shared" si="46"/>
        <v>0.13954273286275942</v>
      </c>
      <c r="U10" s="326">
        <f t="shared" si="46"/>
        <v>0.13972198476404563</v>
      </c>
      <c r="V10" s="326">
        <f t="shared" si="46"/>
        <v>0.13990123666533183</v>
      </c>
      <c r="W10" s="326">
        <f t="shared" si="46"/>
        <v>0.14008048856661803</v>
      </c>
      <c r="X10" s="326">
        <f t="shared" si="46"/>
        <v>0.14025974046790424</v>
      </c>
      <c r="Y10" s="326">
        <f t="shared" si="46"/>
        <v>0.14043899236919044</v>
      </c>
      <c r="Z10" s="326">
        <f t="shared" si="46"/>
        <v>0.14061824427047664</v>
      </c>
      <c r="AA10" s="326">
        <f t="shared" si="46"/>
        <v>0.14079749617176285</v>
      </c>
      <c r="AB10" s="326">
        <f t="shared" si="46"/>
        <v>0.14097674807304905</v>
      </c>
      <c r="AC10" s="326">
        <f t="shared" si="46"/>
        <v>0.14115599997433526</v>
      </c>
      <c r="AD10" s="326">
        <f t="shared" si="46"/>
        <v>0.14133525187562146</v>
      </c>
      <c r="AE10" s="326">
        <f t="shared" si="46"/>
        <v>0.14151450377690766</v>
      </c>
      <c r="AF10" s="326">
        <f t="shared" si="46"/>
        <v>0.14169375567819387</v>
      </c>
      <c r="AG10" s="326">
        <f t="shared" si="46"/>
        <v>0.14187300757948007</v>
      </c>
      <c r="AH10" s="326">
        <f t="shared" si="46"/>
        <v>0.14205225948076627</v>
      </c>
      <c r="AI10" s="326">
        <f t="shared" si="46"/>
        <v>0.14223151138205248</v>
      </c>
      <c r="AJ10" s="326">
        <f t="shared" si="46"/>
        <v>0.14241076328333849</v>
      </c>
      <c r="AK10" s="326">
        <f t="shared" si="46"/>
        <v>0.14269558480990516</v>
      </c>
      <c r="AL10" s="326">
        <f t="shared" si="46"/>
        <v>0.14298097597952497</v>
      </c>
      <c r="AM10" s="326">
        <f t="shared" si="46"/>
        <v>0.14326693793148401</v>
      </c>
      <c r="AN10" s="326">
        <f t="shared" si="46"/>
        <v>0.14355347180734698</v>
      </c>
      <c r="AO10" s="326">
        <f t="shared" si="46"/>
        <v>0.14384057875096168</v>
      </c>
      <c r="AP10" s="326">
        <f t="shared" si="46"/>
        <v>0.14412825990846359</v>
      </c>
      <c r="AQ10" s="326">
        <f t="shared" si="46"/>
        <v>0.14441651642828052</v>
      </c>
      <c r="AR10" s="326">
        <f t="shared" si="46"/>
        <v>0.14470534946113708</v>
      </c>
      <c r="AS10" s="326">
        <f t="shared" si="46"/>
        <v>0.14499476016005935</v>
      </c>
      <c r="AT10" s="326">
        <f t="shared" si="46"/>
        <v>0.14528474968037947</v>
      </c>
      <c r="AU10" s="326">
        <f t="shared" si="46"/>
        <v>0.14557531917974023</v>
      </c>
      <c r="AV10" s="326">
        <f t="shared" si="46"/>
        <v>0.14586646981809973</v>
      </c>
      <c r="AW10" s="326">
        <f t="shared" si="46"/>
        <v>0.14615820275773592</v>
      </c>
      <c r="AX10" s="326">
        <f t="shared" si="46"/>
        <v>0.14645051916325139</v>
      </c>
      <c r="AY10" s="326">
        <f t="shared" si="46"/>
        <v>0.14674342020157788</v>
      </c>
      <c r="AZ10" s="326">
        <f t="shared" si="46"/>
        <v>0.14703690704198102</v>
      </c>
      <c r="BA10" s="326">
        <f t="shared" si="46"/>
        <v>0.147330980856065</v>
      </c>
      <c r="BB10" s="326">
        <f t="shared" si="46"/>
        <v>0.14762564281777713</v>
      </c>
      <c r="BC10" s="326">
        <f t="shared" si="46"/>
        <v>0.14792089410341269</v>
      </c>
      <c r="BD10" s="326">
        <f t="shared" si="46"/>
        <v>0.14821673589161952</v>
      </c>
      <c r="BE10" s="326">
        <f t="shared" si="46"/>
        <v>0.14851316936340275</v>
      </c>
      <c r="BF10" s="326">
        <f t="shared" si="46"/>
        <v>0.14881019570212956</v>
      </c>
      <c r="BG10" s="326">
        <f t="shared" si="46"/>
        <v>0.14910781609353382</v>
      </c>
      <c r="BH10" s="326">
        <f t="shared" si="46"/>
        <v>0.14940603172572089</v>
      </c>
      <c r="BI10" s="326">
        <f t="shared" si="46"/>
        <v>0.14970484378917234</v>
      </c>
      <c r="BJ10" s="326">
        <f t="shared" si="46"/>
        <v>0.1500042534767507</v>
      </c>
      <c r="BK10" s="326">
        <f t="shared" si="46"/>
        <v>0.1503042619837042</v>
      </c>
      <c r="BL10" s="326">
        <f t="shared" si="46"/>
        <v>0.1506048705076716</v>
      </c>
      <c r="BM10" s="326">
        <f t="shared" si="46"/>
        <v>0.15090608024868696</v>
      </c>
      <c r="BN10" s="326">
        <f t="shared" si="46"/>
        <v>0.15120789240918434</v>
      </c>
      <c r="BO10" s="326">
        <f t="shared" si="46"/>
        <v>0.15151030819400271</v>
      </c>
      <c r="BP10" s="326">
        <f t="shared" si="46"/>
        <v>0.15181332881039072</v>
      </c>
      <c r="BQ10" s="326">
        <f t="shared" si="46"/>
        <v>0.15211695546801152</v>
      </c>
      <c r="BR10" s="326">
        <f t="shared" si="46"/>
        <v>0.15242118937894755</v>
      </c>
      <c r="BS10" s="326">
        <f t="shared" ref="BS10:BX10" si="47">BS7</f>
        <v>0.15272603175770544</v>
      </c>
      <c r="BT10" s="326">
        <f t="shared" si="47"/>
        <v>0.15303148382122084</v>
      </c>
      <c r="BU10" s="326">
        <f t="shared" si="47"/>
        <v>0.15333754678886327</v>
      </c>
      <c r="BV10" s="326">
        <f t="shared" si="47"/>
        <v>0.15364422188244101</v>
      </c>
      <c r="BW10" s="326">
        <f t="shared" si="47"/>
        <v>0.15395151032620588</v>
      </c>
      <c r="BX10" s="326">
        <f t="shared" si="47"/>
        <v>0.1542594133468583</v>
      </c>
    </row>
    <row r="11" spans="1:76" hidden="1" outlineLevel="1">
      <c r="A11" s="38" t="s">
        <v>339</v>
      </c>
      <c r="B11" s="352"/>
      <c r="C11" s="352" t="s">
        <v>233</v>
      </c>
      <c r="D11" s="352" t="s">
        <v>38</v>
      </c>
      <c r="E11" s="352" t="s">
        <v>133</v>
      </c>
      <c r="F11" s="379">
        <v>0.13861933852986111</v>
      </c>
      <c r="G11" s="379">
        <v>0.14009945436837179</v>
      </c>
      <c r="H11" s="379">
        <v>0.14157957020688247</v>
      </c>
      <c r="I11" s="379">
        <v>0.14305968604539315</v>
      </c>
      <c r="J11" s="379">
        <v>0.14453980188390383</v>
      </c>
      <c r="K11" s="379">
        <v>0.14601991772241452</v>
      </c>
      <c r="L11" s="379">
        <v>0.1475000335609252</v>
      </c>
      <c r="M11" s="379">
        <v>0.14898014939943588</v>
      </c>
      <c r="N11" s="379">
        <v>0.15046026523794656</v>
      </c>
      <c r="O11" s="379">
        <v>0.15194038107645724</v>
      </c>
      <c r="P11" s="379">
        <v>0.15342049691496795</v>
      </c>
      <c r="Q11" s="379">
        <v>0.15397628094078381</v>
      </c>
      <c r="R11" s="379">
        <v>0.15453206496659966</v>
      </c>
      <c r="S11" s="379">
        <v>0.15508784899241551</v>
      </c>
      <c r="T11" s="379">
        <v>0.15564363301823136</v>
      </c>
      <c r="U11" s="379">
        <v>0.15619941704404722</v>
      </c>
      <c r="V11" s="379">
        <v>0.15675520106986307</v>
      </c>
      <c r="W11" s="379">
        <v>0.15731098509567892</v>
      </c>
      <c r="X11" s="379">
        <v>0.15786676912149478</v>
      </c>
      <c r="Y11" s="379">
        <v>0.15842255314731063</v>
      </c>
      <c r="Z11" s="379">
        <v>0.15897833717312648</v>
      </c>
      <c r="AA11" s="379">
        <v>0.15953412119894234</v>
      </c>
      <c r="AB11" s="379">
        <v>0.16008990522475819</v>
      </c>
      <c r="AC11" s="379">
        <v>0.16064568925057404</v>
      </c>
      <c r="AD11" s="379">
        <v>0.16120147327638989</v>
      </c>
      <c r="AE11" s="379">
        <v>0.16175725730220575</v>
      </c>
      <c r="AF11" s="379">
        <v>0.1623130413280216</v>
      </c>
      <c r="AG11" s="379">
        <v>0.16286882535383745</v>
      </c>
      <c r="AH11" s="379">
        <v>0.16342460937965331</v>
      </c>
      <c r="AI11" s="379">
        <v>0.16398039340546916</v>
      </c>
      <c r="AJ11" s="379">
        <v>0.16453617743128526</v>
      </c>
      <c r="AK11" s="207">
        <f t="shared" ref="AK11:BX11" si="48">AJ11*1.002</f>
        <v>0.16486524978614783</v>
      </c>
      <c r="AL11" s="207">
        <f t="shared" si="48"/>
        <v>0.16519498028572013</v>
      </c>
      <c r="AM11" s="207">
        <f t="shared" si="48"/>
        <v>0.16552537024629158</v>
      </c>
      <c r="AN11" s="207">
        <f t="shared" si="48"/>
        <v>0.16585642098678416</v>
      </c>
      <c r="AO11" s="207">
        <f t="shared" si="48"/>
        <v>0.16618813382875772</v>
      </c>
      <c r="AP11" s="207">
        <f t="shared" si="48"/>
        <v>0.16652051009641522</v>
      </c>
      <c r="AQ11" s="207">
        <f t="shared" si="48"/>
        <v>0.16685355111660805</v>
      </c>
      <c r="AR11" s="207">
        <f t="shared" si="48"/>
        <v>0.16718725821884126</v>
      </c>
      <c r="AS11" s="207">
        <f t="shared" si="48"/>
        <v>0.16752163273527895</v>
      </c>
      <c r="AT11" s="207">
        <f t="shared" si="48"/>
        <v>0.16785667600074952</v>
      </c>
      <c r="AU11" s="207">
        <f t="shared" si="48"/>
        <v>0.16819238935275102</v>
      </c>
      <c r="AV11" s="207">
        <f t="shared" si="48"/>
        <v>0.16852877413145653</v>
      </c>
      <c r="AW11" s="207">
        <f t="shared" si="48"/>
        <v>0.16886583167971944</v>
      </c>
      <c r="AX11" s="207">
        <f t="shared" si="48"/>
        <v>0.16920356334307887</v>
      </c>
      <c r="AY11" s="207">
        <f t="shared" si="48"/>
        <v>0.16954197046976502</v>
      </c>
      <c r="AZ11" s="207">
        <f t="shared" si="48"/>
        <v>0.16988105441070456</v>
      </c>
      <c r="BA11" s="207">
        <f t="shared" si="48"/>
        <v>0.17022081651952597</v>
      </c>
      <c r="BB11" s="207">
        <f t="shared" si="48"/>
        <v>0.17056125815256504</v>
      </c>
      <c r="BC11" s="207">
        <f t="shared" si="48"/>
        <v>0.17090238066887017</v>
      </c>
      <c r="BD11" s="207">
        <f t="shared" si="48"/>
        <v>0.17124418543020792</v>
      </c>
      <c r="BE11" s="207">
        <f t="shared" si="48"/>
        <v>0.17158667380106835</v>
      </c>
      <c r="BF11" s="207">
        <f t="shared" si="48"/>
        <v>0.17192984714867049</v>
      </c>
      <c r="BG11" s="207">
        <f t="shared" si="48"/>
        <v>0.17227370684296783</v>
      </c>
      <c r="BH11" s="207">
        <f t="shared" si="48"/>
        <v>0.17261825425665378</v>
      </c>
      <c r="BI11" s="207">
        <f t="shared" si="48"/>
        <v>0.17296349076516709</v>
      </c>
      <c r="BJ11" s="207">
        <f t="shared" si="48"/>
        <v>0.17330941774669742</v>
      </c>
      <c r="BK11" s="207">
        <f t="shared" si="48"/>
        <v>0.17365603658219081</v>
      </c>
      <c r="BL11" s="207">
        <f t="shared" si="48"/>
        <v>0.17400334865535519</v>
      </c>
      <c r="BM11" s="207">
        <f t="shared" si="48"/>
        <v>0.17435135535266591</v>
      </c>
      <c r="BN11" s="207">
        <f t="shared" si="48"/>
        <v>0.17470005806337124</v>
      </c>
      <c r="BO11" s="207">
        <f t="shared" si="48"/>
        <v>0.17504945817949799</v>
      </c>
      <c r="BP11" s="207">
        <f t="shared" si="48"/>
        <v>0.175399557095857</v>
      </c>
      <c r="BQ11" s="207">
        <f t="shared" si="48"/>
        <v>0.17575035621004872</v>
      </c>
      <c r="BR11" s="207">
        <f t="shared" si="48"/>
        <v>0.17610185692246882</v>
      </c>
      <c r="BS11" s="207">
        <f t="shared" si="48"/>
        <v>0.17645406063631378</v>
      </c>
      <c r="BT11" s="207">
        <f t="shared" si="48"/>
        <v>0.17680696875758639</v>
      </c>
      <c r="BU11" s="207">
        <f t="shared" si="48"/>
        <v>0.17716058269510157</v>
      </c>
      <c r="BV11" s="207">
        <f t="shared" si="48"/>
        <v>0.17751490386049176</v>
      </c>
      <c r="BW11" s="207">
        <f t="shared" si="48"/>
        <v>0.17786993366821274</v>
      </c>
      <c r="BX11" s="207">
        <f t="shared" si="48"/>
        <v>0.17822567353554916</v>
      </c>
    </row>
    <row r="12" spans="1:76" hidden="1" outlineLevel="1">
      <c r="B12" s="352"/>
      <c r="C12" s="352" t="s">
        <v>233</v>
      </c>
      <c r="D12" s="352" t="s">
        <v>38</v>
      </c>
      <c r="E12" s="352" t="s">
        <v>134</v>
      </c>
      <c r="F12" s="326">
        <f>F11</f>
        <v>0.13861933852986111</v>
      </c>
      <c r="G12" s="326">
        <f>G11</f>
        <v>0.14009945436837179</v>
      </c>
      <c r="H12" s="326">
        <f t="shared" ref="H12:BR12" si="49">H11</f>
        <v>0.14157957020688247</v>
      </c>
      <c r="I12" s="326">
        <f t="shared" si="49"/>
        <v>0.14305968604539315</v>
      </c>
      <c r="J12" s="326">
        <f t="shared" si="49"/>
        <v>0.14453980188390383</v>
      </c>
      <c r="K12" s="326">
        <f t="shared" si="49"/>
        <v>0.14601991772241452</v>
      </c>
      <c r="L12" s="326">
        <f t="shared" si="49"/>
        <v>0.1475000335609252</v>
      </c>
      <c r="M12" s="326">
        <f t="shared" si="49"/>
        <v>0.14898014939943588</v>
      </c>
      <c r="N12" s="326">
        <f t="shared" si="49"/>
        <v>0.15046026523794656</v>
      </c>
      <c r="O12" s="326">
        <f t="shared" si="49"/>
        <v>0.15194038107645724</v>
      </c>
      <c r="P12" s="326">
        <f t="shared" si="49"/>
        <v>0.15342049691496795</v>
      </c>
      <c r="Q12" s="326">
        <f t="shared" si="49"/>
        <v>0.15397628094078381</v>
      </c>
      <c r="R12" s="326">
        <f t="shared" si="49"/>
        <v>0.15453206496659966</v>
      </c>
      <c r="S12" s="326">
        <f t="shared" si="49"/>
        <v>0.15508784899241551</v>
      </c>
      <c r="T12" s="326">
        <f t="shared" si="49"/>
        <v>0.15564363301823136</v>
      </c>
      <c r="U12" s="326">
        <f t="shared" si="49"/>
        <v>0.15619941704404722</v>
      </c>
      <c r="V12" s="326">
        <f t="shared" si="49"/>
        <v>0.15675520106986307</v>
      </c>
      <c r="W12" s="326">
        <f t="shared" si="49"/>
        <v>0.15731098509567892</v>
      </c>
      <c r="X12" s="326">
        <f t="shared" si="49"/>
        <v>0.15786676912149478</v>
      </c>
      <c r="Y12" s="326">
        <f t="shared" si="49"/>
        <v>0.15842255314731063</v>
      </c>
      <c r="Z12" s="326">
        <f t="shared" si="49"/>
        <v>0.15897833717312648</v>
      </c>
      <c r="AA12" s="326">
        <f t="shared" si="49"/>
        <v>0.15953412119894234</v>
      </c>
      <c r="AB12" s="326">
        <f t="shared" si="49"/>
        <v>0.16008990522475819</v>
      </c>
      <c r="AC12" s="326">
        <f t="shared" si="49"/>
        <v>0.16064568925057404</v>
      </c>
      <c r="AD12" s="326">
        <f t="shared" si="49"/>
        <v>0.16120147327638989</v>
      </c>
      <c r="AE12" s="326">
        <f t="shared" si="49"/>
        <v>0.16175725730220575</v>
      </c>
      <c r="AF12" s="326">
        <f t="shared" si="49"/>
        <v>0.1623130413280216</v>
      </c>
      <c r="AG12" s="326">
        <f t="shared" si="49"/>
        <v>0.16286882535383745</v>
      </c>
      <c r="AH12" s="326">
        <f t="shared" si="49"/>
        <v>0.16342460937965331</v>
      </c>
      <c r="AI12" s="326">
        <f t="shared" si="49"/>
        <v>0.16398039340546916</v>
      </c>
      <c r="AJ12" s="326">
        <f t="shared" si="49"/>
        <v>0.16453617743128526</v>
      </c>
      <c r="AK12" s="326">
        <f t="shared" si="49"/>
        <v>0.16486524978614783</v>
      </c>
      <c r="AL12" s="326">
        <f t="shared" si="49"/>
        <v>0.16519498028572013</v>
      </c>
      <c r="AM12" s="326">
        <f t="shared" si="49"/>
        <v>0.16552537024629158</v>
      </c>
      <c r="AN12" s="326">
        <f t="shared" si="49"/>
        <v>0.16585642098678416</v>
      </c>
      <c r="AO12" s="326">
        <f t="shared" si="49"/>
        <v>0.16618813382875772</v>
      </c>
      <c r="AP12" s="326">
        <f t="shared" si="49"/>
        <v>0.16652051009641522</v>
      </c>
      <c r="AQ12" s="326">
        <f t="shared" si="49"/>
        <v>0.16685355111660805</v>
      </c>
      <c r="AR12" s="326">
        <f t="shared" si="49"/>
        <v>0.16718725821884126</v>
      </c>
      <c r="AS12" s="326">
        <f t="shared" si="49"/>
        <v>0.16752163273527895</v>
      </c>
      <c r="AT12" s="326">
        <f t="shared" si="49"/>
        <v>0.16785667600074952</v>
      </c>
      <c r="AU12" s="326">
        <f t="shared" si="49"/>
        <v>0.16819238935275102</v>
      </c>
      <c r="AV12" s="326">
        <f t="shared" si="49"/>
        <v>0.16852877413145653</v>
      </c>
      <c r="AW12" s="326">
        <f t="shared" si="49"/>
        <v>0.16886583167971944</v>
      </c>
      <c r="AX12" s="326">
        <f t="shared" si="49"/>
        <v>0.16920356334307887</v>
      </c>
      <c r="AY12" s="326">
        <f t="shared" si="49"/>
        <v>0.16954197046976502</v>
      </c>
      <c r="AZ12" s="326">
        <f t="shared" si="49"/>
        <v>0.16988105441070456</v>
      </c>
      <c r="BA12" s="326">
        <f t="shared" si="49"/>
        <v>0.17022081651952597</v>
      </c>
      <c r="BB12" s="326">
        <f t="shared" si="49"/>
        <v>0.17056125815256504</v>
      </c>
      <c r="BC12" s="326">
        <f t="shared" si="49"/>
        <v>0.17090238066887017</v>
      </c>
      <c r="BD12" s="326">
        <f t="shared" si="49"/>
        <v>0.17124418543020792</v>
      </c>
      <c r="BE12" s="326">
        <f t="shared" si="49"/>
        <v>0.17158667380106835</v>
      </c>
      <c r="BF12" s="326">
        <f t="shared" si="49"/>
        <v>0.17192984714867049</v>
      </c>
      <c r="BG12" s="326">
        <f t="shared" si="49"/>
        <v>0.17227370684296783</v>
      </c>
      <c r="BH12" s="326">
        <f t="shared" si="49"/>
        <v>0.17261825425665378</v>
      </c>
      <c r="BI12" s="326">
        <f t="shared" si="49"/>
        <v>0.17296349076516709</v>
      </c>
      <c r="BJ12" s="326">
        <f t="shared" si="49"/>
        <v>0.17330941774669742</v>
      </c>
      <c r="BK12" s="326">
        <f t="shared" si="49"/>
        <v>0.17365603658219081</v>
      </c>
      <c r="BL12" s="326">
        <f t="shared" si="49"/>
        <v>0.17400334865535519</v>
      </c>
      <c r="BM12" s="326">
        <f t="shared" si="49"/>
        <v>0.17435135535266591</v>
      </c>
      <c r="BN12" s="326">
        <f t="shared" si="49"/>
        <v>0.17470005806337124</v>
      </c>
      <c r="BO12" s="326">
        <f t="shared" si="49"/>
        <v>0.17504945817949799</v>
      </c>
      <c r="BP12" s="326">
        <f t="shared" si="49"/>
        <v>0.175399557095857</v>
      </c>
      <c r="BQ12" s="326">
        <f t="shared" si="49"/>
        <v>0.17575035621004872</v>
      </c>
      <c r="BR12" s="326">
        <f t="shared" si="49"/>
        <v>0.17610185692246882</v>
      </c>
      <c r="BS12" s="326">
        <f t="shared" ref="BS12:BX12" si="50">BS11</f>
        <v>0.17645406063631378</v>
      </c>
      <c r="BT12" s="326">
        <f t="shared" si="50"/>
        <v>0.17680696875758639</v>
      </c>
      <c r="BU12" s="326">
        <f t="shared" si="50"/>
        <v>0.17716058269510157</v>
      </c>
      <c r="BV12" s="326">
        <f t="shared" si="50"/>
        <v>0.17751490386049176</v>
      </c>
      <c r="BW12" s="326">
        <f t="shared" si="50"/>
        <v>0.17786993366821274</v>
      </c>
      <c r="BX12" s="326">
        <f t="shared" si="50"/>
        <v>0.17822567353554916</v>
      </c>
    </row>
    <row r="13" spans="1:76" hidden="1" outlineLevel="1">
      <c r="A13" s="38" t="s">
        <v>340</v>
      </c>
      <c r="B13" s="352"/>
      <c r="C13" s="352" t="s">
        <v>234</v>
      </c>
      <c r="D13" s="352" t="s">
        <v>38</v>
      </c>
      <c r="E13" s="352" t="s">
        <v>8</v>
      </c>
      <c r="F13" s="379">
        <v>0.26084039968030859</v>
      </c>
      <c r="G13" s="379">
        <v>0.26362553782181775</v>
      </c>
      <c r="H13" s="379">
        <v>0.2664106759633269</v>
      </c>
      <c r="I13" s="379">
        <v>0.26919581410483606</v>
      </c>
      <c r="J13" s="379">
        <v>0.27198095224634522</v>
      </c>
      <c r="K13" s="379">
        <v>0.27476609038785438</v>
      </c>
      <c r="L13" s="379">
        <v>0.27755122852936354</v>
      </c>
      <c r="M13" s="379">
        <v>0.28033636667087269</v>
      </c>
      <c r="N13" s="379">
        <v>0.28312150481238185</v>
      </c>
      <c r="O13" s="379">
        <v>0.28590664295389101</v>
      </c>
      <c r="P13" s="379">
        <v>0.28869178109539989</v>
      </c>
      <c r="Q13" s="379">
        <v>0.289737601461932</v>
      </c>
      <c r="R13" s="379">
        <v>0.29078342182846412</v>
      </c>
      <c r="S13" s="379">
        <v>0.29182924219499623</v>
      </c>
      <c r="T13" s="379">
        <v>0.29287506256152834</v>
      </c>
      <c r="U13" s="379">
        <v>0.29392088292806046</v>
      </c>
      <c r="V13" s="379">
        <v>0.29496670329459257</v>
      </c>
      <c r="W13" s="379">
        <v>0.29601252366112468</v>
      </c>
      <c r="X13" s="379">
        <v>0.2970583440276568</v>
      </c>
      <c r="Y13" s="379">
        <v>0.29810416439418891</v>
      </c>
      <c r="Z13" s="379">
        <v>0.29914998476072102</v>
      </c>
      <c r="AA13" s="379">
        <v>0.30019580512725313</v>
      </c>
      <c r="AB13" s="379">
        <v>0.30124162549378525</v>
      </c>
      <c r="AC13" s="379">
        <v>0.30228744586031736</v>
      </c>
      <c r="AD13" s="379">
        <v>0.30333326622684947</v>
      </c>
      <c r="AE13" s="379">
        <v>0.30437908659338159</v>
      </c>
      <c r="AF13" s="379">
        <v>0.3054249069599137</v>
      </c>
      <c r="AG13" s="379">
        <v>0.30647072732644581</v>
      </c>
      <c r="AH13" s="379">
        <v>0.30751654769297793</v>
      </c>
      <c r="AI13" s="379">
        <v>0.30856236805951004</v>
      </c>
      <c r="AJ13" s="379">
        <v>0.30960818842604249</v>
      </c>
      <c r="AK13" s="326">
        <f t="shared" ref="AK13:BR13" si="51">AK15</f>
        <v>0.30890428425918698</v>
      </c>
      <c r="AL13" s="326">
        <f t="shared" si="51"/>
        <v>0.30952209282770538</v>
      </c>
      <c r="AM13" s="326">
        <f t="shared" si="51"/>
        <v>0.31014113701336077</v>
      </c>
      <c r="AN13" s="326">
        <f t="shared" si="51"/>
        <v>0.31076141928738749</v>
      </c>
      <c r="AO13" s="326">
        <f t="shared" si="51"/>
        <v>0.31138294212596224</v>
      </c>
      <c r="AP13" s="326">
        <f t="shared" si="51"/>
        <v>0.31200570801021416</v>
      </c>
      <c r="AQ13" s="326">
        <f t="shared" si="51"/>
        <v>0.31262971942623458</v>
      </c>
      <c r="AR13" s="326">
        <f t="shared" si="51"/>
        <v>0.31325497886508702</v>
      </c>
      <c r="AS13" s="326">
        <f t="shared" si="51"/>
        <v>0.31388148882281719</v>
      </c>
      <c r="AT13" s="326">
        <f t="shared" si="51"/>
        <v>0.3145092518004628</v>
      </c>
      <c r="AU13" s="326">
        <f t="shared" si="51"/>
        <v>0.31513827030406372</v>
      </c>
      <c r="AV13" s="326">
        <f t="shared" si="51"/>
        <v>0.31576854684467187</v>
      </c>
      <c r="AW13" s="326">
        <f t="shared" si="51"/>
        <v>0.31640008393836122</v>
      </c>
      <c r="AX13" s="326">
        <f t="shared" si="51"/>
        <v>0.31703288410623792</v>
      </c>
      <c r="AY13" s="326">
        <f t="shared" si="51"/>
        <v>0.31766694987445038</v>
      </c>
      <c r="AZ13" s="326">
        <f t="shared" si="51"/>
        <v>0.31830228377419928</v>
      </c>
      <c r="BA13" s="326">
        <f t="shared" si="51"/>
        <v>0.31893888834174766</v>
      </c>
      <c r="BB13" s="326">
        <f t="shared" si="51"/>
        <v>0.31957676611843117</v>
      </c>
      <c r="BC13" s="326">
        <f t="shared" si="51"/>
        <v>0.32021591965066803</v>
      </c>
      <c r="BD13" s="326">
        <f t="shared" si="51"/>
        <v>0.32085635148996938</v>
      </c>
      <c r="BE13" s="326">
        <f t="shared" si="51"/>
        <v>0.3214980641929493</v>
      </c>
      <c r="BF13" s="326">
        <f t="shared" si="51"/>
        <v>0.32214106032133522</v>
      </c>
      <c r="BG13" s="326">
        <f t="shared" si="51"/>
        <v>0.32278534244197787</v>
      </c>
      <c r="BH13" s="326">
        <f t="shared" si="51"/>
        <v>0.32343091312686184</v>
      </c>
      <c r="BI13" s="326">
        <f t="shared" si="51"/>
        <v>0.32407777495311557</v>
      </c>
      <c r="BJ13" s="326">
        <f t="shared" si="51"/>
        <v>0.32472593050302179</v>
      </c>
      <c r="BK13" s="326">
        <f t="shared" si="51"/>
        <v>0.32537538236402785</v>
      </c>
      <c r="BL13" s="326">
        <f t="shared" si="51"/>
        <v>0.32602613312875589</v>
      </c>
      <c r="BM13" s="326">
        <f t="shared" si="51"/>
        <v>0.32667818539501342</v>
      </c>
      <c r="BN13" s="326">
        <f t="shared" si="51"/>
        <v>0.32733154176580342</v>
      </c>
      <c r="BO13" s="326">
        <f t="shared" si="51"/>
        <v>0.32798620484933505</v>
      </c>
      <c r="BP13" s="326">
        <f t="shared" si="51"/>
        <v>0.32864217725903372</v>
      </c>
      <c r="BQ13" s="326">
        <f t="shared" si="51"/>
        <v>0.32929946161355178</v>
      </c>
      <c r="BR13" s="326">
        <f t="shared" si="51"/>
        <v>0.3299580605367789</v>
      </c>
      <c r="BS13" s="326">
        <f t="shared" ref="BS13:BX13" si="52">BS15</f>
        <v>0.33061797665785247</v>
      </c>
      <c r="BT13" s="326">
        <f t="shared" si="52"/>
        <v>0.33127921261116816</v>
      </c>
      <c r="BU13" s="326">
        <f t="shared" si="52"/>
        <v>0.3319417710363905</v>
      </c>
      <c r="BV13" s="326">
        <f t="shared" si="52"/>
        <v>0.33260565457846331</v>
      </c>
      <c r="BW13" s="326">
        <f t="shared" si="52"/>
        <v>0.33327086588762023</v>
      </c>
      <c r="BX13" s="326">
        <f t="shared" si="52"/>
        <v>0.33393740761939544</v>
      </c>
    </row>
    <row r="14" spans="1:76" hidden="1" outlineLevel="1">
      <c r="B14" s="352"/>
      <c r="C14" s="352" t="s">
        <v>234</v>
      </c>
      <c r="D14" s="352" t="s">
        <v>38</v>
      </c>
      <c r="E14" s="352" t="s">
        <v>171</v>
      </c>
      <c r="F14" s="326">
        <f>F13</f>
        <v>0.26084039968030859</v>
      </c>
      <c r="G14" s="326">
        <f>G13</f>
        <v>0.26362553782181775</v>
      </c>
      <c r="H14" s="326">
        <f t="shared" ref="H14:BR14" si="53">H13</f>
        <v>0.2664106759633269</v>
      </c>
      <c r="I14" s="326">
        <f t="shared" si="53"/>
        <v>0.26919581410483606</v>
      </c>
      <c r="J14" s="326">
        <f t="shared" si="53"/>
        <v>0.27198095224634522</v>
      </c>
      <c r="K14" s="326">
        <f t="shared" si="53"/>
        <v>0.27476609038785438</v>
      </c>
      <c r="L14" s="326">
        <f t="shared" si="53"/>
        <v>0.27755122852936354</v>
      </c>
      <c r="M14" s="326">
        <f t="shared" si="53"/>
        <v>0.28033636667087269</v>
      </c>
      <c r="N14" s="326">
        <f t="shared" si="53"/>
        <v>0.28312150481238185</v>
      </c>
      <c r="O14" s="326">
        <f t="shared" si="53"/>
        <v>0.28590664295389101</v>
      </c>
      <c r="P14" s="326">
        <f t="shared" si="53"/>
        <v>0.28869178109539989</v>
      </c>
      <c r="Q14" s="326">
        <f t="shared" si="53"/>
        <v>0.289737601461932</v>
      </c>
      <c r="R14" s="326">
        <f t="shared" si="53"/>
        <v>0.29078342182846412</v>
      </c>
      <c r="S14" s="326">
        <f t="shared" si="53"/>
        <v>0.29182924219499623</v>
      </c>
      <c r="T14" s="326">
        <f t="shared" si="53"/>
        <v>0.29287506256152834</v>
      </c>
      <c r="U14" s="326">
        <f t="shared" si="53"/>
        <v>0.29392088292806046</v>
      </c>
      <c r="V14" s="326">
        <f t="shared" si="53"/>
        <v>0.29496670329459257</v>
      </c>
      <c r="W14" s="326">
        <f t="shared" si="53"/>
        <v>0.29601252366112468</v>
      </c>
      <c r="X14" s="326">
        <f t="shared" si="53"/>
        <v>0.2970583440276568</v>
      </c>
      <c r="Y14" s="326">
        <f t="shared" si="53"/>
        <v>0.29810416439418891</v>
      </c>
      <c r="Z14" s="326">
        <f t="shared" si="53"/>
        <v>0.29914998476072102</v>
      </c>
      <c r="AA14" s="326">
        <f t="shared" si="53"/>
        <v>0.30019580512725313</v>
      </c>
      <c r="AB14" s="326">
        <f t="shared" si="53"/>
        <v>0.30124162549378525</v>
      </c>
      <c r="AC14" s="326">
        <f t="shared" si="53"/>
        <v>0.30228744586031736</v>
      </c>
      <c r="AD14" s="326">
        <f t="shared" si="53"/>
        <v>0.30333326622684947</v>
      </c>
      <c r="AE14" s="326">
        <f t="shared" si="53"/>
        <v>0.30437908659338159</v>
      </c>
      <c r="AF14" s="326">
        <f t="shared" si="53"/>
        <v>0.3054249069599137</v>
      </c>
      <c r="AG14" s="326">
        <f t="shared" si="53"/>
        <v>0.30647072732644581</v>
      </c>
      <c r="AH14" s="326">
        <f t="shared" si="53"/>
        <v>0.30751654769297793</v>
      </c>
      <c r="AI14" s="326">
        <f t="shared" si="53"/>
        <v>0.30856236805951004</v>
      </c>
      <c r="AJ14" s="326">
        <f t="shared" si="53"/>
        <v>0.30960818842604249</v>
      </c>
      <c r="AK14" s="326">
        <f t="shared" si="53"/>
        <v>0.30890428425918698</v>
      </c>
      <c r="AL14" s="326">
        <f t="shared" si="53"/>
        <v>0.30952209282770538</v>
      </c>
      <c r="AM14" s="326">
        <f t="shared" si="53"/>
        <v>0.31014113701336077</v>
      </c>
      <c r="AN14" s="326">
        <f t="shared" si="53"/>
        <v>0.31076141928738749</v>
      </c>
      <c r="AO14" s="326">
        <f t="shared" si="53"/>
        <v>0.31138294212596224</v>
      </c>
      <c r="AP14" s="326">
        <f t="shared" si="53"/>
        <v>0.31200570801021416</v>
      </c>
      <c r="AQ14" s="326">
        <f t="shared" si="53"/>
        <v>0.31262971942623458</v>
      </c>
      <c r="AR14" s="326">
        <f t="shared" si="53"/>
        <v>0.31325497886508702</v>
      </c>
      <c r="AS14" s="326">
        <f t="shared" si="53"/>
        <v>0.31388148882281719</v>
      </c>
      <c r="AT14" s="326">
        <f t="shared" si="53"/>
        <v>0.3145092518004628</v>
      </c>
      <c r="AU14" s="326">
        <f t="shared" si="53"/>
        <v>0.31513827030406372</v>
      </c>
      <c r="AV14" s="326">
        <f t="shared" si="53"/>
        <v>0.31576854684467187</v>
      </c>
      <c r="AW14" s="326">
        <f t="shared" si="53"/>
        <v>0.31640008393836122</v>
      </c>
      <c r="AX14" s="326">
        <f t="shared" si="53"/>
        <v>0.31703288410623792</v>
      </c>
      <c r="AY14" s="326">
        <f t="shared" si="53"/>
        <v>0.31766694987445038</v>
      </c>
      <c r="AZ14" s="326">
        <f t="shared" si="53"/>
        <v>0.31830228377419928</v>
      </c>
      <c r="BA14" s="326">
        <f t="shared" si="53"/>
        <v>0.31893888834174766</v>
      </c>
      <c r="BB14" s="326">
        <f t="shared" si="53"/>
        <v>0.31957676611843117</v>
      </c>
      <c r="BC14" s="326">
        <f t="shared" si="53"/>
        <v>0.32021591965066803</v>
      </c>
      <c r="BD14" s="326">
        <f t="shared" si="53"/>
        <v>0.32085635148996938</v>
      </c>
      <c r="BE14" s="326">
        <f t="shared" si="53"/>
        <v>0.3214980641929493</v>
      </c>
      <c r="BF14" s="326">
        <f t="shared" si="53"/>
        <v>0.32214106032133522</v>
      </c>
      <c r="BG14" s="326">
        <f t="shared" si="53"/>
        <v>0.32278534244197787</v>
      </c>
      <c r="BH14" s="326">
        <f t="shared" si="53"/>
        <v>0.32343091312686184</v>
      </c>
      <c r="BI14" s="326">
        <f t="shared" si="53"/>
        <v>0.32407777495311557</v>
      </c>
      <c r="BJ14" s="326">
        <f t="shared" si="53"/>
        <v>0.32472593050302179</v>
      </c>
      <c r="BK14" s="326">
        <f t="shared" si="53"/>
        <v>0.32537538236402785</v>
      </c>
      <c r="BL14" s="326">
        <f t="shared" si="53"/>
        <v>0.32602613312875589</v>
      </c>
      <c r="BM14" s="326">
        <f t="shared" si="53"/>
        <v>0.32667818539501342</v>
      </c>
      <c r="BN14" s="326">
        <f t="shared" si="53"/>
        <v>0.32733154176580342</v>
      </c>
      <c r="BO14" s="326">
        <f t="shared" si="53"/>
        <v>0.32798620484933505</v>
      </c>
      <c r="BP14" s="326">
        <f t="shared" si="53"/>
        <v>0.32864217725903372</v>
      </c>
      <c r="BQ14" s="326">
        <f t="shared" si="53"/>
        <v>0.32929946161355178</v>
      </c>
      <c r="BR14" s="326">
        <f t="shared" si="53"/>
        <v>0.3299580605367789</v>
      </c>
      <c r="BS14" s="326">
        <f t="shared" ref="BS14:BX14" si="54">BS13</f>
        <v>0.33061797665785247</v>
      </c>
      <c r="BT14" s="326">
        <f t="shared" si="54"/>
        <v>0.33127921261116816</v>
      </c>
      <c r="BU14" s="326">
        <f t="shared" si="54"/>
        <v>0.3319417710363905</v>
      </c>
      <c r="BV14" s="326">
        <f t="shared" si="54"/>
        <v>0.33260565457846331</v>
      </c>
      <c r="BW14" s="326">
        <f t="shared" si="54"/>
        <v>0.33327086588762023</v>
      </c>
      <c r="BX14" s="326">
        <f t="shared" si="54"/>
        <v>0.33393740761939544</v>
      </c>
    </row>
    <row r="15" spans="1:76" hidden="1" outlineLevel="1">
      <c r="A15" s="38" t="s">
        <v>340</v>
      </c>
      <c r="B15" s="352"/>
      <c r="C15" s="352" t="s">
        <v>234</v>
      </c>
      <c r="D15" s="352" t="s">
        <v>38</v>
      </c>
      <c r="E15" s="352" t="s">
        <v>138</v>
      </c>
      <c r="F15" s="379">
        <v>0.26084039968030859</v>
      </c>
      <c r="G15" s="379">
        <v>0.26362553782181775</v>
      </c>
      <c r="H15" s="379">
        <v>0.2664106759633269</v>
      </c>
      <c r="I15" s="379">
        <v>0.26919581410483606</v>
      </c>
      <c r="J15" s="379">
        <v>0.27198095224634522</v>
      </c>
      <c r="K15" s="379">
        <v>0.27476609038785438</v>
      </c>
      <c r="L15" s="379">
        <v>0.27755122852936354</v>
      </c>
      <c r="M15" s="207">
        <f t="shared" ref="M15:P16" si="55">L15*1.0164</f>
        <v>0.28210306867724511</v>
      </c>
      <c r="N15" s="207">
        <f t="shared" si="55"/>
        <v>0.2867295590035519</v>
      </c>
      <c r="O15" s="207">
        <f t="shared" si="55"/>
        <v>0.29143192377121013</v>
      </c>
      <c r="P15" s="207">
        <f t="shared" si="55"/>
        <v>0.296211407321058</v>
      </c>
      <c r="Q15" s="207">
        <f>P15*1.002</f>
        <v>0.29680383013570011</v>
      </c>
      <c r="R15" s="207">
        <f t="shared" ref="R15:BX16" si="56">Q15*1.002</f>
        <v>0.2973974377959715</v>
      </c>
      <c r="S15" s="207">
        <f t="shared" si="56"/>
        <v>0.29799223267156344</v>
      </c>
      <c r="T15" s="207">
        <f t="shared" si="56"/>
        <v>0.29858821713690659</v>
      </c>
      <c r="U15" s="207">
        <f t="shared" si="56"/>
        <v>0.2991853935711804</v>
      </c>
      <c r="V15" s="207">
        <f t="shared" si="56"/>
        <v>0.29978376435832277</v>
      </c>
      <c r="W15" s="207">
        <f t="shared" si="56"/>
        <v>0.30038333188703942</v>
      </c>
      <c r="X15" s="207">
        <f t="shared" si="56"/>
        <v>0.30098409855081348</v>
      </c>
      <c r="Y15" s="207">
        <f t="shared" si="56"/>
        <v>0.3015860667479151</v>
      </c>
      <c r="Z15" s="207">
        <f t="shared" si="56"/>
        <v>0.30218923888141092</v>
      </c>
      <c r="AA15" s="207">
        <f t="shared" si="56"/>
        <v>0.30279361735917376</v>
      </c>
      <c r="AB15" s="207">
        <f t="shared" si="56"/>
        <v>0.30339920459389214</v>
      </c>
      <c r="AC15" s="207">
        <f t="shared" si="56"/>
        <v>0.30400600300307989</v>
      </c>
      <c r="AD15" s="207">
        <f t="shared" si="56"/>
        <v>0.30461401500908608</v>
      </c>
      <c r="AE15" s="207">
        <f t="shared" si="56"/>
        <v>0.30522324303910425</v>
      </c>
      <c r="AF15" s="207">
        <f t="shared" si="56"/>
        <v>0.30583368952518247</v>
      </c>
      <c r="AG15" s="207">
        <f t="shared" si="56"/>
        <v>0.30644535690423286</v>
      </c>
      <c r="AH15" s="207">
        <f t="shared" si="56"/>
        <v>0.30705824761804135</v>
      </c>
      <c r="AI15" s="207">
        <f t="shared" si="56"/>
        <v>0.30767236411327742</v>
      </c>
      <c r="AJ15" s="207">
        <f t="shared" si="56"/>
        <v>0.30828770884150397</v>
      </c>
      <c r="AK15" s="207">
        <f t="shared" si="56"/>
        <v>0.30890428425918698</v>
      </c>
      <c r="AL15" s="207">
        <f t="shared" si="56"/>
        <v>0.30952209282770538</v>
      </c>
      <c r="AM15" s="207">
        <f t="shared" si="56"/>
        <v>0.31014113701336077</v>
      </c>
      <c r="AN15" s="207">
        <f t="shared" si="56"/>
        <v>0.31076141928738749</v>
      </c>
      <c r="AO15" s="207">
        <f t="shared" si="56"/>
        <v>0.31138294212596224</v>
      </c>
      <c r="AP15" s="207">
        <f t="shared" si="56"/>
        <v>0.31200570801021416</v>
      </c>
      <c r="AQ15" s="207">
        <f t="shared" si="56"/>
        <v>0.31262971942623458</v>
      </c>
      <c r="AR15" s="207">
        <f t="shared" si="56"/>
        <v>0.31325497886508702</v>
      </c>
      <c r="AS15" s="207">
        <f t="shared" si="56"/>
        <v>0.31388148882281719</v>
      </c>
      <c r="AT15" s="207">
        <f t="shared" si="56"/>
        <v>0.3145092518004628</v>
      </c>
      <c r="AU15" s="207">
        <f t="shared" si="56"/>
        <v>0.31513827030406372</v>
      </c>
      <c r="AV15" s="207">
        <f t="shared" si="56"/>
        <v>0.31576854684467187</v>
      </c>
      <c r="AW15" s="207">
        <f t="shared" si="56"/>
        <v>0.31640008393836122</v>
      </c>
      <c r="AX15" s="207">
        <f t="shared" si="56"/>
        <v>0.31703288410623792</v>
      </c>
      <c r="AY15" s="207">
        <f t="shared" si="56"/>
        <v>0.31766694987445038</v>
      </c>
      <c r="AZ15" s="207">
        <f t="shared" si="56"/>
        <v>0.31830228377419928</v>
      </c>
      <c r="BA15" s="207">
        <f t="shared" si="56"/>
        <v>0.31893888834174766</v>
      </c>
      <c r="BB15" s="207">
        <f t="shared" si="56"/>
        <v>0.31957676611843117</v>
      </c>
      <c r="BC15" s="207">
        <f t="shared" si="56"/>
        <v>0.32021591965066803</v>
      </c>
      <c r="BD15" s="207">
        <f t="shared" si="56"/>
        <v>0.32085635148996938</v>
      </c>
      <c r="BE15" s="207">
        <f t="shared" si="56"/>
        <v>0.3214980641929493</v>
      </c>
      <c r="BF15" s="207">
        <f t="shared" si="56"/>
        <v>0.32214106032133522</v>
      </c>
      <c r="BG15" s="207">
        <f t="shared" si="56"/>
        <v>0.32278534244197787</v>
      </c>
      <c r="BH15" s="207">
        <f t="shared" si="56"/>
        <v>0.32343091312686184</v>
      </c>
      <c r="BI15" s="207">
        <f t="shared" si="56"/>
        <v>0.32407777495311557</v>
      </c>
      <c r="BJ15" s="207">
        <f t="shared" si="56"/>
        <v>0.32472593050302179</v>
      </c>
      <c r="BK15" s="207">
        <f t="shared" si="56"/>
        <v>0.32537538236402785</v>
      </c>
      <c r="BL15" s="207">
        <f t="shared" si="56"/>
        <v>0.32602613312875589</v>
      </c>
      <c r="BM15" s="207">
        <f t="shared" si="56"/>
        <v>0.32667818539501342</v>
      </c>
      <c r="BN15" s="207">
        <f t="shared" si="56"/>
        <v>0.32733154176580342</v>
      </c>
      <c r="BO15" s="207">
        <f t="shared" si="56"/>
        <v>0.32798620484933505</v>
      </c>
      <c r="BP15" s="207">
        <f t="shared" si="56"/>
        <v>0.32864217725903372</v>
      </c>
      <c r="BQ15" s="207">
        <f t="shared" si="56"/>
        <v>0.32929946161355178</v>
      </c>
      <c r="BR15" s="207">
        <f t="shared" si="56"/>
        <v>0.3299580605367789</v>
      </c>
      <c r="BS15" s="207">
        <f t="shared" si="56"/>
        <v>0.33061797665785247</v>
      </c>
      <c r="BT15" s="207">
        <f t="shared" si="56"/>
        <v>0.33127921261116816</v>
      </c>
      <c r="BU15" s="207">
        <f t="shared" si="56"/>
        <v>0.3319417710363905</v>
      </c>
      <c r="BV15" s="207">
        <f t="shared" si="56"/>
        <v>0.33260565457846331</v>
      </c>
      <c r="BW15" s="207">
        <f t="shared" si="56"/>
        <v>0.33327086588762023</v>
      </c>
      <c r="BX15" s="207">
        <f t="shared" si="56"/>
        <v>0.33393740761939544</v>
      </c>
    </row>
    <row r="16" spans="1:76" hidden="1" outlineLevel="1">
      <c r="A16" s="38" t="s">
        <v>341</v>
      </c>
      <c r="B16" s="352"/>
      <c r="C16" s="352" t="s">
        <v>259</v>
      </c>
      <c r="D16" s="352" t="s">
        <v>38</v>
      </c>
      <c r="E16" s="352" t="s">
        <v>10</v>
      </c>
      <c r="F16" s="379">
        <v>0.27600425956689018</v>
      </c>
      <c r="G16" s="379">
        <v>0.27895131068121481</v>
      </c>
      <c r="H16" s="379">
        <v>0.28189836179553945</v>
      </c>
      <c r="I16" s="379">
        <v>0.28484541290986409</v>
      </c>
      <c r="J16" s="379">
        <v>0.28779246402418873</v>
      </c>
      <c r="K16" s="379">
        <v>0.29073951513851337</v>
      </c>
      <c r="L16" s="379">
        <v>0.29368656625283801</v>
      </c>
      <c r="M16" s="207">
        <f t="shared" si="55"/>
        <v>0.29850302593938455</v>
      </c>
      <c r="N16" s="207">
        <f t="shared" si="55"/>
        <v>0.30339847556479044</v>
      </c>
      <c r="O16" s="207">
        <f t="shared" si="55"/>
        <v>0.30837421056405301</v>
      </c>
      <c r="P16" s="207">
        <f t="shared" si="55"/>
        <v>0.31343154761730346</v>
      </c>
      <c r="Q16" s="207">
        <f>P16*1.002</f>
        <v>0.31405841071253809</v>
      </c>
      <c r="R16" s="207">
        <f t="shared" si="56"/>
        <v>0.31468652753396315</v>
      </c>
      <c r="S16" s="207">
        <f t="shared" si="56"/>
        <v>0.31531590058903108</v>
      </c>
      <c r="T16" s="207">
        <f t="shared" si="56"/>
        <v>0.31594653239020914</v>
      </c>
      <c r="U16" s="207">
        <f t="shared" si="56"/>
        <v>0.31657842545498954</v>
      </c>
      <c r="V16" s="207">
        <f t="shared" si="56"/>
        <v>0.31721158230589952</v>
      </c>
      <c r="W16" s="207">
        <f t="shared" si="56"/>
        <v>0.31784600547051134</v>
      </c>
      <c r="X16" s="207">
        <f t="shared" si="56"/>
        <v>0.31848169748145239</v>
      </c>
      <c r="Y16" s="207">
        <f t="shared" si="56"/>
        <v>0.31911866087641527</v>
      </c>
      <c r="Z16" s="207">
        <f t="shared" si="56"/>
        <v>0.3197568981981681</v>
      </c>
      <c r="AA16" s="207">
        <f t="shared" si="56"/>
        <v>0.32039641199456442</v>
      </c>
      <c r="AB16" s="207">
        <f t="shared" si="56"/>
        <v>0.32103720481855358</v>
      </c>
      <c r="AC16" s="207">
        <f t="shared" si="56"/>
        <v>0.32167927922819067</v>
      </c>
      <c r="AD16" s="207">
        <f t="shared" si="56"/>
        <v>0.32232263778664705</v>
      </c>
      <c r="AE16" s="207">
        <f t="shared" si="56"/>
        <v>0.32296728306222033</v>
      </c>
      <c r="AF16" s="207">
        <f t="shared" si="56"/>
        <v>0.32361321762834477</v>
      </c>
      <c r="AG16" s="207">
        <f t="shared" si="56"/>
        <v>0.32426044406360144</v>
      </c>
      <c r="AH16" s="207">
        <f t="shared" si="56"/>
        <v>0.32490896495172866</v>
      </c>
      <c r="AI16" s="207">
        <f t="shared" si="56"/>
        <v>0.32555878288163215</v>
      </c>
      <c r="AJ16" s="207">
        <f t="shared" si="56"/>
        <v>0.3262099004473954</v>
      </c>
      <c r="AK16" s="207">
        <f t="shared" si="56"/>
        <v>0.32686232024829021</v>
      </c>
      <c r="AL16" s="207">
        <f t="shared" si="56"/>
        <v>0.32751604488878677</v>
      </c>
      <c r="AM16" s="207">
        <f t="shared" si="56"/>
        <v>0.32817107697856435</v>
      </c>
      <c r="AN16" s="207">
        <f t="shared" si="56"/>
        <v>0.3288274191325215</v>
      </c>
      <c r="AO16" s="207">
        <f t="shared" si="56"/>
        <v>0.32948507397078652</v>
      </c>
      <c r="AP16" s="207">
        <f t="shared" si="56"/>
        <v>0.33014404411872811</v>
      </c>
      <c r="AQ16" s="207">
        <f t="shared" si="56"/>
        <v>0.33080433220696559</v>
      </c>
      <c r="AR16" s="207">
        <f t="shared" si="56"/>
        <v>0.33146594087137954</v>
      </c>
      <c r="AS16" s="207">
        <f t="shared" si="56"/>
        <v>0.33212887275312231</v>
      </c>
      <c r="AT16" s="207">
        <f t="shared" si="56"/>
        <v>0.33279313049862858</v>
      </c>
      <c r="AU16" s="207">
        <f t="shared" si="56"/>
        <v>0.33345871675962585</v>
      </c>
      <c r="AV16" s="207">
        <f t="shared" si="56"/>
        <v>0.33412563419314512</v>
      </c>
      <c r="AW16" s="207">
        <f t="shared" si="56"/>
        <v>0.33479388546153138</v>
      </c>
      <c r="AX16" s="207">
        <f t="shared" si="56"/>
        <v>0.33546347323245446</v>
      </c>
      <c r="AY16" s="207">
        <f t="shared" si="56"/>
        <v>0.33613440017891938</v>
      </c>
      <c r="AZ16" s="207">
        <f t="shared" si="56"/>
        <v>0.33680666897927725</v>
      </c>
      <c r="BA16" s="207">
        <f t="shared" si="56"/>
        <v>0.33748028231723581</v>
      </c>
      <c r="BB16" s="207">
        <f t="shared" si="56"/>
        <v>0.33815524288187027</v>
      </c>
      <c r="BC16" s="207">
        <f t="shared" si="56"/>
        <v>0.33883155336763399</v>
      </c>
      <c r="BD16" s="207">
        <f t="shared" si="56"/>
        <v>0.33950921647436927</v>
      </c>
      <c r="BE16" s="207">
        <f t="shared" si="56"/>
        <v>0.34018823490731803</v>
      </c>
      <c r="BF16" s="207">
        <f t="shared" si="56"/>
        <v>0.34086861137713265</v>
      </c>
      <c r="BG16" s="207">
        <f t="shared" si="56"/>
        <v>0.34155034859988692</v>
      </c>
      <c r="BH16" s="207">
        <f t="shared" si="56"/>
        <v>0.34223344929708671</v>
      </c>
      <c r="BI16" s="207">
        <f t="shared" si="56"/>
        <v>0.34291791619568091</v>
      </c>
      <c r="BJ16" s="207">
        <f t="shared" si="56"/>
        <v>0.34360375202807225</v>
      </c>
      <c r="BK16" s="207">
        <f t="shared" si="56"/>
        <v>0.3442909595321284</v>
      </c>
      <c r="BL16" s="207">
        <f t="shared" si="56"/>
        <v>0.34497954145119264</v>
      </c>
      <c r="BM16" s="207">
        <f t="shared" si="56"/>
        <v>0.34566950053409501</v>
      </c>
      <c r="BN16" s="207">
        <f t="shared" si="56"/>
        <v>0.34636083953516322</v>
      </c>
      <c r="BO16" s="207">
        <f t="shared" si="56"/>
        <v>0.34705356121423353</v>
      </c>
      <c r="BP16" s="207">
        <f t="shared" si="56"/>
        <v>0.34774766833666199</v>
      </c>
      <c r="BQ16" s="207">
        <f t="shared" si="56"/>
        <v>0.34844316367333533</v>
      </c>
      <c r="BR16" s="207">
        <f t="shared" si="56"/>
        <v>0.34914005000068199</v>
      </c>
      <c r="BS16" s="207">
        <f t="shared" si="56"/>
        <v>0.34983833010068338</v>
      </c>
      <c r="BT16" s="207">
        <f t="shared" si="56"/>
        <v>0.35053800676088476</v>
      </c>
      <c r="BU16" s="207">
        <f t="shared" si="56"/>
        <v>0.35123908277440652</v>
      </c>
      <c r="BV16" s="207">
        <f t="shared" si="56"/>
        <v>0.35194156093995532</v>
      </c>
      <c r="BW16" s="207">
        <f t="shared" si="56"/>
        <v>0.35264544406183523</v>
      </c>
      <c r="BX16" s="207">
        <f t="shared" si="56"/>
        <v>0.35335073494995889</v>
      </c>
    </row>
    <row r="17" spans="1:76" hidden="1" outlineLevel="1">
      <c r="B17" s="352"/>
      <c r="C17" s="352" t="s">
        <v>234</v>
      </c>
      <c r="D17" s="352" t="s">
        <v>38</v>
      </c>
      <c r="E17" s="352" t="s">
        <v>164</v>
      </c>
      <c r="F17" s="326">
        <f>F15</f>
        <v>0.26084039968030859</v>
      </c>
      <c r="G17" s="326">
        <f t="shared" ref="G17:BR17" si="57">G15</f>
        <v>0.26362553782181775</v>
      </c>
      <c r="H17" s="326">
        <f t="shared" si="57"/>
        <v>0.2664106759633269</v>
      </c>
      <c r="I17" s="326">
        <f t="shared" si="57"/>
        <v>0.26919581410483606</v>
      </c>
      <c r="J17" s="326">
        <f t="shared" si="57"/>
        <v>0.27198095224634522</v>
      </c>
      <c r="K17" s="326">
        <f t="shared" si="57"/>
        <v>0.27476609038785438</v>
      </c>
      <c r="L17" s="326">
        <f t="shared" si="57"/>
        <v>0.27755122852936354</v>
      </c>
      <c r="M17" s="326">
        <f t="shared" si="57"/>
        <v>0.28210306867724511</v>
      </c>
      <c r="N17" s="326">
        <f t="shared" si="57"/>
        <v>0.2867295590035519</v>
      </c>
      <c r="O17" s="326">
        <f t="shared" si="57"/>
        <v>0.29143192377121013</v>
      </c>
      <c r="P17" s="326">
        <f t="shared" si="57"/>
        <v>0.296211407321058</v>
      </c>
      <c r="Q17" s="326">
        <f t="shared" si="57"/>
        <v>0.29680383013570011</v>
      </c>
      <c r="R17" s="326">
        <f t="shared" si="57"/>
        <v>0.2973974377959715</v>
      </c>
      <c r="S17" s="326">
        <f t="shared" si="57"/>
        <v>0.29799223267156344</v>
      </c>
      <c r="T17" s="326">
        <f t="shared" si="57"/>
        <v>0.29858821713690659</v>
      </c>
      <c r="U17" s="326">
        <f t="shared" si="57"/>
        <v>0.2991853935711804</v>
      </c>
      <c r="V17" s="326">
        <f t="shared" si="57"/>
        <v>0.29978376435832277</v>
      </c>
      <c r="W17" s="326">
        <f t="shared" si="57"/>
        <v>0.30038333188703942</v>
      </c>
      <c r="X17" s="326">
        <f t="shared" si="57"/>
        <v>0.30098409855081348</v>
      </c>
      <c r="Y17" s="326">
        <f t="shared" si="57"/>
        <v>0.3015860667479151</v>
      </c>
      <c r="Z17" s="326">
        <f t="shared" si="57"/>
        <v>0.30218923888141092</v>
      </c>
      <c r="AA17" s="326">
        <f t="shared" si="57"/>
        <v>0.30279361735917376</v>
      </c>
      <c r="AB17" s="326">
        <f t="shared" si="57"/>
        <v>0.30339920459389214</v>
      </c>
      <c r="AC17" s="326">
        <f t="shared" si="57"/>
        <v>0.30400600300307989</v>
      </c>
      <c r="AD17" s="326">
        <f t="shared" si="57"/>
        <v>0.30461401500908608</v>
      </c>
      <c r="AE17" s="326">
        <f t="shared" si="57"/>
        <v>0.30522324303910425</v>
      </c>
      <c r="AF17" s="326">
        <f t="shared" si="57"/>
        <v>0.30583368952518247</v>
      </c>
      <c r="AG17" s="326">
        <f t="shared" si="57"/>
        <v>0.30644535690423286</v>
      </c>
      <c r="AH17" s="326">
        <f t="shared" si="57"/>
        <v>0.30705824761804135</v>
      </c>
      <c r="AI17" s="326">
        <f t="shared" si="57"/>
        <v>0.30767236411327742</v>
      </c>
      <c r="AJ17" s="326">
        <f t="shared" si="57"/>
        <v>0.30828770884150397</v>
      </c>
      <c r="AK17" s="326">
        <f t="shared" si="57"/>
        <v>0.30890428425918698</v>
      </c>
      <c r="AL17" s="326">
        <f t="shared" si="57"/>
        <v>0.30952209282770538</v>
      </c>
      <c r="AM17" s="326">
        <f t="shared" si="57"/>
        <v>0.31014113701336077</v>
      </c>
      <c r="AN17" s="326">
        <f t="shared" si="57"/>
        <v>0.31076141928738749</v>
      </c>
      <c r="AO17" s="326">
        <f t="shared" si="57"/>
        <v>0.31138294212596224</v>
      </c>
      <c r="AP17" s="326">
        <f t="shared" si="57"/>
        <v>0.31200570801021416</v>
      </c>
      <c r="AQ17" s="326">
        <f t="shared" si="57"/>
        <v>0.31262971942623458</v>
      </c>
      <c r="AR17" s="326">
        <f t="shared" si="57"/>
        <v>0.31325497886508702</v>
      </c>
      <c r="AS17" s="326">
        <f t="shared" si="57"/>
        <v>0.31388148882281719</v>
      </c>
      <c r="AT17" s="326">
        <f t="shared" si="57"/>
        <v>0.3145092518004628</v>
      </c>
      <c r="AU17" s="326">
        <f t="shared" si="57"/>
        <v>0.31513827030406372</v>
      </c>
      <c r="AV17" s="326">
        <f t="shared" si="57"/>
        <v>0.31576854684467187</v>
      </c>
      <c r="AW17" s="326">
        <f t="shared" si="57"/>
        <v>0.31640008393836122</v>
      </c>
      <c r="AX17" s="326">
        <f t="shared" si="57"/>
        <v>0.31703288410623792</v>
      </c>
      <c r="AY17" s="326">
        <f t="shared" si="57"/>
        <v>0.31766694987445038</v>
      </c>
      <c r="AZ17" s="326">
        <f t="shared" si="57"/>
        <v>0.31830228377419928</v>
      </c>
      <c r="BA17" s="326">
        <f t="shared" si="57"/>
        <v>0.31893888834174766</v>
      </c>
      <c r="BB17" s="326">
        <f t="shared" si="57"/>
        <v>0.31957676611843117</v>
      </c>
      <c r="BC17" s="326">
        <f t="shared" si="57"/>
        <v>0.32021591965066803</v>
      </c>
      <c r="BD17" s="326">
        <f t="shared" si="57"/>
        <v>0.32085635148996938</v>
      </c>
      <c r="BE17" s="326">
        <f t="shared" si="57"/>
        <v>0.3214980641929493</v>
      </c>
      <c r="BF17" s="326">
        <f t="shared" si="57"/>
        <v>0.32214106032133522</v>
      </c>
      <c r="BG17" s="326">
        <f t="shared" si="57"/>
        <v>0.32278534244197787</v>
      </c>
      <c r="BH17" s="326">
        <f t="shared" si="57"/>
        <v>0.32343091312686184</v>
      </c>
      <c r="BI17" s="326">
        <f t="shared" si="57"/>
        <v>0.32407777495311557</v>
      </c>
      <c r="BJ17" s="326">
        <f t="shared" si="57"/>
        <v>0.32472593050302179</v>
      </c>
      <c r="BK17" s="326">
        <f t="shared" si="57"/>
        <v>0.32537538236402785</v>
      </c>
      <c r="BL17" s="326">
        <f t="shared" si="57"/>
        <v>0.32602613312875589</v>
      </c>
      <c r="BM17" s="326">
        <f t="shared" si="57"/>
        <v>0.32667818539501342</v>
      </c>
      <c r="BN17" s="326">
        <f t="shared" si="57"/>
        <v>0.32733154176580342</v>
      </c>
      <c r="BO17" s="326">
        <f t="shared" si="57"/>
        <v>0.32798620484933505</v>
      </c>
      <c r="BP17" s="326">
        <f t="shared" si="57"/>
        <v>0.32864217725903372</v>
      </c>
      <c r="BQ17" s="326">
        <f t="shared" si="57"/>
        <v>0.32929946161355178</v>
      </c>
      <c r="BR17" s="326">
        <f t="shared" si="57"/>
        <v>0.3299580605367789</v>
      </c>
      <c r="BS17" s="326">
        <f t="shared" ref="BS17:BX17" si="58">BS15</f>
        <v>0.33061797665785247</v>
      </c>
      <c r="BT17" s="326">
        <f t="shared" si="58"/>
        <v>0.33127921261116816</v>
      </c>
      <c r="BU17" s="326">
        <f t="shared" si="58"/>
        <v>0.3319417710363905</v>
      </c>
      <c r="BV17" s="326">
        <f t="shared" si="58"/>
        <v>0.33260565457846331</v>
      </c>
      <c r="BW17" s="326">
        <f t="shared" si="58"/>
        <v>0.33327086588762023</v>
      </c>
      <c r="BX17" s="326">
        <f t="shared" si="58"/>
        <v>0.33393740761939544</v>
      </c>
    </row>
    <row r="18" spans="1:76" hidden="1" outlineLevel="1">
      <c r="B18" s="352"/>
      <c r="C18" s="352" t="s">
        <v>234</v>
      </c>
      <c r="D18" s="352" t="s">
        <v>38</v>
      </c>
      <c r="E18" s="352" t="s">
        <v>168</v>
      </c>
      <c r="F18" s="326">
        <f>F15</f>
        <v>0.26084039968030859</v>
      </c>
      <c r="G18" s="326">
        <f t="shared" ref="G18:BR18" si="59">G15</f>
        <v>0.26362553782181775</v>
      </c>
      <c r="H18" s="326">
        <f t="shared" si="59"/>
        <v>0.2664106759633269</v>
      </c>
      <c r="I18" s="326">
        <f t="shared" si="59"/>
        <v>0.26919581410483606</v>
      </c>
      <c r="J18" s="326">
        <f t="shared" si="59"/>
        <v>0.27198095224634522</v>
      </c>
      <c r="K18" s="326">
        <f t="shared" si="59"/>
        <v>0.27476609038785438</v>
      </c>
      <c r="L18" s="326">
        <f t="shared" si="59"/>
        <v>0.27755122852936354</v>
      </c>
      <c r="M18" s="326">
        <f t="shared" si="59"/>
        <v>0.28210306867724511</v>
      </c>
      <c r="N18" s="326">
        <f t="shared" si="59"/>
        <v>0.2867295590035519</v>
      </c>
      <c r="O18" s="326">
        <f t="shared" si="59"/>
        <v>0.29143192377121013</v>
      </c>
      <c r="P18" s="326">
        <f t="shared" si="59"/>
        <v>0.296211407321058</v>
      </c>
      <c r="Q18" s="326">
        <f t="shared" si="59"/>
        <v>0.29680383013570011</v>
      </c>
      <c r="R18" s="326">
        <f t="shared" si="59"/>
        <v>0.2973974377959715</v>
      </c>
      <c r="S18" s="326">
        <f t="shared" si="59"/>
        <v>0.29799223267156344</v>
      </c>
      <c r="T18" s="326">
        <f t="shared" si="59"/>
        <v>0.29858821713690659</v>
      </c>
      <c r="U18" s="326">
        <f t="shared" si="59"/>
        <v>0.2991853935711804</v>
      </c>
      <c r="V18" s="326">
        <f t="shared" si="59"/>
        <v>0.29978376435832277</v>
      </c>
      <c r="W18" s="326">
        <f t="shared" si="59"/>
        <v>0.30038333188703942</v>
      </c>
      <c r="X18" s="326">
        <f t="shared" si="59"/>
        <v>0.30098409855081348</v>
      </c>
      <c r="Y18" s="326">
        <f t="shared" si="59"/>
        <v>0.3015860667479151</v>
      </c>
      <c r="Z18" s="326">
        <f t="shared" si="59"/>
        <v>0.30218923888141092</v>
      </c>
      <c r="AA18" s="326">
        <f t="shared" si="59"/>
        <v>0.30279361735917376</v>
      </c>
      <c r="AB18" s="326">
        <f t="shared" si="59"/>
        <v>0.30339920459389214</v>
      </c>
      <c r="AC18" s="326">
        <f t="shared" si="59"/>
        <v>0.30400600300307989</v>
      </c>
      <c r="AD18" s="326">
        <f t="shared" si="59"/>
        <v>0.30461401500908608</v>
      </c>
      <c r="AE18" s="326">
        <f t="shared" si="59"/>
        <v>0.30522324303910425</v>
      </c>
      <c r="AF18" s="326">
        <f t="shared" si="59"/>
        <v>0.30583368952518247</v>
      </c>
      <c r="AG18" s="326">
        <f t="shared" si="59"/>
        <v>0.30644535690423286</v>
      </c>
      <c r="AH18" s="326">
        <f t="shared" si="59"/>
        <v>0.30705824761804135</v>
      </c>
      <c r="AI18" s="326">
        <f t="shared" si="59"/>
        <v>0.30767236411327742</v>
      </c>
      <c r="AJ18" s="326">
        <f t="shared" si="59"/>
        <v>0.30828770884150397</v>
      </c>
      <c r="AK18" s="326">
        <f t="shared" si="59"/>
        <v>0.30890428425918698</v>
      </c>
      <c r="AL18" s="326">
        <f t="shared" si="59"/>
        <v>0.30952209282770538</v>
      </c>
      <c r="AM18" s="326">
        <f t="shared" si="59"/>
        <v>0.31014113701336077</v>
      </c>
      <c r="AN18" s="326">
        <f t="shared" si="59"/>
        <v>0.31076141928738749</v>
      </c>
      <c r="AO18" s="326">
        <f t="shared" si="59"/>
        <v>0.31138294212596224</v>
      </c>
      <c r="AP18" s="326">
        <f t="shared" si="59"/>
        <v>0.31200570801021416</v>
      </c>
      <c r="AQ18" s="326">
        <f t="shared" si="59"/>
        <v>0.31262971942623458</v>
      </c>
      <c r="AR18" s="326">
        <f t="shared" si="59"/>
        <v>0.31325497886508702</v>
      </c>
      <c r="AS18" s="326">
        <f t="shared" si="59"/>
        <v>0.31388148882281719</v>
      </c>
      <c r="AT18" s="326">
        <f t="shared" si="59"/>
        <v>0.3145092518004628</v>
      </c>
      <c r="AU18" s="326">
        <f t="shared" si="59"/>
        <v>0.31513827030406372</v>
      </c>
      <c r="AV18" s="326">
        <f t="shared" si="59"/>
        <v>0.31576854684467187</v>
      </c>
      <c r="AW18" s="326">
        <f t="shared" si="59"/>
        <v>0.31640008393836122</v>
      </c>
      <c r="AX18" s="326">
        <f t="shared" si="59"/>
        <v>0.31703288410623792</v>
      </c>
      <c r="AY18" s="326">
        <f t="shared" si="59"/>
        <v>0.31766694987445038</v>
      </c>
      <c r="AZ18" s="326">
        <f t="shared" si="59"/>
        <v>0.31830228377419928</v>
      </c>
      <c r="BA18" s="326">
        <f t="shared" si="59"/>
        <v>0.31893888834174766</v>
      </c>
      <c r="BB18" s="326">
        <f t="shared" si="59"/>
        <v>0.31957676611843117</v>
      </c>
      <c r="BC18" s="326">
        <f t="shared" si="59"/>
        <v>0.32021591965066803</v>
      </c>
      <c r="BD18" s="326">
        <f t="shared" si="59"/>
        <v>0.32085635148996938</v>
      </c>
      <c r="BE18" s="326">
        <f t="shared" si="59"/>
        <v>0.3214980641929493</v>
      </c>
      <c r="BF18" s="326">
        <f t="shared" si="59"/>
        <v>0.32214106032133522</v>
      </c>
      <c r="BG18" s="326">
        <f t="shared" si="59"/>
        <v>0.32278534244197787</v>
      </c>
      <c r="BH18" s="326">
        <f t="shared" si="59"/>
        <v>0.32343091312686184</v>
      </c>
      <c r="BI18" s="326">
        <f t="shared" si="59"/>
        <v>0.32407777495311557</v>
      </c>
      <c r="BJ18" s="326">
        <f t="shared" si="59"/>
        <v>0.32472593050302179</v>
      </c>
      <c r="BK18" s="326">
        <f t="shared" si="59"/>
        <v>0.32537538236402785</v>
      </c>
      <c r="BL18" s="326">
        <f t="shared" si="59"/>
        <v>0.32602613312875589</v>
      </c>
      <c r="BM18" s="326">
        <f t="shared" si="59"/>
        <v>0.32667818539501342</v>
      </c>
      <c r="BN18" s="326">
        <f t="shared" si="59"/>
        <v>0.32733154176580342</v>
      </c>
      <c r="BO18" s="326">
        <f t="shared" si="59"/>
        <v>0.32798620484933505</v>
      </c>
      <c r="BP18" s="326">
        <f t="shared" si="59"/>
        <v>0.32864217725903372</v>
      </c>
      <c r="BQ18" s="326">
        <f t="shared" si="59"/>
        <v>0.32929946161355178</v>
      </c>
      <c r="BR18" s="326">
        <f t="shared" si="59"/>
        <v>0.3299580605367789</v>
      </c>
      <c r="BS18" s="326">
        <f t="shared" ref="BS18:BX18" si="60">BS15</f>
        <v>0.33061797665785247</v>
      </c>
      <c r="BT18" s="326">
        <f t="shared" si="60"/>
        <v>0.33127921261116816</v>
      </c>
      <c r="BU18" s="326">
        <f t="shared" si="60"/>
        <v>0.3319417710363905</v>
      </c>
      <c r="BV18" s="326">
        <f t="shared" si="60"/>
        <v>0.33260565457846331</v>
      </c>
      <c r="BW18" s="326">
        <f t="shared" si="60"/>
        <v>0.33327086588762023</v>
      </c>
      <c r="BX18" s="326">
        <f t="shared" si="60"/>
        <v>0.33393740761939544</v>
      </c>
    </row>
    <row r="19" spans="1:76" hidden="1" outlineLevel="1">
      <c r="B19" s="352"/>
      <c r="C19" s="352" t="s">
        <v>234</v>
      </c>
      <c r="D19" s="352" t="s">
        <v>38</v>
      </c>
      <c r="E19" s="352" t="s">
        <v>169</v>
      </c>
      <c r="F19" s="326">
        <f>F15</f>
        <v>0.26084039968030859</v>
      </c>
      <c r="G19" s="326">
        <f t="shared" ref="G19:BR19" si="61">G15</f>
        <v>0.26362553782181775</v>
      </c>
      <c r="H19" s="326">
        <f t="shared" si="61"/>
        <v>0.2664106759633269</v>
      </c>
      <c r="I19" s="326">
        <f t="shared" si="61"/>
        <v>0.26919581410483606</v>
      </c>
      <c r="J19" s="326">
        <f t="shared" si="61"/>
        <v>0.27198095224634522</v>
      </c>
      <c r="K19" s="326">
        <f t="shared" si="61"/>
        <v>0.27476609038785438</v>
      </c>
      <c r="L19" s="326">
        <f t="shared" si="61"/>
        <v>0.27755122852936354</v>
      </c>
      <c r="M19" s="326">
        <f t="shared" si="61"/>
        <v>0.28210306867724511</v>
      </c>
      <c r="N19" s="326">
        <f t="shared" si="61"/>
        <v>0.2867295590035519</v>
      </c>
      <c r="O19" s="326">
        <f t="shared" si="61"/>
        <v>0.29143192377121013</v>
      </c>
      <c r="P19" s="326">
        <f t="shared" si="61"/>
        <v>0.296211407321058</v>
      </c>
      <c r="Q19" s="326">
        <f t="shared" si="61"/>
        <v>0.29680383013570011</v>
      </c>
      <c r="R19" s="326">
        <f t="shared" si="61"/>
        <v>0.2973974377959715</v>
      </c>
      <c r="S19" s="326">
        <f t="shared" si="61"/>
        <v>0.29799223267156344</v>
      </c>
      <c r="T19" s="326">
        <f t="shared" si="61"/>
        <v>0.29858821713690659</v>
      </c>
      <c r="U19" s="326">
        <f t="shared" si="61"/>
        <v>0.2991853935711804</v>
      </c>
      <c r="V19" s="326">
        <f t="shared" si="61"/>
        <v>0.29978376435832277</v>
      </c>
      <c r="W19" s="326">
        <f t="shared" si="61"/>
        <v>0.30038333188703942</v>
      </c>
      <c r="X19" s="326">
        <f t="shared" si="61"/>
        <v>0.30098409855081348</v>
      </c>
      <c r="Y19" s="326">
        <f t="shared" si="61"/>
        <v>0.3015860667479151</v>
      </c>
      <c r="Z19" s="326">
        <f t="shared" si="61"/>
        <v>0.30218923888141092</v>
      </c>
      <c r="AA19" s="326">
        <f t="shared" si="61"/>
        <v>0.30279361735917376</v>
      </c>
      <c r="AB19" s="326">
        <f t="shared" si="61"/>
        <v>0.30339920459389214</v>
      </c>
      <c r="AC19" s="326">
        <f t="shared" si="61"/>
        <v>0.30400600300307989</v>
      </c>
      <c r="AD19" s="326">
        <f t="shared" si="61"/>
        <v>0.30461401500908608</v>
      </c>
      <c r="AE19" s="326">
        <f t="shared" si="61"/>
        <v>0.30522324303910425</v>
      </c>
      <c r="AF19" s="326">
        <f t="shared" si="61"/>
        <v>0.30583368952518247</v>
      </c>
      <c r="AG19" s="326">
        <f t="shared" si="61"/>
        <v>0.30644535690423286</v>
      </c>
      <c r="AH19" s="326">
        <f t="shared" si="61"/>
        <v>0.30705824761804135</v>
      </c>
      <c r="AI19" s="326">
        <f t="shared" si="61"/>
        <v>0.30767236411327742</v>
      </c>
      <c r="AJ19" s="326">
        <f t="shared" si="61"/>
        <v>0.30828770884150397</v>
      </c>
      <c r="AK19" s="326">
        <f t="shared" si="61"/>
        <v>0.30890428425918698</v>
      </c>
      <c r="AL19" s="326">
        <f t="shared" si="61"/>
        <v>0.30952209282770538</v>
      </c>
      <c r="AM19" s="326">
        <f t="shared" si="61"/>
        <v>0.31014113701336077</v>
      </c>
      <c r="AN19" s="326">
        <f t="shared" si="61"/>
        <v>0.31076141928738749</v>
      </c>
      <c r="AO19" s="326">
        <f t="shared" si="61"/>
        <v>0.31138294212596224</v>
      </c>
      <c r="AP19" s="326">
        <f t="shared" si="61"/>
        <v>0.31200570801021416</v>
      </c>
      <c r="AQ19" s="326">
        <f t="shared" si="61"/>
        <v>0.31262971942623458</v>
      </c>
      <c r="AR19" s="326">
        <f t="shared" si="61"/>
        <v>0.31325497886508702</v>
      </c>
      <c r="AS19" s="326">
        <f t="shared" si="61"/>
        <v>0.31388148882281719</v>
      </c>
      <c r="AT19" s="326">
        <f t="shared" si="61"/>
        <v>0.3145092518004628</v>
      </c>
      <c r="AU19" s="326">
        <f t="shared" si="61"/>
        <v>0.31513827030406372</v>
      </c>
      <c r="AV19" s="326">
        <f t="shared" si="61"/>
        <v>0.31576854684467187</v>
      </c>
      <c r="AW19" s="326">
        <f t="shared" si="61"/>
        <v>0.31640008393836122</v>
      </c>
      <c r="AX19" s="326">
        <f t="shared" si="61"/>
        <v>0.31703288410623792</v>
      </c>
      <c r="AY19" s="326">
        <f t="shared" si="61"/>
        <v>0.31766694987445038</v>
      </c>
      <c r="AZ19" s="326">
        <f t="shared" si="61"/>
        <v>0.31830228377419928</v>
      </c>
      <c r="BA19" s="326">
        <f t="shared" si="61"/>
        <v>0.31893888834174766</v>
      </c>
      <c r="BB19" s="326">
        <f t="shared" si="61"/>
        <v>0.31957676611843117</v>
      </c>
      <c r="BC19" s="326">
        <f t="shared" si="61"/>
        <v>0.32021591965066803</v>
      </c>
      <c r="BD19" s="326">
        <f t="shared" si="61"/>
        <v>0.32085635148996938</v>
      </c>
      <c r="BE19" s="326">
        <f t="shared" si="61"/>
        <v>0.3214980641929493</v>
      </c>
      <c r="BF19" s="326">
        <f t="shared" si="61"/>
        <v>0.32214106032133522</v>
      </c>
      <c r="BG19" s="326">
        <f t="shared" si="61"/>
        <v>0.32278534244197787</v>
      </c>
      <c r="BH19" s="326">
        <f t="shared" si="61"/>
        <v>0.32343091312686184</v>
      </c>
      <c r="BI19" s="326">
        <f t="shared" si="61"/>
        <v>0.32407777495311557</v>
      </c>
      <c r="BJ19" s="326">
        <f t="shared" si="61"/>
        <v>0.32472593050302179</v>
      </c>
      <c r="BK19" s="326">
        <f t="shared" si="61"/>
        <v>0.32537538236402785</v>
      </c>
      <c r="BL19" s="326">
        <f t="shared" si="61"/>
        <v>0.32602613312875589</v>
      </c>
      <c r="BM19" s="326">
        <f t="shared" si="61"/>
        <v>0.32667818539501342</v>
      </c>
      <c r="BN19" s="326">
        <f t="shared" si="61"/>
        <v>0.32733154176580342</v>
      </c>
      <c r="BO19" s="326">
        <f t="shared" si="61"/>
        <v>0.32798620484933505</v>
      </c>
      <c r="BP19" s="326">
        <f t="shared" si="61"/>
        <v>0.32864217725903372</v>
      </c>
      <c r="BQ19" s="326">
        <f t="shared" si="61"/>
        <v>0.32929946161355178</v>
      </c>
      <c r="BR19" s="326">
        <f t="shared" si="61"/>
        <v>0.3299580605367789</v>
      </c>
      <c r="BS19" s="326">
        <f t="shared" ref="BS19:BX19" si="62">BS15</f>
        <v>0.33061797665785247</v>
      </c>
      <c r="BT19" s="326">
        <f t="shared" si="62"/>
        <v>0.33127921261116816</v>
      </c>
      <c r="BU19" s="326">
        <f t="shared" si="62"/>
        <v>0.3319417710363905</v>
      </c>
      <c r="BV19" s="326">
        <f t="shared" si="62"/>
        <v>0.33260565457846331</v>
      </c>
      <c r="BW19" s="326">
        <f t="shared" si="62"/>
        <v>0.33327086588762023</v>
      </c>
      <c r="BX19" s="326">
        <f t="shared" si="62"/>
        <v>0.33393740761939544</v>
      </c>
    </row>
    <row r="20" spans="1:76" hidden="1" outlineLevel="1">
      <c r="A20" s="38" t="s">
        <v>345</v>
      </c>
      <c r="B20" s="350"/>
      <c r="C20" s="350" t="s">
        <v>235</v>
      </c>
      <c r="D20" s="350" t="s">
        <v>38</v>
      </c>
      <c r="E20" s="350" t="s">
        <v>4</v>
      </c>
      <c r="F20" s="379">
        <v>0.32200000000000001</v>
      </c>
      <c r="G20" s="207">
        <f>F20</f>
        <v>0.32200000000000001</v>
      </c>
      <c r="H20" s="207">
        <f t="shared" ref="H20:L20" si="63">G20</f>
        <v>0.32200000000000001</v>
      </c>
      <c r="I20" s="207">
        <f t="shared" si="63"/>
        <v>0.32200000000000001</v>
      </c>
      <c r="J20" s="207">
        <f t="shared" si="63"/>
        <v>0.32200000000000001</v>
      </c>
      <c r="K20" s="207">
        <f t="shared" si="63"/>
        <v>0.32200000000000001</v>
      </c>
      <c r="L20" s="207">
        <f t="shared" si="63"/>
        <v>0.32200000000000001</v>
      </c>
      <c r="M20" s="207">
        <f>L20*1.0164</f>
        <v>0.32728079999999998</v>
      </c>
      <c r="N20" s="207">
        <f t="shared" ref="N20:P20" si="64">M20*1.0164</f>
        <v>0.33264820511999998</v>
      </c>
      <c r="O20" s="207">
        <f t="shared" si="64"/>
        <v>0.33810363568396795</v>
      </c>
      <c r="P20" s="207">
        <f t="shared" si="64"/>
        <v>0.34364853530918499</v>
      </c>
      <c r="Q20" s="207">
        <f>P20*1.001</f>
        <v>0.34399218384449415</v>
      </c>
      <c r="R20" s="207">
        <f t="shared" ref="R20:BX20" si="65">Q20*1.001</f>
        <v>0.3443361760283386</v>
      </c>
      <c r="S20" s="207">
        <f t="shared" si="65"/>
        <v>0.34468051220436691</v>
      </c>
      <c r="T20" s="207">
        <f t="shared" si="65"/>
        <v>0.34502519271657123</v>
      </c>
      <c r="U20" s="207">
        <f t="shared" si="65"/>
        <v>0.34537021790928774</v>
      </c>
      <c r="V20" s="207">
        <f t="shared" si="65"/>
        <v>0.34571558812719699</v>
      </c>
      <c r="W20" s="207">
        <f t="shared" si="65"/>
        <v>0.34606130371532418</v>
      </c>
      <c r="X20" s="207">
        <f t="shared" si="65"/>
        <v>0.34640736501903946</v>
      </c>
      <c r="Y20" s="207">
        <f t="shared" si="65"/>
        <v>0.34675377238405847</v>
      </c>
      <c r="Z20" s="207">
        <f t="shared" si="65"/>
        <v>0.34710052615644249</v>
      </c>
      <c r="AA20" s="207">
        <f t="shared" si="65"/>
        <v>0.34744762668259888</v>
      </c>
      <c r="AB20" s="207">
        <f t="shared" si="65"/>
        <v>0.34779507430928142</v>
      </c>
      <c r="AC20" s="207">
        <f t="shared" si="65"/>
        <v>0.34814286938359068</v>
      </c>
      <c r="AD20" s="207">
        <f t="shared" si="65"/>
        <v>0.34849101225297424</v>
      </c>
      <c r="AE20" s="207">
        <f t="shared" si="65"/>
        <v>0.34883950326522717</v>
      </c>
      <c r="AF20" s="207">
        <f t="shared" si="65"/>
        <v>0.34918834276849237</v>
      </c>
      <c r="AG20" s="207">
        <f t="shared" si="65"/>
        <v>0.34953753111126085</v>
      </c>
      <c r="AH20" s="207">
        <f t="shared" si="65"/>
        <v>0.34988706864237207</v>
      </c>
      <c r="AI20" s="207">
        <f t="shared" si="65"/>
        <v>0.35023695571101437</v>
      </c>
      <c r="AJ20" s="207">
        <f t="shared" si="65"/>
        <v>0.35058719266672533</v>
      </c>
      <c r="AK20" s="207">
        <f t="shared" si="65"/>
        <v>0.35093777985939201</v>
      </c>
      <c r="AL20" s="207">
        <f t="shared" si="65"/>
        <v>0.35128871763925135</v>
      </c>
      <c r="AM20" s="207">
        <f t="shared" si="65"/>
        <v>0.35164000635689058</v>
      </c>
      <c r="AN20" s="207">
        <f t="shared" si="65"/>
        <v>0.35199164636324742</v>
      </c>
      <c r="AO20" s="207">
        <f t="shared" si="65"/>
        <v>0.3523436380096106</v>
      </c>
      <c r="AP20" s="207">
        <f t="shared" si="65"/>
        <v>0.35269598164762017</v>
      </c>
      <c r="AQ20" s="207">
        <f t="shared" si="65"/>
        <v>0.35304867762926773</v>
      </c>
      <c r="AR20" s="207">
        <f t="shared" si="65"/>
        <v>0.35340172630689698</v>
      </c>
      <c r="AS20" s="207">
        <f t="shared" si="65"/>
        <v>0.35375512803320386</v>
      </c>
      <c r="AT20" s="207">
        <f t="shared" si="65"/>
        <v>0.35410888316123701</v>
      </c>
      <c r="AU20" s="207">
        <f t="shared" si="65"/>
        <v>0.35446299204439818</v>
      </c>
      <c r="AV20" s="207">
        <f t="shared" si="65"/>
        <v>0.35481745503644252</v>
      </c>
      <c r="AW20" s="207">
        <f t="shared" si="65"/>
        <v>0.35517227249147892</v>
      </c>
      <c r="AX20" s="207">
        <f t="shared" si="65"/>
        <v>0.35552744476397036</v>
      </c>
      <c r="AY20" s="207">
        <f t="shared" si="65"/>
        <v>0.35588297220873427</v>
      </c>
      <c r="AZ20" s="207">
        <f t="shared" si="65"/>
        <v>0.35623885518094295</v>
      </c>
      <c r="BA20" s="207">
        <f t="shared" si="65"/>
        <v>0.35659509403612383</v>
      </c>
      <c r="BB20" s="207">
        <f t="shared" si="65"/>
        <v>0.3569516891301599</v>
      </c>
      <c r="BC20" s="207">
        <f t="shared" si="65"/>
        <v>0.35730864081929004</v>
      </c>
      <c r="BD20" s="207">
        <f t="shared" si="65"/>
        <v>0.35766594946010927</v>
      </c>
      <c r="BE20" s="207">
        <f t="shared" si="65"/>
        <v>0.35802361540956934</v>
      </c>
      <c r="BF20" s="207">
        <f t="shared" si="65"/>
        <v>0.35838163902497888</v>
      </c>
      <c r="BG20" s="207">
        <f t="shared" si="65"/>
        <v>0.35874002066400384</v>
      </c>
      <c r="BH20" s="207">
        <f t="shared" si="65"/>
        <v>0.35909876068466778</v>
      </c>
      <c r="BI20" s="207">
        <f t="shared" si="65"/>
        <v>0.35945785944535241</v>
      </c>
      <c r="BJ20" s="207">
        <f t="shared" si="65"/>
        <v>0.35981731730479771</v>
      </c>
      <c r="BK20" s="207">
        <f t="shared" si="65"/>
        <v>0.36017713462210249</v>
      </c>
      <c r="BL20" s="207">
        <f t="shared" si="65"/>
        <v>0.36053731175672454</v>
      </c>
      <c r="BM20" s="207">
        <f t="shared" si="65"/>
        <v>0.36089784906848121</v>
      </c>
      <c r="BN20" s="207">
        <f t="shared" si="65"/>
        <v>0.36125874691754967</v>
      </c>
      <c r="BO20" s="207">
        <f t="shared" si="65"/>
        <v>0.36162000566446717</v>
      </c>
      <c r="BP20" s="207">
        <f t="shared" si="65"/>
        <v>0.36198162567013159</v>
      </c>
      <c r="BQ20" s="207">
        <f t="shared" si="65"/>
        <v>0.36234360729580167</v>
      </c>
      <c r="BR20" s="207">
        <f t="shared" si="65"/>
        <v>0.36270595090309743</v>
      </c>
      <c r="BS20" s="207">
        <f t="shared" si="65"/>
        <v>0.36306865685400047</v>
      </c>
      <c r="BT20" s="207">
        <f t="shared" si="65"/>
        <v>0.36343172551085445</v>
      </c>
      <c r="BU20" s="207">
        <f t="shared" si="65"/>
        <v>0.36379515723636524</v>
      </c>
      <c r="BV20" s="207">
        <f t="shared" si="65"/>
        <v>0.36415895239360158</v>
      </c>
      <c r="BW20" s="207">
        <f t="shared" si="65"/>
        <v>0.36452311134599513</v>
      </c>
      <c r="BX20" s="207">
        <f t="shared" si="65"/>
        <v>0.36488763445734107</v>
      </c>
    </row>
    <row r="21" spans="1:76" hidden="1" outlineLevel="1">
      <c r="B21" s="350"/>
      <c r="C21" s="350" t="s">
        <v>235</v>
      </c>
      <c r="D21" s="350" t="s">
        <v>38</v>
      </c>
      <c r="E21" s="350" t="s">
        <v>5</v>
      </c>
      <c r="F21" s="326">
        <f>F20</f>
        <v>0.32200000000000001</v>
      </c>
      <c r="G21" s="326">
        <f t="shared" ref="G21" si="66">G20</f>
        <v>0.32200000000000001</v>
      </c>
      <c r="H21" s="326">
        <f t="shared" ref="H21" si="67">H20</f>
        <v>0.32200000000000001</v>
      </c>
      <c r="I21" s="326">
        <f t="shared" ref="I21" si="68">I20</f>
        <v>0.32200000000000001</v>
      </c>
      <c r="J21" s="326">
        <f t="shared" ref="J21" si="69">J20</f>
        <v>0.32200000000000001</v>
      </c>
      <c r="K21" s="326">
        <f t="shared" ref="K21" si="70">K20</f>
        <v>0.32200000000000001</v>
      </c>
      <c r="L21" s="326">
        <f t="shared" ref="L21" si="71">L20</f>
        <v>0.32200000000000001</v>
      </c>
      <c r="M21" s="326">
        <f t="shared" ref="M21" si="72">M20</f>
        <v>0.32728079999999998</v>
      </c>
      <c r="N21" s="326">
        <f t="shared" ref="N21" si="73">N20</f>
        <v>0.33264820511999998</v>
      </c>
      <c r="O21" s="326">
        <f t="shared" ref="O21" si="74">O20</f>
        <v>0.33810363568396795</v>
      </c>
      <c r="P21" s="326">
        <f t="shared" ref="P21" si="75">P20</f>
        <v>0.34364853530918499</v>
      </c>
      <c r="Q21" s="326">
        <f t="shared" ref="Q21" si="76">Q20</f>
        <v>0.34399218384449415</v>
      </c>
      <c r="R21" s="326">
        <f t="shared" ref="R21" si="77">R20</f>
        <v>0.3443361760283386</v>
      </c>
      <c r="S21" s="326">
        <f t="shared" ref="S21" si="78">S20</f>
        <v>0.34468051220436691</v>
      </c>
      <c r="T21" s="326">
        <f t="shared" ref="T21" si="79">T20</f>
        <v>0.34502519271657123</v>
      </c>
      <c r="U21" s="326">
        <f t="shared" ref="U21" si="80">U20</f>
        <v>0.34537021790928774</v>
      </c>
      <c r="V21" s="326">
        <f t="shared" ref="V21" si="81">V20</f>
        <v>0.34571558812719699</v>
      </c>
      <c r="W21" s="326">
        <f t="shared" ref="W21" si="82">W20</f>
        <v>0.34606130371532418</v>
      </c>
      <c r="X21" s="326">
        <f t="shared" ref="X21" si="83">X20</f>
        <v>0.34640736501903946</v>
      </c>
      <c r="Y21" s="326">
        <f t="shared" ref="Y21" si="84">Y20</f>
        <v>0.34675377238405847</v>
      </c>
      <c r="Z21" s="326">
        <f t="shared" ref="Z21" si="85">Z20</f>
        <v>0.34710052615644249</v>
      </c>
      <c r="AA21" s="326">
        <f t="shared" ref="AA21" si="86">AA20</f>
        <v>0.34744762668259888</v>
      </c>
      <c r="AB21" s="326">
        <f t="shared" ref="AB21" si="87">AB20</f>
        <v>0.34779507430928142</v>
      </c>
      <c r="AC21" s="326">
        <f t="shared" ref="AC21" si="88">AC20</f>
        <v>0.34814286938359068</v>
      </c>
      <c r="AD21" s="326">
        <f t="shared" ref="AD21" si="89">AD20</f>
        <v>0.34849101225297424</v>
      </c>
      <c r="AE21" s="326">
        <f t="shared" ref="AE21" si="90">AE20</f>
        <v>0.34883950326522717</v>
      </c>
      <c r="AF21" s="326">
        <f t="shared" ref="AF21" si="91">AF20</f>
        <v>0.34918834276849237</v>
      </c>
      <c r="AG21" s="326">
        <f t="shared" ref="AG21" si="92">AG20</f>
        <v>0.34953753111126085</v>
      </c>
      <c r="AH21" s="326">
        <f t="shared" ref="AH21" si="93">AH20</f>
        <v>0.34988706864237207</v>
      </c>
      <c r="AI21" s="326">
        <f t="shared" ref="AI21" si="94">AI20</f>
        <v>0.35023695571101437</v>
      </c>
      <c r="AJ21" s="326">
        <f t="shared" ref="AJ21" si="95">AJ20</f>
        <v>0.35058719266672533</v>
      </c>
      <c r="AK21" s="326">
        <f t="shared" ref="AK21" si="96">AK20</f>
        <v>0.35093777985939201</v>
      </c>
      <c r="AL21" s="326">
        <f t="shared" ref="AL21" si="97">AL20</f>
        <v>0.35128871763925135</v>
      </c>
      <c r="AM21" s="326">
        <f t="shared" ref="AM21" si="98">AM20</f>
        <v>0.35164000635689058</v>
      </c>
      <c r="AN21" s="326">
        <f t="shared" ref="AN21" si="99">AN20</f>
        <v>0.35199164636324742</v>
      </c>
      <c r="AO21" s="326">
        <f t="shared" ref="AO21" si="100">AO20</f>
        <v>0.3523436380096106</v>
      </c>
      <c r="AP21" s="326">
        <f t="shared" ref="AP21" si="101">AP20</f>
        <v>0.35269598164762017</v>
      </c>
      <c r="AQ21" s="326">
        <f t="shared" ref="AQ21" si="102">AQ20</f>
        <v>0.35304867762926773</v>
      </c>
      <c r="AR21" s="326">
        <f t="shared" ref="AR21" si="103">AR20</f>
        <v>0.35340172630689698</v>
      </c>
      <c r="AS21" s="326">
        <f t="shared" ref="AS21" si="104">AS20</f>
        <v>0.35375512803320386</v>
      </c>
      <c r="AT21" s="326">
        <f t="shared" ref="AT21" si="105">AT20</f>
        <v>0.35410888316123701</v>
      </c>
      <c r="AU21" s="326">
        <f t="shared" ref="AU21" si="106">AU20</f>
        <v>0.35446299204439818</v>
      </c>
      <c r="AV21" s="326">
        <f t="shared" ref="AV21" si="107">AV20</f>
        <v>0.35481745503644252</v>
      </c>
      <c r="AW21" s="326">
        <f t="shared" ref="AW21" si="108">AW20</f>
        <v>0.35517227249147892</v>
      </c>
      <c r="AX21" s="326">
        <f t="shared" ref="AX21" si="109">AX20</f>
        <v>0.35552744476397036</v>
      </c>
      <c r="AY21" s="326">
        <f t="shared" ref="AY21" si="110">AY20</f>
        <v>0.35588297220873427</v>
      </c>
      <c r="AZ21" s="326">
        <f t="shared" ref="AZ21" si="111">AZ20</f>
        <v>0.35623885518094295</v>
      </c>
      <c r="BA21" s="326">
        <f t="shared" ref="BA21" si="112">BA20</f>
        <v>0.35659509403612383</v>
      </c>
      <c r="BB21" s="326">
        <f t="shared" ref="BB21" si="113">BB20</f>
        <v>0.3569516891301599</v>
      </c>
      <c r="BC21" s="326">
        <f t="shared" ref="BC21" si="114">BC20</f>
        <v>0.35730864081929004</v>
      </c>
      <c r="BD21" s="326">
        <f t="shared" ref="BD21" si="115">BD20</f>
        <v>0.35766594946010927</v>
      </c>
      <c r="BE21" s="326">
        <f t="shared" ref="BE21" si="116">BE20</f>
        <v>0.35802361540956934</v>
      </c>
      <c r="BF21" s="326">
        <f t="shared" ref="BF21" si="117">BF20</f>
        <v>0.35838163902497888</v>
      </c>
      <c r="BG21" s="326">
        <f t="shared" ref="BG21" si="118">BG20</f>
        <v>0.35874002066400384</v>
      </c>
      <c r="BH21" s="326">
        <f t="shared" ref="BH21" si="119">BH20</f>
        <v>0.35909876068466778</v>
      </c>
      <c r="BI21" s="326">
        <f t="shared" ref="BI21" si="120">BI20</f>
        <v>0.35945785944535241</v>
      </c>
      <c r="BJ21" s="326">
        <f t="shared" ref="BJ21" si="121">BJ20</f>
        <v>0.35981731730479771</v>
      </c>
      <c r="BK21" s="326">
        <f t="shared" ref="BK21" si="122">BK20</f>
        <v>0.36017713462210249</v>
      </c>
      <c r="BL21" s="326">
        <f t="shared" ref="BL21" si="123">BL20</f>
        <v>0.36053731175672454</v>
      </c>
      <c r="BM21" s="326">
        <f t="shared" ref="BM21" si="124">BM20</f>
        <v>0.36089784906848121</v>
      </c>
      <c r="BN21" s="326">
        <f t="shared" ref="BN21" si="125">BN20</f>
        <v>0.36125874691754967</v>
      </c>
      <c r="BO21" s="326">
        <f t="shared" ref="BO21" si="126">BO20</f>
        <v>0.36162000566446717</v>
      </c>
      <c r="BP21" s="326">
        <f t="shared" ref="BP21" si="127">BP20</f>
        <v>0.36198162567013159</v>
      </c>
      <c r="BQ21" s="326">
        <f t="shared" ref="BQ21" si="128">BQ20</f>
        <v>0.36234360729580167</v>
      </c>
      <c r="BR21" s="326">
        <f t="shared" ref="BR21" si="129">BR20</f>
        <v>0.36270595090309743</v>
      </c>
      <c r="BS21" s="326">
        <f t="shared" ref="BS21" si="130">BS20</f>
        <v>0.36306865685400047</v>
      </c>
      <c r="BT21" s="326">
        <f t="shared" ref="BT21" si="131">BT20</f>
        <v>0.36343172551085445</v>
      </c>
      <c r="BU21" s="326">
        <f t="shared" ref="BU21" si="132">BU20</f>
        <v>0.36379515723636524</v>
      </c>
      <c r="BV21" s="326">
        <f t="shared" ref="BV21" si="133">BV20</f>
        <v>0.36415895239360158</v>
      </c>
      <c r="BW21" s="326">
        <f t="shared" ref="BW21" si="134">BW20</f>
        <v>0.36452311134599513</v>
      </c>
      <c r="BX21" s="326">
        <f t="shared" ref="BX21" si="135">BX20</f>
        <v>0.36488763445734107</v>
      </c>
    </row>
    <row r="22" spans="1:76" hidden="1" outlineLevel="1">
      <c r="B22" s="350"/>
      <c r="C22" s="350" t="s">
        <v>231</v>
      </c>
      <c r="D22" s="350" t="s">
        <v>38</v>
      </c>
      <c r="E22" s="350" t="s">
        <v>6</v>
      </c>
      <c r="F22" s="207">
        <v>0.41</v>
      </c>
      <c r="G22" s="207">
        <v>0.41</v>
      </c>
      <c r="H22" s="207">
        <v>0.41</v>
      </c>
      <c r="I22" s="207">
        <v>0.41</v>
      </c>
      <c r="J22" s="207">
        <v>0.41</v>
      </c>
      <c r="K22" s="207">
        <v>0.41</v>
      </c>
      <c r="L22" s="207">
        <v>0.41</v>
      </c>
      <c r="M22" s="207">
        <f>L22*1.0164</f>
        <v>0.41672399999999998</v>
      </c>
      <c r="N22" s="207">
        <f t="shared" ref="N22:P22" si="136">M22*1.0164</f>
        <v>0.42355827359999998</v>
      </c>
      <c r="O22" s="207">
        <f t="shared" si="136"/>
        <v>0.43050462928703997</v>
      </c>
      <c r="P22" s="207">
        <f t="shared" si="136"/>
        <v>0.43756490520734742</v>
      </c>
      <c r="Q22" s="207">
        <f>P22*1.001</f>
        <v>0.43800247011255472</v>
      </c>
      <c r="R22" s="207">
        <f t="shared" ref="R22:BX22" si="137">Q22*1.001</f>
        <v>0.43844047258266722</v>
      </c>
      <c r="S22" s="207">
        <f t="shared" si="137"/>
        <v>0.43887891305524984</v>
      </c>
      <c r="T22" s="207">
        <f t="shared" si="137"/>
        <v>0.43931779196830506</v>
      </c>
      <c r="U22" s="207">
        <f t="shared" si="137"/>
        <v>0.43975710976027332</v>
      </c>
      <c r="V22" s="207">
        <f t="shared" si="137"/>
        <v>0.44019686687003357</v>
      </c>
      <c r="W22" s="207">
        <f t="shared" si="137"/>
        <v>0.44063706373690353</v>
      </c>
      <c r="X22" s="207">
        <f t="shared" si="137"/>
        <v>0.4410777008006404</v>
      </c>
      <c r="Y22" s="207">
        <f t="shared" si="137"/>
        <v>0.441518778501441</v>
      </c>
      <c r="Z22" s="207">
        <f t="shared" si="137"/>
        <v>0.4419602972799424</v>
      </c>
      <c r="AA22" s="207">
        <f t="shared" si="137"/>
        <v>0.44240225757722229</v>
      </c>
      <c r="AB22" s="207">
        <f t="shared" si="137"/>
        <v>0.44284465983479948</v>
      </c>
      <c r="AC22" s="207">
        <f t="shared" si="137"/>
        <v>0.44328750449463422</v>
      </c>
      <c r="AD22" s="207">
        <f t="shared" si="137"/>
        <v>0.44373079199912879</v>
      </c>
      <c r="AE22" s="207">
        <f t="shared" si="137"/>
        <v>0.44417452279112785</v>
      </c>
      <c r="AF22" s="207">
        <f t="shared" si="137"/>
        <v>0.4446186973139189</v>
      </c>
      <c r="AG22" s="207">
        <f t="shared" si="137"/>
        <v>0.44506331601123278</v>
      </c>
      <c r="AH22" s="207">
        <f t="shared" si="137"/>
        <v>0.44550837932724396</v>
      </c>
      <c r="AI22" s="207">
        <f t="shared" si="137"/>
        <v>0.44595388770657118</v>
      </c>
      <c r="AJ22" s="207">
        <f t="shared" si="137"/>
        <v>0.4463998415942777</v>
      </c>
      <c r="AK22" s="207">
        <f t="shared" si="137"/>
        <v>0.44684624143587193</v>
      </c>
      <c r="AL22" s="207">
        <f t="shared" si="137"/>
        <v>0.44729308767730774</v>
      </c>
      <c r="AM22" s="207">
        <f t="shared" si="137"/>
        <v>0.44774038076498501</v>
      </c>
      <c r="AN22" s="207">
        <f t="shared" si="137"/>
        <v>0.44818812114574996</v>
      </c>
      <c r="AO22" s="207">
        <f t="shared" si="137"/>
        <v>0.44863630926689568</v>
      </c>
      <c r="AP22" s="207">
        <f t="shared" si="137"/>
        <v>0.44908494557616252</v>
      </c>
      <c r="AQ22" s="207">
        <f t="shared" si="137"/>
        <v>0.44953403052173863</v>
      </c>
      <c r="AR22" s="207">
        <f t="shared" si="137"/>
        <v>0.4499835645522603</v>
      </c>
      <c r="AS22" s="207">
        <f t="shared" si="137"/>
        <v>0.45043354811681252</v>
      </c>
      <c r="AT22" s="207">
        <f t="shared" si="137"/>
        <v>0.45088398166492927</v>
      </c>
      <c r="AU22" s="207">
        <f t="shared" si="137"/>
        <v>0.45133486564659414</v>
      </c>
      <c r="AV22" s="207">
        <f t="shared" si="137"/>
        <v>0.45178620051224067</v>
      </c>
      <c r="AW22" s="207">
        <f t="shared" si="137"/>
        <v>0.45223798671275284</v>
      </c>
      <c r="AX22" s="207">
        <f t="shared" si="137"/>
        <v>0.45269022469946552</v>
      </c>
      <c r="AY22" s="207">
        <f t="shared" si="137"/>
        <v>0.45314291492416492</v>
      </c>
      <c r="AZ22" s="207">
        <f t="shared" si="137"/>
        <v>0.45359605783908902</v>
      </c>
      <c r="BA22" s="207">
        <f t="shared" si="137"/>
        <v>0.45404965389692803</v>
      </c>
      <c r="BB22" s="207">
        <f t="shared" si="137"/>
        <v>0.45450370355082492</v>
      </c>
      <c r="BC22" s="207">
        <f t="shared" si="137"/>
        <v>0.45495820725437569</v>
      </c>
      <c r="BD22" s="207">
        <f t="shared" si="137"/>
        <v>0.45541316546163002</v>
      </c>
      <c r="BE22" s="207">
        <f t="shared" si="137"/>
        <v>0.45586857862709163</v>
      </c>
      <c r="BF22" s="207">
        <f t="shared" si="137"/>
        <v>0.45632444720571869</v>
      </c>
      <c r="BG22" s="207">
        <f t="shared" si="137"/>
        <v>0.45678077165292436</v>
      </c>
      <c r="BH22" s="207">
        <f t="shared" si="137"/>
        <v>0.45723755242457725</v>
      </c>
      <c r="BI22" s="207">
        <f t="shared" si="137"/>
        <v>0.4576947899770018</v>
      </c>
      <c r="BJ22" s="207">
        <f t="shared" si="137"/>
        <v>0.45815248476697873</v>
      </c>
      <c r="BK22" s="207">
        <f t="shared" si="137"/>
        <v>0.45861063725174567</v>
      </c>
      <c r="BL22" s="207">
        <f t="shared" si="137"/>
        <v>0.45906924788899739</v>
      </c>
      <c r="BM22" s="207">
        <f t="shared" si="137"/>
        <v>0.45952831713688636</v>
      </c>
      <c r="BN22" s="207">
        <f t="shared" si="137"/>
        <v>0.45998784545402321</v>
      </c>
      <c r="BO22" s="207">
        <f t="shared" si="137"/>
        <v>0.46044783329947719</v>
      </c>
      <c r="BP22" s="207">
        <f t="shared" si="137"/>
        <v>0.4609082811327766</v>
      </c>
      <c r="BQ22" s="207">
        <f t="shared" si="137"/>
        <v>0.46136918941390931</v>
      </c>
      <c r="BR22" s="207">
        <f t="shared" si="137"/>
        <v>0.46183055860332317</v>
      </c>
      <c r="BS22" s="207">
        <f t="shared" si="137"/>
        <v>0.46229238916192644</v>
      </c>
      <c r="BT22" s="207">
        <f t="shared" si="137"/>
        <v>0.46275468155108834</v>
      </c>
      <c r="BU22" s="207">
        <f t="shared" si="137"/>
        <v>0.46321743623263939</v>
      </c>
      <c r="BV22" s="207">
        <f t="shared" si="137"/>
        <v>0.46368065366887196</v>
      </c>
      <c r="BW22" s="207">
        <f t="shared" si="137"/>
        <v>0.46414433432254076</v>
      </c>
      <c r="BX22" s="207">
        <f t="shared" si="137"/>
        <v>0.46460847865686328</v>
      </c>
    </row>
    <row r="23" spans="1:76" hidden="1" outlineLevel="1">
      <c r="A23" s="38" t="s">
        <v>346</v>
      </c>
      <c r="B23" s="350"/>
      <c r="C23" s="350" t="s">
        <v>193</v>
      </c>
      <c r="D23" s="350" t="s">
        <v>38</v>
      </c>
      <c r="E23" s="350" t="s">
        <v>7</v>
      </c>
      <c r="F23" s="379">
        <v>0.46187261141867159</v>
      </c>
      <c r="G23" s="379">
        <v>0.4668178941329203</v>
      </c>
      <c r="H23" s="379">
        <v>0.47132677263017381</v>
      </c>
      <c r="I23" s="379">
        <v>0.47555961612940095</v>
      </c>
      <c r="J23" s="379">
        <v>0.47960197045583558</v>
      </c>
      <c r="K23" s="379">
        <v>0.48350489884365061</v>
      </c>
      <c r="L23" s="379">
        <v>0.48730133812588161</v>
      </c>
      <c r="M23" s="379">
        <v>0.49101377734090418</v>
      </c>
      <c r="N23" s="379">
        <v>0.49465825700446225</v>
      </c>
      <c r="O23" s="379">
        <v>0.49824662084013066</v>
      </c>
      <c r="P23" s="379">
        <v>0.50178786310216061</v>
      </c>
      <c r="Q23" s="379">
        <v>0.50328897516656601</v>
      </c>
      <c r="R23" s="379">
        <v>0.50475549933738462</v>
      </c>
      <c r="S23" s="379">
        <v>0.50619190355438071</v>
      </c>
      <c r="T23" s="379">
        <v>0.50760184230333527</v>
      </c>
      <c r="U23" s="379">
        <v>0.50898834283661187</v>
      </c>
      <c r="V23" s="379">
        <v>0.51035394097781039</v>
      </c>
      <c r="W23" s="379">
        <v>0.51170078205163416</v>
      </c>
      <c r="X23" s="379">
        <v>0.5130306971630465</v>
      </c>
      <c r="Y23" s="379">
        <v>0.51434526171519224</v>
      </c>
      <c r="Z23" s="379">
        <v>0.51564584090877896</v>
      </c>
      <c r="AA23" s="379">
        <v>0.51693362555086109</v>
      </c>
      <c r="AB23" s="379">
        <v>0.51820966054888773</v>
      </c>
      <c r="AC23" s="379">
        <v>0.51947486781289054</v>
      </c>
      <c r="AD23" s="379">
        <v>0.52073006483309214</v>
      </c>
      <c r="AE23" s="379">
        <v>0.5219759798772956</v>
      </c>
      <c r="AF23" s="379">
        <v>0.52321326452026073</v>
      </c>
      <c r="AG23" s="379">
        <v>0.52444250404811465</v>
      </c>
      <c r="AH23" s="379">
        <v>0.52566422615612518</v>
      </c>
      <c r="AI23" s="379">
        <v>0.52687890826511063</v>
      </c>
      <c r="AJ23" s="379">
        <v>0.52808698371167251</v>
      </c>
      <c r="AK23" s="325"/>
      <c r="AL23" s="325"/>
      <c r="AM23" s="325"/>
      <c r="AN23" s="325"/>
      <c r="AO23" s="325"/>
      <c r="AP23" s="325"/>
      <c r="AQ23" s="325"/>
      <c r="AR23" s="325"/>
      <c r="AS23" s="325"/>
      <c r="AT23" s="325"/>
      <c r="AU23" s="325"/>
      <c r="AV23" s="325"/>
      <c r="AW23" s="325"/>
      <c r="AX23" s="325"/>
      <c r="AY23" s="325"/>
      <c r="AZ23" s="325"/>
      <c r="BA23" s="325"/>
      <c r="BB23" s="325"/>
      <c r="BC23" s="325"/>
      <c r="BD23" s="325"/>
      <c r="BE23" s="325"/>
      <c r="BF23" s="325"/>
      <c r="BG23" s="325"/>
      <c r="BH23" s="325"/>
      <c r="BI23" s="325"/>
      <c r="BJ23" s="325"/>
      <c r="BK23" s="325"/>
      <c r="BL23" s="325"/>
      <c r="BM23" s="325"/>
      <c r="BN23" s="325"/>
      <c r="BO23" s="325"/>
      <c r="BP23" s="325"/>
      <c r="BQ23" s="325"/>
      <c r="BR23" s="325"/>
      <c r="BS23" s="325"/>
      <c r="BT23" s="325"/>
      <c r="BU23" s="325"/>
      <c r="BV23" s="325"/>
      <c r="BW23" s="325"/>
      <c r="BX23" s="325"/>
    </row>
    <row r="24" spans="1:76" hidden="1" outlineLevel="1">
      <c r="A24" s="38" t="s">
        <v>362</v>
      </c>
      <c r="B24" s="351"/>
      <c r="C24" s="351" t="s">
        <v>151</v>
      </c>
      <c r="D24" s="351" t="s">
        <v>38</v>
      </c>
      <c r="E24" s="351" t="s">
        <v>3</v>
      </c>
      <c r="F24" s="379">
        <v>0.93700000000000006</v>
      </c>
      <c r="G24" s="379">
        <v>0.93700000000000006</v>
      </c>
      <c r="H24" s="379">
        <v>0.93700000000000006</v>
      </c>
      <c r="I24" s="379">
        <v>0.93700000000000006</v>
      </c>
      <c r="J24" s="379">
        <v>0.93700000000000006</v>
      </c>
      <c r="K24" s="379">
        <v>0.93700000000000006</v>
      </c>
      <c r="L24" s="379">
        <v>0.93700000000000006</v>
      </c>
      <c r="M24" s="379">
        <v>0.93700000000000006</v>
      </c>
      <c r="N24" s="379">
        <v>0.93700000000000006</v>
      </c>
      <c r="O24" s="379">
        <v>0.93700000000000006</v>
      </c>
      <c r="P24" s="379">
        <v>0.93700000000000006</v>
      </c>
      <c r="Q24" s="379">
        <v>0.93700000000000006</v>
      </c>
      <c r="R24" s="379">
        <v>0.93700000000000006</v>
      </c>
      <c r="S24" s="379">
        <v>0.93700000000000006</v>
      </c>
      <c r="T24" s="379">
        <v>0.93700000000000006</v>
      </c>
      <c r="U24" s="379">
        <v>0.93700000000000006</v>
      </c>
      <c r="V24" s="379">
        <v>0.93700000000000006</v>
      </c>
      <c r="W24" s="379">
        <v>0.93700000000000006</v>
      </c>
      <c r="X24" s="379">
        <v>0.93700000000000006</v>
      </c>
      <c r="Y24" s="379">
        <v>0.93700000000000006</v>
      </c>
      <c r="Z24" s="379">
        <v>0.93700000000000006</v>
      </c>
      <c r="AA24" s="379">
        <v>0.93700000000000006</v>
      </c>
      <c r="AB24" s="379">
        <v>0.93700000000000006</v>
      </c>
      <c r="AC24" s="379">
        <v>0.93700000000000006</v>
      </c>
      <c r="AD24" s="379">
        <v>0.93700000000000006</v>
      </c>
      <c r="AE24" s="379">
        <v>0.93700000000000006</v>
      </c>
      <c r="AF24" s="379">
        <v>0.93700000000000006</v>
      </c>
      <c r="AG24" s="379">
        <v>0.93700000000000006</v>
      </c>
      <c r="AH24" s="379">
        <v>0.93700000000000006</v>
      </c>
      <c r="AI24" s="379">
        <v>0.93700000000000006</v>
      </c>
      <c r="AJ24" s="379">
        <v>0.93700000000000006</v>
      </c>
      <c r="AK24" s="325">
        <f>AJ24</f>
        <v>0.93700000000000006</v>
      </c>
      <c r="AL24" s="325">
        <f t="shared" ref="AL24:BX24" si="138">AK24</f>
        <v>0.93700000000000006</v>
      </c>
      <c r="AM24" s="325">
        <f t="shared" si="138"/>
        <v>0.93700000000000006</v>
      </c>
      <c r="AN24" s="325">
        <f t="shared" si="138"/>
        <v>0.93700000000000006</v>
      </c>
      <c r="AO24" s="325">
        <f t="shared" si="138"/>
        <v>0.93700000000000006</v>
      </c>
      <c r="AP24" s="325">
        <f t="shared" si="138"/>
        <v>0.93700000000000006</v>
      </c>
      <c r="AQ24" s="325">
        <f t="shared" si="138"/>
        <v>0.93700000000000006</v>
      </c>
      <c r="AR24" s="325">
        <f t="shared" si="138"/>
        <v>0.93700000000000006</v>
      </c>
      <c r="AS24" s="325">
        <f t="shared" si="138"/>
        <v>0.93700000000000006</v>
      </c>
      <c r="AT24" s="325">
        <f t="shared" si="138"/>
        <v>0.93700000000000006</v>
      </c>
      <c r="AU24" s="325">
        <f t="shared" si="138"/>
        <v>0.93700000000000006</v>
      </c>
      <c r="AV24" s="325">
        <f t="shared" si="138"/>
        <v>0.93700000000000006</v>
      </c>
      <c r="AW24" s="325">
        <f t="shared" si="138"/>
        <v>0.93700000000000006</v>
      </c>
      <c r="AX24" s="325">
        <f t="shared" si="138"/>
        <v>0.93700000000000006</v>
      </c>
      <c r="AY24" s="325">
        <f t="shared" si="138"/>
        <v>0.93700000000000006</v>
      </c>
      <c r="AZ24" s="325">
        <f t="shared" si="138"/>
        <v>0.93700000000000006</v>
      </c>
      <c r="BA24" s="325">
        <f t="shared" si="138"/>
        <v>0.93700000000000006</v>
      </c>
      <c r="BB24" s="325">
        <f t="shared" si="138"/>
        <v>0.93700000000000006</v>
      </c>
      <c r="BC24" s="325">
        <f t="shared" si="138"/>
        <v>0.93700000000000006</v>
      </c>
      <c r="BD24" s="325">
        <f t="shared" si="138"/>
        <v>0.93700000000000006</v>
      </c>
      <c r="BE24" s="325">
        <f t="shared" si="138"/>
        <v>0.93700000000000006</v>
      </c>
      <c r="BF24" s="325">
        <f t="shared" si="138"/>
        <v>0.93700000000000006</v>
      </c>
      <c r="BG24" s="325">
        <f t="shared" si="138"/>
        <v>0.93700000000000006</v>
      </c>
      <c r="BH24" s="325">
        <f t="shared" si="138"/>
        <v>0.93700000000000006</v>
      </c>
      <c r="BI24" s="325">
        <f t="shared" si="138"/>
        <v>0.93700000000000006</v>
      </c>
      <c r="BJ24" s="325">
        <f t="shared" si="138"/>
        <v>0.93700000000000006</v>
      </c>
      <c r="BK24" s="325">
        <f t="shared" si="138"/>
        <v>0.93700000000000006</v>
      </c>
      <c r="BL24" s="325">
        <f t="shared" si="138"/>
        <v>0.93700000000000006</v>
      </c>
      <c r="BM24" s="325">
        <f t="shared" si="138"/>
        <v>0.93700000000000006</v>
      </c>
      <c r="BN24" s="325">
        <f t="shared" si="138"/>
        <v>0.93700000000000006</v>
      </c>
      <c r="BO24" s="325">
        <f t="shared" si="138"/>
        <v>0.93700000000000006</v>
      </c>
      <c r="BP24" s="325">
        <f t="shared" si="138"/>
        <v>0.93700000000000006</v>
      </c>
      <c r="BQ24" s="325">
        <f t="shared" si="138"/>
        <v>0.93700000000000006</v>
      </c>
      <c r="BR24" s="325">
        <f t="shared" si="138"/>
        <v>0.93700000000000006</v>
      </c>
      <c r="BS24" s="325">
        <f t="shared" si="138"/>
        <v>0.93700000000000006</v>
      </c>
      <c r="BT24" s="325">
        <f t="shared" si="138"/>
        <v>0.93700000000000006</v>
      </c>
      <c r="BU24" s="325">
        <f t="shared" si="138"/>
        <v>0.93700000000000006</v>
      </c>
      <c r="BV24" s="325">
        <f t="shared" si="138"/>
        <v>0.93700000000000006</v>
      </c>
      <c r="BW24" s="325">
        <f t="shared" si="138"/>
        <v>0.93700000000000006</v>
      </c>
      <c r="BX24" s="325">
        <f t="shared" si="138"/>
        <v>0.93700000000000006</v>
      </c>
    </row>
    <row r="25" spans="1:76" hidden="1" outlineLevel="1">
      <c r="A25" s="38" t="s">
        <v>363</v>
      </c>
      <c r="B25" s="351"/>
      <c r="C25" s="351" t="s">
        <v>197</v>
      </c>
      <c r="D25" s="351" t="s">
        <v>38</v>
      </c>
      <c r="E25" s="351" t="s">
        <v>19</v>
      </c>
      <c r="F25" s="379">
        <v>0.9</v>
      </c>
      <c r="G25" s="379">
        <v>0.9</v>
      </c>
      <c r="H25" s="379">
        <v>0.9</v>
      </c>
      <c r="I25" s="379">
        <v>0.9</v>
      </c>
      <c r="J25" s="379">
        <v>0.9</v>
      </c>
      <c r="K25" s="379">
        <v>0.9</v>
      </c>
      <c r="L25" s="379">
        <v>0.9</v>
      </c>
      <c r="M25" s="379">
        <v>0.9</v>
      </c>
      <c r="N25" s="379">
        <v>0.9</v>
      </c>
      <c r="O25" s="379">
        <v>0.9</v>
      </c>
      <c r="P25" s="379">
        <v>0.9</v>
      </c>
      <c r="Q25" s="379">
        <v>0.9</v>
      </c>
      <c r="R25" s="379">
        <v>0.9</v>
      </c>
      <c r="S25" s="379">
        <v>0.9</v>
      </c>
      <c r="T25" s="379">
        <v>0.9</v>
      </c>
      <c r="U25" s="379">
        <v>0.9</v>
      </c>
      <c r="V25" s="379">
        <v>0.9</v>
      </c>
      <c r="W25" s="379">
        <v>0.9</v>
      </c>
      <c r="X25" s="379">
        <v>0.9</v>
      </c>
      <c r="Y25" s="379">
        <v>0.9</v>
      </c>
      <c r="Z25" s="379">
        <v>0.9</v>
      </c>
      <c r="AA25" s="379">
        <v>0.9</v>
      </c>
      <c r="AB25" s="379">
        <v>0.9</v>
      </c>
      <c r="AC25" s="379">
        <v>0.9</v>
      </c>
      <c r="AD25" s="379">
        <v>0.9</v>
      </c>
      <c r="AE25" s="379">
        <v>0.9</v>
      </c>
      <c r="AF25" s="379">
        <v>0.9</v>
      </c>
      <c r="AG25" s="379">
        <v>0.9</v>
      </c>
      <c r="AH25" s="379">
        <v>0.9</v>
      </c>
      <c r="AI25" s="379">
        <v>0.9</v>
      </c>
      <c r="AJ25" s="379">
        <v>0.9</v>
      </c>
      <c r="AK25" s="325">
        <f t="shared" ref="AK25:BX25" si="139">AJ25</f>
        <v>0.9</v>
      </c>
      <c r="AL25" s="325">
        <f t="shared" si="139"/>
        <v>0.9</v>
      </c>
      <c r="AM25" s="325">
        <f t="shared" si="139"/>
        <v>0.9</v>
      </c>
      <c r="AN25" s="325">
        <f t="shared" si="139"/>
        <v>0.9</v>
      </c>
      <c r="AO25" s="325">
        <f t="shared" si="139"/>
        <v>0.9</v>
      </c>
      <c r="AP25" s="325">
        <f t="shared" si="139"/>
        <v>0.9</v>
      </c>
      <c r="AQ25" s="325">
        <f t="shared" si="139"/>
        <v>0.9</v>
      </c>
      <c r="AR25" s="325">
        <f t="shared" si="139"/>
        <v>0.9</v>
      </c>
      <c r="AS25" s="325">
        <f t="shared" si="139"/>
        <v>0.9</v>
      </c>
      <c r="AT25" s="325">
        <f t="shared" si="139"/>
        <v>0.9</v>
      </c>
      <c r="AU25" s="325">
        <f t="shared" si="139"/>
        <v>0.9</v>
      </c>
      <c r="AV25" s="325">
        <f t="shared" si="139"/>
        <v>0.9</v>
      </c>
      <c r="AW25" s="325">
        <f t="shared" si="139"/>
        <v>0.9</v>
      </c>
      <c r="AX25" s="325">
        <f t="shared" si="139"/>
        <v>0.9</v>
      </c>
      <c r="AY25" s="325">
        <f t="shared" si="139"/>
        <v>0.9</v>
      </c>
      <c r="AZ25" s="325">
        <f t="shared" si="139"/>
        <v>0.9</v>
      </c>
      <c r="BA25" s="325">
        <f t="shared" si="139"/>
        <v>0.9</v>
      </c>
      <c r="BB25" s="325">
        <f t="shared" si="139"/>
        <v>0.9</v>
      </c>
      <c r="BC25" s="325">
        <f t="shared" si="139"/>
        <v>0.9</v>
      </c>
      <c r="BD25" s="325">
        <f t="shared" si="139"/>
        <v>0.9</v>
      </c>
      <c r="BE25" s="325">
        <f t="shared" si="139"/>
        <v>0.9</v>
      </c>
      <c r="BF25" s="325">
        <f t="shared" si="139"/>
        <v>0.9</v>
      </c>
      <c r="BG25" s="325">
        <f t="shared" si="139"/>
        <v>0.9</v>
      </c>
      <c r="BH25" s="325">
        <f t="shared" si="139"/>
        <v>0.9</v>
      </c>
      <c r="BI25" s="325">
        <f t="shared" si="139"/>
        <v>0.9</v>
      </c>
      <c r="BJ25" s="325">
        <f t="shared" si="139"/>
        <v>0.9</v>
      </c>
      <c r="BK25" s="325">
        <f t="shared" si="139"/>
        <v>0.9</v>
      </c>
      <c r="BL25" s="325">
        <f t="shared" si="139"/>
        <v>0.9</v>
      </c>
      <c r="BM25" s="325">
        <f t="shared" si="139"/>
        <v>0.9</v>
      </c>
      <c r="BN25" s="325">
        <f t="shared" si="139"/>
        <v>0.9</v>
      </c>
      <c r="BO25" s="325">
        <f t="shared" si="139"/>
        <v>0.9</v>
      </c>
      <c r="BP25" s="325">
        <f t="shared" si="139"/>
        <v>0.9</v>
      </c>
      <c r="BQ25" s="325">
        <f t="shared" si="139"/>
        <v>0.9</v>
      </c>
      <c r="BR25" s="325">
        <f t="shared" si="139"/>
        <v>0.9</v>
      </c>
      <c r="BS25" s="325">
        <f t="shared" si="139"/>
        <v>0.9</v>
      </c>
      <c r="BT25" s="325">
        <f t="shared" si="139"/>
        <v>0.9</v>
      </c>
      <c r="BU25" s="325">
        <f t="shared" si="139"/>
        <v>0.9</v>
      </c>
      <c r="BV25" s="325">
        <f t="shared" si="139"/>
        <v>0.9</v>
      </c>
      <c r="BW25" s="325">
        <f t="shared" si="139"/>
        <v>0.9</v>
      </c>
      <c r="BX25" s="325">
        <f t="shared" si="139"/>
        <v>0.9</v>
      </c>
    </row>
    <row r="26" spans="1:76" collapsed="1"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</row>
    <row r="27" spans="1:76">
      <c r="B27" s="259" t="str">
        <f>D27</f>
        <v>Heat Rate  (MMBtu/MWh)</v>
      </c>
      <c r="D27" s="259" t="s">
        <v>43</v>
      </c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59"/>
      <c r="AV27" s="259"/>
      <c r="AW27" s="259"/>
      <c r="AX27" s="259"/>
      <c r="AY27" s="259"/>
      <c r="AZ27" s="259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</row>
    <row r="28" spans="1:76" hidden="1" outlineLevel="1">
      <c r="A28" s="38" t="s">
        <v>364</v>
      </c>
      <c r="B28" s="351"/>
      <c r="C28" s="351" t="s">
        <v>151</v>
      </c>
      <c r="D28" s="351" t="s">
        <v>43</v>
      </c>
      <c r="E28" s="351" t="s">
        <v>3</v>
      </c>
      <c r="F28" s="380">
        <v>10.443</v>
      </c>
      <c r="G28" s="380">
        <v>10.443</v>
      </c>
      <c r="H28" s="380">
        <v>10.443</v>
      </c>
      <c r="I28" s="380">
        <v>10.443</v>
      </c>
      <c r="J28" s="380">
        <v>10.443</v>
      </c>
      <c r="K28" s="380">
        <v>10.443</v>
      </c>
      <c r="L28" s="380">
        <v>10.443</v>
      </c>
      <c r="M28" s="380">
        <v>10.443</v>
      </c>
      <c r="N28" s="380">
        <v>10.443</v>
      </c>
      <c r="O28" s="380">
        <v>10.443</v>
      </c>
      <c r="P28" s="380">
        <v>10.443</v>
      </c>
      <c r="Q28" s="380">
        <v>10.443</v>
      </c>
      <c r="R28" s="380">
        <v>10.443</v>
      </c>
      <c r="S28" s="380">
        <v>10.443</v>
      </c>
      <c r="T28" s="380">
        <v>10.443</v>
      </c>
      <c r="U28" s="380">
        <v>10.443</v>
      </c>
      <c r="V28" s="380">
        <v>10.443</v>
      </c>
      <c r="W28" s="380">
        <v>10.443</v>
      </c>
      <c r="X28" s="380">
        <v>10.443</v>
      </c>
      <c r="Y28" s="380">
        <v>10.443</v>
      </c>
      <c r="Z28" s="380">
        <v>10.443</v>
      </c>
      <c r="AA28" s="380">
        <v>10.443</v>
      </c>
      <c r="AB28" s="380">
        <v>10.443</v>
      </c>
      <c r="AC28" s="380">
        <v>10.443</v>
      </c>
      <c r="AD28" s="380">
        <v>10.443</v>
      </c>
      <c r="AE28" s="380">
        <v>10.443</v>
      </c>
      <c r="AF28" s="380">
        <v>10.443</v>
      </c>
      <c r="AG28" s="380">
        <v>10.443</v>
      </c>
      <c r="AH28" s="380">
        <v>10.443</v>
      </c>
      <c r="AI28" s="380">
        <v>10.443</v>
      </c>
      <c r="AJ28" s="380">
        <v>10.443</v>
      </c>
      <c r="AK28" s="342">
        <f>AJ28</f>
        <v>10.443</v>
      </c>
      <c r="AL28" s="342">
        <f t="shared" ref="AL28:BX28" si="140">AK28</f>
        <v>10.443</v>
      </c>
      <c r="AM28" s="342">
        <f t="shared" si="140"/>
        <v>10.443</v>
      </c>
      <c r="AN28" s="342">
        <f t="shared" si="140"/>
        <v>10.443</v>
      </c>
      <c r="AO28" s="342">
        <f t="shared" si="140"/>
        <v>10.443</v>
      </c>
      <c r="AP28" s="342">
        <f t="shared" si="140"/>
        <v>10.443</v>
      </c>
      <c r="AQ28" s="342">
        <f t="shared" si="140"/>
        <v>10.443</v>
      </c>
      <c r="AR28" s="342">
        <f t="shared" si="140"/>
        <v>10.443</v>
      </c>
      <c r="AS28" s="342">
        <f t="shared" si="140"/>
        <v>10.443</v>
      </c>
      <c r="AT28" s="342">
        <f t="shared" si="140"/>
        <v>10.443</v>
      </c>
      <c r="AU28" s="342">
        <f t="shared" si="140"/>
        <v>10.443</v>
      </c>
      <c r="AV28" s="342">
        <f t="shared" si="140"/>
        <v>10.443</v>
      </c>
      <c r="AW28" s="342">
        <f t="shared" si="140"/>
        <v>10.443</v>
      </c>
      <c r="AX28" s="342">
        <f t="shared" si="140"/>
        <v>10.443</v>
      </c>
      <c r="AY28" s="342">
        <f t="shared" si="140"/>
        <v>10.443</v>
      </c>
      <c r="AZ28" s="342">
        <f t="shared" si="140"/>
        <v>10.443</v>
      </c>
      <c r="BA28" s="342">
        <f t="shared" si="140"/>
        <v>10.443</v>
      </c>
      <c r="BB28" s="342">
        <f t="shared" si="140"/>
        <v>10.443</v>
      </c>
      <c r="BC28" s="342">
        <f t="shared" si="140"/>
        <v>10.443</v>
      </c>
      <c r="BD28" s="342">
        <f t="shared" si="140"/>
        <v>10.443</v>
      </c>
      <c r="BE28" s="342">
        <f t="shared" si="140"/>
        <v>10.443</v>
      </c>
      <c r="BF28" s="342">
        <f t="shared" si="140"/>
        <v>10.443</v>
      </c>
      <c r="BG28" s="342">
        <f t="shared" si="140"/>
        <v>10.443</v>
      </c>
      <c r="BH28" s="342">
        <f t="shared" si="140"/>
        <v>10.443</v>
      </c>
      <c r="BI28" s="342">
        <f t="shared" si="140"/>
        <v>10.443</v>
      </c>
      <c r="BJ28" s="342">
        <f t="shared" si="140"/>
        <v>10.443</v>
      </c>
      <c r="BK28" s="342">
        <f t="shared" si="140"/>
        <v>10.443</v>
      </c>
      <c r="BL28" s="342">
        <f t="shared" si="140"/>
        <v>10.443</v>
      </c>
      <c r="BM28" s="342">
        <f t="shared" si="140"/>
        <v>10.443</v>
      </c>
      <c r="BN28" s="342">
        <f t="shared" si="140"/>
        <v>10.443</v>
      </c>
      <c r="BO28" s="342">
        <f t="shared" si="140"/>
        <v>10.443</v>
      </c>
      <c r="BP28" s="342">
        <f t="shared" si="140"/>
        <v>10.443</v>
      </c>
      <c r="BQ28" s="342">
        <f t="shared" si="140"/>
        <v>10.443</v>
      </c>
      <c r="BR28" s="342">
        <f t="shared" si="140"/>
        <v>10.443</v>
      </c>
      <c r="BS28" s="342">
        <f t="shared" si="140"/>
        <v>10.443</v>
      </c>
      <c r="BT28" s="342">
        <f t="shared" si="140"/>
        <v>10.443</v>
      </c>
      <c r="BU28" s="342">
        <f t="shared" si="140"/>
        <v>10.443</v>
      </c>
      <c r="BV28" s="342">
        <f t="shared" si="140"/>
        <v>10.443</v>
      </c>
      <c r="BW28" s="342">
        <f t="shared" si="140"/>
        <v>10.443</v>
      </c>
      <c r="BX28" s="342">
        <f t="shared" si="140"/>
        <v>10.443</v>
      </c>
    </row>
    <row r="29" spans="1:76" hidden="1" outlineLevel="1">
      <c r="B29" s="349"/>
      <c r="C29" s="349" t="s">
        <v>231</v>
      </c>
      <c r="D29" s="349" t="s">
        <v>43</v>
      </c>
      <c r="E29" s="349" t="s">
        <v>26</v>
      </c>
      <c r="F29" s="332">
        <v>13.523999999999999</v>
      </c>
      <c r="G29" s="332">
        <f>F29</f>
        <v>13.523999999999999</v>
      </c>
      <c r="H29" s="332">
        <f t="shared" ref="H29:BS29" si="141">G29</f>
        <v>13.523999999999999</v>
      </c>
      <c r="I29" s="332">
        <f t="shared" si="141"/>
        <v>13.523999999999999</v>
      </c>
      <c r="J29" s="332">
        <f t="shared" si="141"/>
        <v>13.523999999999999</v>
      </c>
      <c r="K29" s="332">
        <f t="shared" si="141"/>
        <v>13.523999999999999</v>
      </c>
      <c r="L29" s="332">
        <f t="shared" si="141"/>
        <v>13.523999999999999</v>
      </c>
      <c r="M29" s="332">
        <f t="shared" si="141"/>
        <v>13.523999999999999</v>
      </c>
      <c r="N29" s="332">
        <f t="shared" si="141"/>
        <v>13.523999999999999</v>
      </c>
      <c r="O29" s="332">
        <f t="shared" si="141"/>
        <v>13.523999999999999</v>
      </c>
      <c r="P29" s="332">
        <f t="shared" si="141"/>
        <v>13.523999999999999</v>
      </c>
      <c r="Q29" s="332">
        <f t="shared" si="141"/>
        <v>13.523999999999999</v>
      </c>
      <c r="R29" s="332">
        <f t="shared" si="141"/>
        <v>13.523999999999999</v>
      </c>
      <c r="S29" s="332">
        <f t="shared" si="141"/>
        <v>13.523999999999999</v>
      </c>
      <c r="T29" s="332">
        <f t="shared" si="141"/>
        <v>13.523999999999999</v>
      </c>
      <c r="U29" s="332">
        <f t="shared" si="141"/>
        <v>13.523999999999999</v>
      </c>
      <c r="V29" s="332">
        <f t="shared" si="141"/>
        <v>13.523999999999999</v>
      </c>
      <c r="W29" s="332">
        <f t="shared" si="141"/>
        <v>13.523999999999999</v>
      </c>
      <c r="X29" s="332">
        <f t="shared" si="141"/>
        <v>13.523999999999999</v>
      </c>
      <c r="Y29" s="332">
        <f t="shared" si="141"/>
        <v>13.523999999999999</v>
      </c>
      <c r="Z29" s="332">
        <f t="shared" si="141"/>
        <v>13.523999999999999</v>
      </c>
      <c r="AA29" s="332">
        <f t="shared" si="141"/>
        <v>13.523999999999999</v>
      </c>
      <c r="AB29" s="332">
        <f t="shared" si="141"/>
        <v>13.523999999999999</v>
      </c>
      <c r="AC29" s="332">
        <f t="shared" si="141"/>
        <v>13.523999999999999</v>
      </c>
      <c r="AD29" s="332">
        <f t="shared" si="141"/>
        <v>13.523999999999999</v>
      </c>
      <c r="AE29" s="332">
        <f t="shared" si="141"/>
        <v>13.523999999999999</v>
      </c>
      <c r="AF29" s="332">
        <f t="shared" si="141"/>
        <v>13.523999999999999</v>
      </c>
      <c r="AG29" s="332">
        <f t="shared" si="141"/>
        <v>13.523999999999999</v>
      </c>
      <c r="AH29" s="332">
        <f t="shared" si="141"/>
        <v>13.523999999999999</v>
      </c>
      <c r="AI29" s="332">
        <f t="shared" si="141"/>
        <v>13.523999999999999</v>
      </c>
      <c r="AJ29" s="332">
        <f t="shared" si="141"/>
        <v>13.523999999999999</v>
      </c>
      <c r="AK29" s="342">
        <f t="shared" si="141"/>
        <v>13.523999999999999</v>
      </c>
      <c r="AL29" s="342">
        <f t="shared" si="141"/>
        <v>13.523999999999999</v>
      </c>
      <c r="AM29" s="342">
        <f t="shared" si="141"/>
        <v>13.523999999999999</v>
      </c>
      <c r="AN29" s="342">
        <f t="shared" si="141"/>
        <v>13.523999999999999</v>
      </c>
      <c r="AO29" s="342">
        <f t="shared" si="141"/>
        <v>13.523999999999999</v>
      </c>
      <c r="AP29" s="342">
        <f t="shared" si="141"/>
        <v>13.523999999999999</v>
      </c>
      <c r="AQ29" s="342">
        <f t="shared" si="141"/>
        <v>13.523999999999999</v>
      </c>
      <c r="AR29" s="342">
        <f t="shared" si="141"/>
        <v>13.523999999999999</v>
      </c>
      <c r="AS29" s="342">
        <f t="shared" si="141"/>
        <v>13.523999999999999</v>
      </c>
      <c r="AT29" s="342">
        <f t="shared" si="141"/>
        <v>13.523999999999999</v>
      </c>
      <c r="AU29" s="342">
        <f t="shared" si="141"/>
        <v>13.523999999999999</v>
      </c>
      <c r="AV29" s="342">
        <f t="shared" si="141"/>
        <v>13.523999999999999</v>
      </c>
      <c r="AW29" s="342">
        <f t="shared" si="141"/>
        <v>13.523999999999999</v>
      </c>
      <c r="AX29" s="342">
        <f t="shared" si="141"/>
        <v>13.523999999999999</v>
      </c>
      <c r="AY29" s="342">
        <f t="shared" si="141"/>
        <v>13.523999999999999</v>
      </c>
      <c r="AZ29" s="342">
        <f t="shared" si="141"/>
        <v>13.523999999999999</v>
      </c>
      <c r="BA29" s="342">
        <f t="shared" si="141"/>
        <v>13.523999999999999</v>
      </c>
      <c r="BB29" s="342">
        <f t="shared" si="141"/>
        <v>13.523999999999999</v>
      </c>
      <c r="BC29" s="342">
        <f t="shared" si="141"/>
        <v>13.523999999999999</v>
      </c>
      <c r="BD29" s="342">
        <f t="shared" si="141"/>
        <v>13.523999999999999</v>
      </c>
      <c r="BE29" s="342">
        <f t="shared" si="141"/>
        <v>13.523999999999999</v>
      </c>
      <c r="BF29" s="342">
        <f t="shared" si="141"/>
        <v>13.523999999999999</v>
      </c>
      <c r="BG29" s="342">
        <f t="shared" si="141"/>
        <v>13.523999999999999</v>
      </c>
      <c r="BH29" s="342">
        <f t="shared" si="141"/>
        <v>13.523999999999999</v>
      </c>
      <c r="BI29" s="342">
        <f t="shared" si="141"/>
        <v>13.523999999999999</v>
      </c>
      <c r="BJ29" s="342">
        <f t="shared" si="141"/>
        <v>13.523999999999999</v>
      </c>
      <c r="BK29" s="342">
        <f t="shared" si="141"/>
        <v>13.523999999999999</v>
      </c>
      <c r="BL29" s="342">
        <f t="shared" si="141"/>
        <v>13.523999999999999</v>
      </c>
      <c r="BM29" s="342">
        <f t="shared" si="141"/>
        <v>13.523999999999999</v>
      </c>
      <c r="BN29" s="342">
        <f t="shared" si="141"/>
        <v>13.523999999999999</v>
      </c>
      <c r="BO29" s="342">
        <f t="shared" si="141"/>
        <v>13.523999999999999</v>
      </c>
      <c r="BP29" s="342">
        <f t="shared" si="141"/>
        <v>13.523999999999999</v>
      </c>
      <c r="BQ29" s="342">
        <f t="shared" si="141"/>
        <v>13.523999999999999</v>
      </c>
      <c r="BR29" s="342">
        <f t="shared" si="141"/>
        <v>13.523999999999999</v>
      </c>
      <c r="BS29" s="342">
        <f t="shared" si="141"/>
        <v>13.523999999999999</v>
      </c>
      <c r="BT29" s="342">
        <f t="shared" ref="BT29:BX29" si="142">BS29</f>
        <v>13.523999999999999</v>
      </c>
      <c r="BU29" s="342">
        <f t="shared" si="142"/>
        <v>13.523999999999999</v>
      </c>
      <c r="BV29" s="342">
        <f t="shared" si="142"/>
        <v>13.523999999999999</v>
      </c>
      <c r="BW29" s="342">
        <f t="shared" si="142"/>
        <v>13.523999999999999</v>
      </c>
      <c r="BX29" s="342">
        <f t="shared" si="142"/>
        <v>13.523999999999999</v>
      </c>
    </row>
    <row r="30" spans="1:76" hidden="1" outlineLevel="1">
      <c r="B30" s="349"/>
      <c r="C30" s="349" t="s">
        <v>231</v>
      </c>
      <c r="D30" s="349" t="s">
        <v>43</v>
      </c>
      <c r="E30" s="349" t="s">
        <v>27</v>
      </c>
      <c r="F30" s="332">
        <v>11.2</v>
      </c>
      <c r="G30" s="332">
        <f t="shared" ref="G30:BR30" si="143">F30</f>
        <v>11.2</v>
      </c>
      <c r="H30" s="332">
        <f t="shared" si="143"/>
        <v>11.2</v>
      </c>
      <c r="I30" s="332">
        <f t="shared" si="143"/>
        <v>11.2</v>
      </c>
      <c r="J30" s="332">
        <f t="shared" si="143"/>
        <v>11.2</v>
      </c>
      <c r="K30" s="332">
        <f t="shared" si="143"/>
        <v>11.2</v>
      </c>
      <c r="L30" s="332">
        <f t="shared" si="143"/>
        <v>11.2</v>
      </c>
      <c r="M30" s="332">
        <f t="shared" si="143"/>
        <v>11.2</v>
      </c>
      <c r="N30" s="332">
        <f t="shared" si="143"/>
        <v>11.2</v>
      </c>
      <c r="O30" s="332">
        <f t="shared" si="143"/>
        <v>11.2</v>
      </c>
      <c r="P30" s="332">
        <f t="shared" si="143"/>
        <v>11.2</v>
      </c>
      <c r="Q30" s="332">
        <f t="shared" si="143"/>
        <v>11.2</v>
      </c>
      <c r="R30" s="332">
        <f t="shared" si="143"/>
        <v>11.2</v>
      </c>
      <c r="S30" s="332">
        <f t="shared" si="143"/>
        <v>11.2</v>
      </c>
      <c r="T30" s="332">
        <f t="shared" si="143"/>
        <v>11.2</v>
      </c>
      <c r="U30" s="332">
        <f t="shared" si="143"/>
        <v>11.2</v>
      </c>
      <c r="V30" s="332">
        <f t="shared" si="143"/>
        <v>11.2</v>
      </c>
      <c r="W30" s="332">
        <f t="shared" si="143"/>
        <v>11.2</v>
      </c>
      <c r="X30" s="332">
        <f t="shared" si="143"/>
        <v>11.2</v>
      </c>
      <c r="Y30" s="332">
        <f t="shared" si="143"/>
        <v>11.2</v>
      </c>
      <c r="Z30" s="332">
        <f t="shared" si="143"/>
        <v>11.2</v>
      </c>
      <c r="AA30" s="332">
        <f t="shared" si="143"/>
        <v>11.2</v>
      </c>
      <c r="AB30" s="332">
        <f t="shared" si="143"/>
        <v>11.2</v>
      </c>
      <c r="AC30" s="332">
        <f t="shared" si="143"/>
        <v>11.2</v>
      </c>
      <c r="AD30" s="332">
        <f t="shared" si="143"/>
        <v>11.2</v>
      </c>
      <c r="AE30" s="332">
        <f t="shared" si="143"/>
        <v>11.2</v>
      </c>
      <c r="AF30" s="332">
        <f t="shared" si="143"/>
        <v>11.2</v>
      </c>
      <c r="AG30" s="332">
        <f t="shared" si="143"/>
        <v>11.2</v>
      </c>
      <c r="AH30" s="332">
        <f t="shared" si="143"/>
        <v>11.2</v>
      </c>
      <c r="AI30" s="332">
        <f t="shared" si="143"/>
        <v>11.2</v>
      </c>
      <c r="AJ30" s="332">
        <f t="shared" si="143"/>
        <v>11.2</v>
      </c>
      <c r="AK30" s="342">
        <f t="shared" si="143"/>
        <v>11.2</v>
      </c>
      <c r="AL30" s="342">
        <f t="shared" si="143"/>
        <v>11.2</v>
      </c>
      <c r="AM30" s="342">
        <f t="shared" si="143"/>
        <v>11.2</v>
      </c>
      <c r="AN30" s="342">
        <f t="shared" si="143"/>
        <v>11.2</v>
      </c>
      <c r="AO30" s="342">
        <f t="shared" si="143"/>
        <v>11.2</v>
      </c>
      <c r="AP30" s="342">
        <f t="shared" si="143"/>
        <v>11.2</v>
      </c>
      <c r="AQ30" s="342">
        <f t="shared" si="143"/>
        <v>11.2</v>
      </c>
      <c r="AR30" s="342">
        <f t="shared" si="143"/>
        <v>11.2</v>
      </c>
      <c r="AS30" s="342">
        <f t="shared" si="143"/>
        <v>11.2</v>
      </c>
      <c r="AT30" s="342">
        <f t="shared" si="143"/>
        <v>11.2</v>
      </c>
      <c r="AU30" s="342">
        <f t="shared" si="143"/>
        <v>11.2</v>
      </c>
      <c r="AV30" s="342">
        <f t="shared" si="143"/>
        <v>11.2</v>
      </c>
      <c r="AW30" s="342">
        <f t="shared" si="143"/>
        <v>11.2</v>
      </c>
      <c r="AX30" s="342">
        <f t="shared" si="143"/>
        <v>11.2</v>
      </c>
      <c r="AY30" s="342">
        <f t="shared" si="143"/>
        <v>11.2</v>
      </c>
      <c r="AZ30" s="342">
        <f t="shared" si="143"/>
        <v>11.2</v>
      </c>
      <c r="BA30" s="342">
        <f t="shared" si="143"/>
        <v>11.2</v>
      </c>
      <c r="BB30" s="342">
        <f t="shared" si="143"/>
        <v>11.2</v>
      </c>
      <c r="BC30" s="342">
        <f t="shared" si="143"/>
        <v>11.2</v>
      </c>
      <c r="BD30" s="342">
        <f t="shared" si="143"/>
        <v>11.2</v>
      </c>
      <c r="BE30" s="342">
        <f t="shared" si="143"/>
        <v>11.2</v>
      </c>
      <c r="BF30" s="342">
        <f t="shared" si="143"/>
        <v>11.2</v>
      </c>
      <c r="BG30" s="342">
        <f t="shared" si="143"/>
        <v>11.2</v>
      </c>
      <c r="BH30" s="342">
        <f t="shared" si="143"/>
        <v>11.2</v>
      </c>
      <c r="BI30" s="342">
        <f t="shared" si="143"/>
        <v>11.2</v>
      </c>
      <c r="BJ30" s="342">
        <f t="shared" si="143"/>
        <v>11.2</v>
      </c>
      <c r="BK30" s="342">
        <f t="shared" si="143"/>
        <v>11.2</v>
      </c>
      <c r="BL30" s="342">
        <f t="shared" si="143"/>
        <v>11.2</v>
      </c>
      <c r="BM30" s="342">
        <f t="shared" si="143"/>
        <v>11.2</v>
      </c>
      <c r="BN30" s="342">
        <f t="shared" si="143"/>
        <v>11.2</v>
      </c>
      <c r="BO30" s="342">
        <f t="shared" si="143"/>
        <v>11.2</v>
      </c>
      <c r="BP30" s="342">
        <f t="shared" si="143"/>
        <v>11.2</v>
      </c>
      <c r="BQ30" s="342">
        <f t="shared" si="143"/>
        <v>11.2</v>
      </c>
      <c r="BR30" s="342">
        <f t="shared" si="143"/>
        <v>11.2</v>
      </c>
      <c r="BS30" s="342">
        <f t="shared" ref="BS30:BX30" si="144">BR30</f>
        <v>11.2</v>
      </c>
      <c r="BT30" s="342">
        <f t="shared" si="144"/>
        <v>11.2</v>
      </c>
      <c r="BU30" s="342">
        <f t="shared" si="144"/>
        <v>11.2</v>
      </c>
      <c r="BV30" s="342">
        <f t="shared" si="144"/>
        <v>11.2</v>
      </c>
      <c r="BW30" s="342">
        <f t="shared" si="144"/>
        <v>11.2</v>
      </c>
      <c r="BX30" s="342">
        <f t="shared" si="144"/>
        <v>11.2</v>
      </c>
    </row>
    <row r="31" spans="1:76" hidden="1" outlineLevel="1">
      <c r="B31" s="349"/>
      <c r="C31" s="349" t="s">
        <v>231</v>
      </c>
      <c r="D31" s="349" t="s">
        <v>43</v>
      </c>
      <c r="E31" s="349" t="s">
        <v>28</v>
      </c>
      <c r="F31" s="332">
        <v>11.32</v>
      </c>
      <c r="G31" s="332">
        <f t="shared" ref="G31:BR31" si="145">F31</f>
        <v>11.32</v>
      </c>
      <c r="H31" s="332">
        <f t="shared" si="145"/>
        <v>11.32</v>
      </c>
      <c r="I31" s="332">
        <f t="shared" si="145"/>
        <v>11.32</v>
      </c>
      <c r="J31" s="332">
        <f t="shared" si="145"/>
        <v>11.32</v>
      </c>
      <c r="K31" s="332">
        <f t="shared" si="145"/>
        <v>11.32</v>
      </c>
      <c r="L31" s="332">
        <f t="shared" si="145"/>
        <v>11.32</v>
      </c>
      <c r="M31" s="332">
        <f t="shared" si="145"/>
        <v>11.32</v>
      </c>
      <c r="N31" s="332">
        <f t="shared" si="145"/>
        <v>11.32</v>
      </c>
      <c r="O31" s="332">
        <f t="shared" si="145"/>
        <v>11.32</v>
      </c>
      <c r="P31" s="332">
        <f t="shared" si="145"/>
        <v>11.32</v>
      </c>
      <c r="Q31" s="332">
        <f t="shared" si="145"/>
        <v>11.32</v>
      </c>
      <c r="R31" s="332">
        <f t="shared" si="145"/>
        <v>11.32</v>
      </c>
      <c r="S31" s="332">
        <f t="shared" si="145"/>
        <v>11.32</v>
      </c>
      <c r="T31" s="332">
        <f t="shared" si="145"/>
        <v>11.32</v>
      </c>
      <c r="U31" s="332">
        <f t="shared" si="145"/>
        <v>11.32</v>
      </c>
      <c r="V31" s="332">
        <f t="shared" si="145"/>
        <v>11.32</v>
      </c>
      <c r="W31" s="332">
        <f t="shared" si="145"/>
        <v>11.32</v>
      </c>
      <c r="X31" s="332">
        <f t="shared" si="145"/>
        <v>11.32</v>
      </c>
      <c r="Y31" s="332">
        <f t="shared" si="145"/>
        <v>11.32</v>
      </c>
      <c r="Z31" s="332">
        <f t="shared" si="145"/>
        <v>11.32</v>
      </c>
      <c r="AA31" s="332">
        <f t="shared" si="145"/>
        <v>11.32</v>
      </c>
      <c r="AB31" s="332">
        <f t="shared" si="145"/>
        <v>11.32</v>
      </c>
      <c r="AC31" s="332">
        <f t="shared" si="145"/>
        <v>11.32</v>
      </c>
      <c r="AD31" s="332">
        <f t="shared" si="145"/>
        <v>11.32</v>
      </c>
      <c r="AE31" s="332">
        <f t="shared" si="145"/>
        <v>11.32</v>
      </c>
      <c r="AF31" s="332">
        <f t="shared" si="145"/>
        <v>11.32</v>
      </c>
      <c r="AG31" s="332">
        <f t="shared" si="145"/>
        <v>11.32</v>
      </c>
      <c r="AH31" s="332">
        <f t="shared" si="145"/>
        <v>11.32</v>
      </c>
      <c r="AI31" s="332">
        <f t="shared" si="145"/>
        <v>11.32</v>
      </c>
      <c r="AJ31" s="332">
        <f t="shared" si="145"/>
        <v>11.32</v>
      </c>
      <c r="AK31" s="342">
        <f t="shared" si="145"/>
        <v>11.32</v>
      </c>
      <c r="AL31" s="342">
        <f t="shared" si="145"/>
        <v>11.32</v>
      </c>
      <c r="AM31" s="342">
        <f t="shared" si="145"/>
        <v>11.32</v>
      </c>
      <c r="AN31" s="342">
        <f t="shared" si="145"/>
        <v>11.32</v>
      </c>
      <c r="AO31" s="342">
        <f t="shared" si="145"/>
        <v>11.32</v>
      </c>
      <c r="AP31" s="342">
        <f t="shared" si="145"/>
        <v>11.32</v>
      </c>
      <c r="AQ31" s="342">
        <f t="shared" si="145"/>
        <v>11.32</v>
      </c>
      <c r="AR31" s="342">
        <f t="shared" si="145"/>
        <v>11.32</v>
      </c>
      <c r="AS31" s="342">
        <f t="shared" si="145"/>
        <v>11.32</v>
      </c>
      <c r="AT31" s="342">
        <f t="shared" si="145"/>
        <v>11.32</v>
      </c>
      <c r="AU31" s="342">
        <f t="shared" si="145"/>
        <v>11.32</v>
      </c>
      <c r="AV31" s="342">
        <f t="shared" si="145"/>
        <v>11.32</v>
      </c>
      <c r="AW31" s="342">
        <f t="shared" si="145"/>
        <v>11.32</v>
      </c>
      <c r="AX31" s="342">
        <f t="shared" si="145"/>
        <v>11.32</v>
      </c>
      <c r="AY31" s="342">
        <f t="shared" si="145"/>
        <v>11.32</v>
      </c>
      <c r="AZ31" s="342">
        <f t="shared" si="145"/>
        <v>11.32</v>
      </c>
      <c r="BA31" s="342">
        <f t="shared" si="145"/>
        <v>11.32</v>
      </c>
      <c r="BB31" s="342">
        <f t="shared" si="145"/>
        <v>11.32</v>
      </c>
      <c r="BC31" s="342">
        <f t="shared" si="145"/>
        <v>11.32</v>
      </c>
      <c r="BD31" s="342">
        <f t="shared" si="145"/>
        <v>11.32</v>
      </c>
      <c r="BE31" s="342">
        <f t="shared" si="145"/>
        <v>11.32</v>
      </c>
      <c r="BF31" s="342">
        <f t="shared" si="145"/>
        <v>11.32</v>
      </c>
      <c r="BG31" s="342">
        <f t="shared" si="145"/>
        <v>11.32</v>
      </c>
      <c r="BH31" s="342">
        <f t="shared" si="145"/>
        <v>11.32</v>
      </c>
      <c r="BI31" s="342">
        <f t="shared" si="145"/>
        <v>11.32</v>
      </c>
      <c r="BJ31" s="342">
        <f t="shared" si="145"/>
        <v>11.32</v>
      </c>
      <c r="BK31" s="342">
        <f t="shared" si="145"/>
        <v>11.32</v>
      </c>
      <c r="BL31" s="342">
        <f t="shared" si="145"/>
        <v>11.32</v>
      </c>
      <c r="BM31" s="342">
        <f t="shared" si="145"/>
        <v>11.32</v>
      </c>
      <c r="BN31" s="342">
        <f t="shared" si="145"/>
        <v>11.32</v>
      </c>
      <c r="BO31" s="342">
        <f t="shared" si="145"/>
        <v>11.32</v>
      </c>
      <c r="BP31" s="342">
        <f t="shared" si="145"/>
        <v>11.32</v>
      </c>
      <c r="BQ31" s="342">
        <f t="shared" si="145"/>
        <v>11.32</v>
      </c>
      <c r="BR31" s="342">
        <f t="shared" si="145"/>
        <v>11.32</v>
      </c>
      <c r="BS31" s="342">
        <f t="shared" ref="BS31:BX31" si="146">BR31</f>
        <v>11.32</v>
      </c>
      <c r="BT31" s="342">
        <f t="shared" si="146"/>
        <v>11.32</v>
      </c>
      <c r="BU31" s="342">
        <f t="shared" si="146"/>
        <v>11.32</v>
      </c>
      <c r="BV31" s="342">
        <f t="shared" si="146"/>
        <v>11.32</v>
      </c>
      <c r="BW31" s="342">
        <f t="shared" si="146"/>
        <v>11.32</v>
      </c>
      <c r="BX31" s="342">
        <f t="shared" si="146"/>
        <v>11.32</v>
      </c>
    </row>
    <row r="32" spans="1:76" hidden="1" outlineLevel="1">
      <c r="B32" s="353"/>
      <c r="C32" s="353" t="s">
        <v>231</v>
      </c>
      <c r="D32" s="353" t="s">
        <v>43</v>
      </c>
      <c r="E32" s="353" t="s">
        <v>0</v>
      </c>
      <c r="F32" s="332">
        <v>10.039999999999999</v>
      </c>
      <c r="G32" s="332">
        <f t="shared" ref="G32:BR32" si="147">F32</f>
        <v>10.039999999999999</v>
      </c>
      <c r="H32" s="332">
        <f t="shared" si="147"/>
        <v>10.039999999999999</v>
      </c>
      <c r="I32" s="332">
        <f t="shared" si="147"/>
        <v>10.039999999999999</v>
      </c>
      <c r="J32" s="332">
        <f t="shared" si="147"/>
        <v>10.039999999999999</v>
      </c>
      <c r="K32" s="332">
        <f t="shared" si="147"/>
        <v>10.039999999999999</v>
      </c>
      <c r="L32" s="332">
        <f t="shared" si="147"/>
        <v>10.039999999999999</v>
      </c>
      <c r="M32" s="332">
        <f t="shared" si="147"/>
        <v>10.039999999999999</v>
      </c>
      <c r="N32" s="332">
        <f t="shared" si="147"/>
        <v>10.039999999999999</v>
      </c>
      <c r="O32" s="332">
        <f t="shared" si="147"/>
        <v>10.039999999999999</v>
      </c>
      <c r="P32" s="332">
        <f t="shared" si="147"/>
        <v>10.039999999999999</v>
      </c>
      <c r="Q32" s="332">
        <f t="shared" si="147"/>
        <v>10.039999999999999</v>
      </c>
      <c r="R32" s="332">
        <f t="shared" si="147"/>
        <v>10.039999999999999</v>
      </c>
      <c r="S32" s="332">
        <f t="shared" si="147"/>
        <v>10.039999999999999</v>
      </c>
      <c r="T32" s="332">
        <f t="shared" si="147"/>
        <v>10.039999999999999</v>
      </c>
      <c r="U32" s="332">
        <f t="shared" si="147"/>
        <v>10.039999999999999</v>
      </c>
      <c r="V32" s="332">
        <f t="shared" si="147"/>
        <v>10.039999999999999</v>
      </c>
      <c r="W32" s="332">
        <f t="shared" si="147"/>
        <v>10.039999999999999</v>
      </c>
      <c r="X32" s="332">
        <f t="shared" si="147"/>
        <v>10.039999999999999</v>
      </c>
      <c r="Y32" s="332">
        <f t="shared" si="147"/>
        <v>10.039999999999999</v>
      </c>
      <c r="Z32" s="332">
        <f t="shared" si="147"/>
        <v>10.039999999999999</v>
      </c>
      <c r="AA32" s="332">
        <f t="shared" si="147"/>
        <v>10.039999999999999</v>
      </c>
      <c r="AB32" s="332">
        <f t="shared" si="147"/>
        <v>10.039999999999999</v>
      </c>
      <c r="AC32" s="332">
        <f t="shared" si="147"/>
        <v>10.039999999999999</v>
      </c>
      <c r="AD32" s="332">
        <f t="shared" si="147"/>
        <v>10.039999999999999</v>
      </c>
      <c r="AE32" s="332">
        <f t="shared" si="147"/>
        <v>10.039999999999999</v>
      </c>
      <c r="AF32" s="332">
        <f t="shared" si="147"/>
        <v>10.039999999999999</v>
      </c>
      <c r="AG32" s="332">
        <f t="shared" si="147"/>
        <v>10.039999999999999</v>
      </c>
      <c r="AH32" s="332">
        <f t="shared" si="147"/>
        <v>10.039999999999999</v>
      </c>
      <c r="AI32" s="332">
        <f t="shared" si="147"/>
        <v>10.039999999999999</v>
      </c>
      <c r="AJ32" s="332">
        <f t="shared" si="147"/>
        <v>10.039999999999999</v>
      </c>
      <c r="AK32" s="342">
        <f t="shared" si="147"/>
        <v>10.039999999999999</v>
      </c>
      <c r="AL32" s="342">
        <f t="shared" si="147"/>
        <v>10.039999999999999</v>
      </c>
      <c r="AM32" s="342">
        <f t="shared" si="147"/>
        <v>10.039999999999999</v>
      </c>
      <c r="AN32" s="342">
        <f t="shared" si="147"/>
        <v>10.039999999999999</v>
      </c>
      <c r="AO32" s="342">
        <f t="shared" si="147"/>
        <v>10.039999999999999</v>
      </c>
      <c r="AP32" s="342">
        <f t="shared" si="147"/>
        <v>10.039999999999999</v>
      </c>
      <c r="AQ32" s="342">
        <f t="shared" si="147"/>
        <v>10.039999999999999</v>
      </c>
      <c r="AR32" s="342">
        <f t="shared" si="147"/>
        <v>10.039999999999999</v>
      </c>
      <c r="AS32" s="342">
        <f t="shared" si="147"/>
        <v>10.039999999999999</v>
      </c>
      <c r="AT32" s="342">
        <f t="shared" si="147"/>
        <v>10.039999999999999</v>
      </c>
      <c r="AU32" s="342">
        <f t="shared" si="147"/>
        <v>10.039999999999999</v>
      </c>
      <c r="AV32" s="342">
        <f t="shared" si="147"/>
        <v>10.039999999999999</v>
      </c>
      <c r="AW32" s="342">
        <f t="shared" si="147"/>
        <v>10.039999999999999</v>
      </c>
      <c r="AX32" s="342">
        <f t="shared" si="147"/>
        <v>10.039999999999999</v>
      </c>
      <c r="AY32" s="342">
        <f t="shared" si="147"/>
        <v>10.039999999999999</v>
      </c>
      <c r="AZ32" s="342">
        <f t="shared" si="147"/>
        <v>10.039999999999999</v>
      </c>
      <c r="BA32" s="342">
        <f t="shared" si="147"/>
        <v>10.039999999999999</v>
      </c>
      <c r="BB32" s="342">
        <f t="shared" si="147"/>
        <v>10.039999999999999</v>
      </c>
      <c r="BC32" s="342">
        <f t="shared" si="147"/>
        <v>10.039999999999999</v>
      </c>
      <c r="BD32" s="342">
        <f t="shared" si="147"/>
        <v>10.039999999999999</v>
      </c>
      <c r="BE32" s="342">
        <f t="shared" si="147"/>
        <v>10.039999999999999</v>
      </c>
      <c r="BF32" s="342">
        <f t="shared" si="147"/>
        <v>10.039999999999999</v>
      </c>
      <c r="BG32" s="342">
        <f t="shared" si="147"/>
        <v>10.039999999999999</v>
      </c>
      <c r="BH32" s="342">
        <f t="shared" si="147"/>
        <v>10.039999999999999</v>
      </c>
      <c r="BI32" s="342">
        <f t="shared" si="147"/>
        <v>10.039999999999999</v>
      </c>
      <c r="BJ32" s="342">
        <f t="shared" si="147"/>
        <v>10.039999999999999</v>
      </c>
      <c r="BK32" s="342">
        <f t="shared" si="147"/>
        <v>10.039999999999999</v>
      </c>
      <c r="BL32" s="342">
        <f t="shared" si="147"/>
        <v>10.039999999999999</v>
      </c>
      <c r="BM32" s="342">
        <f t="shared" si="147"/>
        <v>10.039999999999999</v>
      </c>
      <c r="BN32" s="342">
        <f t="shared" si="147"/>
        <v>10.039999999999999</v>
      </c>
      <c r="BO32" s="342">
        <f t="shared" si="147"/>
        <v>10.039999999999999</v>
      </c>
      <c r="BP32" s="342">
        <f t="shared" si="147"/>
        <v>10.039999999999999</v>
      </c>
      <c r="BQ32" s="342">
        <f t="shared" si="147"/>
        <v>10.039999999999999</v>
      </c>
      <c r="BR32" s="342">
        <f t="shared" si="147"/>
        <v>10.039999999999999</v>
      </c>
      <c r="BS32" s="342">
        <f t="shared" ref="BS32:BX32" si="148">BR32</f>
        <v>10.039999999999999</v>
      </c>
      <c r="BT32" s="342">
        <f t="shared" si="148"/>
        <v>10.039999999999999</v>
      </c>
      <c r="BU32" s="342">
        <f t="shared" si="148"/>
        <v>10.039999999999999</v>
      </c>
      <c r="BV32" s="342">
        <f t="shared" si="148"/>
        <v>10.039999999999999</v>
      </c>
      <c r="BW32" s="342">
        <f t="shared" si="148"/>
        <v>10.039999999999999</v>
      </c>
      <c r="BX32" s="342">
        <f t="shared" si="148"/>
        <v>10.039999999999999</v>
      </c>
    </row>
    <row r="33" spans="1:76" hidden="1" outlineLevel="1">
      <c r="B33" s="353"/>
      <c r="C33" s="353" t="s">
        <v>231</v>
      </c>
      <c r="D33" s="353" t="s">
        <v>43</v>
      </c>
      <c r="E33" s="353" t="s">
        <v>1</v>
      </c>
      <c r="F33" s="332">
        <v>8.19</v>
      </c>
      <c r="G33" s="332">
        <f t="shared" ref="G33:BR33" si="149">F33</f>
        <v>8.19</v>
      </c>
      <c r="H33" s="332">
        <f t="shared" si="149"/>
        <v>8.19</v>
      </c>
      <c r="I33" s="332">
        <f t="shared" si="149"/>
        <v>8.19</v>
      </c>
      <c r="J33" s="332">
        <f t="shared" si="149"/>
        <v>8.19</v>
      </c>
      <c r="K33" s="332">
        <f t="shared" si="149"/>
        <v>8.19</v>
      </c>
      <c r="L33" s="332">
        <f t="shared" si="149"/>
        <v>8.19</v>
      </c>
      <c r="M33" s="332">
        <f t="shared" si="149"/>
        <v>8.19</v>
      </c>
      <c r="N33" s="332">
        <f t="shared" si="149"/>
        <v>8.19</v>
      </c>
      <c r="O33" s="332">
        <f t="shared" si="149"/>
        <v>8.19</v>
      </c>
      <c r="P33" s="332">
        <f t="shared" si="149"/>
        <v>8.19</v>
      </c>
      <c r="Q33" s="332">
        <f t="shared" si="149"/>
        <v>8.19</v>
      </c>
      <c r="R33" s="332">
        <f t="shared" si="149"/>
        <v>8.19</v>
      </c>
      <c r="S33" s="332">
        <f t="shared" si="149"/>
        <v>8.19</v>
      </c>
      <c r="T33" s="332">
        <f t="shared" si="149"/>
        <v>8.19</v>
      </c>
      <c r="U33" s="332">
        <f t="shared" si="149"/>
        <v>8.19</v>
      </c>
      <c r="V33" s="332">
        <f t="shared" si="149"/>
        <v>8.19</v>
      </c>
      <c r="W33" s="332">
        <f t="shared" si="149"/>
        <v>8.19</v>
      </c>
      <c r="X33" s="332">
        <f t="shared" si="149"/>
        <v>8.19</v>
      </c>
      <c r="Y33" s="332">
        <f t="shared" si="149"/>
        <v>8.19</v>
      </c>
      <c r="Z33" s="332">
        <f t="shared" si="149"/>
        <v>8.19</v>
      </c>
      <c r="AA33" s="332">
        <f t="shared" si="149"/>
        <v>8.19</v>
      </c>
      <c r="AB33" s="332">
        <f t="shared" si="149"/>
        <v>8.19</v>
      </c>
      <c r="AC33" s="332">
        <f t="shared" si="149"/>
        <v>8.19</v>
      </c>
      <c r="AD33" s="332">
        <f t="shared" si="149"/>
        <v>8.19</v>
      </c>
      <c r="AE33" s="332">
        <f t="shared" si="149"/>
        <v>8.19</v>
      </c>
      <c r="AF33" s="332">
        <f t="shared" si="149"/>
        <v>8.19</v>
      </c>
      <c r="AG33" s="332">
        <f t="shared" si="149"/>
        <v>8.19</v>
      </c>
      <c r="AH33" s="332">
        <f t="shared" si="149"/>
        <v>8.19</v>
      </c>
      <c r="AI33" s="332">
        <f t="shared" si="149"/>
        <v>8.19</v>
      </c>
      <c r="AJ33" s="332">
        <f t="shared" si="149"/>
        <v>8.19</v>
      </c>
      <c r="AK33" s="342">
        <f t="shared" si="149"/>
        <v>8.19</v>
      </c>
      <c r="AL33" s="342">
        <f t="shared" si="149"/>
        <v>8.19</v>
      </c>
      <c r="AM33" s="342">
        <f t="shared" si="149"/>
        <v>8.19</v>
      </c>
      <c r="AN33" s="342">
        <f t="shared" si="149"/>
        <v>8.19</v>
      </c>
      <c r="AO33" s="342">
        <f t="shared" si="149"/>
        <v>8.19</v>
      </c>
      <c r="AP33" s="342">
        <f t="shared" si="149"/>
        <v>8.19</v>
      </c>
      <c r="AQ33" s="342">
        <f t="shared" si="149"/>
        <v>8.19</v>
      </c>
      <c r="AR33" s="342">
        <f t="shared" si="149"/>
        <v>8.19</v>
      </c>
      <c r="AS33" s="342">
        <f t="shared" si="149"/>
        <v>8.19</v>
      </c>
      <c r="AT33" s="342">
        <f t="shared" si="149"/>
        <v>8.19</v>
      </c>
      <c r="AU33" s="342">
        <f t="shared" si="149"/>
        <v>8.19</v>
      </c>
      <c r="AV33" s="342">
        <f t="shared" si="149"/>
        <v>8.19</v>
      </c>
      <c r="AW33" s="342">
        <f t="shared" si="149"/>
        <v>8.19</v>
      </c>
      <c r="AX33" s="342">
        <f t="shared" si="149"/>
        <v>8.19</v>
      </c>
      <c r="AY33" s="342">
        <f t="shared" si="149"/>
        <v>8.19</v>
      </c>
      <c r="AZ33" s="342">
        <f t="shared" si="149"/>
        <v>8.19</v>
      </c>
      <c r="BA33" s="342">
        <f t="shared" si="149"/>
        <v>8.19</v>
      </c>
      <c r="BB33" s="342">
        <f t="shared" si="149"/>
        <v>8.19</v>
      </c>
      <c r="BC33" s="342">
        <f t="shared" si="149"/>
        <v>8.19</v>
      </c>
      <c r="BD33" s="342">
        <f t="shared" si="149"/>
        <v>8.19</v>
      </c>
      <c r="BE33" s="342">
        <f t="shared" si="149"/>
        <v>8.19</v>
      </c>
      <c r="BF33" s="342">
        <f t="shared" si="149"/>
        <v>8.19</v>
      </c>
      <c r="BG33" s="342">
        <f t="shared" si="149"/>
        <v>8.19</v>
      </c>
      <c r="BH33" s="342">
        <f t="shared" si="149"/>
        <v>8.19</v>
      </c>
      <c r="BI33" s="342">
        <f t="shared" si="149"/>
        <v>8.19</v>
      </c>
      <c r="BJ33" s="342">
        <f t="shared" si="149"/>
        <v>8.19</v>
      </c>
      <c r="BK33" s="342">
        <f t="shared" si="149"/>
        <v>8.19</v>
      </c>
      <c r="BL33" s="342">
        <f t="shared" si="149"/>
        <v>8.19</v>
      </c>
      <c r="BM33" s="342">
        <f t="shared" si="149"/>
        <v>8.19</v>
      </c>
      <c r="BN33" s="342">
        <f t="shared" si="149"/>
        <v>8.19</v>
      </c>
      <c r="BO33" s="342">
        <f t="shared" si="149"/>
        <v>8.19</v>
      </c>
      <c r="BP33" s="342">
        <f t="shared" si="149"/>
        <v>8.19</v>
      </c>
      <c r="BQ33" s="342">
        <f t="shared" si="149"/>
        <v>8.19</v>
      </c>
      <c r="BR33" s="342">
        <f t="shared" si="149"/>
        <v>8.19</v>
      </c>
      <c r="BS33" s="342">
        <f t="shared" ref="BS33:BX33" si="150">BR33</f>
        <v>8.19</v>
      </c>
      <c r="BT33" s="342">
        <f t="shared" si="150"/>
        <v>8.19</v>
      </c>
      <c r="BU33" s="342">
        <f t="shared" si="150"/>
        <v>8.19</v>
      </c>
      <c r="BV33" s="342">
        <f t="shared" si="150"/>
        <v>8.19</v>
      </c>
      <c r="BW33" s="342">
        <f t="shared" si="150"/>
        <v>8.19</v>
      </c>
      <c r="BX33" s="342">
        <f t="shared" si="150"/>
        <v>8.19</v>
      </c>
    </row>
    <row r="34" spans="1:76" hidden="1" outlineLevel="1">
      <c r="B34" s="353"/>
      <c r="C34" s="353" t="s">
        <v>231</v>
      </c>
      <c r="D34" s="353" t="s">
        <v>43</v>
      </c>
      <c r="E34" s="353" t="s">
        <v>2</v>
      </c>
      <c r="F34" s="332">
        <v>6.82</v>
      </c>
      <c r="G34" s="332">
        <f t="shared" ref="G34:BR34" si="151">F34</f>
        <v>6.82</v>
      </c>
      <c r="H34" s="332">
        <f t="shared" si="151"/>
        <v>6.82</v>
      </c>
      <c r="I34" s="332">
        <f t="shared" si="151"/>
        <v>6.82</v>
      </c>
      <c r="J34" s="332">
        <f t="shared" si="151"/>
        <v>6.82</v>
      </c>
      <c r="K34" s="332">
        <f t="shared" si="151"/>
        <v>6.82</v>
      </c>
      <c r="L34" s="332">
        <f t="shared" si="151"/>
        <v>6.82</v>
      </c>
      <c r="M34" s="332">
        <f t="shared" si="151"/>
        <v>6.82</v>
      </c>
      <c r="N34" s="332">
        <f t="shared" si="151"/>
        <v>6.82</v>
      </c>
      <c r="O34" s="332">
        <f t="shared" si="151"/>
        <v>6.82</v>
      </c>
      <c r="P34" s="332">
        <f t="shared" si="151"/>
        <v>6.82</v>
      </c>
      <c r="Q34" s="332">
        <f t="shared" si="151"/>
        <v>6.82</v>
      </c>
      <c r="R34" s="332">
        <f t="shared" si="151"/>
        <v>6.82</v>
      </c>
      <c r="S34" s="332">
        <f t="shared" si="151"/>
        <v>6.82</v>
      </c>
      <c r="T34" s="332">
        <f t="shared" si="151"/>
        <v>6.82</v>
      </c>
      <c r="U34" s="332">
        <f t="shared" si="151"/>
        <v>6.82</v>
      </c>
      <c r="V34" s="332">
        <f t="shared" si="151"/>
        <v>6.82</v>
      </c>
      <c r="W34" s="332">
        <f t="shared" si="151"/>
        <v>6.82</v>
      </c>
      <c r="X34" s="332">
        <f t="shared" si="151"/>
        <v>6.82</v>
      </c>
      <c r="Y34" s="332">
        <f t="shared" si="151"/>
        <v>6.82</v>
      </c>
      <c r="Z34" s="332">
        <f t="shared" si="151"/>
        <v>6.82</v>
      </c>
      <c r="AA34" s="332">
        <f t="shared" si="151"/>
        <v>6.82</v>
      </c>
      <c r="AB34" s="332">
        <f t="shared" si="151"/>
        <v>6.82</v>
      </c>
      <c r="AC34" s="332">
        <f t="shared" si="151"/>
        <v>6.82</v>
      </c>
      <c r="AD34" s="332">
        <f t="shared" si="151"/>
        <v>6.82</v>
      </c>
      <c r="AE34" s="332">
        <f t="shared" si="151"/>
        <v>6.82</v>
      </c>
      <c r="AF34" s="332">
        <f t="shared" si="151"/>
        <v>6.82</v>
      </c>
      <c r="AG34" s="332">
        <f t="shared" si="151"/>
        <v>6.82</v>
      </c>
      <c r="AH34" s="332">
        <f t="shared" si="151"/>
        <v>6.82</v>
      </c>
      <c r="AI34" s="332">
        <f t="shared" si="151"/>
        <v>6.82</v>
      </c>
      <c r="AJ34" s="332">
        <f t="shared" si="151"/>
        <v>6.82</v>
      </c>
      <c r="AK34" s="342">
        <f t="shared" si="151"/>
        <v>6.82</v>
      </c>
      <c r="AL34" s="342">
        <f t="shared" si="151"/>
        <v>6.82</v>
      </c>
      <c r="AM34" s="342">
        <f t="shared" si="151"/>
        <v>6.82</v>
      </c>
      <c r="AN34" s="342">
        <f t="shared" si="151"/>
        <v>6.82</v>
      </c>
      <c r="AO34" s="342">
        <f t="shared" si="151"/>
        <v>6.82</v>
      </c>
      <c r="AP34" s="342">
        <f t="shared" si="151"/>
        <v>6.82</v>
      </c>
      <c r="AQ34" s="342">
        <f t="shared" si="151"/>
        <v>6.82</v>
      </c>
      <c r="AR34" s="342">
        <f t="shared" si="151"/>
        <v>6.82</v>
      </c>
      <c r="AS34" s="342">
        <f t="shared" si="151"/>
        <v>6.82</v>
      </c>
      <c r="AT34" s="342">
        <f t="shared" si="151"/>
        <v>6.82</v>
      </c>
      <c r="AU34" s="342">
        <f t="shared" si="151"/>
        <v>6.82</v>
      </c>
      <c r="AV34" s="342">
        <f t="shared" si="151"/>
        <v>6.82</v>
      </c>
      <c r="AW34" s="342">
        <f t="shared" si="151"/>
        <v>6.82</v>
      </c>
      <c r="AX34" s="342">
        <f t="shared" si="151"/>
        <v>6.82</v>
      </c>
      <c r="AY34" s="342">
        <f t="shared" si="151"/>
        <v>6.82</v>
      </c>
      <c r="AZ34" s="342">
        <f t="shared" si="151"/>
        <v>6.82</v>
      </c>
      <c r="BA34" s="342">
        <f t="shared" si="151"/>
        <v>6.82</v>
      </c>
      <c r="BB34" s="342">
        <f t="shared" si="151"/>
        <v>6.82</v>
      </c>
      <c r="BC34" s="342">
        <f t="shared" si="151"/>
        <v>6.82</v>
      </c>
      <c r="BD34" s="342">
        <f t="shared" si="151"/>
        <v>6.82</v>
      </c>
      <c r="BE34" s="342">
        <f t="shared" si="151"/>
        <v>6.82</v>
      </c>
      <c r="BF34" s="342">
        <f t="shared" si="151"/>
        <v>6.82</v>
      </c>
      <c r="BG34" s="342">
        <f t="shared" si="151"/>
        <v>6.82</v>
      </c>
      <c r="BH34" s="342">
        <f t="shared" si="151"/>
        <v>6.82</v>
      </c>
      <c r="BI34" s="342">
        <f t="shared" si="151"/>
        <v>6.82</v>
      </c>
      <c r="BJ34" s="342">
        <f t="shared" si="151"/>
        <v>6.82</v>
      </c>
      <c r="BK34" s="342">
        <f t="shared" si="151"/>
        <v>6.82</v>
      </c>
      <c r="BL34" s="342">
        <f t="shared" si="151"/>
        <v>6.82</v>
      </c>
      <c r="BM34" s="342">
        <f t="shared" si="151"/>
        <v>6.82</v>
      </c>
      <c r="BN34" s="342">
        <f t="shared" si="151"/>
        <v>6.82</v>
      </c>
      <c r="BO34" s="342">
        <f t="shared" si="151"/>
        <v>6.82</v>
      </c>
      <c r="BP34" s="342">
        <f t="shared" si="151"/>
        <v>6.82</v>
      </c>
      <c r="BQ34" s="342">
        <f t="shared" si="151"/>
        <v>6.82</v>
      </c>
      <c r="BR34" s="342">
        <f t="shared" si="151"/>
        <v>6.82</v>
      </c>
      <c r="BS34" s="342">
        <f t="shared" ref="BS34:BX34" si="152">BR34</f>
        <v>6.82</v>
      </c>
      <c r="BT34" s="342">
        <f t="shared" si="152"/>
        <v>6.82</v>
      </c>
      <c r="BU34" s="342">
        <f t="shared" si="152"/>
        <v>6.82</v>
      </c>
      <c r="BV34" s="342">
        <f t="shared" si="152"/>
        <v>6.82</v>
      </c>
      <c r="BW34" s="342">
        <f t="shared" si="152"/>
        <v>6.82</v>
      </c>
      <c r="BX34" s="342">
        <f t="shared" si="152"/>
        <v>6.82</v>
      </c>
    </row>
    <row r="35" spans="1:76" hidden="1" outlineLevel="1">
      <c r="B35" s="353"/>
      <c r="C35" s="353" t="s">
        <v>231</v>
      </c>
      <c r="D35" s="353" t="s">
        <v>43</v>
      </c>
      <c r="E35" s="353" t="s">
        <v>20</v>
      </c>
      <c r="F35" s="332">
        <v>5.6870000000000003</v>
      </c>
      <c r="G35" s="332">
        <f t="shared" ref="G35:BR35" si="153">F35</f>
        <v>5.6870000000000003</v>
      </c>
      <c r="H35" s="332">
        <f t="shared" si="153"/>
        <v>5.6870000000000003</v>
      </c>
      <c r="I35" s="332">
        <f t="shared" si="153"/>
        <v>5.6870000000000003</v>
      </c>
      <c r="J35" s="332">
        <f t="shared" si="153"/>
        <v>5.6870000000000003</v>
      </c>
      <c r="K35" s="332">
        <f t="shared" si="153"/>
        <v>5.6870000000000003</v>
      </c>
      <c r="L35" s="332">
        <f t="shared" si="153"/>
        <v>5.6870000000000003</v>
      </c>
      <c r="M35" s="332">
        <f t="shared" si="153"/>
        <v>5.6870000000000003</v>
      </c>
      <c r="N35" s="332">
        <f t="shared" si="153"/>
        <v>5.6870000000000003</v>
      </c>
      <c r="O35" s="332">
        <f t="shared" si="153"/>
        <v>5.6870000000000003</v>
      </c>
      <c r="P35" s="332">
        <f t="shared" si="153"/>
        <v>5.6870000000000003</v>
      </c>
      <c r="Q35" s="332">
        <f t="shared" si="153"/>
        <v>5.6870000000000003</v>
      </c>
      <c r="R35" s="332">
        <f t="shared" si="153"/>
        <v>5.6870000000000003</v>
      </c>
      <c r="S35" s="332">
        <f t="shared" si="153"/>
        <v>5.6870000000000003</v>
      </c>
      <c r="T35" s="332">
        <f t="shared" si="153"/>
        <v>5.6870000000000003</v>
      </c>
      <c r="U35" s="332">
        <f t="shared" si="153"/>
        <v>5.6870000000000003</v>
      </c>
      <c r="V35" s="332">
        <f t="shared" si="153"/>
        <v>5.6870000000000003</v>
      </c>
      <c r="W35" s="332">
        <f t="shared" si="153"/>
        <v>5.6870000000000003</v>
      </c>
      <c r="X35" s="332">
        <f t="shared" si="153"/>
        <v>5.6870000000000003</v>
      </c>
      <c r="Y35" s="332">
        <f t="shared" si="153"/>
        <v>5.6870000000000003</v>
      </c>
      <c r="Z35" s="332">
        <f t="shared" si="153"/>
        <v>5.6870000000000003</v>
      </c>
      <c r="AA35" s="332">
        <f t="shared" si="153"/>
        <v>5.6870000000000003</v>
      </c>
      <c r="AB35" s="332">
        <f t="shared" si="153"/>
        <v>5.6870000000000003</v>
      </c>
      <c r="AC35" s="332">
        <f t="shared" si="153"/>
        <v>5.6870000000000003</v>
      </c>
      <c r="AD35" s="332">
        <f t="shared" si="153"/>
        <v>5.6870000000000003</v>
      </c>
      <c r="AE35" s="332">
        <f t="shared" si="153"/>
        <v>5.6870000000000003</v>
      </c>
      <c r="AF35" s="332">
        <f t="shared" si="153"/>
        <v>5.6870000000000003</v>
      </c>
      <c r="AG35" s="332">
        <f t="shared" si="153"/>
        <v>5.6870000000000003</v>
      </c>
      <c r="AH35" s="332">
        <f t="shared" si="153"/>
        <v>5.6870000000000003</v>
      </c>
      <c r="AI35" s="332">
        <f t="shared" si="153"/>
        <v>5.6870000000000003</v>
      </c>
      <c r="AJ35" s="332">
        <f t="shared" si="153"/>
        <v>5.6870000000000003</v>
      </c>
      <c r="AK35" s="342">
        <f t="shared" si="153"/>
        <v>5.6870000000000003</v>
      </c>
      <c r="AL35" s="342">
        <f t="shared" si="153"/>
        <v>5.6870000000000003</v>
      </c>
      <c r="AM35" s="342">
        <f t="shared" si="153"/>
        <v>5.6870000000000003</v>
      </c>
      <c r="AN35" s="342">
        <f t="shared" si="153"/>
        <v>5.6870000000000003</v>
      </c>
      <c r="AO35" s="342">
        <f t="shared" si="153"/>
        <v>5.6870000000000003</v>
      </c>
      <c r="AP35" s="342">
        <f t="shared" si="153"/>
        <v>5.6870000000000003</v>
      </c>
      <c r="AQ35" s="342">
        <f t="shared" si="153"/>
        <v>5.6870000000000003</v>
      </c>
      <c r="AR35" s="342">
        <f t="shared" si="153"/>
        <v>5.6870000000000003</v>
      </c>
      <c r="AS35" s="342">
        <f t="shared" si="153"/>
        <v>5.6870000000000003</v>
      </c>
      <c r="AT35" s="342">
        <f t="shared" si="153"/>
        <v>5.6870000000000003</v>
      </c>
      <c r="AU35" s="342">
        <f t="shared" si="153"/>
        <v>5.6870000000000003</v>
      </c>
      <c r="AV35" s="342">
        <f t="shared" si="153"/>
        <v>5.6870000000000003</v>
      </c>
      <c r="AW35" s="342">
        <f t="shared" si="153"/>
        <v>5.6870000000000003</v>
      </c>
      <c r="AX35" s="342">
        <f t="shared" si="153"/>
        <v>5.6870000000000003</v>
      </c>
      <c r="AY35" s="342">
        <f t="shared" si="153"/>
        <v>5.6870000000000003</v>
      </c>
      <c r="AZ35" s="342">
        <f t="shared" si="153"/>
        <v>5.6870000000000003</v>
      </c>
      <c r="BA35" s="342">
        <f t="shared" si="153"/>
        <v>5.6870000000000003</v>
      </c>
      <c r="BB35" s="342">
        <f t="shared" si="153"/>
        <v>5.6870000000000003</v>
      </c>
      <c r="BC35" s="342">
        <f t="shared" si="153"/>
        <v>5.6870000000000003</v>
      </c>
      <c r="BD35" s="342">
        <f t="shared" si="153"/>
        <v>5.6870000000000003</v>
      </c>
      <c r="BE35" s="342">
        <f t="shared" si="153"/>
        <v>5.6870000000000003</v>
      </c>
      <c r="BF35" s="342">
        <f t="shared" si="153"/>
        <v>5.6870000000000003</v>
      </c>
      <c r="BG35" s="342">
        <f t="shared" si="153"/>
        <v>5.6870000000000003</v>
      </c>
      <c r="BH35" s="342">
        <f t="shared" si="153"/>
        <v>5.6870000000000003</v>
      </c>
      <c r="BI35" s="342">
        <f t="shared" si="153"/>
        <v>5.6870000000000003</v>
      </c>
      <c r="BJ35" s="342">
        <f t="shared" si="153"/>
        <v>5.6870000000000003</v>
      </c>
      <c r="BK35" s="342">
        <f t="shared" si="153"/>
        <v>5.6870000000000003</v>
      </c>
      <c r="BL35" s="342">
        <f t="shared" si="153"/>
        <v>5.6870000000000003</v>
      </c>
      <c r="BM35" s="342">
        <f t="shared" si="153"/>
        <v>5.6870000000000003</v>
      </c>
      <c r="BN35" s="342">
        <f t="shared" si="153"/>
        <v>5.6870000000000003</v>
      </c>
      <c r="BO35" s="342">
        <f t="shared" si="153"/>
        <v>5.6870000000000003</v>
      </c>
      <c r="BP35" s="342">
        <f t="shared" si="153"/>
        <v>5.6870000000000003</v>
      </c>
      <c r="BQ35" s="342">
        <f t="shared" si="153"/>
        <v>5.6870000000000003</v>
      </c>
      <c r="BR35" s="342">
        <f t="shared" si="153"/>
        <v>5.6870000000000003</v>
      </c>
      <c r="BS35" s="342">
        <f t="shared" ref="BS35:BX35" si="154">BR35</f>
        <v>5.6870000000000003</v>
      </c>
      <c r="BT35" s="342">
        <f t="shared" si="154"/>
        <v>5.6870000000000003</v>
      </c>
      <c r="BU35" s="342">
        <f t="shared" si="154"/>
        <v>5.6870000000000003</v>
      </c>
      <c r="BV35" s="342">
        <f t="shared" si="154"/>
        <v>5.6870000000000003</v>
      </c>
      <c r="BW35" s="342">
        <f t="shared" si="154"/>
        <v>5.6870000000000003</v>
      </c>
      <c r="BX35" s="342">
        <f t="shared" si="154"/>
        <v>5.6870000000000003</v>
      </c>
    </row>
    <row r="36" spans="1:76" hidden="1" outlineLevel="1">
      <c r="B36" s="353"/>
      <c r="C36" s="353" t="s">
        <v>231</v>
      </c>
      <c r="D36" s="353" t="s">
        <v>43</v>
      </c>
      <c r="E36" s="353" t="s">
        <v>21</v>
      </c>
      <c r="F36" s="343">
        <f>F32</f>
        <v>10.039999999999999</v>
      </c>
      <c r="G36" s="343">
        <f t="shared" ref="G36:BR36" si="155">G32</f>
        <v>10.039999999999999</v>
      </c>
      <c r="H36" s="343">
        <f t="shared" si="155"/>
        <v>10.039999999999999</v>
      </c>
      <c r="I36" s="343">
        <f t="shared" si="155"/>
        <v>10.039999999999999</v>
      </c>
      <c r="J36" s="343">
        <f t="shared" si="155"/>
        <v>10.039999999999999</v>
      </c>
      <c r="K36" s="343">
        <f t="shared" si="155"/>
        <v>10.039999999999999</v>
      </c>
      <c r="L36" s="343">
        <f t="shared" si="155"/>
        <v>10.039999999999999</v>
      </c>
      <c r="M36" s="343">
        <f t="shared" si="155"/>
        <v>10.039999999999999</v>
      </c>
      <c r="N36" s="343">
        <f t="shared" si="155"/>
        <v>10.039999999999999</v>
      </c>
      <c r="O36" s="343">
        <f t="shared" si="155"/>
        <v>10.039999999999999</v>
      </c>
      <c r="P36" s="343">
        <f t="shared" si="155"/>
        <v>10.039999999999999</v>
      </c>
      <c r="Q36" s="343">
        <f t="shared" si="155"/>
        <v>10.039999999999999</v>
      </c>
      <c r="R36" s="343">
        <f t="shared" si="155"/>
        <v>10.039999999999999</v>
      </c>
      <c r="S36" s="343">
        <f t="shared" si="155"/>
        <v>10.039999999999999</v>
      </c>
      <c r="T36" s="343">
        <f t="shared" si="155"/>
        <v>10.039999999999999</v>
      </c>
      <c r="U36" s="343">
        <f t="shared" si="155"/>
        <v>10.039999999999999</v>
      </c>
      <c r="V36" s="343">
        <f t="shared" si="155"/>
        <v>10.039999999999999</v>
      </c>
      <c r="W36" s="343">
        <f t="shared" si="155"/>
        <v>10.039999999999999</v>
      </c>
      <c r="X36" s="343">
        <f t="shared" si="155"/>
        <v>10.039999999999999</v>
      </c>
      <c r="Y36" s="343">
        <f t="shared" si="155"/>
        <v>10.039999999999999</v>
      </c>
      <c r="Z36" s="343">
        <f t="shared" si="155"/>
        <v>10.039999999999999</v>
      </c>
      <c r="AA36" s="343">
        <f t="shared" si="155"/>
        <v>10.039999999999999</v>
      </c>
      <c r="AB36" s="343">
        <f t="shared" si="155"/>
        <v>10.039999999999999</v>
      </c>
      <c r="AC36" s="343">
        <f t="shared" si="155"/>
        <v>10.039999999999999</v>
      </c>
      <c r="AD36" s="343">
        <f t="shared" si="155"/>
        <v>10.039999999999999</v>
      </c>
      <c r="AE36" s="343">
        <f t="shared" si="155"/>
        <v>10.039999999999999</v>
      </c>
      <c r="AF36" s="343">
        <f t="shared" si="155"/>
        <v>10.039999999999999</v>
      </c>
      <c r="AG36" s="343">
        <f t="shared" si="155"/>
        <v>10.039999999999999</v>
      </c>
      <c r="AH36" s="343">
        <f t="shared" si="155"/>
        <v>10.039999999999999</v>
      </c>
      <c r="AI36" s="343">
        <f t="shared" si="155"/>
        <v>10.039999999999999</v>
      </c>
      <c r="AJ36" s="343">
        <f t="shared" si="155"/>
        <v>10.039999999999999</v>
      </c>
      <c r="AK36" s="343">
        <f t="shared" si="155"/>
        <v>10.039999999999999</v>
      </c>
      <c r="AL36" s="343">
        <f t="shared" si="155"/>
        <v>10.039999999999999</v>
      </c>
      <c r="AM36" s="343">
        <f t="shared" si="155"/>
        <v>10.039999999999999</v>
      </c>
      <c r="AN36" s="343">
        <f t="shared" si="155"/>
        <v>10.039999999999999</v>
      </c>
      <c r="AO36" s="343">
        <f t="shared" si="155"/>
        <v>10.039999999999999</v>
      </c>
      <c r="AP36" s="343">
        <f t="shared" si="155"/>
        <v>10.039999999999999</v>
      </c>
      <c r="AQ36" s="343">
        <f t="shared" si="155"/>
        <v>10.039999999999999</v>
      </c>
      <c r="AR36" s="343">
        <f t="shared" si="155"/>
        <v>10.039999999999999</v>
      </c>
      <c r="AS36" s="343">
        <f t="shared" si="155"/>
        <v>10.039999999999999</v>
      </c>
      <c r="AT36" s="343">
        <f t="shared" si="155"/>
        <v>10.039999999999999</v>
      </c>
      <c r="AU36" s="343">
        <f t="shared" si="155"/>
        <v>10.039999999999999</v>
      </c>
      <c r="AV36" s="343">
        <f t="shared" si="155"/>
        <v>10.039999999999999</v>
      </c>
      <c r="AW36" s="343">
        <f t="shared" si="155"/>
        <v>10.039999999999999</v>
      </c>
      <c r="AX36" s="343">
        <f t="shared" si="155"/>
        <v>10.039999999999999</v>
      </c>
      <c r="AY36" s="343">
        <f t="shared" si="155"/>
        <v>10.039999999999999</v>
      </c>
      <c r="AZ36" s="343">
        <f t="shared" si="155"/>
        <v>10.039999999999999</v>
      </c>
      <c r="BA36" s="343">
        <f t="shared" si="155"/>
        <v>10.039999999999999</v>
      </c>
      <c r="BB36" s="343">
        <f t="shared" si="155"/>
        <v>10.039999999999999</v>
      </c>
      <c r="BC36" s="343">
        <f t="shared" si="155"/>
        <v>10.039999999999999</v>
      </c>
      <c r="BD36" s="343">
        <f t="shared" si="155"/>
        <v>10.039999999999999</v>
      </c>
      <c r="BE36" s="343">
        <f t="shared" si="155"/>
        <v>10.039999999999999</v>
      </c>
      <c r="BF36" s="343">
        <f t="shared" si="155"/>
        <v>10.039999999999999</v>
      </c>
      <c r="BG36" s="343">
        <f t="shared" si="155"/>
        <v>10.039999999999999</v>
      </c>
      <c r="BH36" s="343">
        <f t="shared" si="155"/>
        <v>10.039999999999999</v>
      </c>
      <c r="BI36" s="343">
        <f t="shared" si="155"/>
        <v>10.039999999999999</v>
      </c>
      <c r="BJ36" s="343">
        <f t="shared" si="155"/>
        <v>10.039999999999999</v>
      </c>
      <c r="BK36" s="343">
        <f t="shared" si="155"/>
        <v>10.039999999999999</v>
      </c>
      <c r="BL36" s="343">
        <f t="shared" si="155"/>
        <v>10.039999999999999</v>
      </c>
      <c r="BM36" s="343">
        <f t="shared" si="155"/>
        <v>10.039999999999999</v>
      </c>
      <c r="BN36" s="343">
        <f t="shared" si="155"/>
        <v>10.039999999999999</v>
      </c>
      <c r="BO36" s="343">
        <f t="shared" si="155"/>
        <v>10.039999999999999</v>
      </c>
      <c r="BP36" s="343">
        <f t="shared" si="155"/>
        <v>10.039999999999999</v>
      </c>
      <c r="BQ36" s="343">
        <f t="shared" si="155"/>
        <v>10.039999999999999</v>
      </c>
      <c r="BR36" s="343">
        <f t="shared" si="155"/>
        <v>10.039999999999999</v>
      </c>
      <c r="BS36" s="343">
        <f t="shared" ref="BS36:BX36" si="156">BS32</f>
        <v>10.039999999999999</v>
      </c>
      <c r="BT36" s="343">
        <f t="shared" si="156"/>
        <v>10.039999999999999</v>
      </c>
      <c r="BU36" s="343">
        <f t="shared" si="156"/>
        <v>10.039999999999999</v>
      </c>
      <c r="BV36" s="343">
        <f t="shared" si="156"/>
        <v>10.039999999999999</v>
      </c>
      <c r="BW36" s="343">
        <f t="shared" si="156"/>
        <v>10.039999999999999</v>
      </c>
      <c r="BX36" s="343">
        <f t="shared" si="156"/>
        <v>10.039999999999999</v>
      </c>
    </row>
    <row r="37" spans="1:76" collapsed="1"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</row>
    <row r="38" spans="1:76">
      <c r="B38" s="259" t="str">
        <f>D38</f>
        <v>CAPEX ($/kW)</v>
      </c>
      <c r="D38" s="259" t="s">
        <v>39</v>
      </c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59"/>
      <c r="AA38" s="259"/>
      <c r="AB38" s="259"/>
      <c r="AC38" s="259"/>
      <c r="AD38" s="259"/>
      <c r="AE38" s="259"/>
      <c r="AF38" s="259"/>
      <c r="AG38" s="259"/>
      <c r="AH38" s="259"/>
      <c r="AI38" s="259"/>
      <c r="AJ38" s="259"/>
      <c r="AK38" s="259"/>
      <c r="AL38" s="259"/>
      <c r="AM38" s="259"/>
      <c r="AN38" s="259"/>
      <c r="AO38" s="259"/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  <c r="BL38" s="259"/>
      <c r="BM38" s="259"/>
      <c r="BN38" s="259"/>
      <c r="BO38" s="259"/>
      <c r="BP38" s="259"/>
      <c r="BQ38" s="259"/>
      <c r="BR38" s="259"/>
      <c r="BS38" s="259"/>
      <c r="BT38" s="259"/>
      <c r="BU38" s="259"/>
      <c r="BV38" s="259"/>
      <c r="BW38" s="259"/>
      <c r="BX38" s="259"/>
    </row>
    <row r="39" spans="1:76" hidden="1" outlineLevel="1">
      <c r="B39" s="348">
        <v>2020</v>
      </c>
      <c r="C39" s="348" t="s">
        <v>236</v>
      </c>
      <c r="D39" s="348" t="s">
        <v>39</v>
      </c>
      <c r="E39" s="348" t="s">
        <v>11</v>
      </c>
      <c r="F39" s="333">
        <f>F41*305/231</f>
        <v>2280.5476435797282</v>
      </c>
      <c r="G39" s="333">
        <f t="shared" ref="G39:AJ39" si="157">G41*305/231</f>
        <v>1948.1144514186174</v>
      </c>
      <c r="H39" s="333">
        <f t="shared" si="157"/>
        <v>1809.9503059279355</v>
      </c>
      <c r="I39" s="333">
        <f t="shared" si="157"/>
        <v>1657.9697458881853</v>
      </c>
      <c r="J39" s="333">
        <f t="shared" si="157"/>
        <v>1540.5302222211051</v>
      </c>
      <c r="K39" s="333">
        <f t="shared" si="157"/>
        <v>1457.6317349266963</v>
      </c>
      <c r="L39" s="333">
        <f t="shared" si="157"/>
        <v>1395.4578694558891</v>
      </c>
      <c r="M39" s="333">
        <f t="shared" si="157"/>
        <v>1340.192211259616</v>
      </c>
      <c r="N39" s="333">
        <f t="shared" si="157"/>
        <v>1278.0183457888095</v>
      </c>
      <c r="O39" s="333">
        <f t="shared" si="157"/>
        <v>1229.6608948670705</v>
      </c>
      <c r="P39" s="333">
        <f t="shared" si="157"/>
        <v>1181.3034439453318</v>
      </c>
      <c r="Q39" s="333">
        <f t="shared" si="157"/>
        <v>1167.1243485143516</v>
      </c>
      <c r="R39" s="333">
        <f t="shared" si="157"/>
        <v>1152.3580554650327</v>
      </c>
      <c r="S39" s="333">
        <f t="shared" si="157"/>
        <v>1137.5917624157178</v>
      </c>
      <c r="T39" s="333">
        <f t="shared" si="157"/>
        <v>1122.825469366403</v>
      </c>
      <c r="U39" s="333">
        <f t="shared" si="157"/>
        <v>1108.0591763170842</v>
      </c>
      <c r="V39" s="333">
        <f t="shared" si="157"/>
        <v>1093.292883267768</v>
      </c>
      <c r="W39" s="333">
        <f t="shared" si="157"/>
        <v>1078.5265902184494</v>
      </c>
      <c r="X39" s="333">
        <f t="shared" si="157"/>
        <v>1063.7602971691344</v>
      </c>
      <c r="Y39" s="333">
        <f t="shared" si="157"/>
        <v>1048.9940041198197</v>
      </c>
      <c r="Z39" s="333">
        <f t="shared" si="157"/>
        <v>1034.2277110705008</v>
      </c>
      <c r="AA39" s="333">
        <f t="shared" si="157"/>
        <v>1019.4614180211848</v>
      </c>
      <c r="AB39" s="333">
        <f t="shared" si="157"/>
        <v>1004.6951249718662</v>
      </c>
      <c r="AC39" s="333">
        <f t="shared" si="157"/>
        <v>989.92883192255124</v>
      </c>
      <c r="AD39" s="333">
        <f t="shared" si="157"/>
        <v>975.16253887323637</v>
      </c>
      <c r="AE39" s="333">
        <f t="shared" si="157"/>
        <v>960.39624582391775</v>
      </c>
      <c r="AF39" s="333">
        <f t="shared" si="157"/>
        <v>945.62995277460163</v>
      </c>
      <c r="AG39" s="333">
        <f t="shared" si="157"/>
        <v>930.86365972528301</v>
      </c>
      <c r="AH39" s="333">
        <f t="shared" si="157"/>
        <v>916.09736667596815</v>
      </c>
      <c r="AI39" s="333">
        <f t="shared" si="157"/>
        <v>901.33107362665328</v>
      </c>
      <c r="AJ39" s="333">
        <f t="shared" si="157"/>
        <v>886.56478057733455</v>
      </c>
      <c r="AK39" s="259"/>
      <c r="AL39" s="259"/>
      <c r="AM39" s="259"/>
      <c r="AN39" s="259"/>
      <c r="AO39" s="259"/>
      <c r="AP39" s="259"/>
      <c r="AQ39" s="259"/>
      <c r="AR39" s="259"/>
      <c r="AS39" s="259"/>
      <c r="AT39" s="259"/>
      <c r="AU39" s="259"/>
      <c r="AV39" s="259"/>
      <c r="AW39" s="259"/>
      <c r="AX39" s="259"/>
      <c r="AY39" s="259"/>
      <c r="AZ39" s="259"/>
      <c r="BA39" s="259"/>
      <c r="BB39" s="259"/>
      <c r="BC39" s="259"/>
      <c r="BD39" s="259"/>
      <c r="BE39" s="259"/>
      <c r="BF39" s="259"/>
      <c r="BG39" s="259"/>
      <c r="BH39" s="259"/>
      <c r="BI39" s="259"/>
      <c r="BJ39" s="259"/>
      <c r="BK39" s="259"/>
      <c r="BL39" s="259"/>
      <c r="BM39" s="259"/>
      <c r="BN39" s="259"/>
      <c r="BO39" s="259"/>
      <c r="BP39" s="259"/>
      <c r="BQ39" s="259"/>
      <c r="BR39" s="259"/>
      <c r="BS39" s="259"/>
      <c r="BT39" s="259"/>
      <c r="BU39" s="259"/>
      <c r="BV39" s="259"/>
      <c r="BW39" s="259"/>
      <c r="BX39" s="259"/>
    </row>
    <row r="40" spans="1:76" hidden="1" outlineLevel="1">
      <c r="B40" s="348">
        <v>2020</v>
      </c>
      <c r="C40" s="348" t="s">
        <v>237</v>
      </c>
      <c r="D40" s="348" t="s">
        <v>39</v>
      </c>
      <c r="E40" s="348" t="s">
        <v>12</v>
      </c>
      <c r="F40" s="333">
        <f>F42*305/231</f>
        <v>4231.7890904978731</v>
      </c>
      <c r="G40" s="333">
        <f>G42*305/231</f>
        <v>3581.6706841931396</v>
      </c>
      <c r="H40" s="333">
        <f t="shared" ref="H40:AJ40" si="158">H42*305/231</f>
        <v>3299.6713987097323</v>
      </c>
      <c r="I40" s="333">
        <f t="shared" si="158"/>
        <v>3003.8556986772569</v>
      </c>
      <c r="J40" s="333">
        <f t="shared" si="158"/>
        <v>2752.8549735883612</v>
      </c>
      <c r="K40" s="333">
        <f t="shared" si="158"/>
        <v>2598.0389162975889</v>
      </c>
      <c r="L40" s="333">
        <f t="shared" si="158"/>
        <v>2463.9474808304194</v>
      </c>
      <c r="M40" s="333">
        <f t="shared" si="158"/>
        <v>2347.0381912086932</v>
      </c>
      <c r="N40" s="333">
        <f t="shared" si="158"/>
        <v>2223.220694312432</v>
      </c>
      <c r="O40" s="333">
        <f t="shared" si="158"/>
        <v>2113.2196119652399</v>
      </c>
      <c r="P40" s="333">
        <f t="shared" si="158"/>
        <v>2013.4924681889565</v>
      </c>
      <c r="Q40" s="333">
        <f t="shared" si="158"/>
        <v>1989.1678584192064</v>
      </c>
      <c r="R40" s="333">
        <f t="shared" si="158"/>
        <v>1963.9992025668394</v>
      </c>
      <c r="S40" s="333">
        <f t="shared" si="158"/>
        <v>1938.8305467144812</v>
      </c>
      <c r="T40" s="333">
        <f t="shared" si="158"/>
        <v>1913.6618908621228</v>
      </c>
      <c r="U40" s="333">
        <f t="shared" si="158"/>
        <v>1888.4932350097558</v>
      </c>
      <c r="V40" s="333">
        <f t="shared" si="158"/>
        <v>1863.3245791573963</v>
      </c>
      <c r="W40" s="333">
        <f t="shared" si="158"/>
        <v>1838.1559233050298</v>
      </c>
      <c r="X40" s="333">
        <f t="shared" si="158"/>
        <v>1812.9872674526712</v>
      </c>
      <c r="Y40" s="333">
        <f t="shared" si="158"/>
        <v>1787.818611600313</v>
      </c>
      <c r="Z40" s="333">
        <f t="shared" si="158"/>
        <v>1762.6499557479463</v>
      </c>
      <c r="AA40" s="333">
        <f t="shared" si="158"/>
        <v>1737.4812998955863</v>
      </c>
      <c r="AB40" s="333">
        <f t="shared" si="158"/>
        <v>1712.31264404322</v>
      </c>
      <c r="AC40" s="333">
        <f t="shared" si="158"/>
        <v>1687.1439881908614</v>
      </c>
      <c r="AD40" s="333">
        <f t="shared" si="158"/>
        <v>1661.9753323385032</v>
      </c>
      <c r="AE40" s="333">
        <f t="shared" si="158"/>
        <v>1636.8066764861367</v>
      </c>
      <c r="AF40" s="333">
        <f t="shared" si="158"/>
        <v>1611.6380206337772</v>
      </c>
      <c r="AG40" s="333">
        <f t="shared" si="158"/>
        <v>1586.4693647814101</v>
      </c>
      <c r="AH40" s="333">
        <f t="shared" si="158"/>
        <v>1561.3007089290518</v>
      </c>
      <c r="AI40" s="333">
        <f t="shared" si="158"/>
        <v>1536.1320530766939</v>
      </c>
      <c r="AJ40" s="333">
        <f t="shared" si="158"/>
        <v>1510.706548760053</v>
      </c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259"/>
      <c r="AZ40" s="259"/>
      <c r="BA40" s="259"/>
      <c r="BB40" s="259"/>
      <c r="BC40" s="259"/>
      <c r="BD40" s="259"/>
      <c r="BE40" s="259"/>
      <c r="BF40" s="259"/>
      <c r="BG40" s="259"/>
      <c r="BH40" s="259"/>
      <c r="BI40" s="259"/>
      <c r="BJ40" s="259"/>
      <c r="BK40" s="259"/>
      <c r="BL40" s="259"/>
      <c r="BM40" s="259"/>
      <c r="BN40" s="259"/>
      <c r="BO40" s="259"/>
      <c r="BP40" s="259"/>
      <c r="BQ40" s="259"/>
      <c r="BR40" s="259"/>
      <c r="BS40" s="259"/>
      <c r="BT40" s="259"/>
      <c r="BU40" s="259"/>
      <c r="BV40" s="259"/>
      <c r="BW40" s="259"/>
      <c r="BX40" s="259"/>
    </row>
    <row r="41" spans="1:76" hidden="1" outlineLevel="1">
      <c r="A41" s="355" t="s">
        <v>372</v>
      </c>
      <c r="B41" s="348">
        <v>2020</v>
      </c>
      <c r="C41" s="348" t="s">
        <v>409</v>
      </c>
      <c r="D41" s="348" t="s">
        <v>39</v>
      </c>
      <c r="E41" s="348" t="s">
        <v>13</v>
      </c>
      <c r="F41" s="381">
        <v>1727.2344448095646</v>
      </c>
      <c r="G41" s="381">
        <v>1475.4571746809856</v>
      </c>
      <c r="H41" s="381">
        <v>1370.8148218667313</v>
      </c>
      <c r="I41" s="381">
        <v>1255.7082337710517</v>
      </c>
      <c r="J41" s="381">
        <v>1166.7622338789354</v>
      </c>
      <c r="K41" s="381">
        <v>1103.976822190383</v>
      </c>
      <c r="L41" s="381">
        <v>1056.8877634239684</v>
      </c>
      <c r="M41" s="381">
        <v>1015.0308222982667</v>
      </c>
      <c r="N41" s="381">
        <v>967.9417635318523</v>
      </c>
      <c r="O41" s="381">
        <v>931.31694004686335</v>
      </c>
      <c r="P41" s="381">
        <v>894.69211656187429</v>
      </c>
      <c r="Q41" s="381">
        <v>883.95319510431204</v>
      </c>
      <c r="R41" s="381">
        <v>872.76954364728704</v>
      </c>
      <c r="S41" s="381">
        <v>861.58589219026499</v>
      </c>
      <c r="T41" s="381">
        <v>850.40224073324293</v>
      </c>
      <c r="U41" s="381">
        <v>839.21858927621793</v>
      </c>
      <c r="V41" s="381">
        <v>828.03493781919485</v>
      </c>
      <c r="W41" s="381">
        <v>816.85128636216984</v>
      </c>
      <c r="X41" s="381">
        <v>805.66763490514779</v>
      </c>
      <c r="Y41" s="381">
        <v>794.48398344812574</v>
      </c>
      <c r="Z41" s="381">
        <v>783.30033199110073</v>
      </c>
      <c r="AA41" s="381">
        <v>772.11668053407766</v>
      </c>
      <c r="AB41" s="381">
        <v>760.93302907705277</v>
      </c>
      <c r="AC41" s="381">
        <v>749.7493776200306</v>
      </c>
      <c r="AD41" s="381">
        <v>738.56572616300855</v>
      </c>
      <c r="AE41" s="381">
        <v>727.38207470598354</v>
      </c>
      <c r="AF41" s="381">
        <v>716.19842324896058</v>
      </c>
      <c r="AG41" s="381">
        <v>705.01477179193557</v>
      </c>
      <c r="AH41" s="381">
        <v>693.83112033491352</v>
      </c>
      <c r="AI41" s="381">
        <v>682.64746887789147</v>
      </c>
      <c r="AJ41" s="381">
        <v>671.46381742086646</v>
      </c>
      <c r="AK41" s="260">
        <f>AJ41-(AI41-AJ41)</f>
        <v>660.28016596384145</v>
      </c>
      <c r="AL41" s="260">
        <f t="shared" ref="AL41" si="159">AK41-(AJ41-AK41)</f>
        <v>649.09651450681645</v>
      </c>
      <c r="AM41" s="260">
        <f t="shared" ref="AM41" si="160">AL41-(AK41-AL41)</f>
        <v>637.91286304979144</v>
      </c>
      <c r="AN41" s="260">
        <f t="shared" ref="AN41" si="161">AM41-(AL41-AM41)</f>
        <v>626.72921159276643</v>
      </c>
      <c r="AO41" s="260">
        <f t="shared" ref="AO41" si="162">AN41-(AM41-AN41)</f>
        <v>615.54556013574143</v>
      </c>
      <c r="AP41" s="259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</row>
    <row r="42" spans="1:76" hidden="1" outlineLevel="1">
      <c r="A42" s="355" t="s">
        <v>373</v>
      </c>
      <c r="B42" s="348">
        <v>2020</v>
      </c>
      <c r="C42" s="348" t="s">
        <v>155</v>
      </c>
      <c r="D42" s="348" t="s">
        <v>39</v>
      </c>
      <c r="E42" s="348" t="s">
        <v>14</v>
      </c>
      <c r="F42" s="381">
        <v>3205.0599341147827</v>
      </c>
      <c r="G42" s="381">
        <v>2712.6751739298861</v>
      </c>
      <c r="H42" s="381">
        <v>2499.0953872195023</v>
      </c>
      <c r="I42" s="381">
        <v>2275.0513652276932</v>
      </c>
      <c r="J42" s="381">
        <v>2084.9491767177424</v>
      </c>
      <c r="K42" s="381">
        <v>1967.6950480811249</v>
      </c>
      <c r="L42" s="381">
        <v>1866.1372723666454</v>
      </c>
      <c r="M42" s="381">
        <v>1777.5928595711739</v>
      </c>
      <c r="N42" s="381">
        <v>1683.8163291349897</v>
      </c>
      <c r="O42" s="381">
        <v>1600.504033980231</v>
      </c>
      <c r="P42" s="381">
        <v>1524.972984103767</v>
      </c>
      <c r="Q42" s="381">
        <v>1506.5500829338907</v>
      </c>
      <c r="R42" s="381">
        <v>1487.48792063259</v>
      </c>
      <c r="S42" s="381">
        <v>1468.4257583312956</v>
      </c>
      <c r="T42" s="381">
        <v>1449.3635960300012</v>
      </c>
      <c r="U42" s="381">
        <v>1430.3014337287004</v>
      </c>
      <c r="V42" s="381">
        <v>1411.2392714274051</v>
      </c>
      <c r="W42" s="381">
        <v>1392.1771091261044</v>
      </c>
      <c r="X42" s="381">
        <v>1373.11494682481</v>
      </c>
      <c r="Y42" s="381">
        <v>1354.0527845235158</v>
      </c>
      <c r="Z42" s="381">
        <v>1334.9906222222151</v>
      </c>
      <c r="AA42" s="381">
        <v>1315.9284599209195</v>
      </c>
      <c r="AB42" s="381">
        <v>1296.866297619619</v>
      </c>
      <c r="AC42" s="381">
        <v>1277.8041353183246</v>
      </c>
      <c r="AD42" s="381">
        <v>1258.7419730170304</v>
      </c>
      <c r="AE42" s="381">
        <v>1239.6798107157297</v>
      </c>
      <c r="AF42" s="381">
        <v>1220.6176484144344</v>
      </c>
      <c r="AG42" s="381">
        <v>1201.5554861131336</v>
      </c>
      <c r="AH42" s="381">
        <v>1182.4933238118392</v>
      </c>
      <c r="AI42" s="381">
        <v>1163.4311615105451</v>
      </c>
      <c r="AJ42" s="381">
        <v>1144.1744680772861</v>
      </c>
      <c r="AK42" s="259"/>
      <c r="AL42" s="259"/>
      <c r="AM42" s="259"/>
      <c r="AN42" s="259"/>
      <c r="AO42" s="259"/>
      <c r="AP42" s="259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</row>
    <row r="43" spans="1:76" hidden="1" outlineLevel="1">
      <c r="A43" s="355" t="s">
        <v>374</v>
      </c>
      <c r="B43" s="348">
        <v>2020</v>
      </c>
      <c r="C43" s="348" t="s">
        <v>156</v>
      </c>
      <c r="D43" s="348" t="s">
        <v>39</v>
      </c>
      <c r="E43" s="348" t="s">
        <v>15</v>
      </c>
      <c r="F43" s="381">
        <v>6160.7109127252179</v>
      </c>
      <c r="G43" s="381">
        <v>5187.111172427688</v>
      </c>
      <c r="H43" s="381">
        <v>4755.6565179250447</v>
      </c>
      <c r="I43" s="381">
        <v>4313.7376281409761</v>
      </c>
      <c r="J43" s="381">
        <v>3921.3230623953559</v>
      </c>
      <c r="K43" s="381">
        <v>3695.1314998626085</v>
      </c>
      <c r="L43" s="381">
        <v>3484.636290252</v>
      </c>
      <c r="M43" s="381">
        <v>3302.7169341169888</v>
      </c>
      <c r="N43" s="381">
        <v>3115.565460341265</v>
      </c>
      <c r="O43" s="381">
        <v>2938.8782218469664</v>
      </c>
      <c r="P43" s="381">
        <v>2785.5347191875526</v>
      </c>
      <c r="Q43" s="381">
        <v>2751.7438585930477</v>
      </c>
      <c r="R43" s="381">
        <v>2716.9246746031954</v>
      </c>
      <c r="S43" s="381">
        <v>2682.1054906133568</v>
      </c>
      <c r="T43" s="381">
        <v>2647.2863066235182</v>
      </c>
      <c r="U43" s="381">
        <v>2612.4671226336654</v>
      </c>
      <c r="V43" s="381">
        <v>2577.6479386438259</v>
      </c>
      <c r="W43" s="381">
        <v>2542.8287546539736</v>
      </c>
      <c r="X43" s="381">
        <v>2508.0095706641346</v>
      </c>
      <c r="Y43" s="381">
        <v>2473.190386674296</v>
      </c>
      <c r="Z43" s="381">
        <v>2438.3712026844437</v>
      </c>
      <c r="AA43" s="381">
        <v>2403.5520186946037</v>
      </c>
      <c r="AB43" s="381">
        <v>2368.7328347047514</v>
      </c>
      <c r="AC43" s="381">
        <v>2333.9136507149124</v>
      </c>
      <c r="AD43" s="381">
        <v>2299.0944667250737</v>
      </c>
      <c r="AE43" s="381">
        <v>2264.2752827352215</v>
      </c>
      <c r="AF43" s="381">
        <v>2229.456098745382</v>
      </c>
      <c r="AG43" s="381">
        <v>2194.6369147555297</v>
      </c>
      <c r="AH43" s="381">
        <v>2159.8177307656906</v>
      </c>
      <c r="AI43" s="381">
        <v>2124.998546775852</v>
      </c>
      <c r="AJ43" s="381">
        <v>2089.5957693901255</v>
      </c>
      <c r="AK43" s="259"/>
      <c r="AL43" s="259"/>
      <c r="AM43" s="259"/>
      <c r="AN43" s="259"/>
      <c r="AO43" s="259"/>
      <c r="AP43" s="259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</row>
    <row r="44" spans="1:76" hidden="1" outlineLevel="1">
      <c r="B44" s="348">
        <v>2020</v>
      </c>
      <c r="C44" s="348" t="s">
        <v>231</v>
      </c>
      <c r="D44" s="348" t="s">
        <v>39</v>
      </c>
      <c r="E44" s="348" t="s">
        <v>16</v>
      </c>
      <c r="F44" s="106">
        <v>1632.88</v>
      </c>
      <c r="G44" s="106">
        <f t="shared" ref="G44:AJ44" si="163">F44*(1+G352)</f>
        <v>1453.2632000000001</v>
      </c>
      <c r="H44" s="106">
        <f t="shared" si="163"/>
        <v>1293.4042480000001</v>
      </c>
      <c r="I44" s="106">
        <f t="shared" si="163"/>
        <v>1215.7440240750468</v>
      </c>
      <c r="J44" s="106">
        <f t="shared" si="163"/>
        <v>1143.4964062724016</v>
      </c>
      <c r="K44" s="106">
        <f t="shared" si="163"/>
        <v>1096.4650144952707</v>
      </c>
      <c r="L44" s="106">
        <f t="shared" si="163"/>
        <v>1052.2389367269091</v>
      </c>
      <c r="M44" s="106">
        <f t="shared" si="163"/>
        <v>1013.560792532714</v>
      </c>
      <c r="N44" s="106">
        <f t="shared" si="163"/>
        <v>977.32324024485513</v>
      </c>
      <c r="O44" s="106">
        <f t="shared" si="163"/>
        <v>944.38296760407547</v>
      </c>
      <c r="P44" s="106">
        <f t="shared" si="163"/>
        <v>911.18224414741678</v>
      </c>
      <c r="Q44" s="106">
        <f t="shared" si="163"/>
        <v>879.61341447126688</v>
      </c>
      <c r="R44" s="106">
        <f t="shared" si="163"/>
        <v>849.88614270022879</v>
      </c>
      <c r="S44" s="106">
        <f t="shared" si="163"/>
        <v>822.52671306500622</v>
      </c>
      <c r="T44" s="106">
        <f t="shared" si="163"/>
        <v>797.76184804409354</v>
      </c>
      <c r="U44" s="106">
        <f t="shared" si="163"/>
        <v>776.27465837873115</v>
      </c>
      <c r="V44" s="106">
        <f t="shared" si="163"/>
        <v>756.93259129658293</v>
      </c>
      <c r="W44" s="106">
        <f t="shared" si="163"/>
        <v>739.42783573504119</v>
      </c>
      <c r="X44" s="106">
        <f t="shared" si="163"/>
        <v>724.00009178266146</v>
      </c>
      <c r="Y44" s="106">
        <f t="shared" si="163"/>
        <v>708.61051483389929</v>
      </c>
      <c r="Z44" s="106">
        <f t="shared" si="163"/>
        <v>693.27037041815822</v>
      </c>
      <c r="AA44" s="106">
        <f t="shared" si="163"/>
        <v>677.99063090045922</v>
      </c>
      <c r="AB44" s="106">
        <f t="shared" si="163"/>
        <v>662.7819643985664</v>
      </c>
      <c r="AC44" s="106">
        <f t="shared" si="163"/>
        <v>647.65472452749896</v>
      </c>
      <c r="AD44" s="106">
        <f t="shared" si="163"/>
        <v>632.61894097828008</v>
      </c>
      <c r="AE44" s="106">
        <f t="shared" si="163"/>
        <v>617.68431093534298</v>
      </c>
      <c r="AF44" s="106">
        <f t="shared" si="163"/>
        <v>602.86019133461764</v>
      </c>
      <c r="AG44" s="106">
        <f t="shared" si="163"/>
        <v>588.15559196197455</v>
      </c>
      <c r="AH44" s="106">
        <f t="shared" si="163"/>
        <v>573.57916938940082</v>
      </c>
      <c r="AI44" s="106">
        <f t="shared" si="163"/>
        <v>559.13922174404797</v>
      </c>
      <c r="AJ44" s="106">
        <f t="shared" si="163"/>
        <v>545.50103768834515</v>
      </c>
      <c r="AK44" s="259"/>
      <c r="AL44" s="259"/>
      <c r="AM44" s="259"/>
      <c r="AN44" s="259"/>
      <c r="AO44" s="259"/>
      <c r="AP44" s="259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</row>
    <row r="45" spans="1:76" hidden="1" outlineLevel="1">
      <c r="B45" s="348">
        <v>2020</v>
      </c>
      <c r="C45" s="348" t="s">
        <v>231</v>
      </c>
      <c r="D45" s="348" t="s">
        <v>39</v>
      </c>
      <c r="E45" s="348" t="s">
        <v>17</v>
      </c>
      <c r="F45" s="106">
        <v>1837</v>
      </c>
      <c r="G45" s="106">
        <f t="shared" ref="G45:AJ45" si="164">F45*(1+G353)</f>
        <v>1579.82</v>
      </c>
      <c r="H45" s="106">
        <f t="shared" si="164"/>
        <v>1358.6451999999999</v>
      </c>
      <c r="I45" s="106">
        <f t="shared" si="164"/>
        <v>1277.0676958053773</v>
      </c>
      <c r="J45" s="106">
        <f t="shared" si="164"/>
        <v>1201.1758164561465</v>
      </c>
      <c r="K45" s="106">
        <f t="shared" si="164"/>
        <v>1151.7721015803636</v>
      </c>
      <c r="L45" s="106">
        <f t="shared" si="164"/>
        <v>1105.3152043127654</v>
      </c>
      <c r="M45" s="106">
        <f t="shared" si="164"/>
        <v>1064.686085430862</v>
      </c>
      <c r="N45" s="106">
        <f t="shared" si="164"/>
        <v>1026.620665008918</v>
      </c>
      <c r="O45" s="106">
        <f t="shared" si="164"/>
        <v>992.01884320472163</v>
      </c>
      <c r="P45" s="106">
        <f t="shared" si="164"/>
        <v>957.14343311490052</v>
      </c>
      <c r="Q45" s="106">
        <f t="shared" si="164"/>
        <v>923.98223159925601</v>
      </c>
      <c r="R45" s="106">
        <f t="shared" si="164"/>
        <v>892.75547850696489</v>
      </c>
      <c r="S45" s="106">
        <f t="shared" si="164"/>
        <v>864.01600451334548</v>
      </c>
      <c r="T45" s="106">
        <f t="shared" si="164"/>
        <v>838.00196826648835</v>
      </c>
      <c r="U45" s="106">
        <f t="shared" si="164"/>
        <v>815.43093748050148</v>
      </c>
      <c r="V45" s="106">
        <f t="shared" si="164"/>
        <v>795.11323198365153</v>
      </c>
      <c r="W45" s="106">
        <f t="shared" si="164"/>
        <v>776.72551433262527</v>
      </c>
      <c r="X45" s="106">
        <f t="shared" si="164"/>
        <v>760.51957539269858</v>
      </c>
      <c r="Y45" s="106">
        <f t="shared" si="164"/>
        <v>744.35372864849774</v>
      </c>
      <c r="Z45" s="106">
        <f t="shared" si="164"/>
        <v>728.23980787702874</v>
      </c>
      <c r="AA45" s="106">
        <f t="shared" si="164"/>
        <v>712.18933890333165</v>
      </c>
      <c r="AB45" s="106">
        <f t="shared" si="164"/>
        <v>696.21352795857172</v>
      </c>
      <c r="AC45" s="106">
        <f t="shared" si="164"/>
        <v>680.32325090725146</v>
      </c>
      <c r="AD45" s="106">
        <f t="shared" si="164"/>
        <v>664.52904335074038</v>
      </c>
      <c r="AE45" s="106">
        <f t="shared" si="164"/>
        <v>648.84109161176298</v>
      </c>
      <c r="AF45" s="106">
        <f t="shared" si="164"/>
        <v>633.26922460197454</v>
      </c>
      <c r="AG45" s="106">
        <f t="shared" si="164"/>
        <v>617.822906572281</v>
      </c>
      <c r="AH45" s="106">
        <f t="shared" si="164"/>
        <v>602.51123074314853</v>
      </c>
      <c r="AI45" s="106">
        <f t="shared" si="164"/>
        <v>587.34291380979494</v>
      </c>
      <c r="AJ45" s="106">
        <f t="shared" si="164"/>
        <v>573.01680243923977</v>
      </c>
      <c r="AK45" s="259"/>
      <c r="AL45" s="259"/>
      <c r="AM45" s="259"/>
      <c r="AN45" s="259"/>
      <c r="AO45" s="259"/>
      <c r="AP45" s="259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</row>
    <row r="46" spans="1:76" hidden="1" outlineLevel="1">
      <c r="B46" s="348">
        <v>2022</v>
      </c>
      <c r="C46" s="348" t="s">
        <v>238</v>
      </c>
      <c r="D46" s="348" t="s">
        <v>39</v>
      </c>
      <c r="E46" s="348" t="s">
        <v>18</v>
      </c>
      <c r="F46" s="333"/>
      <c r="G46" s="333"/>
      <c r="H46" s="333">
        <v>2500</v>
      </c>
      <c r="I46" s="106">
        <f t="shared" ref="I46:AJ46" si="165">H46*(1+I354)</f>
        <v>2450</v>
      </c>
      <c r="J46" s="106">
        <f t="shared" si="165"/>
        <v>2401</v>
      </c>
      <c r="K46" s="106">
        <f t="shared" si="165"/>
        <v>2352.98</v>
      </c>
      <c r="L46" s="106">
        <f t="shared" si="165"/>
        <v>2305.9204</v>
      </c>
      <c r="M46" s="106">
        <f t="shared" si="165"/>
        <v>2259.8019920000002</v>
      </c>
      <c r="N46" s="106">
        <f t="shared" si="165"/>
        <v>2214.60595216</v>
      </c>
      <c r="O46" s="106">
        <f t="shared" si="165"/>
        <v>2170.3138331168002</v>
      </c>
      <c r="P46" s="106">
        <f t="shared" si="165"/>
        <v>2126.9075564544642</v>
      </c>
      <c r="Q46" s="106">
        <f t="shared" si="165"/>
        <v>2084.3694053253748</v>
      </c>
      <c r="R46" s="106">
        <f t="shared" si="165"/>
        <v>2042.6820172188673</v>
      </c>
      <c r="S46" s="106">
        <f t="shared" si="165"/>
        <v>2001.8283768744898</v>
      </c>
      <c r="T46" s="106">
        <f t="shared" si="165"/>
        <v>1961.7918093369999</v>
      </c>
      <c r="U46" s="106">
        <f t="shared" si="165"/>
        <v>1922.5559731502599</v>
      </c>
      <c r="V46" s="106">
        <f t="shared" si="165"/>
        <v>1884.1048536872547</v>
      </c>
      <c r="W46" s="106">
        <f t="shared" si="165"/>
        <v>1846.4227566135096</v>
      </c>
      <c r="X46" s="106">
        <f t="shared" si="165"/>
        <v>1809.4943014812393</v>
      </c>
      <c r="Y46" s="106">
        <f t="shared" si="165"/>
        <v>1773.3044154516144</v>
      </c>
      <c r="Z46" s="106">
        <f t="shared" si="165"/>
        <v>1737.8383271425821</v>
      </c>
      <c r="AA46" s="106">
        <f t="shared" si="165"/>
        <v>1703.0815605997304</v>
      </c>
      <c r="AB46" s="106">
        <f t="shared" si="165"/>
        <v>1669.0199293877358</v>
      </c>
      <c r="AC46" s="106">
        <f t="shared" si="165"/>
        <v>1635.639530799981</v>
      </c>
      <c r="AD46" s="106">
        <f t="shared" si="165"/>
        <v>1602.9267401839813</v>
      </c>
      <c r="AE46" s="106">
        <f t="shared" si="165"/>
        <v>1570.8682053803018</v>
      </c>
      <c r="AF46" s="106">
        <f t="shared" si="165"/>
        <v>1539.4508412726957</v>
      </c>
      <c r="AG46" s="106">
        <f t="shared" si="165"/>
        <v>1508.6618244472418</v>
      </c>
      <c r="AH46" s="106">
        <f t="shared" si="165"/>
        <v>1478.4885879582969</v>
      </c>
      <c r="AI46" s="106">
        <f t="shared" si="165"/>
        <v>1448.918816199131</v>
      </c>
      <c r="AJ46" s="106">
        <f t="shared" si="165"/>
        <v>1419.9404398751483</v>
      </c>
      <c r="AK46" s="259"/>
      <c r="AL46" s="259"/>
      <c r="AM46" s="259"/>
      <c r="AN46" s="259"/>
      <c r="AO46" s="259"/>
      <c r="AP46" s="259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</row>
    <row r="47" spans="1:76" hidden="1" outlineLevel="1">
      <c r="B47" s="348">
        <v>2022</v>
      </c>
      <c r="C47" s="348" t="s">
        <v>231</v>
      </c>
      <c r="D47" s="348" t="s">
        <v>39</v>
      </c>
      <c r="E47" s="348" t="s">
        <v>22</v>
      </c>
      <c r="F47" s="333"/>
      <c r="G47" s="333"/>
      <c r="H47" s="333">
        <v>1610</v>
      </c>
      <c r="I47" s="333">
        <v>1610</v>
      </c>
      <c r="J47" s="333">
        <v>1610</v>
      </c>
      <c r="K47" s="333">
        <v>1610</v>
      </c>
      <c r="L47" s="333">
        <v>1610</v>
      </c>
      <c r="M47" s="333">
        <v>1610</v>
      </c>
      <c r="N47" s="333">
        <v>1610</v>
      </c>
      <c r="O47" s="333">
        <v>1610</v>
      </c>
      <c r="P47" s="333">
        <v>1610</v>
      </c>
      <c r="Q47" s="333">
        <v>1610</v>
      </c>
      <c r="R47" s="333">
        <v>1610</v>
      </c>
      <c r="S47" s="333">
        <v>1610</v>
      </c>
      <c r="T47" s="333">
        <v>1610</v>
      </c>
      <c r="U47" s="333">
        <v>1610</v>
      </c>
      <c r="V47" s="333">
        <v>1610</v>
      </c>
      <c r="W47" s="333">
        <v>1610</v>
      </c>
      <c r="X47" s="333">
        <v>1610</v>
      </c>
      <c r="Y47" s="333">
        <v>1610</v>
      </c>
      <c r="Z47" s="333">
        <v>1610</v>
      </c>
      <c r="AA47" s="333">
        <v>1610</v>
      </c>
      <c r="AB47" s="333">
        <v>1610</v>
      </c>
      <c r="AC47" s="333">
        <v>1610</v>
      </c>
      <c r="AD47" s="333">
        <v>1610</v>
      </c>
      <c r="AE47" s="333">
        <v>1610</v>
      </c>
      <c r="AF47" s="333">
        <v>1610</v>
      </c>
      <c r="AG47" s="333">
        <v>1610</v>
      </c>
      <c r="AH47" s="333">
        <v>1610</v>
      </c>
      <c r="AI47" s="333">
        <v>1610</v>
      </c>
      <c r="AJ47" s="333">
        <v>1610</v>
      </c>
      <c r="AK47" s="259"/>
      <c r="AL47" s="259"/>
      <c r="AM47" s="259"/>
      <c r="AN47" s="259"/>
      <c r="AO47" s="259"/>
      <c r="AP47" s="259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</row>
    <row r="48" spans="1:76" hidden="1" outlineLevel="1">
      <c r="A48" s="355" t="s">
        <v>381</v>
      </c>
      <c r="B48" s="348">
        <v>2020</v>
      </c>
      <c r="C48" s="348" t="s">
        <v>194</v>
      </c>
      <c r="D48" s="348" t="s">
        <v>39</v>
      </c>
      <c r="E48" s="348" t="s">
        <v>23</v>
      </c>
      <c r="F48" s="382">
        <v>3754.52</v>
      </c>
      <c r="G48" s="382">
        <v>3754.52</v>
      </c>
      <c r="H48" s="382">
        <v>3754.52</v>
      </c>
      <c r="I48" s="382">
        <v>3754.52</v>
      </c>
      <c r="J48" s="382">
        <v>3754.52</v>
      </c>
      <c r="K48" s="382">
        <v>3754.52</v>
      </c>
      <c r="L48" s="382">
        <v>3754.52</v>
      </c>
      <c r="M48" s="382">
        <v>3754.52</v>
      </c>
      <c r="N48" s="382">
        <v>3754.52</v>
      </c>
      <c r="O48" s="382">
        <v>3754.52</v>
      </c>
      <c r="P48" s="382">
        <v>3754.52</v>
      </c>
      <c r="Q48" s="382">
        <v>3754.52</v>
      </c>
      <c r="R48" s="382">
        <v>3754.52</v>
      </c>
      <c r="S48" s="382">
        <v>3754.52</v>
      </c>
      <c r="T48" s="382">
        <v>3754.52</v>
      </c>
      <c r="U48" s="382">
        <v>3754.52</v>
      </c>
      <c r="V48" s="382">
        <v>3754.52</v>
      </c>
      <c r="W48" s="382">
        <v>3754.52</v>
      </c>
      <c r="X48" s="382">
        <v>3754.52</v>
      </c>
      <c r="Y48" s="382">
        <v>3754.52</v>
      </c>
      <c r="Z48" s="382">
        <v>3754.52</v>
      </c>
      <c r="AA48" s="382">
        <v>3754.52</v>
      </c>
      <c r="AB48" s="382">
        <v>3754.52</v>
      </c>
      <c r="AC48" s="382">
        <v>3754.52</v>
      </c>
      <c r="AD48" s="382">
        <v>3754.52</v>
      </c>
      <c r="AE48" s="382">
        <v>3754.52</v>
      </c>
      <c r="AF48" s="382">
        <v>3754.52</v>
      </c>
      <c r="AG48" s="382">
        <v>3754.52</v>
      </c>
      <c r="AH48" s="382">
        <v>3754.52</v>
      </c>
      <c r="AI48" s="382">
        <v>3754.52</v>
      </c>
      <c r="AJ48" s="382">
        <v>3754.52</v>
      </c>
      <c r="AK48" s="259"/>
      <c r="AL48" s="259"/>
      <c r="AM48" s="259"/>
      <c r="AN48" s="259"/>
      <c r="AO48" s="259"/>
      <c r="AP48" s="259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</row>
    <row r="49" spans="1:76" hidden="1" outlineLevel="1">
      <c r="A49" s="355" t="s">
        <v>382</v>
      </c>
      <c r="B49" s="348">
        <v>2020</v>
      </c>
      <c r="C49" s="348" t="s">
        <v>195</v>
      </c>
      <c r="D49" s="348" t="s">
        <v>39</v>
      </c>
      <c r="E49" s="348" t="s">
        <v>24</v>
      </c>
      <c r="F49" s="382">
        <v>3256.39</v>
      </c>
      <c r="G49" s="382">
        <v>3256.39</v>
      </c>
      <c r="H49" s="382">
        <v>3256.39</v>
      </c>
      <c r="I49" s="382">
        <v>3256.39</v>
      </c>
      <c r="J49" s="382">
        <v>3256.39</v>
      </c>
      <c r="K49" s="382">
        <v>3256.39</v>
      </c>
      <c r="L49" s="382">
        <v>3256.39</v>
      </c>
      <c r="M49" s="382">
        <v>3256.39</v>
      </c>
      <c r="N49" s="382">
        <v>3256.39</v>
      </c>
      <c r="O49" s="382">
        <v>3256.39</v>
      </c>
      <c r="P49" s="382">
        <v>3256.39</v>
      </c>
      <c r="Q49" s="382">
        <v>3256.39</v>
      </c>
      <c r="R49" s="382">
        <v>3256.39</v>
      </c>
      <c r="S49" s="382">
        <v>3256.39</v>
      </c>
      <c r="T49" s="382">
        <v>3256.39</v>
      </c>
      <c r="U49" s="382">
        <v>3256.39</v>
      </c>
      <c r="V49" s="382">
        <v>3256.39</v>
      </c>
      <c r="W49" s="382">
        <v>3256.39</v>
      </c>
      <c r="X49" s="382">
        <v>3256.39</v>
      </c>
      <c r="Y49" s="382">
        <v>3256.39</v>
      </c>
      <c r="Z49" s="382">
        <v>3256.39</v>
      </c>
      <c r="AA49" s="382">
        <v>3256.39</v>
      </c>
      <c r="AB49" s="382">
        <v>3256.39</v>
      </c>
      <c r="AC49" s="382">
        <v>3256.39</v>
      </c>
      <c r="AD49" s="382">
        <v>3256.39</v>
      </c>
      <c r="AE49" s="382">
        <v>3256.39</v>
      </c>
      <c r="AF49" s="382">
        <v>3256.39</v>
      </c>
      <c r="AG49" s="382">
        <v>3256.39</v>
      </c>
      <c r="AH49" s="382">
        <v>3256.39</v>
      </c>
      <c r="AI49" s="382">
        <v>3256.39</v>
      </c>
      <c r="AJ49" s="382">
        <v>3256.39</v>
      </c>
      <c r="AK49" s="259"/>
      <c r="AL49" s="259"/>
      <c r="AM49" s="259"/>
      <c r="AN49" s="259"/>
      <c r="AO49" s="259"/>
      <c r="AP49" s="259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</row>
    <row r="50" spans="1:76" hidden="1" outlineLevel="1">
      <c r="A50" s="355" t="s">
        <v>383</v>
      </c>
      <c r="B50" s="348">
        <v>2020</v>
      </c>
      <c r="C50" s="348" t="s">
        <v>196</v>
      </c>
      <c r="D50" s="348" t="s">
        <v>39</v>
      </c>
      <c r="E50" s="348" t="s">
        <v>25</v>
      </c>
      <c r="F50" s="382">
        <v>2923.32</v>
      </c>
      <c r="G50" s="382">
        <v>2923.32</v>
      </c>
      <c r="H50" s="382">
        <v>2923.32</v>
      </c>
      <c r="I50" s="382">
        <v>2923.32</v>
      </c>
      <c r="J50" s="382">
        <v>2923.32</v>
      </c>
      <c r="K50" s="382">
        <v>2923.32</v>
      </c>
      <c r="L50" s="382">
        <v>2923.32</v>
      </c>
      <c r="M50" s="382">
        <v>2923.32</v>
      </c>
      <c r="N50" s="382">
        <v>2923.32</v>
      </c>
      <c r="O50" s="382">
        <v>2923.32</v>
      </c>
      <c r="P50" s="382">
        <v>2923.32</v>
      </c>
      <c r="Q50" s="382">
        <v>2923.32</v>
      </c>
      <c r="R50" s="382">
        <v>2923.32</v>
      </c>
      <c r="S50" s="382">
        <v>2923.32</v>
      </c>
      <c r="T50" s="382">
        <v>2923.32</v>
      </c>
      <c r="U50" s="382">
        <v>2923.32</v>
      </c>
      <c r="V50" s="382">
        <v>2923.32</v>
      </c>
      <c r="W50" s="382">
        <v>2923.32</v>
      </c>
      <c r="X50" s="382">
        <v>2923.32</v>
      </c>
      <c r="Y50" s="382">
        <v>2923.32</v>
      </c>
      <c r="Z50" s="382">
        <v>2923.32</v>
      </c>
      <c r="AA50" s="382">
        <v>2923.32</v>
      </c>
      <c r="AB50" s="382">
        <v>2923.32</v>
      </c>
      <c r="AC50" s="382">
        <v>2923.32</v>
      </c>
      <c r="AD50" s="382">
        <v>2923.32</v>
      </c>
      <c r="AE50" s="382">
        <v>2923.32</v>
      </c>
      <c r="AF50" s="382">
        <v>2923.32</v>
      </c>
      <c r="AG50" s="382">
        <v>2923.32</v>
      </c>
      <c r="AH50" s="382">
        <v>2923.32</v>
      </c>
      <c r="AI50" s="382">
        <v>2923.32</v>
      </c>
      <c r="AJ50" s="382">
        <v>2923.32</v>
      </c>
      <c r="AK50" s="259"/>
      <c r="AL50" s="259"/>
      <c r="AM50" s="259"/>
      <c r="AN50" s="259"/>
      <c r="AO50" s="259"/>
      <c r="AP50" s="259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</row>
    <row r="51" spans="1:76" hidden="1" outlineLevel="1">
      <c r="B51" s="349">
        <v>2022</v>
      </c>
      <c r="C51" s="349" t="s">
        <v>231</v>
      </c>
      <c r="D51" s="349" t="s">
        <v>39</v>
      </c>
      <c r="E51" s="349" t="s">
        <v>26</v>
      </c>
      <c r="F51" s="333"/>
      <c r="G51" s="333"/>
      <c r="H51" s="333">
        <v>4756.0590277777774</v>
      </c>
      <c r="I51" s="333">
        <v>4756.0590277777774</v>
      </c>
      <c r="J51" s="333">
        <v>4756.0590277777774</v>
      </c>
      <c r="K51" s="333">
        <v>4756.0590277777774</v>
      </c>
      <c r="L51" s="333">
        <v>4756.0590277777774</v>
      </c>
      <c r="M51" s="333">
        <v>4756.0590277777774</v>
      </c>
      <c r="N51" s="333">
        <v>4756.0590277777774</v>
      </c>
      <c r="O51" s="333">
        <v>4756.0590277777774</v>
      </c>
      <c r="P51" s="333">
        <v>4756.0590277777774</v>
      </c>
      <c r="Q51" s="333">
        <v>4756.0590277777774</v>
      </c>
      <c r="R51" s="333">
        <v>4756.0590277777774</v>
      </c>
      <c r="S51" s="333">
        <v>4756.0590277777774</v>
      </c>
      <c r="T51" s="333">
        <v>4756.0590277777774</v>
      </c>
      <c r="U51" s="333">
        <v>4756.0590277777774</v>
      </c>
      <c r="V51" s="333">
        <v>4756.0590277777774</v>
      </c>
      <c r="W51" s="333">
        <v>4756.0590277777774</v>
      </c>
      <c r="X51" s="333">
        <v>4756.0590277777774</v>
      </c>
      <c r="Y51" s="333">
        <v>4756.0590277777774</v>
      </c>
      <c r="Z51" s="333">
        <v>4756.0590277777774</v>
      </c>
      <c r="AA51" s="333">
        <v>4756.0590277777774</v>
      </c>
      <c r="AB51" s="333">
        <v>4756.0590277777774</v>
      </c>
      <c r="AC51" s="333">
        <v>4756.0590277777774</v>
      </c>
      <c r="AD51" s="333">
        <v>4756.0590277777774</v>
      </c>
      <c r="AE51" s="333">
        <v>4756.0590277777774</v>
      </c>
      <c r="AF51" s="333">
        <v>4756.0590277777774</v>
      </c>
      <c r="AG51" s="333">
        <v>4756.0590277777774</v>
      </c>
      <c r="AH51" s="333">
        <v>4756.0590277777774</v>
      </c>
      <c r="AI51" s="333">
        <v>4756.0590277777774</v>
      </c>
      <c r="AJ51" s="333">
        <v>4756.0590277777774</v>
      </c>
      <c r="AK51" s="259"/>
      <c r="AL51" s="259"/>
      <c r="AM51" s="259"/>
      <c r="AN51" s="259"/>
      <c r="AO51" s="259"/>
      <c r="AP51" s="259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</row>
    <row r="52" spans="1:76" hidden="1" outlineLevel="1">
      <c r="B52" s="349">
        <v>2022</v>
      </c>
      <c r="C52" s="349" t="s">
        <v>231</v>
      </c>
      <c r="D52" s="349" t="s">
        <v>39</v>
      </c>
      <c r="E52" s="349" t="s">
        <v>27</v>
      </c>
      <c r="F52" s="333"/>
      <c r="G52" s="333"/>
      <c r="H52" s="333">
        <v>829.14999999999986</v>
      </c>
      <c r="I52" s="333">
        <v>829.14999999999986</v>
      </c>
      <c r="J52" s="333">
        <v>829.14999999999986</v>
      </c>
      <c r="K52" s="333">
        <v>829.14999999999986</v>
      </c>
      <c r="L52" s="333">
        <v>829.14999999999986</v>
      </c>
      <c r="M52" s="333">
        <v>829.14999999999986</v>
      </c>
      <c r="N52" s="333">
        <v>829.14999999999986</v>
      </c>
      <c r="O52" s="333">
        <v>829.14999999999986</v>
      </c>
      <c r="P52" s="333">
        <v>829.14999999999986</v>
      </c>
      <c r="Q52" s="333">
        <v>829.14999999999986</v>
      </c>
      <c r="R52" s="333">
        <v>829.14999999999986</v>
      </c>
      <c r="S52" s="333">
        <v>829.14999999999986</v>
      </c>
      <c r="T52" s="333">
        <v>829.14999999999986</v>
      </c>
      <c r="U52" s="333">
        <v>829.14999999999986</v>
      </c>
      <c r="V52" s="333">
        <v>829.14999999999986</v>
      </c>
      <c r="W52" s="333">
        <v>829.14999999999986</v>
      </c>
      <c r="X52" s="333">
        <v>829.14999999999986</v>
      </c>
      <c r="Y52" s="333">
        <v>829.14999999999986</v>
      </c>
      <c r="Z52" s="333">
        <v>829.14999999999986</v>
      </c>
      <c r="AA52" s="333">
        <v>829.14999999999986</v>
      </c>
      <c r="AB52" s="333">
        <v>829.14999999999986</v>
      </c>
      <c r="AC52" s="333">
        <v>829.14999999999986</v>
      </c>
      <c r="AD52" s="333">
        <v>829.14999999999986</v>
      </c>
      <c r="AE52" s="333">
        <v>829.14999999999986</v>
      </c>
      <c r="AF52" s="333">
        <v>829.14999999999986</v>
      </c>
      <c r="AG52" s="333">
        <v>829.14999999999986</v>
      </c>
      <c r="AH52" s="333">
        <v>829.14999999999986</v>
      </c>
      <c r="AI52" s="333">
        <v>829.14999999999986</v>
      </c>
      <c r="AJ52" s="333">
        <v>829.14999999999986</v>
      </c>
      <c r="AK52" s="259"/>
      <c r="AL52" s="259"/>
      <c r="AM52" s="259"/>
      <c r="AN52" s="259"/>
      <c r="AO52" s="259"/>
      <c r="AP52" s="259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</row>
    <row r="53" spans="1:76" hidden="1" outlineLevel="1">
      <c r="B53" s="349">
        <v>2022</v>
      </c>
      <c r="C53" s="349" t="s">
        <v>231</v>
      </c>
      <c r="D53" s="349" t="s">
        <v>39</v>
      </c>
      <c r="E53" s="349" t="s">
        <v>28</v>
      </c>
      <c r="F53" s="333"/>
      <c r="G53" s="333"/>
      <c r="H53" s="333">
        <v>150</v>
      </c>
      <c r="I53" s="333">
        <v>150</v>
      </c>
      <c r="J53" s="333">
        <v>150</v>
      </c>
      <c r="K53" s="333">
        <v>150</v>
      </c>
      <c r="L53" s="333">
        <v>150</v>
      </c>
      <c r="M53" s="333">
        <v>150</v>
      </c>
      <c r="N53" s="333">
        <v>150</v>
      </c>
      <c r="O53" s="333">
        <v>150</v>
      </c>
      <c r="P53" s="333">
        <v>150</v>
      </c>
      <c r="Q53" s="333">
        <v>150</v>
      </c>
      <c r="R53" s="333">
        <v>150</v>
      </c>
      <c r="S53" s="333">
        <v>150</v>
      </c>
      <c r="T53" s="333">
        <v>150</v>
      </c>
      <c r="U53" s="333">
        <v>150</v>
      </c>
      <c r="V53" s="333">
        <v>150</v>
      </c>
      <c r="W53" s="333">
        <v>150</v>
      </c>
      <c r="X53" s="333">
        <v>150</v>
      </c>
      <c r="Y53" s="333">
        <v>150</v>
      </c>
      <c r="Z53" s="333">
        <v>150</v>
      </c>
      <c r="AA53" s="333">
        <v>150</v>
      </c>
      <c r="AB53" s="333">
        <v>150</v>
      </c>
      <c r="AC53" s="333">
        <v>150</v>
      </c>
      <c r="AD53" s="333">
        <v>150</v>
      </c>
      <c r="AE53" s="333">
        <v>150</v>
      </c>
      <c r="AF53" s="333">
        <v>150</v>
      </c>
      <c r="AG53" s="333">
        <v>150</v>
      </c>
      <c r="AH53" s="333">
        <v>150</v>
      </c>
      <c r="AI53" s="333">
        <v>150</v>
      </c>
      <c r="AJ53" s="333">
        <v>150</v>
      </c>
      <c r="AK53" s="259"/>
      <c r="AL53" s="259"/>
      <c r="AM53" s="259"/>
      <c r="AN53" s="259"/>
      <c r="AO53" s="259"/>
      <c r="AP53" s="259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</row>
    <row r="54" spans="1:76" hidden="1" outlineLevel="1">
      <c r="B54" s="352">
        <v>2022</v>
      </c>
      <c r="C54" s="352" t="s">
        <v>231</v>
      </c>
      <c r="D54" s="352" t="s">
        <v>39</v>
      </c>
      <c r="E54" s="352" t="s">
        <v>130</v>
      </c>
      <c r="F54" s="333"/>
      <c r="G54" s="333"/>
      <c r="H54" s="260">
        <f>21840/(7/1.15)</f>
        <v>3587.9999999999995</v>
      </c>
      <c r="I54" s="260">
        <f t="shared" ref="I54:AO54" si="166">21840/(7/1.15)</f>
        <v>3587.9999999999995</v>
      </c>
      <c r="J54" s="260">
        <f t="shared" si="166"/>
        <v>3587.9999999999995</v>
      </c>
      <c r="K54" s="260">
        <f t="shared" si="166"/>
        <v>3587.9999999999995</v>
      </c>
      <c r="L54" s="260">
        <f t="shared" si="166"/>
        <v>3587.9999999999995</v>
      </c>
      <c r="M54" s="260">
        <f t="shared" si="166"/>
        <v>3587.9999999999995</v>
      </c>
      <c r="N54" s="260">
        <f t="shared" si="166"/>
        <v>3587.9999999999995</v>
      </c>
      <c r="O54" s="260">
        <f t="shared" si="166"/>
        <v>3587.9999999999995</v>
      </c>
      <c r="P54" s="260">
        <f t="shared" si="166"/>
        <v>3587.9999999999995</v>
      </c>
      <c r="Q54" s="260">
        <f t="shared" si="166"/>
        <v>3587.9999999999995</v>
      </c>
      <c r="R54" s="260">
        <f t="shared" si="166"/>
        <v>3587.9999999999995</v>
      </c>
      <c r="S54" s="260">
        <f t="shared" si="166"/>
        <v>3587.9999999999995</v>
      </c>
      <c r="T54" s="260">
        <f t="shared" si="166"/>
        <v>3587.9999999999995</v>
      </c>
      <c r="U54" s="260">
        <f t="shared" si="166"/>
        <v>3587.9999999999995</v>
      </c>
      <c r="V54" s="260">
        <f t="shared" si="166"/>
        <v>3587.9999999999995</v>
      </c>
      <c r="W54" s="260">
        <f t="shared" si="166"/>
        <v>3587.9999999999995</v>
      </c>
      <c r="X54" s="260">
        <f t="shared" si="166"/>
        <v>3587.9999999999995</v>
      </c>
      <c r="Y54" s="260">
        <f t="shared" si="166"/>
        <v>3587.9999999999995</v>
      </c>
      <c r="Z54" s="260">
        <f t="shared" si="166"/>
        <v>3587.9999999999995</v>
      </c>
      <c r="AA54" s="260">
        <f t="shared" si="166"/>
        <v>3587.9999999999995</v>
      </c>
      <c r="AB54" s="260">
        <f t="shared" si="166"/>
        <v>3587.9999999999995</v>
      </c>
      <c r="AC54" s="260">
        <f t="shared" si="166"/>
        <v>3587.9999999999995</v>
      </c>
      <c r="AD54" s="260">
        <f t="shared" si="166"/>
        <v>3587.9999999999995</v>
      </c>
      <c r="AE54" s="260">
        <f t="shared" si="166"/>
        <v>3587.9999999999995</v>
      </c>
      <c r="AF54" s="260">
        <f t="shared" si="166"/>
        <v>3587.9999999999995</v>
      </c>
      <c r="AG54" s="260">
        <f t="shared" si="166"/>
        <v>3587.9999999999995</v>
      </c>
      <c r="AH54" s="260">
        <f t="shared" si="166"/>
        <v>3587.9999999999995</v>
      </c>
      <c r="AI54" s="260">
        <f t="shared" si="166"/>
        <v>3587.9999999999995</v>
      </c>
      <c r="AJ54" s="260">
        <f t="shared" si="166"/>
        <v>3587.9999999999995</v>
      </c>
      <c r="AK54" s="260">
        <f t="shared" si="166"/>
        <v>3587.9999999999995</v>
      </c>
      <c r="AL54" s="260">
        <f t="shared" si="166"/>
        <v>3587.9999999999995</v>
      </c>
      <c r="AM54" s="260">
        <f t="shared" si="166"/>
        <v>3587.9999999999995</v>
      </c>
      <c r="AN54" s="260">
        <f t="shared" si="166"/>
        <v>3587.9999999999995</v>
      </c>
      <c r="AO54" s="260">
        <f t="shared" si="166"/>
        <v>3587.9999999999995</v>
      </c>
      <c r="AP54" s="259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</row>
    <row r="55" spans="1:76" hidden="1" outlineLevel="1">
      <c r="B55" s="352">
        <v>2022</v>
      </c>
      <c r="C55" s="352" t="s">
        <v>231</v>
      </c>
      <c r="D55" s="352" t="s">
        <v>39</v>
      </c>
      <c r="E55" s="352" t="s">
        <v>172</v>
      </c>
      <c r="F55" s="344">
        <f>F54</f>
        <v>0</v>
      </c>
      <c r="G55" s="344">
        <f t="shared" ref="G55:AJ55" si="167">G54</f>
        <v>0</v>
      </c>
      <c r="H55" s="344">
        <f t="shared" si="167"/>
        <v>3587.9999999999995</v>
      </c>
      <c r="I55" s="344">
        <f t="shared" si="167"/>
        <v>3587.9999999999995</v>
      </c>
      <c r="J55" s="344">
        <f t="shared" si="167"/>
        <v>3587.9999999999995</v>
      </c>
      <c r="K55" s="344">
        <f t="shared" si="167"/>
        <v>3587.9999999999995</v>
      </c>
      <c r="L55" s="344">
        <f t="shared" si="167"/>
        <v>3587.9999999999995</v>
      </c>
      <c r="M55" s="344">
        <f t="shared" si="167"/>
        <v>3587.9999999999995</v>
      </c>
      <c r="N55" s="344">
        <f t="shared" si="167"/>
        <v>3587.9999999999995</v>
      </c>
      <c r="O55" s="344">
        <f t="shared" si="167"/>
        <v>3587.9999999999995</v>
      </c>
      <c r="P55" s="344">
        <f t="shared" si="167"/>
        <v>3587.9999999999995</v>
      </c>
      <c r="Q55" s="344">
        <f t="shared" si="167"/>
        <v>3587.9999999999995</v>
      </c>
      <c r="R55" s="344">
        <f t="shared" si="167"/>
        <v>3587.9999999999995</v>
      </c>
      <c r="S55" s="344">
        <f t="shared" si="167"/>
        <v>3587.9999999999995</v>
      </c>
      <c r="T55" s="344">
        <f t="shared" si="167"/>
        <v>3587.9999999999995</v>
      </c>
      <c r="U55" s="344">
        <f t="shared" si="167"/>
        <v>3587.9999999999995</v>
      </c>
      <c r="V55" s="344">
        <f t="shared" si="167"/>
        <v>3587.9999999999995</v>
      </c>
      <c r="W55" s="344">
        <f t="shared" si="167"/>
        <v>3587.9999999999995</v>
      </c>
      <c r="X55" s="344">
        <f t="shared" si="167"/>
        <v>3587.9999999999995</v>
      </c>
      <c r="Y55" s="344">
        <f t="shared" si="167"/>
        <v>3587.9999999999995</v>
      </c>
      <c r="Z55" s="344">
        <f t="shared" si="167"/>
        <v>3587.9999999999995</v>
      </c>
      <c r="AA55" s="344">
        <f t="shared" si="167"/>
        <v>3587.9999999999995</v>
      </c>
      <c r="AB55" s="344">
        <f t="shared" si="167"/>
        <v>3587.9999999999995</v>
      </c>
      <c r="AC55" s="344">
        <f t="shared" si="167"/>
        <v>3587.9999999999995</v>
      </c>
      <c r="AD55" s="344">
        <f t="shared" si="167"/>
        <v>3587.9999999999995</v>
      </c>
      <c r="AE55" s="344">
        <f t="shared" si="167"/>
        <v>3587.9999999999995</v>
      </c>
      <c r="AF55" s="344">
        <f t="shared" si="167"/>
        <v>3587.9999999999995</v>
      </c>
      <c r="AG55" s="344">
        <f t="shared" si="167"/>
        <v>3587.9999999999995</v>
      </c>
      <c r="AH55" s="344">
        <f t="shared" si="167"/>
        <v>3587.9999999999995</v>
      </c>
      <c r="AI55" s="344">
        <f t="shared" si="167"/>
        <v>3587.9999999999995</v>
      </c>
      <c r="AJ55" s="344">
        <f t="shared" si="167"/>
        <v>3587.9999999999995</v>
      </c>
      <c r="AK55" s="344">
        <f t="shared" ref="AK55:AO55" si="168">AK54</f>
        <v>3587.9999999999995</v>
      </c>
      <c r="AL55" s="344">
        <f t="shared" si="168"/>
        <v>3587.9999999999995</v>
      </c>
      <c r="AM55" s="344">
        <f t="shared" si="168"/>
        <v>3587.9999999999995</v>
      </c>
      <c r="AN55" s="344">
        <f t="shared" si="168"/>
        <v>3587.9999999999995</v>
      </c>
      <c r="AO55" s="344">
        <f t="shared" si="168"/>
        <v>3587.9999999999995</v>
      </c>
      <c r="AP55" s="259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</row>
    <row r="56" spans="1:76" hidden="1" outlineLevel="1">
      <c r="B56" s="352">
        <v>2022</v>
      </c>
      <c r="C56" s="352" t="s">
        <v>231</v>
      </c>
      <c r="D56" s="352" t="s">
        <v>39</v>
      </c>
      <c r="E56" s="352" t="s">
        <v>175</v>
      </c>
      <c r="F56" s="260"/>
      <c r="G56" s="260"/>
      <c r="H56" s="260">
        <f>13000/(5/1.15)</f>
        <v>2989.9999999999995</v>
      </c>
      <c r="I56" s="260">
        <f t="shared" ref="I56:AO56" si="169">13000/(5/1.15)</f>
        <v>2989.9999999999995</v>
      </c>
      <c r="J56" s="260">
        <f t="shared" si="169"/>
        <v>2989.9999999999995</v>
      </c>
      <c r="K56" s="260">
        <f t="shared" si="169"/>
        <v>2989.9999999999995</v>
      </c>
      <c r="L56" s="260">
        <f t="shared" si="169"/>
        <v>2989.9999999999995</v>
      </c>
      <c r="M56" s="260">
        <f t="shared" si="169"/>
        <v>2989.9999999999995</v>
      </c>
      <c r="N56" s="260">
        <f t="shared" si="169"/>
        <v>2989.9999999999995</v>
      </c>
      <c r="O56" s="260">
        <f t="shared" si="169"/>
        <v>2989.9999999999995</v>
      </c>
      <c r="P56" s="260">
        <f t="shared" si="169"/>
        <v>2989.9999999999995</v>
      </c>
      <c r="Q56" s="260">
        <f t="shared" si="169"/>
        <v>2989.9999999999995</v>
      </c>
      <c r="R56" s="260">
        <f t="shared" si="169"/>
        <v>2989.9999999999995</v>
      </c>
      <c r="S56" s="260">
        <f t="shared" si="169"/>
        <v>2989.9999999999995</v>
      </c>
      <c r="T56" s="260">
        <f t="shared" si="169"/>
        <v>2989.9999999999995</v>
      </c>
      <c r="U56" s="260">
        <f t="shared" si="169"/>
        <v>2989.9999999999995</v>
      </c>
      <c r="V56" s="260">
        <f t="shared" si="169"/>
        <v>2989.9999999999995</v>
      </c>
      <c r="W56" s="260">
        <f t="shared" si="169"/>
        <v>2989.9999999999995</v>
      </c>
      <c r="X56" s="260">
        <f t="shared" si="169"/>
        <v>2989.9999999999995</v>
      </c>
      <c r="Y56" s="260">
        <f t="shared" si="169"/>
        <v>2989.9999999999995</v>
      </c>
      <c r="Z56" s="260">
        <f t="shared" si="169"/>
        <v>2989.9999999999995</v>
      </c>
      <c r="AA56" s="260">
        <f t="shared" si="169"/>
        <v>2989.9999999999995</v>
      </c>
      <c r="AB56" s="260">
        <f t="shared" si="169"/>
        <v>2989.9999999999995</v>
      </c>
      <c r="AC56" s="260">
        <f t="shared" si="169"/>
        <v>2989.9999999999995</v>
      </c>
      <c r="AD56" s="260">
        <f t="shared" si="169"/>
        <v>2989.9999999999995</v>
      </c>
      <c r="AE56" s="260">
        <f t="shared" si="169"/>
        <v>2989.9999999999995</v>
      </c>
      <c r="AF56" s="260">
        <f t="shared" si="169"/>
        <v>2989.9999999999995</v>
      </c>
      <c r="AG56" s="260">
        <f t="shared" si="169"/>
        <v>2989.9999999999995</v>
      </c>
      <c r="AH56" s="260">
        <f t="shared" si="169"/>
        <v>2989.9999999999995</v>
      </c>
      <c r="AI56" s="260">
        <f t="shared" si="169"/>
        <v>2989.9999999999995</v>
      </c>
      <c r="AJ56" s="260">
        <f t="shared" si="169"/>
        <v>2989.9999999999995</v>
      </c>
      <c r="AK56" s="260">
        <f t="shared" si="169"/>
        <v>2989.9999999999995</v>
      </c>
      <c r="AL56" s="260">
        <f t="shared" si="169"/>
        <v>2989.9999999999995</v>
      </c>
      <c r="AM56" s="260">
        <f t="shared" si="169"/>
        <v>2989.9999999999995</v>
      </c>
      <c r="AN56" s="260">
        <f t="shared" si="169"/>
        <v>2989.9999999999995</v>
      </c>
      <c r="AO56" s="260">
        <f t="shared" si="169"/>
        <v>2989.9999999999995</v>
      </c>
      <c r="AP56" s="259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</row>
    <row r="57" spans="1:76" hidden="1" outlineLevel="1">
      <c r="B57" s="352">
        <v>2022</v>
      </c>
      <c r="C57" s="352" t="s">
        <v>231</v>
      </c>
      <c r="D57" s="352" t="s">
        <v>39</v>
      </c>
      <c r="E57" s="352" t="s">
        <v>131</v>
      </c>
      <c r="F57" s="333"/>
      <c r="G57" s="333"/>
      <c r="H57" s="260">
        <f>23800/(7/1.15)</f>
        <v>3909.9999999999995</v>
      </c>
      <c r="I57" s="260">
        <f t="shared" ref="I57:AO57" si="170">23800/(7/1.15)</f>
        <v>3909.9999999999995</v>
      </c>
      <c r="J57" s="260">
        <f t="shared" si="170"/>
        <v>3909.9999999999995</v>
      </c>
      <c r="K57" s="260">
        <f t="shared" si="170"/>
        <v>3909.9999999999995</v>
      </c>
      <c r="L57" s="260">
        <f t="shared" si="170"/>
        <v>3909.9999999999995</v>
      </c>
      <c r="M57" s="260">
        <f t="shared" si="170"/>
        <v>3909.9999999999995</v>
      </c>
      <c r="N57" s="260">
        <f t="shared" si="170"/>
        <v>3909.9999999999995</v>
      </c>
      <c r="O57" s="260">
        <f t="shared" si="170"/>
        <v>3909.9999999999995</v>
      </c>
      <c r="P57" s="260">
        <f t="shared" si="170"/>
        <v>3909.9999999999995</v>
      </c>
      <c r="Q57" s="260">
        <f t="shared" si="170"/>
        <v>3909.9999999999995</v>
      </c>
      <c r="R57" s="260">
        <f t="shared" si="170"/>
        <v>3909.9999999999995</v>
      </c>
      <c r="S57" s="260">
        <f t="shared" si="170"/>
        <v>3909.9999999999995</v>
      </c>
      <c r="T57" s="260">
        <f t="shared" si="170"/>
        <v>3909.9999999999995</v>
      </c>
      <c r="U57" s="260">
        <f t="shared" si="170"/>
        <v>3909.9999999999995</v>
      </c>
      <c r="V57" s="260">
        <f t="shared" si="170"/>
        <v>3909.9999999999995</v>
      </c>
      <c r="W57" s="260">
        <f t="shared" si="170"/>
        <v>3909.9999999999995</v>
      </c>
      <c r="X57" s="260">
        <f t="shared" si="170"/>
        <v>3909.9999999999995</v>
      </c>
      <c r="Y57" s="260">
        <f t="shared" si="170"/>
        <v>3909.9999999999995</v>
      </c>
      <c r="Z57" s="260">
        <f t="shared" si="170"/>
        <v>3909.9999999999995</v>
      </c>
      <c r="AA57" s="260">
        <f t="shared" si="170"/>
        <v>3909.9999999999995</v>
      </c>
      <c r="AB57" s="260">
        <f t="shared" si="170"/>
        <v>3909.9999999999995</v>
      </c>
      <c r="AC57" s="260">
        <f t="shared" si="170"/>
        <v>3909.9999999999995</v>
      </c>
      <c r="AD57" s="260">
        <f t="shared" si="170"/>
        <v>3909.9999999999995</v>
      </c>
      <c r="AE57" s="260">
        <f t="shared" si="170"/>
        <v>3909.9999999999995</v>
      </c>
      <c r="AF57" s="260">
        <f t="shared" si="170"/>
        <v>3909.9999999999995</v>
      </c>
      <c r="AG57" s="260">
        <f t="shared" si="170"/>
        <v>3909.9999999999995</v>
      </c>
      <c r="AH57" s="260">
        <f t="shared" si="170"/>
        <v>3909.9999999999995</v>
      </c>
      <c r="AI57" s="260">
        <f t="shared" si="170"/>
        <v>3909.9999999999995</v>
      </c>
      <c r="AJ57" s="260">
        <f t="shared" si="170"/>
        <v>3909.9999999999995</v>
      </c>
      <c r="AK57" s="260">
        <f t="shared" si="170"/>
        <v>3909.9999999999995</v>
      </c>
      <c r="AL57" s="260">
        <f t="shared" si="170"/>
        <v>3909.9999999999995</v>
      </c>
      <c r="AM57" s="260">
        <f t="shared" si="170"/>
        <v>3909.9999999999995</v>
      </c>
      <c r="AN57" s="260">
        <f t="shared" si="170"/>
        <v>3909.9999999999995</v>
      </c>
      <c r="AO57" s="260">
        <f t="shared" si="170"/>
        <v>3909.9999999999995</v>
      </c>
      <c r="AP57" s="259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</row>
    <row r="58" spans="1:76" hidden="1" outlineLevel="1">
      <c r="B58" s="352">
        <v>2022</v>
      </c>
      <c r="C58" s="352" t="s">
        <v>231</v>
      </c>
      <c r="D58" s="352" t="s">
        <v>39</v>
      </c>
      <c r="E58" s="352" t="s">
        <v>173</v>
      </c>
      <c r="F58" s="344">
        <f>F57</f>
        <v>0</v>
      </c>
      <c r="G58" s="344">
        <f t="shared" ref="G58" si="171">G57</f>
        <v>0</v>
      </c>
      <c r="H58" s="344">
        <f t="shared" ref="H58" si="172">H57</f>
        <v>3909.9999999999995</v>
      </c>
      <c r="I58" s="344">
        <f t="shared" ref="I58" si="173">I57</f>
        <v>3909.9999999999995</v>
      </c>
      <c r="J58" s="344">
        <f t="shared" ref="J58" si="174">J57</f>
        <v>3909.9999999999995</v>
      </c>
      <c r="K58" s="344">
        <f t="shared" ref="K58" si="175">K57</f>
        <v>3909.9999999999995</v>
      </c>
      <c r="L58" s="344">
        <f t="shared" ref="L58" si="176">L57</f>
        <v>3909.9999999999995</v>
      </c>
      <c r="M58" s="344">
        <f t="shared" ref="M58" si="177">M57</f>
        <v>3909.9999999999995</v>
      </c>
      <c r="N58" s="344">
        <f t="shared" ref="N58" si="178">N57</f>
        <v>3909.9999999999995</v>
      </c>
      <c r="O58" s="344">
        <f t="shared" ref="O58" si="179">O57</f>
        <v>3909.9999999999995</v>
      </c>
      <c r="P58" s="344">
        <f t="shared" ref="P58" si="180">P57</f>
        <v>3909.9999999999995</v>
      </c>
      <c r="Q58" s="344">
        <f t="shared" ref="Q58" si="181">Q57</f>
        <v>3909.9999999999995</v>
      </c>
      <c r="R58" s="344">
        <f t="shared" ref="R58" si="182">R57</f>
        <v>3909.9999999999995</v>
      </c>
      <c r="S58" s="344">
        <f t="shared" ref="S58" si="183">S57</f>
        <v>3909.9999999999995</v>
      </c>
      <c r="T58" s="344">
        <f t="shared" ref="T58" si="184">T57</f>
        <v>3909.9999999999995</v>
      </c>
      <c r="U58" s="344">
        <f t="shared" ref="U58" si="185">U57</f>
        <v>3909.9999999999995</v>
      </c>
      <c r="V58" s="344">
        <f t="shared" ref="V58" si="186">V57</f>
        <v>3909.9999999999995</v>
      </c>
      <c r="W58" s="344">
        <f t="shared" ref="W58" si="187">W57</f>
        <v>3909.9999999999995</v>
      </c>
      <c r="X58" s="344">
        <f t="shared" ref="X58" si="188">X57</f>
        <v>3909.9999999999995</v>
      </c>
      <c r="Y58" s="344">
        <f t="shared" ref="Y58" si="189">Y57</f>
        <v>3909.9999999999995</v>
      </c>
      <c r="Z58" s="344">
        <f t="shared" ref="Z58" si="190">Z57</f>
        <v>3909.9999999999995</v>
      </c>
      <c r="AA58" s="344">
        <f t="shared" ref="AA58" si="191">AA57</f>
        <v>3909.9999999999995</v>
      </c>
      <c r="AB58" s="344">
        <f t="shared" ref="AB58" si="192">AB57</f>
        <v>3909.9999999999995</v>
      </c>
      <c r="AC58" s="344">
        <f t="shared" ref="AC58" si="193">AC57</f>
        <v>3909.9999999999995</v>
      </c>
      <c r="AD58" s="344">
        <f t="shared" ref="AD58" si="194">AD57</f>
        <v>3909.9999999999995</v>
      </c>
      <c r="AE58" s="344">
        <f t="shared" ref="AE58" si="195">AE57</f>
        <v>3909.9999999999995</v>
      </c>
      <c r="AF58" s="344">
        <f t="shared" ref="AF58" si="196">AF57</f>
        <v>3909.9999999999995</v>
      </c>
      <c r="AG58" s="344">
        <f t="shared" ref="AG58" si="197">AG57</f>
        <v>3909.9999999999995</v>
      </c>
      <c r="AH58" s="344">
        <f t="shared" ref="AH58" si="198">AH57</f>
        <v>3909.9999999999995</v>
      </c>
      <c r="AI58" s="344">
        <f t="shared" ref="AI58" si="199">AI57</f>
        <v>3909.9999999999995</v>
      </c>
      <c r="AJ58" s="344">
        <f t="shared" ref="AJ58:AO58" si="200">AJ57</f>
        <v>3909.9999999999995</v>
      </c>
      <c r="AK58" s="344">
        <f t="shared" si="200"/>
        <v>3909.9999999999995</v>
      </c>
      <c r="AL58" s="344">
        <f t="shared" si="200"/>
        <v>3909.9999999999995</v>
      </c>
      <c r="AM58" s="344">
        <f t="shared" si="200"/>
        <v>3909.9999999999995</v>
      </c>
      <c r="AN58" s="344">
        <f t="shared" si="200"/>
        <v>3909.9999999999995</v>
      </c>
      <c r="AO58" s="344">
        <f t="shared" si="200"/>
        <v>3909.9999999999995</v>
      </c>
      <c r="AP58" s="259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</row>
    <row r="59" spans="1:76" hidden="1" outlineLevel="1">
      <c r="B59" s="352">
        <v>2022</v>
      </c>
      <c r="C59" s="352" t="s">
        <v>231</v>
      </c>
      <c r="D59" s="352" t="s">
        <v>39</v>
      </c>
      <c r="E59" s="352" t="s">
        <v>176</v>
      </c>
      <c r="F59" s="333"/>
      <c r="G59" s="333"/>
      <c r="H59" s="333">
        <f>14000/(5/1.15)</f>
        <v>3219.9999999999995</v>
      </c>
      <c r="I59" s="333">
        <f t="shared" ref="I59:AO59" si="201">14000/(5/1.15)</f>
        <v>3219.9999999999995</v>
      </c>
      <c r="J59" s="333">
        <f t="shared" si="201"/>
        <v>3219.9999999999995</v>
      </c>
      <c r="K59" s="333">
        <f t="shared" si="201"/>
        <v>3219.9999999999995</v>
      </c>
      <c r="L59" s="333">
        <f t="shared" si="201"/>
        <v>3219.9999999999995</v>
      </c>
      <c r="M59" s="333">
        <f t="shared" si="201"/>
        <v>3219.9999999999995</v>
      </c>
      <c r="N59" s="333">
        <f t="shared" si="201"/>
        <v>3219.9999999999995</v>
      </c>
      <c r="O59" s="333">
        <f t="shared" si="201"/>
        <v>3219.9999999999995</v>
      </c>
      <c r="P59" s="333">
        <f t="shared" si="201"/>
        <v>3219.9999999999995</v>
      </c>
      <c r="Q59" s="333">
        <f t="shared" si="201"/>
        <v>3219.9999999999995</v>
      </c>
      <c r="R59" s="333">
        <f t="shared" si="201"/>
        <v>3219.9999999999995</v>
      </c>
      <c r="S59" s="333">
        <f t="shared" si="201"/>
        <v>3219.9999999999995</v>
      </c>
      <c r="T59" s="333">
        <f t="shared" si="201"/>
        <v>3219.9999999999995</v>
      </c>
      <c r="U59" s="333">
        <f t="shared" si="201"/>
        <v>3219.9999999999995</v>
      </c>
      <c r="V59" s="333">
        <f t="shared" si="201"/>
        <v>3219.9999999999995</v>
      </c>
      <c r="W59" s="333">
        <f t="shared" si="201"/>
        <v>3219.9999999999995</v>
      </c>
      <c r="X59" s="333">
        <f t="shared" si="201"/>
        <v>3219.9999999999995</v>
      </c>
      <c r="Y59" s="333">
        <f t="shared" si="201"/>
        <v>3219.9999999999995</v>
      </c>
      <c r="Z59" s="333">
        <f t="shared" si="201"/>
        <v>3219.9999999999995</v>
      </c>
      <c r="AA59" s="333">
        <f t="shared" si="201"/>
        <v>3219.9999999999995</v>
      </c>
      <c r="AB59" s="333">
        <f t="shared" si="201"/>
        <v>3219.9999999999995</v>
      </c>
      <c r="AC59" s="333">
        <f t="shared" si="201"/>
        <v>3219.9999999999995</v>
      </c>
      <c r="AD59" s="333">
        <f t="shared" si="201"/>
        <v>3219.9999999999995</v>
      </c>
      <c r="AE59" s="333">
        <f t="shared" si="201"/>
        <v>3219.9999999999995</v>
      </c>
      <c r="AF59" s="333">
        <f t="shared" si="201"/>
        <v>3219.9999999999995</v>
      </c>
      <c r="AG59" s="333">
        <f t="shared" si="201"/>
        <v>3219.9999999999995</v>
      </c>
      <c r="AH59" s="333">
        <f t="shared" si="201"/>
        <v>3219.9999999999995</v>
      </c>
      <c r="AI59" s="333">
        <f t="shared" si="201"/>
        <v>3219.9999999999995</v>
      </c>
      <c r="AJ59" s="333">
        <f t="shared" si="201"/>
        <v>3219.9999999999995</v>
      </c>
      <c r="AK59" s="333">
        <f t="shared" si="201"/>
        <v>3219.9999999999995</v>
      </c>
      <c r="AL59" s="333">
        <f t="shared" si="201"/>
        <v>3219.9999999999995</v>
      </c>
      <c r="AM59" s="333">
        <f t="shared" si="201"/>
        <v>3219.9999999999995</v>
      </c>
      <c r="AN59" s="333">
        <f t="shared" si="201"/>
        <v>3219.9999999999995</v>
      </c>
      <c r="AO59" s="333">
        <f t="shared" si="201"/>
        <v>3219.9999999999995</v>
      </c>
      <c r="AP59" s="259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</row>
    <row r="60" spans="1:76" hidden="1" outlineLevel="1">
      <c r="B60" s="352">
        <v>2022</v>
      </c>
      <c r="C60" s="352" t="s">
        <v>231</v>
      </c>
      <c r="D60" s="352" t="s">
        <v>39</v>
      </c>
      <c r="E60" s="352" t="s">
        <v>133</v>
      </c>
      <c r="F60" s="333"/>
      <c r="G60" s="333"/>
      <c r="H60" s="260">
        <f>276960/(120/1.15)</f>
        <v>2654.2</v>
      </c>
      <c r="I60" s="260">
        <f t="shared" ref="I60:AO60" si="202">276960/(120/1.15)</f>
        <v>2654.2</v>
      </c>
      <c r="J60" s="260">
        <f t="shared" si="202"/>
        <v>2654.2</v>
      </c>
      <c r="K60" s="260">
        <f t="shared" si="202"/>
        <v>2654.2</v>
      </c>
      <c r="L60" s="260">
        <f t="shared" si="202"/>
        <v>2654.2</v>
      </c>
      <c r="M60" s="260">
        <f t="shared" si="202"/>
        <v>2654.2</v>
      </c>
      <c r="N60" s="260">
        <f t="shared" si="202"/>
        <v>2654.2</v>
      </c>
      <c r="O60" s="260">
        <f t="shared" si="202"/>
        <v>2654.2</v>
      </c>
      <c r="P60" s="260">
        <f t="shared" si="202"/>
        <v>2654.2</v>
      </c>
      <c r="Q60" s="260">
        <f t="shared" si="202"/>
        <v>2654.2</v>
      </c>
      <c r="R60" s="260">
        <f t="shared" si="202"/>
        <v>2654.2</v>
      </c>
      <c r="S60" s="260">
        <f t="shared" si="202"/>
        <v>2654.2</v>
      </c>
      <c r="T60" s="260">
        <f t="shared" si="202"/>
        <v>2654.2</v>
      </c>
      <c r="U60" s="260">
        <f t="shared" si="202"/>
        <v>2654.2</v>
      </c>
      <c r="V60" s="260">
        <f t="shared" si="202"/>
        <v>2654.2</v>
      </c>
      <c r="W60" s="260">
        <f t="shared" si="202"/>
        <v>2654.2</v>
      </c>
      <c r="X60" s="260">
        <f t="shared" si="202"/>
        <v>2654.2</v>
      </c>
      <c r="Y60" s="260">
        <f t="shared" si="202"/>
        <v>2654.2</v>
      </c>
      <c r="Z60" s="260">
        <f t="shared" si="202"/>
        <v>2654.2</v>
      </c>
      <c r="AA60" s="260">
        <f t="shared" si="202"/>
        <v>2654.2</v>
      </c>
      <c r="AB60" s="260">
        <f t="shared" si="202"/>
        <v>2654.2</v>
      </c>
      <c r="AC60" s="260">
        <f t="shared" si="202"/>
        <v>2654.2</v>
      </c>
      <c r="AD60" s="260">
        <f t="shared" si="202"/>
        <v>2654.2</v>
      </c>
      <c r="AE60" s="260">
        <f t="shared" si="202"/>
        <v>2654.2</v>
      </c>
      <c r="AF60" s="260">
        <f t="shared" si="202"/>
        <v>2654.2</v>
      </c>
      <c r="AG60" s="260">
        <f t="shared" si="202"/>
        <v>2654.2</v>
      </c>
      <c r="AH60" s="260">
        <f t="shared" si="202"/>
        <v>2654.2</v>
      </c>
      <c r="AI60" s="260">
        <f t="shared" si="202"/>
        <v>2654.2</v>
      </c>
      <c r="AJ60" s="260">
        <f t="shared" si="202"/>
        <v>2654.2</v>
      </c>
      <c r="AK60" s="260">
        <f t="shared" si="202"/>
        <v>2654.2</v>
      </c>
      <c r="AL60" s="260">
        <f t="shared" si="202"/>
        <v>2654.2</v>
      </c>
      <c r="AM60" s="260">
        <f t="shared" si="202"/>
        <v>2654.2</v>
      </c>
      <c r="AN60" s="260">
        <f t="shared" si="202"/>
        <v>2654.2</v>
      </c>
      <c r="AO60" s="260">
        <f t="shared" si="202"/>
        <v>2654.2</v>
      </c>
      <c r="AP60" s="259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</row>
    <row r="61" spans="1:76" hidden="1" outlineLevel="1">
      <c r="B61" s="352">
        <v>2022</v>
      </c>
      <c r="C61" s="352" t="s">
        <v>231</v>
      </c>
      <c r="D61" s="352" t="s">
        <v>39</v>
      </c>
      <c r="E61" s="352" t="s">
        <v>174</v>
      </c>
      <c r="F61" s="344">
        <f>F60</f>
        <v>0</v>
      </c>
      <c r="G61" s="344">
        <f t="shared" ref="G61" si="203">G60</f>
        <v>0</v>
      </c>
      <c r="H61" s="344">
        <f t="shared" ref="H61" si="204">H60</f>
        <v>2654.2</v>
      </c>
      <c r="I61" s="344">
        <f t="shared" ref="I61" si="205">I60</f>
        <v>2654.2</v>
      </c>
      <c r="J61" s="344">
        <f t="shared" ref="J61" si="206">J60</f>
        <v>2654.2</v>
      </c>
      <c r="K61" s="344">
        <f t="shared" ref="K61" si="207">K60</f>
        <v>2654.2</v>
      </c>
      <c r="L61" s="344">
        <f t="shared" ref="L61" si="208">L60</f>
        <v>2654.2</v>
      </c>
      <c r="M61" s="344">
        <f t="shared" ref="M61" si="209">M60</f>
        <v>2654.2</v>
      </c>
      <c r="N61" s="344">
        <f t="shared" ref="N61" si="210">N60</f>
        <v>2654.2</v>
      </c>
      <c r="O61" s="344">
        <f t="shared" ref="O61" si="211">O60</f>
        <v>2654.2</v>
      </c>
      <c r="P61" s="344">
        <f t="shared" ref="P61" si="212">P60</f>
        <v>2654.2</v>
      </c>
      <c r="Q61" s="344">
        <f t="shared" ref="Q61" si="213">Q60</f>
        <v>2654.2</v>
      </c>
      <c r="R61" s="344">
        <f t="shared" ref="R61" si="214">R60</f>
        <v>2654.2</v>
      </c>
      <c r="S61" s="344">
        <f t="shared" ref="S61" si="215">S60</f>
        <v>2654.2</v>
      </c>
      <c r="T61" s="344">
        <f t="shared" ref="T61" si="216">T60</f>
        <v>2654.2</v>
      </c>
      <c r="U61" s="344">
        <f t="shared" ref="U61" si="217">U60</f>
        <v>2654.2</v>
      </c>
      <c r="V61" s="344">
        <f t="shared" ref="V61" si="218">V60</f>
        <v>2654.2</v>
      </c>
      <c r="W61" s="344">
        <f t="shared" ref="W61" si="219">W60</f>
        <v>2654.2</v>
      </c>
      <c r="X61" s="344">
        <f t="shared" ref="X61" si="220">X60</f>
        <v>2654.2</v>
      </c>
      <c r="Y61" s="344">
        <f t="shared" ref="Y61" si="221">Y60</f>
        <v>2654.2</v>
      </c>
      <c r="Z61" s="344">
        <f t="shared" ref="Z61" si="222">Z60</f>
        <v>2654.2</v>
      </c>
      <c r="AA61" s="344">
        <f t="shared" ref="AA61" si="223">AA60</f>
        <v>2654.2</v>
      </c>
      <c r="AB61" s="344">
        <f t="shared" ref="AB61" si="224">AB60</f>
        <v>2654.2</v>
      </c>
      <c r="AC61" s="344">
        <f t="shared" ref="AC61" si="225">AC60</f>
        <v>2654.2</v>
      </c>
      <c r="AD61" s="344">
        <f t="shared" ref="AD61" si="226">AD60</f>
        <v>2654.2</v>
      </c>
      <c r="AE61" s="344">
        <f t="shared" ref="AE61" si="227">AE60</f>
        <v>2654.2</v>
      </c>
      <c r="AF61" s="344">
        <f t="shared" ref="AF61" si="228">AF60</f>
        <v>2654.2</v>
      </c>
      <c r="AG61" s="344">
        <f t="shared" ref="AG61" si="229">AG60</f>
        <v>2654.2</v>
      </c>
      <c r="AH61" s="344">
        <f t="shared" ref="AH61" si="230">AH60</f>
        <v>2654.2</v>
      </c>
      <c r="AI61" s="344">
        <f t="shared" ref="AI61" si="231">AI60</f>
        <v>2654.2</v>
      </c>
      <c r="AJ61" s="344">
        <f t="shared" ref="AJ61:AO61" si="232">AJ60</f>
        <v>2654.2</v>
      </c>
      <c r="AK61" s="344">
        <f t="shared" si="232"/>
        <v>2654.2</v>
      </c>
      <c r="AL61" s="344">
        <f t="shared" si="232"/>
        <v>2654.2</v>
      </c>
      <c r="AM61" s="344">
        <f t="shared" si="232"/>
        <v>2654.2</v>
      </c>
      <c r="AN61" s="344">
        <f t="shared" si="232"/>
        <v>2654.2</v>
      </c>
      <c r="AO61" s="344">
        <f t="shared" si="232"/>
        <v>2654.2</v>
      </c>
      <c r="AP61" s="259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</row>
    <row r="62" spans="1:76" hidden="1" outlineLevel="1">
      <c r="B62" s="352">
        <v>2022</v>
      </c>
      <c r="C62" s="352" t="s">
        <v>231</v>
      </c>
      <c r="D62" s="352" t="s">
        <v>39</v>
      </c>
      <c r="E62" s="352" t="s">
        <v>177</v>
      </c>
      <c r="F62" s="260"/>
      <c r="G62" s="260"/>
      <c r="H62" s="260">
        <f>H59*0.8</f>
        <v>2576</v>
      </c>
      <c r="I62" s="260">
        <f t="shared" ref="I62:AJ62" si="233">I59*0.8</f>
        <v>2576</v>
      </c>
      <c r="J62" s="260">
        <f t="shared" si="233"/>
        <v>2576</v>
      </c>
      <c r="K62" s="260">
        <f t="shared" si="233"/>
        <v>2576</v>
      </c>
      <c r="L62" s="260">
        <f t="shared" si="233"/>
        <v>2576</v>
      </c>
      <c r="M62" s="260">
        <f t="shared" si="233"/>
        <v>2576</v>
      </c>
      <c r="N62" s="260">
        <f t="shared" si="233"/>
        <v>2576</v>
      </c>
      <c r="O62" s="260">
        <f t="shared" si="233"/>
        <v>2576</v>
      </c>
      <c r="P62" s="260">
        <f t="shared" si="233"/>
        <v>2576</v>
      </c>
      <c r="Q62" s="260">
        <f t="shared" si="233"/>
        <v>2576</v>
      </c>
      <c r="R62" s="260">
        <f t="shared" si="233"/>
        <v>2576</v>
      </c>
      <c r="S62" s="260">
        <f t="shared" si="233"/>
        <v>2576</v>
      </c>
      <c r="T62" s="260">
        <f t="shared" si="233"/>
        <v>2576</v>
      </c>
      <c r="U62" s="260">
        <f t="shared" si="233"/>
        <v>2576</v>
      </c>
      <c r="V62" s="260">
        <f t="shared" si="233"/>
        <v>2576</v>
      </c>
      <c r="W62" s="260">
        <f t="shared" si="233"/>
        <v>2576</v>
      </c>
      <c r="X62" s="260">
        <f t="shared" si="233"/>
        <v>2576</v>
      </c>
      <c r="Y62" s="260">
        <f t="shared" si="233"/>
        <v>2576</v>
      </c>
      <c r="Z62" s="260">
        <f t="shared" si="233"/>
        <v>2576</v>
      </c>
      <c r="AA62" s="260">
        <f t="shared" si="233"/>
        <v>2576</v>
      </c>
      <c r="AB62" s="260">
        <f t="shared" si="233"/>
        <v>2576</v>
      </c>
      <c r="AC62" s="260">
        <f t="shared" si="233"/>
        <v>2576</v>
      </c>
      <c r="AD62" s="260">
        <f t="shared" si="233"/>
        <v>2576</v>
      </c>
      <c r="AE62" s="260">
        <f t="shared" si="233"/>
        <v>2576</v>
      </c>
      <c r="AF62" s="260">
        <f t="shared" si="233"/>
        <v>2576</v>
      </c>
      <c r="AG62" s="260">
        <f t="shared" si="233"/>
        <v>2576</v>
      </c>
      <c r="AH62" s="260">
        <f t="shared" si="233"/>
        <v>2576</v>
      </c>
      <c r="AI62" s="260">
        <f t="shared" si="233"/>
        <v>2576</v>
      </c>
      <c r="AJ62" s="260">
        <f t="shared" si="233"/>
        <v>2576</v>
      </c>
      <c r="AK62" s="260">
        <f t="shared" ref="AK62:AO62" si="234">AK59*0.8</f>
        <v>2576</v>
      </c>
      <c r="AL62" s="260">
        <f t="shared" si="234"/>
        <v>2576</v>
      </c>
      <c r="AM62" s="260">
        <f t="shared" si="234"/>
        <v>2576</v>
      </c>
      <c r="AN62" s="260">
        <f t="shared" si="234"/>
        <v>2576</v>
      </c>
      <c r="AO62" s="260">
        <f t="shared" si="234"/>
        <v>2576</v>
      </c>
      <c r="AP62" s="259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</row>
    <row r="63" spans="1:76" hidden="1" outlineLevel="1">
      <c r="B63" s="352">
        <v>2020</v>
      </c>
      <c r="C63" s="352" t="s">
        <v>239</v>
      </c>
      <c r="D63" s="352" t="s">
        <v>39</v>
      </c>
      <c r="E63" s="352" t="s">
        <v>8</v>
      </c>
      <c r="F63" s="260">
        <f>F66/((950+800)/2)*((1200+1450)/2)</f>
        <v>1972.7715238618898</v>
      </c>
      <c r="G63" s="260">
        <f t="shared" ref="G63:AJ63" si="235">G66/((950+800)/2)*((1200+1450)/2)</f>
        <v>1725.0742857142859</v>
      </c>
      <c r="H63" s="260">
        <f t="shared" si="235"/>
        <v>1656.9534477910186</v>
      </c>
      <c r="I63" s="260">
        <f t="shared" si="235"/>
        <v>1588.8326098677512</v>
      </c>
      <c r="J63" s="260">
        <f t="shared" si="235"/>
        <v>1520.7117719444841</v>
      </c>
      <c r="K63" s="260">
        <f t="shared" si="235"/>
        <v>1452.5909340212168</v>
      </c>
      <c r="L63" s="260">
        <f t="shared" si="235"/>
        <v>1384.4700960979496</v>
      </c>
      <c r="M63" s="260">
        <f t="shared" si="235"/>
        <v>1316.3492581746825</v>
      </c>
      <c r="N63" s="260">
        <f t="shared" si="235"/>
        <v>1248.2284202514152</v>
      </c>
      <c r="O63" s="260">
        <f t="shared" si="235"/>
        <v>1180.1075823281481</v>
      </c>
      <c r="P63" s="260">
        <f t="shared" si="235"/>
        <v>1111.9867444048809</v>
      </c>
      <c r="Q63" s="260">
        <f t="shared" si="235"/>
        <v>1102.0779904706619</v>
      </c>
      <c r="R63" s="260">
        <f t="shared" si="235"/>
        <v>1092.1692365364431</v>
      </c>
      <c r="S63" s="260">
        <f t="shared" si="235"/>
        <v>1082.2604826022243</v>
      </c>
      <c r="T63" s="260">
        <f t="shared" si="235"/>
        <v>1072.3517286680053</v>
      </c>
      <c r="U63" s="260">
        <f t="shared" si="235"/>
        <v>1062.4429747337863</v>
      </c>
      <c r="V63" s="260">
        <f t="shared" si="235"/>
        <v>1052.5342207995673</v>
      </c>
      <c r="W63" s="260">
        <f t="shared" si="235"/>
        <v>1042.6254668653485</v>
      </c>
      <c r="X63" s="260">
        <f t="shared" si="235"/>
        <v>1032.7167129311297</v>
      </c>
      <c r="Y63" s="260">
        <f t="shared" si="235"/>
        <v>1022.8079589969107</v>
      </c>
      <c r="Z63" s="260">
        <f t="shared" si="235"/>
        <v>1012.8992050626917</v>
      </c>
      <c r="AA63" s="260">
        <f t="shared" si="235"/>
        <v>1002.9904511284727</v>
      </c>
      <c r="AB63" s="260">
        <f t="shared" si="235"/>
        <v>993.08169719425382</v>
      </c>
      <c r="AC63" s="260">
        <f t="shared" si="235"/>
        <v>983.17294326003503</v>
      </c>
      <c r="AD63" s="260">
        <f t="shared" si="235"/>
        <v>973.26418932581601</v>
      </c>
      <c r="AE63" s="260">
        <f t="shared" si="235"/>
        <v>963.3554353915971</v>
      </c>
      <c r="AF63" s="260">
        <f t="shared" si="235"/>
        <v>953.44668145737808</v>
      </c>
      <c r="AG63" s="260">
        <f t="shared" si="235"/>
        <v>943.53792752315928</v>
      </c>
      <c r="AH63" s="260">
        <f t="shared" si="235"/>
        <v>933.62917358894038</v>
      </c>
      <c r="AI63" s="260">
        <f t="shared" si="235"/>
        <v>923.72041965472135</v>
      </c>
      <c r="AJ63" s="260">
        <f t="shared" si="235"/>
        <v>913.81166572050256</v>
      </c>
      <c r="AK63" s="260">
        <f t="shared" ref="AK63:AO63" si="236">AK66/((950+800)/2)*((1200+1450)/2)</f>
        <v>903.90291178628388</v>
      </c>
      <c r="AL63" s="260">
        <f t="shared" si="236"/>
        <v>893.99415785206509</v>
      </c>
      <c r="AM63" s="260">
        <f t="shared" si="236"/>
        <v>884.08540391784641</v>
      </c>
      <c r="AN63" s="260">
        <f t="shared" si="236"/>
        <v>874.17664998362761</v>
      </c>
      <c r="AO63" s="260">
        <f t="shared" si="236"/>
        <v>864.26789604940882</v>
      </c>
      <c r="AP63" s="259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</row>
    <row r="64" spans="1:76" hidden="1" outlineLevel="1">
      <c r="B64" s="352">
        <v>2020</v>
      </c>
      <c r="C64" s="352" t="s">
        <v>239</v>
      </c>
      <c r="D64" s="352" t="s">
        <v>39</v>
      </c>
      <c r="E64" s="352" t="s">
        <v>171</v>
      </c>
      <c r="F64" s="344">
        <f>F63</f>
        <v>1972.7715238618898</v>
      </c>
      <c r="G64" s="344">
        <f t="shared" ref="G64:AJ64" si="237">G63</f>
        <v>1725.0742857142859</v>
      </c>
      <c r="H64" s="344">
        <f t="shared" si="237"/>
        <v>1656.9534477910186</v>
      </c>
      <c r="I64" s="344">
        <f t="shared" si="237"/>
        <v>1588.8326098677512</v>
      </c>
      <c r="J64" s="344">
        <f t="shared" si="237"/>
        <v>1520.7117719444841</v>
      </c>
      <c r="K64" s="344">
        <f t="shared" si="237"/>
        <v>1452.5909340212168</v>
      </c>
      <c r="L64" s="344">
        <f t="shared" si="237"/>
        <v>1384.4700960979496</v>
      </c>
      <c r="M64" s="344">
        <f t="shared" si="237"/>
        <v>1316.3492581746825</v>
      </c>
      <c r="N64" s="344">
        <f t="shared" si="237"/>
        <v>1248.2284202514152</v>
      </c>
      <c r="O64" s="344">
        <f t="shared" si="237"/>
        <v>1180.1075823281481</v>
      </c>
      <c r="P64" s="344">
        <f t="shared" si="237"/>
        <v>1111.9867444048809</v>
      </c>
      <c r="Q64" s="344">
        <f t="shared" si="237"/>
        <v>1102.0779904706619</v>
      </c>
      <c r="R64" s="344">
        <f t="shared" si="237"/>
        <v>1092.1692365364431</v>
      </c>
      <c r="S64" s="344">
        <f t="shared" si="237"/>
        <v>1082.2604826022243</v>
      </c>
      <c r="T64" s="344">
        <f t="shared" si="237"/>
        <v>1072.3517286680053</v>
      </c>
      <c r="U64" s="344">
        <f t="shared" si="237"/>
        <v>1062.4429747337863</v>
      </c>
      <c r="V64" s="344">
        <f t="shared" si="237"/>
        <v>1052.5342207995673</v>
      </c>
      <c r="W64" s="344">
        <f t="shared" si="237"/>
        <v>1042.6254668653485</v>
      </c>
      <c r="X64" s="344">
        <f t="shared" si="237"/>
        <v>1032.7167129311297</v>
      </c>
      <c r="Y64" s="344">
        <f t="shared" si="237"/>
        <v>1022.8079589969107</v>
      </c>
      <c r="Z64" s="344">
        <f t="shared" si="237"/>
        <v>1012.8992050626917</v>
      </c>
      <c r="AA64" s="344">
        <f t="shared" si="237"/>
        <v>1002.9904511284727</v>
      </c>
      <c r="AB64" s="344">
        <f t="shared" si="237"/>
        <v>993.08169719425382</v>
      </c>
      <c r="AC64" s="344">
        <f t="shared" si="237"/>
        <v>983.17294326003503</v>
      </c>
      <c r="AD64" s="344">
        <f t="shared" si="237"/>
        <v>973.26418932581601</v>
      </c>
      <c r="AE64" s="344">
        <f t="shared" si="237"/>
        <v>963.3554353915971</v>
      </c>
      <c r="AF64" s="344">
        <f t="shared" si="237"/>
        <v>953.44668145737808</v>
      </c>
      <c r="AG64" s="344">
        <f t="shared" si="237"/>
        <v>943.53792752315928</v>
      </c>
      <c r="AH64" s="344">
        <f t="shared" si="237"/>
        <v>933.62917358894038</v>
      </c>
      <c r="AI64" s="344">
        <f t="shared" si="237"/>
        <v>923.72041965472135</v>
      </c>
      <c r="AJ64" s="344">
        <f t="shared" si="237"/>
        <v>913.81166572050256</v>
      </c>
      <c r="AK64" s="344">
        <f t="shared" ref="AK64:AO64" si="238">AK63</f>
        <v>903.90291178628388</v>
      </c>
      <c r="AL64" s="344">
        <f t="shared" si="238"/>
        <v>893.99415785206509</v>
      </c>
      <c r="AM64" s="344">
        <f t="shared" si="238"/>
        <v>884.08540391784641</v>
      </c>
      <c r="AN64" s="344">
        <f t="shared" si="238"/>
        <v>874.17664998362761</v>
      </c>
      <c r="AO64" s="344">
        <f t="shared" si="238"/>
        <v>864.26789604940882</v>
      </c>
      <c r="AP64" s="259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</row>
    <row r="65" spans="1:76" hidden="1" outlineLevel="1">
      <c r="B65" s="352">
        <v>2020</v>
      </c>
      <c r="C65" s="352" t="s">
        <v>236</v>
      </c>
      <c r="D65" s="352" t="s">
        <v>39</v>
      </c>
      <c r="E65" s="352" t="s">
        <v>170</v>
      </c>
      <c r="F65" s="260">
        <f>F69*305/231</f>
        <v>2280.5476435797282</v>
      </c>
      <c r="G65" s="260">
        <f t="shared" ref="G65:AJ65" si="239">G69*305/231</f>
        <v>1948.1144514186174</v>
      </c>
      <c r="H65" s="260">
        <f>H69*305/231</f>
        <v>1809.9503059279355</v>
      </c>
      <c r="I65" s="260">
        <f t="shared" si="239"/>
        <v>1657.9697458881853</v>
      </c>
      <c r="J65" s="260">
        <f t="shared" si="239"/>
        <v>1540.5302222211051</v>
      </c>
      <c r="K65" s="260">
        <f t="shared" si="239"/>
        <v>1457.6317349266963</v>
      </c>
      <c r="L65" s="260">
        <f t="shared" si="239"/>
        <v>1395.4578694558891</v>
      </c>
      <c r="M65" s="260">
        <f t="shared" si="239"/>
        <v>1340.192211259616</v>
      </c>
      <c r="N65" s="260">
        <f t="shared" si="239"/>
        <v>1278.0183457888095</v>
      </c>
      <c r="O65" s="260">
        <f t="shared" si="239"/>
        <v>1229.6608948670705</v>
      </c>
      <c r="P65" s="260">
        <f t="shared" si="239"/>
        <v>1181.3034439453318</v>
      </c>
      <c r="Q65" s="260">
        <f t="shared" si="239"/>
        <v>1167.1243485143516</v>
      </c>
      <c r="R65" s="260">
        <f t="shared" si="239"/>
        <v>1152.3580554650327</v>
      </c>
      <c r="S65" s="260">
        <f t="shared" si="239"/>
        <v>1137.5917624157178</v>
      </c>
      <c r="T65" s="260">
        <f t="shared" si="239"/>
        <v>1122.825469366403</v>
      </c>
      <c r="U65" s="260">
        <f t="shared" si="239"/>
        <v>1108.0591763170842</v>
      </c>
      <c r="V65" s="260">
        <f t="shared" si="239"/>
        <v>1093.292883267768</v>
      </c>
      <c r="W65" s="260">
        <f t="shared" si="239"/>
        <v>1078.5265902184494</v>
      </c>
      <c r="X65" s="260">
        <f t="shared" si="239"/>
        <v>1063.7602971691344</v>
      </c>
      <c r="Y65" s="260">
        <f t="shared" si="239"/>
        <v>1048.9940041198197</v>
      </c>
      <c r="Z65" s="260">
        <f t="shared" si="239"/>
        <v>1034.2277110705008</v>
      </c>
      <c r="AA65" s="260">
        <f t="shared" si="239"/>
        <v>1019.4614180211848</v>
      </c>
      <c r="AB65" s="260">
        <f t="shared" si="239"/>
        <v>1004.6951249718662</v>
      </c>
      <c r="AC65" s="260">
        <f t="shared" si="239"/>
        <v>989.92883192255124</v>
      </c>
      <c r="AD65" s="260">
        <f t="shared" si="239"/>
        <v>975.16253887323637</v>
      </c>
      <c r="AE65" s="260">
        <f t="shared" si="239"/>
        <v>960.39624582391775</v>
      </c>
      <c r="AF65" s="260">
        <f t="shared" si="239"/>
        <v>945.62995277460163</v>
      </c>
      <c r="AG65" s="260">
        <f t="shared" si="239"/>
        <v>930.86365972528301</v>
      </c>
      <c r="AH65" s="260">
        <f t="shared" si="239"/>
        <v>916.09736667596815</v>
      </c>
      <c r="AI65" s="260">
        <f t="shared" si="239"/>
        <v>901.33107362665328</v>
      </c>
      <c r="AJ65" s="260">
        <f t="shared" si="239"/>
        <v>886.56478057733455</v>
      </c>
      <c r="AK65" s="260">
        <f t="shared" ref="AK65:AO65" si="240">AK69*305/231</f>
        <v>871.7984875280157</v>
      </c>
      <c r="AL65" s="260">
        <f t="shared" si="240"/>
        <v>857.03219447869708</v>
      </c>
      <c r="AM65" s="260">
        <f t="shared" si="240"/>
        <v>842.26590142937835</v>
      </c>
      <c r="AN65" s="260">
        <f t="shared" si="240"/>
        <v>827.49960838005961</v>
      </c>
      <c r="AO65" s="260">
        <f t="shared" si="240"/>
        <v>812.73331533074077</v>
      </c>
      <c r="AP65" s="259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</row>
    <row r="66" spans="1:76" hidden="1" outlineLevel="1">
      <c r="A66" s="355" t="s">
        <v>343</v>
      </c>
      <c r="B66" s="352">
        <v>2020</v>
      </c>
      <c r="C66" s="352" t="s">
        <v>410</v>
      </c>
      <c r="D66" s="352" t="s">
        <v>39</v>
      </c>
      <c r="E66" s="352" t="s">
        <v>138</v>
      </c>
      <c r="F66" s="382">
        <v>1302.7736478333236</v>
      </c>
      <c r="G66" s="382">
        <v>1139.2</v>
      </c>
      <c r="H66" s="382">
        <v>1094.2145409940688</v>
      </c>
      <c r="I66" s="382">
        <v>1049.2290819881375</v>
      </c>
      <c r="J66" s="382">
        <v>1004.2436229822064</v>
      </c>
      <c r="K66" s="382">
        <v>959.25816397627523</v>
      </c>
      <c r="L66" s="382">
        <v>914.27270497034408</v>
      </c>
      <c r="M66" s="382">
        <v>869.28724596441293</v>
      </c>
      <c r="N66" s="382">
        <v>824.30178695848178</v>
      </c>
      <c r="O66" s="382">
        <v>779.31632795255064</v>
      </c>
      <c r="P66" s="382">
        <v>734.33086894661949</v>
      </c>
      <c r="Q66" s="382">
        <v>727.78735219760699</v>
      </c>
      <c r="R66" s="382">
        <v>721.2438354485945</v>
      </c>
      <c r="S66" s="382">
        <v>714.700318699582</v>
      </c>
      <c r="T66" s="382">
        <v>708.1568019505695</v>
      </c>
      <c r="U66" s="382">
        <v>701.61328520155701</v>
      </c>
      <c r="V66" s="382">
        <v>695.06976845254451</v>
      </c>
      <c r="W66" s="382">
        <v>688.52625170353201</v>
      </c>
      <c r="X66" s="382">
        <v>681.98273495451951</v>
      </c>
      <c r="Y66" s="382">
        <v>675.43921820550702</v>
      </c>
      <c r="Z66" s="382">
        <v>668.89570145649452</v>
      </c>
      <c r="AA66" s="382">
        <v>662.35218470748202</v>
      </c>
      <c r="AB66" s="382">
        <v>655.80866795846953</v>
      </c>
      <c r="AC66" s="382">
        <v>649.26515120945703</v>
      </c>
      <c r="AD66" s="382">
        <v>642.72163446044453</v>
      </c>
      <c r="AE66" s="382">
        <v>636.17811771143204</v>
      </c>
      <c r="AF66" s="382">
        <v>629.63460096241954</v>
      </c>
      <c r="AG66" s="382">
        <v>623.09108421340704</v>
      </c>
      <c r="AH66" s="382">
        <v>616.54756746439455</v>
      </c>
      <c r="AI66" s="382">
        <v>610.00405071538205</v>
      </c>
      <c r="AJ66" s="382">
        <v>603.46053396636967</v>
      </c>
      <c r="AK66" s="260">
        <f>AJ66-(AI66-AJ66)</f>
        <v>596.91701721735728</v>
      </c>
      <c r="AL66" s="260">
        <f t="shared" ref="AL66:AO66" si="241">AK66-(AJ66-AK66)</f>
        <v>590.3735004683449</v>
      </c>
      <c r="AM66" s="260">
        <f t="shared" si="241"/>
        <v>583.82998371933252</v>
      </c>
      <c r="AN66" s="260">
        <f t="shared" si="241"/>
        <v>577.28646697032013</v>
      </c>
      <c r="AO66" s="260">
        <f t="shared" si="241"/>
        <v>570.74295022130775</v>
      </c>
      <c r="AP66" s="259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</row>
    <row r="67" spans="1:76" hidden="1" outlineLevel="1">
      <c r="A67" s="355" t="s">
        <v>344</v>
      </c>
      <c r="B67" s="352">
        <v>2020</v>
      </c>
      <c r="C67" s="352" t="s">
        <v>411</v>
      </c>
      <c r="D67" s="352" t="s">
        <v>39</v>
      </c>
      <c r="E67" s="352" t="s">
        <v>10</v>
      </c>
      <c r="F67" s="382">
        <v>1452.7736478333236</v>
      </c>
      <c r="G67" s="382">
        <v>1289.2</v>
      </c>
      <c r="H67" s="382">
        <v>1244.2145409940688</v>
      </c>
      <c r="I67" s="382">
        <v>1199.2290819881375</v>
      </c>
      <c r="J67" s="382">
        <v>1154.2436229822065</v>
      </c>
      <c r="K67" s="382">
        <v>1109.2581639762752</v>
      </c>
      <c r="L67" s="382">
        <v>1064.272704970344</v>
      </c>
      <c r="M67" s="382">
        <v>1019.2872459644129</v>
      </c>
      <c r="N67" s="382">
        <v>974.30178695848178</v>
      </c>
      <c r="O67" s="382">
        <v>929.31632795255064</v>
      </c>
      <c r="P67" s="382">
        <v>884.33086894661949</v>
      </c>
      <c r="Q67" s="382">
        <v>877.78735219760699</v>
      </c>
      <c r="R67" s="382">
        <v>871.2438354485945</v>
      </c>
      <c r="S67" s="382">
        <v>864.700318699582</v>
      </c>
      <c r="T67" s="382">
        <v>858.1568019505695</v>
      </c>
      <c r="U67" s="382">
        <v>851.61328520155701</v>
      </c>
      <c r="V67" s="382">
        <v>845.06976845254451</v>
      </c>
      <c r="W67" s="382">
        <v>838.52625170353201</v>
      </c>
      <c r="X67" s="382">
        <v>831.98273495451951</v>
      </c>
      <c r="Y67" s="382">
        <v>825.43921820550702</v>
      </c>
      <c r="Z67" s="382">
        <v>818.89570145649452</v>
      </c>
      <c r="AA67" s="382">
        <v>812.35218470748202</v>
      </c>
      <c r="AB67" s="382">
        <v>805.80866795846953</v>
      </c>
      <c r="AC67" s="382">
        <v>799.26515120945703</v>
      </c>
      <c r="AD67" s="382">
        <v>792.72163446044453</v>
      </c>
      <c r="AE67" s="382">
        <v>786.17811771143204</v>
      </c>
      <c r="AF67" s="382">
        <v>779.63460096241954</v>
      </c>
      <c r="AG67" s="382">
        <v>773.09108421340704</v>
      </c>
      <c r="AH67" s="382">
        <v>766.54756746439455</v>
      </c>
      <c r="AI67" s="382">
        <v>760.00405071538205</v>
      </c>
      <c r="AJ67" s="382">
        <v>753.46053396636967</v>
      </c>
      <c r="AK67" s="260">
        <f t="shared" ref="AK67:AO67" si="242">AJ67-(AI67-AJ67)</f>
        <v>746.91701721735728</v>
      </c>
      <c r="AL67" s="260">
        <f t="shared" si="242"/>
        <v>740.3735004683449</v>
      </c>
      <c r="AM67" s="260">
        <f t="shared" si="242"/>
        <v>733.82998371933252</v>
      </c>
      <c r="AN67" s="260">
        <f t="shared" si="242"/>
        <v>727.28646697032013</v>
      </c>
      <c r="AO67" s="260">
        <f t="shared" si="242"/>
        <v>720.74295022130775</v>
      </c>
      <c r="AP67" s="259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</row>
    <row r="68" spans="1:76" hidden="1" outlineLevel="1">
      <c r="A68" s="355"/>
      <c r="B68" s="352">
        <v>2020</v>
      </c>
      <c r="C68" s="352" t="s">
        <v>187</v>
      </c>
      <c r="D68" s="352" t="s">
        <v>39</v>
      </c>
      <c r="E68" s="352" t="s">
        <v>164</v>
      </c>
      <c r="F68" s="344">
        <f>F66</f>
        <v>1302.7736478333236</v>
      </c>
      <c r="G68" s="344">
        <f t="shared" ref="G68:AJ68" si="243">G66</f>
        <v>1139.2</v>
      </c>
      <c r="H68" s="344">
        <f t="shared" si="243"/>
        <v>1094.2145409940688</v>
      </c>
      <c r="I68" s="344">
        <f t="shared" si="243"/>
        <v>1049.2290819881375</v>
      </c>
      <c r="J68" s="344">
        <f t="shared" si="243"/>
        <v>1004.2436229822064</v>
      </c>
      <c r="K68" s="344">
        <f t="shared" si="243"/>
        <v>959.25816397627523</v>
      </c>
      <c r="L68" s="344">
        <f t="shared" si="243"/>
        <v>914.27270497034408</v>
      </c>
      <c r="M68" s="344">
        <f t="shared" si="243"/>
        <v>869.28724596441293</v>
      </c>
      <c r="N68" s="344">
        <f t="shared" si="243"/>
        <v>824.30178695848178</v>
      </c>
      <c r="O68" s="344">
        <f t="shared" si="243"/>
        <v>779.31632795255064</v>
      </c>
      <c r="P68" s="344">
        <f t="shared" si="243"/>
        <v>734.33086894661949</v>
      </c>
      <c r="Q68" s="344">
        <f t="shared" si="243"/>
        <v>727.78735219760699</v>
      </c>
      <c r="R68" s="344">
        <f t="shared" si="243"/>
        <v>721.2438354485945</v>
      </c>
      <c r="S68" s="344">
        <f t="shared" si="243"/>
        <v>714.700318699582</v>
      </c>
      <c r="T68" s="344">
        <f t="shared" si="243"/>
        <v>708.1568019505695</v>
      </c>
      <c r="U68" s="344">
        <f t="shared" si="243"/>
        <v>701.61328520155701</v>
      </c>
      <c r="V68" s="344">
        <f t="shared" si="243"/>
        <v>695.06976845254451</v>
      </c>
      <c r="W68" s="344">
        <f t="shared" si="243"/>
        <v>688.52625170353201</v>
      </c>
      <c r="X68" s="344">
        <f t="shared" si="243"/>
        <v>681.98273495451951</v>
      </c>
      <c r="Y68" s="344">
        <f t="shared" si="243"/>
        <v>675.43921820550702</v>
      </c>
      <c r="Z68" s="344">
        <f t="shared" si="243"/>
        <v>668.89570145649452</v>
      </c>
      <c r="AA68" s="344">
        <f t="shared" si="243"/>
        <v>662.35218470748202</v>
      </c>
      <c r="AB68" s="344">
        <f t="shared" si="243"/>
        <v>655.80866795846953</v>
      </c>
      <c r="AC68" s="344">
        <f t="shared" si="243"/>
        <v>649.26515120945703</v>
      </c>
      <c r="AD68" s="344">
        <f t="shared" si="243"/>
        <v>642.72163446044453</v>
      </c>
      <c r="AE68" s="344">
        <f t="shared" si="243"/>
        <v>636.17811771143204</v>
      </c>
      <c r="AF68" s="344">
        <f t="shared" si="243"/>
        <v>629.63460096241954</v>
      </c>
      <c r="AG68" s="344">
        <f t="shared" si="243"/>
        <v>623.09108421340704</v>
      </c>
      <c r="AH68" s="344">
        <f t="shared" si="243"/>
        <v>616.54756746439455</v>
      </c>
      <c r="AI68" s="344">
        <f t="shared" si="243"/>
        <v>610.00405071538205</v>
      </c>
      <c r="AJ68" s="344">
        <f t="shared" si="243"/>
        <v>603.46053396636967</v>
      </c>
      <c r="AK68" s="344">
        <f t="shared" ref="AK68:AO68" si="244">AK66</f>
        <v>596.91701721735728</v>
      </c>
      <c r="AL68" s="344">
        <f t="shared" si="244"/>
        <v>590.3735004683449</v>
      </c>
      <c r="AM68" s="344">
        <f t="shared" si="244"/>
        <v>583.82998371933252</v>
      </c>
      <c r="AN68" s="344">
        <f t="shared" si="244"/>
        <v>577.28646697032013</v>
      </c>
      <c r="AO68" s="344">
        <f t="shared" si="244"/>
        <v>570.74295022130775</v>
      </c>
      <c r="AP68" s="259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</row>
    <row r="69" spans="1:76" hidden="1" outlineLevel="1">
      <c r="A69" s="355"/>
      <c r="B69" s="352">
        <v>2020</v>
      </c>
      <c r="C69" s="352" t="s">
        <v>154</v>
      </c>
      <c r="D69" s="352" t="s">
        <v>39</v>
      </c>
      <c r="E69" s="352" t="s">
        <v>165</v>
      </c>
      <c r="F69" s="344">
        <f>F41</f>
        <v>1727.2344448095646</v>
      </c>
      <c r="G69" s="344">
        <f t="shared" ref="G69:AJ69" si="245">G41</f>
        <v>1475.4571746809856</v>
      </c>
      <c r="H69" s="344">
        <f t="shared" si="245"/>
        <v>1370.8148218667313</v>
      </c>
      <c r="I69" s="344">
        <f t="shared" si="245"/>
        <v>1255.7082337710517</v>
      </c>
      <c r="J69" s="344">
        <f t="shared" si="245"/>
        <v>1166.7622338789354</v>
      </c>
      <c r="K69" s="344">
        <f t="shared" si="245"/>
        <v>1103.976822190383</v>
      </c>
      <c r="L69" s="344">
        <f t="shared" si="245"/>
        <v>1056.8877634239684</v>
      </c>
      <c r="M69" s="344">
        <f t="shared" si="245"/>
        <v>1015.0308222982667</v>
      </c>
      <c r="N69" s="344">
        <f t="shared" si="245"/>
        <v>967.9417635318523</v>
      </c>
      <c r="O69" s="344">
        <f t="shared" si="245"/>
        <v>931.31694004686335</v>
      </c>
      <c r="P69" s="344">
        <f t="shared" si="245"/>
        <v>894.69211656187429</v>
      </c>
      <c r="Q69" s="344">
        <f t="shared" si="245"/>
        <v>883.95319510431204</v>
      </c>
      <c r="R69" s="344">
        <f t="shared" si="245"/>
        <v>872.76954364728704</v>
      </c>
      <c r="S69" s="344">
        <f t="shared" si="245"/>
        <v>861.58589219026499</v>
      </c>
      <c r="T69" s="344">
        <f t="shared" si="245"/>
        <v>850.40224073324293</v>
      </c>
      <c r="U69" s="344">
        <f t="shared" si="245"/>
        <v>839.21858927621793</v>
      </c>
      <c r="V69" s="344">
        <f t="shared" si="245"/>
        <v>828.03493781919485</v>
      </c>
      <c r="W69" s="344">
        <f t="shared" si="245"/>
        <v>816.85128636216984</v>
      </c>
      <c r="X69" s="344">
        <f t="shared" si="245"/>
        <v>805.66763490514779</v>
      </c>
      <c r="Y69" s="344">
        <f t="shared" si="245"/>
        <v>794.48398344812574</v>
      </c>
      <c r="Z69" s="344">
        <f t="shared" si="245"/>
        <v>783.30033199110073</v>
      </c>
      <c r="AA69" s="344">
        <f t="shared" si="245"/>
        <v>772.11668053407766</v>
      </c>
      <c r="AB69" s="344">
        <f t="shared" si="245"/>
        <v>760.93302907705277</v>
      </c>
      <c r="AC69" s="344">
        <f t="shared" si="245"/>
        <v>749.7493776200306</v>
      </c>
      <c r="AD69" s="344">
        <f t="shared" si="245"/>
        <v>738.56572616300855</v>
      </c>
      <c r="AE69" s="344">
        <f t="shared" si="245"/>
        <v>727.38207470598354</v>
      </c>
      <c r="AF69" s="344">
        <f t="shared" si="245"/>
        <v>716.19842324896058</v>
      </c>
      <c r="AG69" s="344">
        <f t="shared" si="245"/>
        <v>705.01477179193557</v>
      </c>
      <c r="AH69" s="344">
        <f t="shared" si="245"/>
        <v>693.83112033491352</v>
      </c>
      <c r="AI69" s="344">
        <f t="shared" si="245"/>
        <v>682.64746887789147</v>
      </c>
      <c r="AJ69" s="344">
        <f t="shared" si="245"/>
        <v>671.46381742086646</v>
      </c>
      <c r="AK69" s="344">
        <f t="shared" ref="AK69:AO69" si="246">AK41</f>
        <v>660.28016596384145</v>
      </c>
      <c r="AL69" s="344">
        <f t="shared" si="246"/>
        <v>649.09651450681645</v>
      </c>
      <c r="AM69" s="344">
        <f t="shared" si="246"/>
        <v>637.91286304979144</v>
      </c>
      <c r="AN69" s="344">
        <f t="shared" si="246"/>
        <v>626.72921159276643</v>
      </c>
      <c r="AO69" s="344">
        <f t="shared" si="246"/>
        <v>615.54556013574143</v>
      </c>
      <c r="AP69" s="259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</row>
    <row r="70" spans="1:76" hidden="1" outlineLevel="1">
      <c r="A70" s="355"/>
      <c r="B70" s="352">
        <v>2020</v>
      </c>
      <c r="C70" s="352" t="s">
        <v>187</v>
      </c>
      <c r="D70" s="352" t="s">
        <v>39</v>
      </c>
      <c r="E70" s="352" t="s">
        <v>168</v>
      </c>
      <c r="F70" s="344">
        <f>F66</f>
        <v>1302.7736478333236</v>
      </c>
      <c r="G70" s="344">
        <f>G66</f>
        <v>1139.2</v>
      </c>
      <c r="H70" s="344">
        <f t="shared" ref="H70:AJ70" si="247">H66</f>
        <v>1094.2145409940688</v>
      </c>
      <c r="I70" s="344">
        <f t="shared" si="247"/>
        <v>1049.2290819881375</v>
      </c>
      <c r="J70" s="344">
        <f t="shared" si="247"/>
        <v>1004.2436229822064</v>
      </c>
      <c r="K70" s="344">
        <f t="shared" si="247"/>
        <v>959.25816397627523</v>
      </c>
      <c r="L70" s="344">
        <f t="shared" si="247"/>
        <v>914.27270497034408</v>
      </c>
      <c r="M70" s="344">
        <f t="shared" si="247"/>
        <v>869.28724596441293</v>
      </c>
      <c r="N70" s="344">
        <f t="shared" si="247"/>
        <v>824.30178695848178</v>
      </c>
      <c r="O70" s="344">
        <f t="shared" si="247"/>
        <v>779.31632795255064</v>
      </c>
      <c r="P70" s="344">
        <f t="shared" si="247"/>
        <v>734.33086894661949</v>
      </c>
      <c r="Q70" s="344">
        <f t="shared" si="247"/>
        <v>727.78735219760699</v>
      </c>
      <c r="R70" s="344">
        <f t="shared" si="247"/>
        <v>721.2438354485945</v>
      </c>
      <c r="S70" s="344">
        <f t="shared" si="247"/>
        <v>714.700318699582</v>
      </c>
      <c r="T70" s="344">
        <f t="shared" si="247"/>
        <v>708.1568019505695</v>
      </c>
      <c r="U70" s="344">
        <f t="shared" si="247"/>
        <v>701.61328520155701</v>
      </c>
      <c r="V70" s="344">
        <f t="shared" si="247"/>
        <v>695.06976845254451</v>
      </c>
      <c r="W70" s="344">
        <f t="shared" si="247"/>
        <v>688.52625170353201</v>
      </c>
      <c r="X70" s="344">
        <f t="shared" si="247"/>
        <v>681.98273495451951</v>
      </c>
      <c r="Y70" s="344">
        <f t="shared" si="247"/>
        <v>675.43921820550702</v>
      </c>
      <c r="Z70" s="344">
        <f t="shared" si="247"/>
        <v>668.89570145649452</v>
      </c>
      <c r="AA70" s="344">
        <f t="shared" si="247"/>
        <v>662.35218470748202</v>
      </c>
      <c r="AB70" s="344">
        <f t="shared" si="247"/>
        <v>655.80866795846953</v>
      </c>
      <c r="AC70" s="344">
        <f t="shared" si="247"/>
        <v>649.26515120945703</v>
      </c>
      <c r="AD70" s="344">
        <f t="shared" si="247"/>
        <v>642.72163446044453</v>
      </c>
      <c r="AE70" s="344">
        <f t="shared" si="247"/>
        <v>636.17811771143204</v>
      </c>
      <c r="AF70" s="344">
        <f t="shared" si="247"/>
        <v>629.63460096241954</v>
      </c>
      <c r="AG70" s="344">
        <f t="shared" si="247"/>
        <v>623.09108421340704</v>
      </c>
      <c r="AH70" s="344">
        <f t="shared" si="247"/>
        <v>616.54756746439455</v>
      </c>
      <c r="AI70" s="344">
        <f t="shared" si="247"/>
        <v>610.00405071538205</v>
      </c>
      <c r="AJ70" s="344">
        <f t="shared" si="247"/>
        <v>603.46053396636967</v>
      </c>
      <c r="AK70" s="344">
        <f t="shared" ref="AK70:AO70" si="248">AK66</f>
        <v>596.91701721735728</v>
      </c>
      <c r="AL70" s="344">
        <f t="shared" si="248"/>
        <v>590.3735004683449</v>
      </c>
      <c r="AM70" s="344">
        <f t="shared" si="248"/>
        <v>583.82998371933252</v>
      </c>
      <c r="AN70" s="344">
        <f t="shared" si="248"/>
        <v>577.28646697032013</v>
      </c>
      <c r="AO70" s="344">
        <f t="shared" si="248"/>
        <v>570.74295022130775</v>
      </c>
      <c r="AP70" s="259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</row>
    <row r="71" spans="1:76" hidden="1" outlineLevel="1">
      <c r="A71" s="355" t="s">
        <v>390</v>
      </c>
      <c r="B71" s="352">
        <v>2020</v>
      </c>
      <c r="C71" s="352" t="s">
        <v>412</v>
      </c>
      <c r="D71" s="352" t="s">
        <v>39</v>
      </c>
      <c r="E71" s="352" t="s">
        <v>166</v>
      </c>
      <c r="F71" s="381">
        <v>988.32170015695567</v>
      </c>
      <c r="G71" s="381">
        <v>856.8481750565353</v>
      </c>
      <c r="H71" s="381">
        <v>806.67453919034574</v>
      </c>
      <c r="I71" s="381">
        <v>746.03666804273098</v>
      </c>
      <c r="J71" s="381">
        <v>707.66876245953199</v>
      </c>
      <c r="K71" s="381">
        <v>672.11770924501207</v>
      </c>
      <c r="L71" s="381">
        <v>652.26300895262989</v>
      </c>
      <c r="M71" s="381">
        <v>633.74980366181308</v>
      </c>
      <c r="N71" s="381">
        <v>610.0044807302836</v>
      </c>
      <c r="O71" s="381">
        <v>596.72339308017945</v>
      </c>
      <c r="P71" s="381">
        <v>579.55168279092788</v>
      </c>
      <c r="Q71" s="381">
        <v>572.65475118952281</v>
      </c>
      <c r="R71" s="381">
        <v>565.41035515463568</v>
      </c>
      <c r="S71" s="381">
        <v>558.16595911974969</v>
      </c>
      <c r="T71" s="381">
        <v>550.92156308486369</v>
      </c>
      <c r="U71" s="381">
        <v>543.67716704997667</v>
      </c>
      <c r="V71" s="381">
        <v>536.43277101508966</v>
      </c>
      <c r="W71" s="381">
        <v>529.18837498020252</v>
      </c>
      <c r="X71" s="381">
        <v>521.94397894531664</v>
      </c>
      <c r="Y71" s="381">
        <v>514.69958291043076</v>
      </c>
      <c r="Z71" s="381">
        <v>507.45518687554357</v>
      </c>
      <c r="AA71" s="381">
        <v>500.21079084065667</v>
      </c>
      <c r="AB71" s="381">
        <v>492.96639480576965</v>
      </c>
      <c r="AC71" s="381">
        <v>485.7219987708836</v>
      </c>
      <c r="AD71" s="381">
        <v>478.47760273599766</v>
      </c>
      <c r="AE71" s="381">
        <v>471.23320670111053</v>
      </c>
      <c r="AF71" s="381">
        <v>463.98881066622369</v>
      </c>
      <c r="AG71" s="381">
        <v>456.74441463133655</v>
      </c>
      <c r="AH71" s="381">
        <v>449.50001859645067</v>
      </c>
      <c r="AI71" s="381">
        <v>442.25562256156468</v>
      </c>
      <c r="AJ71" s="381">
        <v>435.10849209265666</v>
      </c>
      <c r="AK71" s="260">
        <f>AJ71-(AI71-AJ71)</f>
        <v>427.96136162374864</v>
      </c>
      <c r="AL71" s="260">
        <f t="shared" ref="AL71" si="249">AK71-(AJ71-AK71)</f>
        <v>420.81423115484063</v>
      </c>
      <c r="AM71" s="260">
        <f t="shared" ref="AM71" si="250">AL71-(AK71-AL71)</f>
        <v>413.66710068593261</v>
      </c>
      <c r="AN71" s="260">
        <f t="shared" ref="AN71" si="251">AM71-(AL71-AM71)</f>
        <v>406.51997021702459</v>
      </c>
      <c r="AO71" s="260">
        <f t="shared" ref="AO71" si="252">AN71-(AM71-AN71)</f>
        <v>399.37283974811658</v>
      </c>
      <c r="AP71" s="259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</row>
    <row r="72" spans="1:76" hidden="1" outlineLevel="1">
      <c r="B72" s="352">
        <v>2020</v>
      </c>
      <c r="C72" s="352" t="s">
        <v>187</v>
      </c>
      <c r="D72" s="352" t="s">
        <v>39</v>
      </c>
      <c r="E72" s="352" t="s">
        <v>169</v>
      </c>
      <c r="F72" s="344">
        <f>F66</f>
        <v>1302.7736478333236</v>
      </c>
      <c r="G72" s="344">
        <f t="shared" ref="G72:AJ72" si="253">G66</f>
        <v>1139.2</v>
      </c>
      <c r="H72" s="344">
        <f t="shared" si="253"/>
        <v>1094.2145409940688</v>
      </c>
      <c r="I72" s="344">
        <f t="shared" si="253"/>
        <v>1049.2290819881375</v>
      </c>
      <c r="J72" s="344">
        <f t="shared" si="253"/>
        <v>1004.2436229822064</v>
      </c>
      <c r="K72" s="344">
        <f t="shared" si="253"/>
        <v>959.25816397627523</v>
      </c>
      <c r="L72" s="344">
        <f t="shared" si="253"/>
        <v>914.27270497034408</v>
      </c>
      <c r="M72" s="344">
        <f t="shared" si="253"/>
        <v>869.28724596441293</v>
      </c>
      <c r="N72" s="344">
        <f t="shared" si="253"/>
        <v>824.30178695848178</v>
      </c>
      <c r="O72" s="344">
        <f t="shared" si="253"/>
        <v>779.31632795255064</v>
      </c>
      <c r="P72" s="344">
        <f t="shared" si="253"/>
        <v>734.33086894661949</v>
      </c>
      <c r="Q72" s="344">
        <f t="shared" si="253"/>
        <v>727.78735219760699</v>
      </c>
      <c r="R72" s="344">
        <f t="shared" si="253"/>
        <v>721.2438354485945</v>
      </c>
      <c r="S72" s="344">
        <f t="shared" si="253"/>
        <v>714.700318699582</v>
      </c>
      <c r="T72" s="344">
        <f t="shared" si="253"/>
        <v>708.1568019505695</v>
      </c>
      <c r="U72" s="344">
        <f t="shared" si="253"/>
        <v>701.61328520155701</v>
      </c>
      <c r="V72" s="344">
        <f t="shared" si="253"/>
        <v>695.06976845254451</v>
      </c>
      <c r="W72" s="344">
        <f t="shared" si="253"/>
        <v>688.52625170353201</v>
      </c>
      <c r="X72" s="344">
        <f t="shared" si="253"/>
        <v>681.98273495451951</v>
      </c>
      <c r="Y72" s="344">
        <f t="shared" si="253"/>
        <v>675.43921820550702</v>
      </c>
      <c r="Z72" s="344">
        <f t="shared" si="253"/>
        <v>668.89570145649452</v>
      </c>
      <c r="AA72" s="344">
        <f t="shared" si="253"/>
        <v>662.35218470748202</v>
      </c>
      <c r="AB72" s="344">
        <f t="shared" si="253"/>
        <v>655.80866795846953</v>
      </c>
      <c r="AC72" s="344">
        <f t="shared" si="253"/>
        <v>649.26515120945703</v>
      </c>
      <c r="AD72" s="344">
        <f t="shared" si="253"/>
        <v>642.72163446044453</v>
      </c>
      <c r="AE72" s="344">
        <f t="shared" si="253"/>
        <v>636.17811771143204</v>
      </c>
      <c r="AF72" s="344">
        <f t="shared" si="253"/>
        <v>629.63460096241954</v>
      </c>
      <c r="AG72" s="344">
        <f t="shared" si="253"/>
        <v>623.09108421340704</v>
      </c>
      <c r="AH72" s="344">
        <f t="shared" si="253"/>
        <v>616.54756746439455</v>
      </c>
      <c r="AI72" s="344">
        <f t="shared" si="253"/>
        <v>610.00405071538205</v>
      </c>
      <c r="AJ72" s="344">
        <f t="shared" si="253"/>
        <v>603.46053396636967</v>
      </c>
      <c r="AK72" s="344">
        <f t="shared" ref="AK72:AO72" si="254">AK66</f>
        <v>596.91701721735728</v>
      </c>
      <c r="AL72" s="344">
        <f t="shared" si="254"/>
        <v>590.3735004683449</v>
      </c>
      <c r="AM72" s="344">
        <f t="shared" si="254"/>
        <v>583.82998371933252</v>
      </c>
      <c r="AN72" s="344">
        <f t="shared" si="254"/>
        <v>577.28646697032013</v>
      </c>
      <c r="AO72" s="344">
        <f t="shared" si="254"/>
        <v>570.74295022130775</v>
      </c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</row>
    <row r="73" spans="1:76" hidden="1" outlineLevel="1">
      <c r="B73" s="352">
        <v>2020</v>
      </c>
      <c r="C73" s="352" t="s">
        <v>186</v>
      </c>
      <c r="D73" s="352" t="s">
        <v>39</v>
      </c>
      <c r="E73" s="352" t="s">
        <v>167</v>
      </c>
      <c r="F73" s="344">
        <f>F71</f>
        <v>988.32170015695567</v>
      </c>
      <c r="G73" s="344">
        <f t="shared" ref="G73:AJ73" si="255">G71</f>
        <v>856.8481750565353</v>
      </c>
      <c r="H73" s="344">
        <f t="shared" si="255"/>
        <v>806.67453919034574</v>
      </c>
      <c r="I73" s="344">
        <f t="shared" si="255"/>
        <v>746.03666804273098</v>
      </c>
      <c r="J73" s="344">
        <f t="shared" si="255"/>
        <v>707.66876245953199</v>
      </c>
      <c r="K73" s="344">
        <f t="shared" si="255"/>
        <v>672.11770924501207</v>
      </c>
      <c r="L73" s="344">
        <f t="shared" si="255"/>
        <v>652.26300895262989</v>
      </c>
      <c r="M73" s="344">
        <f t="shared" si="255"/>
        <v>633.74980366181308</v>
      </c>
      <c r="N73" s="344">
        <f t="shared" si="255"/>
        <v>610.0044807302836</v>
      </c>
      <c r="O73" s="344">
        <f t="shared" si="255"/>
        <v>596.72339308017945</v>
      </c>
      <c r="P73" s="344">
        <f t="shared" si="255"/>
        <v>579.55168279092788</v>
      </c>
      <c r="Q73" s="344">
        <f t="shared" si="255"/>
        <v>572.65475118952281</v>
      </c>
      <c r="R73" s="344">
        <f t="shared" si="255"/>
        <v>565.41035515463568</v>
      </c>
      <c r="S73" s="344">
        <f t="shared" si="255"/>
        <v>558.16595911974969</v>
      </c>
      <c r="T73" s="344">
        <f t="shared" si="255"/>
        <v>550.92156308486369</v>
      </c>
      <c r="U73" s="344">
        <f t="shared" si="255"/>
        <v>543.67716704997667</v>
      </c>
      <c r="V73" s="344">
        <f t="shared" si="255"/>
        <v>536.43277101508966</v>
      </c>
      <c r="W73" s="344">
        <f t="shared" si="255"/>
        <v>529.18837498020252</v>
      </c>
      <c r="X73" s="344">
        <f t="shared" si="255"/>
        <v>521.94397894531664</v>
      </c>
      <c r="Y73" s="344">
        <f t="shared" si="255"/>
        <v>514.69958291043076</v>
      </c>
      <c r="Z73" s="344">
        <f t="shared" si="255"/>
        <v>507.45518687554357</v>
      </c>
      <c r="AA73" s="344">
        <f t="shared" si="255"/>
        <v>500.21079084065667</v>
      </c>
      <c r="AB73" s="344">
        <f t="shared" si="255"/>
        <v>492.96639480576965</v>
      </c>
      <c r="AC73" s="344">
        <f t="shared" si="255"/>
        <v>485.7219987708836</v>
      </c>
      <c r="AD73" s="344">
        <f t="shared" si="255"/>
        <v>478.47760273599766</v>
      </c>
      <c r="AE73" s="344">
        <f t="shared" si="255"/>
        <v>471.23320670111053</v>
      </c>
      <c r="AF73" s="344">
        <f t="shared" si="255"/>
        <v>463.98881066622369</v>
      </c>
      <c r="AG73" s="344">
        <f t="shared" si="255"/>
        <v>456.74441463133655</v>
      </c>
      <c r="AH73" s="344">
        <f t="shared" si="255"/>
        <v>449.50001859645067</v>
      </c>
      <c r="AI73" s="344">
        <f t="shared" si="255"/>
        <v>442.25562256156468</v>
      </c>
      <c r="AJ73" s="344">
        <f t="shared" si="255"/>
        <v>435.10849209265666</v>
      </c>
      <c r="AK73" s="344">
        <f t="shared" ref="AK73:AO73" si="256">AK71</f>
        <v>427.96136162374864</v>
      </c>
      <c r="AL73" s="344">
        <f t="shared" si="256"/>
        <v>420.81423115484063</v>
      </c>
      <c r="AM73" s="344">
        <f t="shared" si="256"/>
        <v>413.66710068593261</v>
      </c>
      <c r="AN73" s="344">
        <f t="shared" si="256"/>
        <v>406.51997021702459</v>
      </c>
      <c r="AO73" s="344">
        <f t="shared" si="256"/>
        <v>399.37283974811658</v>
      </c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</row>
    <row r="74" spans="1:76" hidden="1" outlineLevel="1">
      <c r="A74" s="38" t="s">
        <v>347</v>
      </c>
      <c r="B74" s="350">
        <v>2020</v>
      </c>
      <c r="C74" s="350" t="s">
        <v>148</v>
      </c>
      <c r="D74" s="350" t="s">
        <v>39</v>
      </c>
      <c r="E74" s="350" t="s">
        <v>4</v>
      </c>
      <c r="F74" s="382">
        <v>1405.1658156023161</v>
      </c>
      <c r="G74" s="382">
        <v>1355.9561782843689</v>
      </c>
      <c r="H74" s="382">
        <v>1306.7465409664219</v>
      </c>
      <c r="I74" s="382">
        <v>1257.5369036484749</v>
      </c>
      <c r="J74" s="382">
        <v>1208.3272663305279</v>
      </c>
      <c r="K74" s="382">
        <v>1159.1176290125809</v>
      </c>
      <c r="L74" s="382">
        <v>1109.9079916946337</v>
      </c>
      <c r="M74" s="382">
        <v>1060.6983543766867</v>
      </c>
      <c r="N74" s="382">
        <v>1011.4887170587398</v>
      </c>
      <c r="O74" s="382">
        <v>962.27907974079267</v>
      </c>
      <c r="P74" s="382">
        <v>913.06944242284555</v>
      </c>
      <c r="Q74" s="382">
        <v>903.93874799861715</v>
      </c>
      <c r="R74" s="382">
        <v>894.80805357438862</v>
      </c>
      <c r="S74" s="382">
        <v>885.67735915016021</v>
      </c>
      <c r="T74" s="382">
        <v>876.54666472593169</v>
      </c>
      <c r="U74" s="382">
        <v>867.41597030170328</v>
      </c>
      <c r="V74" s="382">
        <v>858.28527587747487</v>
      </c>
      <c r="W74" s="382">
        <v>849.15458145324635</v>
      </c>
      <c r="X74" s="382">
        <v>840.02388702901794</v>
      </c>
      <c r="Y74" s="382">
        <v>830.89319260478942</v>
      </c>
      <c r="Z74" s="382">
        <v>821.76249818056101</v>
      </c>
      <c r="AA74" s="382">
        <v>812.6318037563326</v>
      </c>
      <c r="AB74" s="382">
        <v>803.50110933210408</v>
      </c>
      <c r="AC74" s="382">
        <v>794.37041490787567</v>
      </c>
      <c r="AD74" s="382">
        <v>785.23972048364715</v>
      </c>
      <c r="AE74" s="382">
        <v>776.10902605941874</v>
      </c>
      <c r="AF74" s="382">
        <v>766.97833163519033</v>
      </c>
      <c r="AG74" s="382">
        <v>757.84763721096181</v>
      </c>
      <c r="AH74" s="382">
        <v>748.7169427867334</v>
      </c>
      <c r="AI74" s="382">
        <v>739.58624836250488</v>
      </c>
      <c r="AJ74" s="382">
        <v>730.45555393827647</v>
      </c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</row>
    <row r="75" spans="1:76" hidden="1" outlineLevel="1">
      <c r="B75" s="350">
        <v>2020</v>
      </c>
      <c r="C75" s="350" t="s">
        <v>240</v>
      </c>
      <c r="D75" s="350" t="s">
        <v>39</v>
      </c>
      <c r="E75" s="350" t="s">
        <v>5</v>
      </c>
      <c r="F75" s="333">
        <f>F74/1.025+150</f>
        <v>1520.8934786364061</v>
      </c>
      <c r="G75" s="333">
        <f t="shared" ref="G75:AJ75" si="257">G74/1.025+150</f>
        <v>1472.8840763749943</v>
      </c>
      <c r="H75" s="333">
        <f t="shared" si="257"/>
        <v>1424.8746741135824</v>
      </c>
      <c r="I75" s="333">
        <f t="shared" si="257"/>
        <v>1376.8652718521707</v>
      </c>
      <c r="J75" s="333">
        <f t="shared" si="257"/>
        <v>1328.8558695907591</v>
      </c>
      <c r="K75" s="333">
        <f t="shared" si="257"/>
        <v>1280.8464673293472</v>
      </c>
      <c r="L75" s="333">
        <f t="shared" si="257"/>
        <v>1232.8370650679353</v>
      </c>
      <c r="M75" s="333">
        <f t="shared" si="257"/>
        <v>1184.8276628065237</v>
      </c>
      <c r="N75" s="333">
        <f t="shared" si="257"/>
        <v>1136.818260545112</v>
      </c>
      <c r="O75" s="333">
        <f t="shared" si="257"/>
        <v>1088.8088582837004</v>
      </c>
      <c r="P75" s="333">
        <f t="shared" si="257"/>
        <v>1040.7994560222883</v>
      </c>
      <c r="Q75" s="333">
        <f t="shared" si="257"/>
        <v>1031.8914614620655</v>
      </c>
      <c r="R75" s="333">
        <f t="shared" si="257"/>
        <v>1022.9834669018427</v>
      </c>
      <c r="S75" s="333">
        <f t="shared" si="257"/>
        <v>1014.0754723416198</v>
      </c>
      <c r="T75" s="333">
        <f t="shared" si="257"/>
        <v>1005.1674777813969</v>
      </c>
      <c r="U75" s="333">
        <f t="shared" si="257"/>
        <v>996.25948322117404</v>
      </c>
      <c r="V75" s="333">
        <f t="shared" si="257"/>
        <v>987.35148866095119</v>
      </c>
      <c r="W75" s="333">
        <f t="shared" si="257"/>
        <v>978.44349410072823</v>
      </c>
      <c r="X75" s="333">
        <f t="shared" si="257"/>
        <v>969.53549954050538</v>
      </c>
      <c r="Y75" s="333">
        <f t="shared" si="257"/>
        <v>960.62750498028242</v>
      </c>
      <c r="Z75" s="333">
        <f t="shared" si="257"/>
        <v>951.71951042005958</v>
      </c>
      <c r="AA75" s="333">
        <f t="shared" si="257"/>
        <v>942.81151585983673</v>
      </c>
      <c r="AB75" s="333">
        <f t="shared" si="257"/>
        <v>933.90352129961377</v>
      </c>
      <c r="AC75" s="333">
        <f t="shared" si="257"/>
        <v>924.99552673939093</v>
      </c>
      <c r="AD75" s="333">
        <f t="shared" si="257"/>
        <v>916.08753217916797</v>
      </c>
      <c r="AE75" s="333">
        <f t="shared" si="257"/>
        <v>907.17953761894523</v>
      </c>
      <c r="AF75" s="333">
        <f t="shared" si="257"/>
        <v>898.27154305872239</v>
      </c>
      <c r="AG75" s="333">
        <f t="shared" si="257"/>
        <v>889.36354849849943</v>
      </c>
      <c r="AH75" s="333">
        <f t="shared" si="257"/>
        <v>880.45555393827658</v>
      </c>
      <c r="AI75" s="333">
        <f t="shared" si="257"/>
        <v>871.54755937805362</v>
      </c>
      <c r="AJ75" s="333">
        <f t="shared" si="257"/>
        <v>862.63956481783077</v>
      </c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</row>
    <row r="76" spans="1:76" hidden="1" outlineLevel="1">
      <c r="A76" s="446" t="s">
        <v>348</v>
      </c>
      <c r="B76" s="350">
        <v>2020</v>
      </c>
      <c r="C76" s="350" t="s">
        <v>244</v>
      </c>
      <c r="D76" s="350" t="s">
        <v>39</v>
      </c>
      <c r="E76" s="350" t="s">
        <v>6</v>
      </c>
      <c r="F76" s="382">
        <v>1555.16581560232</v>
      </c>
      <c r="G76" s="382">
        <v>1505.9561782843689</v>
      </c>
      <c r="H76" s="382">
        <v>1456.7465409664219</v>
      </c>
      <c r="I76" s="382">
        <v>1407.5369036484749</v>
      </c>
      <c r="J76" s="382">
        <v>1358.3272663305279</v>
      </c>
      <c r="K76" s="382">
        <v>1309.1176290125809</v>
      </c>
      <c r="L76" s="382">
        <v>1259.9079916946337</v>
      </c>
      <c r="M76" s="382">
        <v>1210.6983543766867</v>
      </c>
      <c r="N76" s="382">
        <v>1161.4887170587399</v>
      </c>
      <c r="O76" s="382">
        <v>1112.2790797407927</v>
      </c>
      <c r="P76" s="382">
        <v>1063.0694424228454</v>
      </c>
      <c r="Q76" s="382">
        <v>1053.9387479986171</v>
      </c>
      <c r="R76" s="382">
        <v>1044.8080535743886</v>
      </c>
      <c r="S76" s="382">
        <v>1035.6773591501601</v>
      </c>
      <c r="T76" s="382">
        <v>1026.5466647259318</v>
      </c>
      <c r="U76" s="382">
        <v>1017.4159703017033</v>
      </c>
      <c r="V76" s="382">
        <v>1008.2852758774749</v>
      </c>
      <c r="W76" s="382">
        <v>999.15458145324635</v>
      </c>
      <c r="X76" s="382">
        <v>990.02388702901794</v>
      </c>
      <c r="Y76" s="382">
        <v>980.89319260478942</v>
      </c>
      <c r="Z76" s="382">
        <v>971.76249818056101</v>
      </c>
      <c r="AA76" s="382">
        <v>962.6318037563326</v>
      </c>
      <c r="AB76" s="382">
        <v>953.50110933210408</v>
      </c>
      <c r="AC76" s="382">
        <v>944.37041490787567</v>
      </c>
      <c r="AD76" s="382">
        <v>935.23972048364715</v>
      </c>
      <c r="AE76" s="382">
        <v>926.10902605941874</v>
      </c>
      <c r="AF76" s="382">
        <v>916.97833163519033</v>
      </c>
      <c r="AG76" s="382">
        <v>907.84763721096181</v>
      </c>
      <c r="AH76" s="382">
        <v>898.7169427867334</v>
      </c>
      <c r="AI76" s="382">
        <v>889.58624836250488</v>
      </c>
      <c r="AJ76" s="382">
        <v>880.45555393827647</v>
      </c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</row>
    <row r="77" spans="1:76" hidden="1" outlineLevel="1">
      <c r="A77" s="446" t="s">
        <v>349</v>
      </c>
      <c r="B77" s="350">
        <v>2020</v>
      </c>
      <c r="C77" s="350" t="s">
        <v>193</v>
      </c>
      <c r="D77" s="350" t="s">
        <v>39</v>
      </c>
      <c r="E77" s="350" t="s">
        <v>7</v>
      </c>
      <c r="F77" s="381">
        <v>5291.9935008687917</v>
      </c>
      <c r="G77" s="381">
        <v>4848.8147852310394</v>
      </c>
      <c r="H77" s="381">
        <v>4628.3151458536304</v>
      </c>
      <c r="I77" s="381">
        <v>4471.8681619764357</v>
      </c>
      <c r="J77" s="381">
        <v>4350.518453677857</v>
      </c>
      <c r="K77" s="381">
        <v>4251.3685225990275</v>
      </c>
      <c r="L77" s="381">
        <v>4167.5384503388386</v>
      </c>
      <c r="M77" s="381">
        <v>4094.9215387218319</v>
      </c>
      <c r="N77" s="381">
        <v>4030.8688832216185</v>
      </c>
      <c r="O77" s="381">
        <v>3973.5718304232541</v>
      </c>
      <c r="P77" s="381">
        <v>3921.7403414601063</v>
      </c>
      <c r="Q77" s="381">
        <v>3874.4218993444247</v>
      </c>
      <c r="R77" s="381">
        <v>3830.8931521751415</v>
      </c>
      <c r="S77" s="381">
        <v>3790.5918270842349</v>
      </c>
      <c r="T77" s="381">
        <v>3753.0721910458456</v>
      </c>
      <c r="U77" s="381">
        <v>3717.9749154672295</v>
      </c>
      <c r="V77" s="381">
        <v>3685.0060927976601</v>
      </c>
      <c r="W77" s="381">
        <v>3653.9222599670161</v>
      </c>
      <c r="X77" s="381">
        <v>3624.5194764627595</v>
      </c>
      <c r="Y77" s="381">
        <v>3596.6252071686508</v>
      </c>
      <c r="Z77" s="381">
        <v>3570.0921877068272</v>
      </c>
      <c r="AA77" s="381">
        <v>3544.793718205503</v>
      </c>
      <c r="AB77" s="381">
        <v>3520.6200040669628</v>
      </c>
      <c r="AC77" s="381">
        <v>3497.4752760898209</v>
      </c>
      <c r="AD77" s="381">
        <v>3475.2754988700717</v>
      </c>
      <c r="AE77" s="381">
        <v>3453.9465289205382</v>
      </c>
      <c r="AF77" s="381">
        <v>3433.4226205896075</v>
      </c>
      <c r="AG77" s="381">
        <v>3413.645203829632</v>
      </c>
      <c r="AH77" s="381">
        <v>3394.5618765372669</v>
      </c>
      <c r="AI77" s="381">
        <v>3376.1255677912422</v>
      </c>
      <c r="AJ77" s="381">
        <v>3358.2938383448945</v>
      </c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</row>
    <row r="78" spans="1:76" hidden="1" outlineLevel="1">
      <c r="A78" s="38" t="s">
        <v>365</v>
      </c>
      <c r="B78" s="351">
        <v>2020</v>
      </c>
      <c r="C78" s="351" t="s">
        <v>151</v>
      </c>
      <c r="D78" s="351" t="s">
        <v>39</v>
      </c>
      <c r="E78" s="351" t="s">
        <v>3</v>
      </c>
      <c r="F78" s="382">
        <v>6809.4209964769625</v>
      </c>
      <c r="G78" s="382">
        <v>6766.8649042380366</v>
      </c>
      <c r="H78" s="382">
        <v>6724.3088119991107</v>
      </c>
      <c r="I78" s="382">
        <v>6681.7527197601848</v>
      </c>
      <c r="J78" s="382">
        <v>6639.1898973147863</v>
      </c>
      <c r="K78" s="382">
        <v>6596.6319105748962</v>
      </c>
      <c r="L78" s="382">
        <v>6554.0756762110132</v>
      </c>
      <c r="M78" s="382">
        <v>6511.5160282322086</v>
      </c>
      <c r="N78" s="382">
        <v>6468.9588563376183</v>
      </c>
      <c r="O78" s="382">
        <v>6426.3994657410321</v>
      </c>
      <c r="P78" s="382">
        <v>6383.8396918672297</v>
      </c>
      <c r="Q78" s="382">
        <v>6341.2782971660572</v>
      </c>
      <c r="R78" s="382">
        <v>6298.7187364163647</v>
      </c>
      <c r="S78" s="382">
        <v>6256.1626561619232</v>
      </c>
      <c r="T78" s="382">
        <v>6213.5984570408355</v>
      </c>
      <c r="U78" s="382">
        <v>6171.0403622247304</v>
      </c>
      <c r="V78" s="382">
        <v>6128.4807940221526</v>
      </c>
      <c r="W78" s="382">
        <v>6085.9247147259493</v>
      </c>
      <c r="X78" s="382">
        <v>6043.3649199055362</v>
      </c>
      <c r="Y78" s="382">
        <v>6000.806131875358</v>
      </c>
      <c r="Z78" s="382">
        <v>5958.248832195316</v>
      </c>
      <c r="AA78" s="382">
        <v>5915.6852484050869</v>
      </c>
      <c r="AB78" s="382">
        <v>5873.1262141621937</v>
      </c>
      <c r="AC78" s="382">
        <v>5830.5669549173699</v>
      </c>
      <c r="AD78" s="382">
        <v>5788.0076689950502</v>
      </c>
      <c r="AE78" s="382">
        <v>5745.4537247784974</v>
      </c>
      <c r="AF78" s="382">
        <v>5702.8938449716934</v>
      </c>
      <c r="AG78" s="382">
        <v>5660.3348365167567</v>
      </c>
      <c r="AH78" s="382">
        <v>5617.77270633647</v>
      </c>
      <c r="AI78" s="382">
        <v>5575.2137253835235</v>
      </c>
      <c r="AJ78" s="382">
        <v>5532.6548430906942</v>
      </c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</row>
    <row r="79" spans="1:76" hidden="1" outlineLevel="1">
      <c r="A79" s="38" t="s">
        <v>366</v>
      </c>
      <c r="B79" s="351">
        <v>2020</v>
      </c>
      <c r="C79" s="351" t="s">
        <v>197</v>
      </c>
      <c r="D79" s="351" t="s">
        <v>39</v>
      </c>
      <c r="E79" s="351" t="s">
        <v>19</v>
      </c>
      <c r="F79" s="382">
        <v>4559.2782029260652</v>
      </c>
      <c r="G79" s="382">
        <v>4493.6040858861579</v>
      </c>
      <c r="H79" s="382">
        <v>4427.9299688462506</v>
      </c>
      <c r="I79" s="382">
        <v>4362.2558518063433</v>
      </c>
      <c r="J79" s="382">
        <v>4296.5817347664361</v>
      </c>
      <c r="K79" s="382">
        <v>4230.9076177265288</v>
      </c>
      <c r="L79" s="382">
        <v>4165.2335006866215</v>
      </c>
      <c r="M79" s="382">
        <v>4099.5593836467142</v>
      </c>
      <c r="N79" s="382">
        <v>4033.8852666068069</v>
      </c>
      <c r="O79" s="382">
        <v>3968.2111495668996</v>
      </c>
      <c r="P79" s="382">
        <v>3902.5370325269942</v>
      </c>
      <c r="Q79" s="382">
        <v>3883.0243473643591</v>
      </c>
      <c r="R79" s="382">
        <v>3863.6092256275374</v>
      </c>
      <c r="S79" s="382">
        <v>3844.2911794993997</v>
      </c>
      <c r="T79" s="382">
        <v>3825.0697236019028</v>
      </c>
      <c r="U79" s="382">
        <v>3805.9443749838933</v>
      </c>
      <c r="V79" s="382">
        <v>3786.9146531089737</v>
      </c>
      <c r="W79" s="382">
        <v>3767.9800798434289</v>
      </c>
      <c r="X79" s="382">
        <v>3749.1401794442118</v>
      </c>
      <c r="Y79" s="382">
        <v>3730.3944785469907</v>
      </c>
      <c r="Z79" s="382">
        <v>3711.7425061542558</v>
      </c>
      <c r="AA79" s="382">
        <v>3693.1837936234847</v>
      </c>
      <c r="AB79" s="382">
        <v>3674.7178746553673</v>
      </c>
      <c r="AC79" s="382">
        <v>3656.3442852820904</v>
      </c>
      <c r="AD79" s="382">
        <v>3638.0625638556799</v>
      </c>
      <c r="AE79" s="382">
        <v>3619.8722510364014</v>
      </c>
      <c r="AF79" s="382">
        <v>3601.7728897812194</v>
      </c>
      <c r="AG79" s="382">
        <v>3583.7640253323134</v>
      </c>
      <c r="AH79" s="382">
        <v>3565.8452052056518</v>
      </c>
      <c r="AI79" s="382">
        <v>3548.0159791796236</v>
      </c>
      <c r="AJ79" s="382">
        <v>3530.2758992837257</v>
      </c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</row>
    <row r="80" spans="1:76" hidden="1" outlineLevel="1">
      <c r="B80" s="353">
        <v>2022</v>
      </c>
      <c r="C80" s="353" t="s">
        <v>231</v>
      </c>
      <c r="D80" s="353" t="s">
        <v>39</v>
      </c>
      <c r="E80" s="353" t="s">
        <v>0</v>
      </c>
      <c r="F80" s="333"/>
      <c r="G80" s="333"/>
      <c r="H80" s="333">
        <v>744.45829524363558</v>
      </c>
      <c r="I80" s="333">
        <v>744.45829524363558</v>
      </c>
      <c r="J80" s="333">
        <v>744.45829524363558</v>
      </c>
      <c r="K80" s="333">
        <v>744.45829524363558</v>
      </c>
      <c r="L80" s="333">
        <v>744.45829524363558</v>
      </c>
      <c r="M80" s="333">
        <v>744.45829524363558</v>
      </c>
      <c r="N80" s="333">
        <v>744.45829524363558</v>
      </c>
      <c r="O80" s="333">
        <v>744.45829524363558</v>
      </c>
      <c r="P80" s="333">
        <v>744.45829524363558</v>
      </c>
      <c r="Q80" s="333">
        <v>744.45829524363558</v>
      </c>
      <c r="R80" s="333">
        <v>744.45829524363558</v>
      </c>
      <c r="S80" s="333">
        <v>744.45829524363558</v>
      </c>
      <c r="T80" s="333">
        <v>744.45829524363558</v>
      </c>
      <c r="U80" s="333">
        <v>744.45829524363558</v>
      </c>
      <c r="V80" s="333">
        <v>744.45829524363558</v>
      </c>
      <c r="W80" s="333">
        <v>744.45829524363558</v>
      </c>
      <c r="X80" s="333">
        <v>744.45829524363558</v>
      </c>
      <c r="Y80" s="333">
        <v>744.45829524363558</v>
      </c>
      <c r="Z80" s="333">
        <v>744.45829524363558</v>
      </c>
      <c r="AA80" s="333">
        <v>744.45829524363558</v>
      </c>
      <c r="AB80" s="333">
        <v>744.45829524363558</v>
      </c>
      <c r="AC80" s="333">
        <v>744.45829524363558</v>
      </c>
      <c r="AD80" s="333">
        <v>744.45829524363558</v>
      </c>
      <c r="AE80" s="333">
        <v>744.45829524363558</v>
      </c>
      <c r="AF80" s="333">
        <v>744.45829524363558</v>
      </c>
      <c r="AG80" s="333">
        <v>744.45829524363558</v>
      </c>
      <c r="AH80" s="333">
        <v>744.45829524363558</v>
      </c>
      <c r="AI80" s="333">
        <v>744.45829524363558</v>
      </c>
      <c r="AJ80" s="333">
        <v>744.45829524363558</v>
      </c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</row>
    <row r="81" spans="1:76" hidden="1" outlineLevel="1">
      <c r="B81" s="353">
        <v>2022</v>
      </c>
      <c r="C81" s="353" t="s">
        <v>231</v>
      </c>
      <c r="D81" s="353" t="s">
        <v>39</v>
      </c>
      <c r="E81" s="353" t="s">
        <v>1</v>
      </c>
      <c r="F81" s="333"/>
      <c r="G81" s="333"/>
      <c r="H81" s="333">
        <v>1139.3241946095191</v>
      </c>
      <c r="I81" s="333">
        <v>1139.3241946095191</v>
      </c>
      <c r="J81" s="333">
        <v>1139.3241946095191</v>
      </c>
      <c r="K81" s="333">
        <v>1139.3241946095191</v>
      </c>
      <c r="L81" s="333">
        <v>1139.3241946095191</v>
      </c>
      <c r="M81" s="333">
        <v>1139.3241946095191</v>
      </c>
      <c r="N81" s="333">
        <v>1139.3241946095191</v>
      </c>
      <c r="O81" s="333">
        <v>1139.3241946095191</v>
      </c>
      <c r="P81" s="333">
        <v>1139.3241946095191</v>
      </c>
      <c r="Q81" s="333">
        <v>1139.3241946095191</v>
      </c>
      <c r="R81" s="333">
        <v>1139.3241946095191</v>
      </c>
      <c r="S81" s="333">
        <v>1139.3241946095191</v>
      </c>
      <c r="T81" s="333">
        <v>1139.3241946095191</v>
      </c>
      <c r="U81" s="333">
        <v>1139.3241946095191</v>
      </c>
      <c r="V81" s="333">
        <v>1139.3241946095191</v>
      </c>
      <c r="W81" s="333">
        <v>1139.3241946095191</v>
      </c>
      <c r="X81" s="333">
        <v>1139.3241946095191</v>
      </c>
      <c r="Y81" s="333">
        <v>1139.3241946095191</v>
      </c>
      <c r="Z81" s="333">
        <v>1139.3241946095191</v>
      </c>
      <c r="AA81" s="333">
        <v>1139.3241946095191</v>
      </c>
      <c r="AB81" s="333">
        <v>1139.3241946095191</v>
      </c>
      <c r="AC81" s="333">
        <v>1139.3241946095191</v>
      </c>
      <c r="AD81" s="333">
        <v>1139.3241946095191</v>
      </c>
      <c r="AE81" s="333">
        <v>1139.3241946095191</v>
      </c>
      <c r="AF81" s="333">
        <v>1139.3241946095191</v>
      </c>
      <c r="AG81" s="333">
        <v>1139.3241946095191</v>
      </c>
      <c r="AH81" s="333">
        <v>1139.3241946095191</v>
      </c>
      <c r="AI81" s="333">
        <v>1139.3241946095191</v>
      </c>
      <c r="AJ81" s="333">
        <v>1139.3241946095191</v>
      </c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</row>
    <row r="82" spans="1:76" hidden="1" outlineLevel="1">
      <c r="B82" s="353">
        <v>2022</v>
      </c>
      <c r="C82" s="353" t="s">
        <v>231</v>
      </c>
      <c r="D82" s="353" t="s">
        <v>39</v>
      </c>
      <c r="E82" s="353" t="s">
        <v>2</v>
      </c>
      <c r="F82" s="333"/>
      <c r="G82" s="333"/>
      <c r="H82" s="333">
        <v>1139.1139386780339</v>
      </c>
      <c r="I82" s="333">
        <v>1139.1139386780339</v>
      </c>
      <c r="J82" s="333">
        <v>1139.1139386780339</v>
      </c>
      <c r="K82" s="333">
        <v>1139.1139386780339</v>
      </c>
      <c r="L82" s="333">
        <v>1139.1139386780339</v>
      </c>
      <c r="M82" s="333">
        <v>1139.1139386780339</v>
      </c>
      <c r="N82" s="333">
        <v>1139.1139386780339</v>
      </c>
      <c r="O82" s="333">
        <v>1139.1139386780339</v>
      </c>
      <c r="P82" s="333">
        <v>1139.1139386780339</v>
      </c>
      <c r="Q82" s="333">
        <v>1139.1139386780339</v>
      </c>
      <c r="R82" s="333">
        <v>1139.1139386780339</v>
      </c>
      <c r="S82" s="333">
        <v>1139.1139386780339</v>
      </c>
      <c r="T82" s="333">
        <v>1139.1139386780339</v>
      </c>
      <c r="U82" s="333">
        <v>1139.1139386780339</v>
      </c>
      <c r="V82" s="333">
        <v>1139.1139386780339</v>
      </c>
      <c r="W82" s="333">
        <v>1139.1139386780339</v>
      </c>
      <c r="X82" s="333">
        <v>1139.1139386780339</v>
      </c>
      <c r="Y82" s="333">
        <v>1139.1139386780339</v>
      </c>
      <c r="Z82" s="333">
        <v>1139.1139386780339</v>
      </c>
      <c r="AA82" s="333">
        <v>1139.1139386780339</v>
      </c>
      <c r="AB82" s="333">
        <v>1139.1139386780339</v>
      </c>
      <c r="AC82" s="333">
        <v>1139.1139386780339</v>
      </c>
      <c r="AD82" s="333">
        <v>1139.1139386780339</v>
      </c>
      <c r="AE82" s="333">
        <v>1139.1139386780339</v>
      </c>
      <c r="AF82" s="333">
        <v>1139.1139386780339</v>
      </c>
      <c r="AG82" s="333">
        <v>1139.1139386780339</v>
      </c>
      <c r="AH82" s="333">
        <v>1139.1139386780339</v>
      </c>
      <c r="AI82" s="333">
        <v>1139.1139386780339</v>
      </c>
      <c r="AJ82" s="333">
        <v>1139.1139386780339</v>
      </c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</row>
    <row r="83" spans="1:76" hidden="1" outlineLevel="1">
      <c r="B83" s="353">
        <v>2020</v>
      </c>
      <c r="C83" s="353" t="s">
        <v>231</v>
      </c>
      <c r="D83" s="353" t="s">
        <v>39</v>
      </c>
      <c r="E83" s="353" t="s">
        <v>20</v>
      </c>
      <c r="F83" s="333">
        <v>5356</v>
      </c>
      <c r="G83" s="333">
        <f t="shared" ref="G83:AJ83" si="258">F83*(1+G355)</f>
        <v>5356</v>
      </c>
      <c r="H83" s="333">
        <f t="shared" si="258"/>
        <v>5356</v>
      </c>
      <c r="I83" s="333">
        <f t="shared" si="258"/>
        <v>5356</v>
      </c>
      <c r="J83" s="333">
        <f t="shared" si="258"/>
        <v>5356</v>
      </c>
      <c r="K83" s="333">
        <f t="shared" si="258"/>
        <v>5356</v>
      </c>
      <c r="L83" s="333">
        <f t="shared" si="258"/>
        <v>5356</v>
      </c>
      <c r="M83" s="333">
        <f t="shared" si="258"/>
        <v>5356</v>
      </c>
      <c r="N83" s="333">
        <f t="shared" si="258"/>
        <v>5356</v>
      </c>
      <c r="O83" s="333">
        <f t="shared" si="258"/>
        <v>5356</v>
      </c>
      <c r="P83" s="333">
        <f t="shared" si="258"/>
        <v>5356</v>
      </c>
      <c r="Q83" s="333">
        <f t="shared" si="258"/>
        <v>5356</v>
      </c>
      <c r="R83" s="333">
        <f t="shared" si="258"/>
        <v>5356</v>
      </c>
      <c r="S83" s="333">
        <f t="shared" si="258"/>
        <v>5356</v>
      </c>
      <c r="T83" s="333">
        <f t="shared" si="258"/>
        <v>5356</v>
      </c>
      <c r="U83" s="333">
        <f t="shared" si="258"/>
        <v>5356</v>
      </c>
      <c r="V83" s="333">
        <f t="shared" si="258"/>
        <v>5356</v>
      </c>
      <c r="W83" s="333">
        <f t="shared" si="258"/>
        <v>5356</v>
      </c>
      <c r="X83" s="333">
        <f t="shared" si="258"/>
        <v>5356</v>
      </c>
      <c r="Y83" s="333">
        <f t="shared" si="258"/>
        <v>5356</v>
      </c>
      <c r="Z83" s="333">
        <f t="shared" si="258"/>
        <v>5356</v>
      </c>
      <c r="AA83" s="333">
        <f t="shared" si="258"/>
        <v>5356</v>
      </c>
      <c r="AB83" s="333">
        <f t="shared" si="258"/>
        <v>5356</v>
      </c>
      <c r="AC83" s="333">
        <f t="shared" si="258"/>
        <v>5356</v>
      </c>
      <c r="AD83" s="333">
        <f t="shared" si="258"/>
        <v>5356</v>
      </c>
      <c r="AE83" s="333">
        <f t="shared" si="258"/>
        <v>5356</v>
      </c>
      <c r="AF83" s="333">
        <f t="shared" si="258"/>
        <v>5356</v>
      </c>
      <c r="AG83" s="333">
        <f t="shared" si="258"/>
        <v>5356</v>
      </c>
      <c r="AH83" s="333">
        <f t="shared" si="258"/>
        <v>5356</v>
      </c>
      <c r="AI83" s="333">
        <f t="shared" si="258"/>
        <v>5356</v>
      </c>
      <c r="AJ83" s="333">
        <f t="shared" si="258"/>
        <v>5356</v>
      </c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</row>
    <row r="84" spans="1:76" hidden="1" outlineLevel="1">
      <c r="B84" s="353">
        <v>2022</v>
      </c>
      <c r="C84" s="353" t="s">
        <v>231</v>
      </c>
      <c r="D84" s="353" t="s">
        <v>39</v>
      </c>
      <c r="E84" s="353" t="s">
        <v>21</v>
      </c>
      <c r="F84" s="333"/>
      <c r="G84" s="333"/>
      <c r="H84" s="260">
        <f>H80+20000000/('Resource Options'!E3*1000)</f>
        <v>855.26468877254217</v>
      </c>
      <c r="I84" s="260">
        <v>855.26468877254217</v>
      </c>
      <c r="J84" s="260">
        <v>855.26468877254217</v>
      </c>
      <c r="K84" s="260">
        <v>855.26468877254217</v>
      </c>
      <c r="L84" s="260">
        <v>855.26468877254217</v>
      </c>
      <c r="M84" s="260">
        <v>855.26468877254217</v>
      </c>
      <c r="N84" s="260">
        <v>855.26468877254217</v>
      </c>
      <c r="O84" s="260">
        <v>855.26468877254217</v>
      </c>
      <c r="P84" s="260">
        <v>855.26468877254217</v>
      </c>
      <c r="Q84" s="260">
        <v>855.26468877254217</v>
      </c>
      <c r="R84" s="260">
        <v>855.26468877254217</v>
      </c>
      <c r="S84" s="260">
        <v>855.26468877254217</v>
      </c>
      <c r="T84" s="260">
        <v>855.26468877254217</v>
      </c>
      <c r="U84" s="260">
        <v>855.26468877254217</v>
      </c>
      <c r="V84" s="260">
        <v>855.26468877254217</v>
      </c>
      <c r="W84" s="260">
        <v>855.26468877254217</v>
      </c>
      <c r="X84" s="260">
        <v>855.26468877254217</v>
      </c>
      <c r="Y84" s="260">
        <v>855.26468877254217</v>
      </c>
      <c r="Z84" s="260">
        <v>855.26468877254217</v>
      </c>
      <c r="AA84" s="260">
        <v>855.26468877254217</v>
      </c>
      <c r="AB84" s="260">
        <v>855.26468877254217</v>
      </c>
      <c r="AC84" s="260">
        <v>855.26468877254217</v>
      </c>
      <c r="AD84" s="260">
        <v>855.26468877254217</v>
      </c>
      <c r="AE84" s="260">
        <v>855.26468877254217</v>
      </c>
      <c r="AF84" s="260">
        <v>855.26468877254217</v>
      </c>
      <c r="AG84" s="260">
        <v>855.26468877254217</v>
      </c>
      <c r="AH84" s="260">
        <v>855.26468877254217</v>
      </c>
      <c r="AI84" s="260">
        <v>855.26468877254217</v>
      </c>
      <c r="AJ84" s="260">
        <v>855.26468877254217</v>
      </c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</row>
    <row r="85" spans="1:76" collapsed="1">
      <c r="F85" s="259"/>
      <c r="G85" s="259"/>
      <c r="H85" s="259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</row>
    <row r="86" spans="1:76">
      <c r="B86" s="259" t="str">
        <f>D86</f>
        <v>Variable Operation and Maintenance Expenses ($/MWh)</v>
      </c>
      <c r="D86" s="259" t="s">
        <v>40</v>
      </c>
      <c r="F86" s="259"/>
      <c r="G86" s="259"/>
      <c r="H86" s="259"/>
      <c r="I86" s="259"/>
      <c r="J86" s="259"/>
      <c r="K86" s="259"/>
      <c r="L86" s="259"/>
      <c r="M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</row>
    <row r="87" spans="1:76" hidden="1" outlineLevel="1">
      <c r="B87" s="348">
        <v>2020</v>
      </c>
      <c r="C87" s="348" t="s">
        <v>154</v>
      </c>
      <c r="D87" s="348" t="s">
        <v>40</v>
      </c>
      <c r="E87" s="348" t="s">
        <v>11</v>
      </c>
      <c r="F87" s="335">
        <v>0</v>
      </c>
      <c r="G87" s="335">
        <v>0</v>
      </c>
      <c r="H87" s="335">
        <v>0</v>
      </c>
      <c r="I87" s="335">
        <v>0</v>
      </c>
      <c r="J87" s="335">
        <v>0</v>
      </c>
      <c r="K87" s="335">
        <v>0</v>
      </c>
      <c r="L87" s="335">
        <v>0</v>
      </c>
      <c r="M87" s="335">
        <v>0</v>
      </c>
      <c r="N87" s="335">
        <v>0</v>
      </c>
      <c r="O87" s="335">
        <v>0</v>
      </c>
      <c r="P87" s="335">
        <v>0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0</v>
      </c>
      <c r="W87" s="335">
        <v>0</v>
      </c>
      <c r="X87" s="335">
        <v>0</v>
      </c>
      <c r="Y87" s="335">
        <v>0</v>
      </c>
      <c r="Z87" s="335">
        <v>0</v>
      </c>
      <c r="AA87" s="335">
        <v>0</v>
      </c>
      <c r="AB87" s="335">
        <v>0</v>
      </c>
      <c r="AC87" s="335">
        <v>0</v>
      </c>
      <c r="AD87" s="335">
        <v>0</v>
      </c>
      <c r="AE87" s="335">
        <v>0</v>
      </c>
      <c r="AF87" s="335">
        <v>0</v>
      </c>
      <c r="AG87" s="335">
        <v>0</v>
      </c>
      <c r="AH87" s="335">
        <v>0</v>
      </c>
      <c r="AI87" s="335">
        <v>0</v>
      </c>
      <c r="AJ87" s="335">
        <v>0</v>
      </c>
      <c r="AK87" s="335">
        <v>0</v>
      </c>
      <c r="AL87" s="335">
        <v>0</v>
      </c>
      <c r="AM87" s="335">
        <v>0</v>
      </c>
      <c r="AN87" s="335">
        <v>0</v>
      </c>
      <c r="AO87" s="335">
        <v>0</v>
      </c>
      <c r="AP87" s="335">
        <v>0</v>
      </c>
      <c r="AQ87" s="335">
        <v>0</v>
      </c>
      <c r="AR87" s="335">
        <v>0</v>
      </c>
      <c r="AS87" s="335">
        <v>0</v>
      </c>
      <c r="AT87" s="335">
        <v>0</v>
      </c>
      <c r="AU87" s="335">
        <v>0</v>
      </c>
      <c r="AV87" s="335">
        <v>0</v>
      </c>
      <c r="AW87" s="335">
        <v>0</v>
      </c>
      <c r="AX87" s="335">
        <v>0</v>
      </c>
      <c r="AY87" s="335">
        <v>0</v>
      </c>
      <c r="AZ87" s="335">
        <v>0</v>
      </c>
      <c r="BA87" s="335">
        <v>0</v>
      </c>
      <c r="BB87" s="335">
        <v>0</v>
      </c>
      <c r="BC87" s="335">
        <v>0</v>
      </c>
      <c r="BD87" s="335">
        <v>0</v>
      </c>
      <c r="BE87" s="335">
        <v>0</v>
      </c>
      <c r="BF87" s="335">
        <v>0</v>
      </c>
      <c r="BG87" s="335">
        <v>0</v>
      </c>
      <c r="BH87" s="335">
        <v>0</v>
      </c>
      <c r="BI87" s="335">
        <v>0</v>
      </c>
      <c r="BJ87" s="335">
        <v>0</v>
      </c>
      <c r="BK87" s="335">
        <v>0</v>
      </c>
      <c r="BL87" s="335">
        <v>0</v>
      </c>
      <c r="BM87" s="335">
        <v>0</v>
      </c>
      <c r="BN87" s="335">
        <v>0</v>
      </c>
      <c r="BO87" s="335">
        <v>0</v>
      </c>
      <c r="BP87" s="335">
        <v>0</v>
      </c>
      <c r="BQ87" s="335">
        <v>0</v>
      </c>
      <c r="BR87" s="335">
        <v>0</v>
      </c>
      <c r="BS87" s="335">
        <v>0</v>
      </c>
      <c r="BT87" s="335">
        <v>0</v>
      </c>
      <c r="BU87" s="335">
        <v>0</v>
      </c>
      <c r="BV87" s="335">
        <v>0</v>
      </c>
      <c r="BW87" s="335">
        <v>0</v>
      </c>
      <c r="BX87" s="335">
        <v>0</v>
      </c>
    </row>
    <row r="88" spans="1:76" hidden="1" outlineLevel="1">
      <c r="B88" s="348">
        <v>2020</v>
      </c>
      <c r="C88" s="348" t="s">
        <v>155</v>
      </c>
      <c r="D88" s="348" t="s">
        <v>40</v>
      </c>
      <c r="E88" s="348" t="s">
        <v>12</v>
      </c>
      <c r="F88" s="335">
        <v>0</v>
      </c>
      <c r="G88" s="335">
        <v>0</v>
      </c>
      <c r="H88" s="335">
        <v>0</v>
      </c>
      <c r="I88" s="335">
        <v>0</v>
      </c>
      <c r="J88" s="335">
        <v>0</v>
      </c>
      <c r="K88" s="335">
        <v>0</v>
      </c>
      <c r="L88" s="335">
        <v>0</v>
      </c>
      <c r="M88" s="335">
        <v>0</v>
      </c>
      <c r="N88" s="335">
        <v>0</v>
      </c>
      <c r="O88" s="335">
        <v>0</v>
      </c>
      <c r="P88" s="335">
        <v>0</v>
      </c>
      <c r="Q88" s="335">
        <v>0</v>
      </c>
      <c r="R88" s="335">
        <v>0</v>
      </c>
      <c r="S88" s="335">
        <v>0</v>
      </c>
      <c r="T88" s="335">
        <v>0</v>
      </c>
      <c r="U88" s="335">
        <v>0</v>
      </c>
      <c r="V88" s="335">
        <v>0</v>
      </c>
      <c r="W88" s="335">
        <v>0</v>
      </c>
      <c r="X88" s="335">
        <v>0</v>
      </c>
      <c r="Y88" s="335">
        <v>0</v>
      </c>
      <c r="Z88" s="335">
        <v>0</v>
      </c>
      <c r="AA88" s="335">
        <v>0</v>
      </c>
      <c r="AB88" s="335">
        <v>0</v>
      </c>
      <c r="AC88" s="335">
        <v>0</v>
      </c>
      <c r="AD88" s="335">
        <v>0</v>
      </c>
      <c r="AE88" s="335">
        <v>0</v>
      </c>
      <c r="AF88" s="335">
        <v>0</v>
      </c>
      <c r="AG88" s="335">
        <v>0</v>
      </c>
      <c r="AH88" s="335">
        <v>0</v>
      </c>
      <c r="AI88" s="335">
        <v>0</v>
      </c>
      <c r="AJ88" s="335">
        <v>0</v>
      </c>
      <c r="AK88" s="335">
        <v>0</v>
      </c>
      <c r="AL88" s="335">
        <v>0</v>
      </c>
      <c r="AM88" s="335">
        <v>0</v>
      </c>
      <c r="AN88" s="335">
        <v>0</v>
      </c>
      <c r="AO88" s="335">
        <v>0</v>
      </c>
      <c r="AP88" s="335">
        <v>0</v>
      </c>
      <c r="AQ88" s="335">
        <v>0</v>
      </c>
      <c r="AR88" s="335">
        <v>0</v>
      </c>
      <c r="AS88" s="335">
        <v>0</v>
      </c>
      <c r="AT88" s="335">
        <v>0</v>
      </c>
      <c r="AU88" s="335">
        <v>0</v>
      </c>
      <c r="AV88" s="335">
        <v>0</v>
      </c>
      <c r="AW88" s="335">
        <v>0</v>
      </c>
      <c r="AX88" s="335">
        <v>0</v>
      </c>
      <c r="AY88" s="335">
        <v>0</v>
      </c>
      <c r="AZ88" s="335">
        <v>0</v>
      </c>
      <c r="BA88" s="335">
        <v>0</v>
      </c>
      <c r="BB88" s="335">
        <v>0</v>
      </c>
      <c r="BC88" s="335">
        <v>0</v>
      </c>
      <c r="BD88" s="335">
        <v>0</v>
      </c>
      <c r="BE88" s="335">
        <v>0</v>
      </c>
      <c r="BF88" s="335">
        <v>0</v>
      </c>
      <c r="BG88" s="335">
        <v>0</v>
      </c>
      <c r="BH88" s="335">
        <v>0</v>
      </c>
      <c r="BI88" s="335">
        <v>0</v>
      </c>
      <c r="BJ88" s="335">
        <v>0</v>
      </c>
      <c r="BK88" s="335">
        <v>0</v>
      </c>
      <c r="BL88" s="335">
        <v>0</v>
      </c>
      <c r="BM88" s="335">
        <v>0</v>
      </c>
      <c r="BN88" s="335">
        <v>0</v>
      </c>
      <c r="BO88" s="335">
        <v>0</v>
      </c>
      <c r="BP88" s="335">
        <v>0</v>
      </c>
      <c r="BQ88" s="335">
        <v>0</v>
      </c>
      <c r="BR88" s="335">
        <v>0</v>
      </c>
      <c r="BS88" s="335">
        <v>0</v>
      </c>
      <c r="BT88" s="335">
        <v>0</v>
      </c>
      <c r="BU88" s="335">
        <v>0</v>
      </c>
      <c r="BV88" s="335">
        <v>0</v>
      </c>
      <c r="BW88" s="335">
        <v>0</v>
      </c>
      <c r="BX88" s="335">
        <v>0</v>
      </c>
    </row>
    <row r="89" spans="1:76" hidden="1" outlineLevel="1">
      <c r="A89" s="355" t="s">
        <v>375</v>
      </c>
      <c r="B89" s="348">
        <v>2020</v>
      </c>
      <c r="C89" s="348" t="s">
        <v>154</v>
      </c>
      <c r="D89" s="348" t="s">
        <v>40</v>
      </c>
      <c r="E89" s="348" t="s">
        <v>13</v>
      </c>
      <c r="F89" s="383">
        <v>0</v>
      </c>
      <c r="G89" s="383">
        <v>0</v>
      </c>
      <c r="H89" s="383">
        <v>0</v>
      </c>
      <c r="I89" s="383">
        <v>0</v>
      </c>
      <c r="J89" s="383">
        <v>0</v>
      </c>
      <c r="K89" s="383">
        <v>0</v>
      </c>
      <c r="L89" s="383">
        <v>0</v>
      </c>
      <c r="M89" s="383">
        <v>0</v>
      </c>
      <c r="N89" s="383">
        <v>0</v>
      </c>
      <c r="O89" s="383">
        <v>0</v>
      </c>
      <c r="P89" s="383">
        <v>0</v>
      </c>
      <c r="Q89" s="383">
        <v>0</v>
      </c>
      <c r="R89" s="383">
        <v>0</v>
      </c>
      <c r="S89" s="383">
        <v>0</v>
      </c>
      <c r="T89" s="383">
        <v>0</v>
      </c>
      <c r="U89" s="383">
        <v>0</v>
      </c>
      <c r="V89" s="383">
        <v>0</v>
      </c>
      <c r="W89" s="383">
        <v>0</v>
      </c>
      <c r="X89" s="383">
        <v>0</v>
      </c>
      <c r="Y89" s="383">
        <v>0</v>
      </c>
      <c r="Z89" s="383">
        <v>0</v>
      </c>
      <c r="AA89" s="383">
        <v>0</v>
      </c>
      <c r="AB89" s="383">
        <v>0</v>
      </c>
      <c r="AC89" s="383">
        <v>0</v>
      </c>
      <c r="AD89" s="383">
        <v>0</v>
      </c>
      <c r="AE89" s="383">
        <v>0</v>
      </c>
      <c r="AF89" s="383">
        <v>0</v>
      </c>
      <c r="AG89" s="383">
        <v>0</v>
      </c>
      <c r="AH89" s="383">
        <v>0</v>
      </c>
      <c r="AI89" s="383">
        <v>0</v>
      </c>
      <c r="AJ89" s="383">
        <v>0</v>
      </c>
      <c r="AK89" s="335">
        <v>0</v>
      </c>
      <c r="AL89" s="335">
        <v>0</v>
      </c>
      <c r="AM89" s="335">
        <v>0</v>
      </c>
      <c r="AN89" s="335">
        <v>0</v>
      </c>
      <c r="AO89" s="335">
        <v>0</v>
      </c>
      <c r="AP89" s="335">
        <v>0</v>
      </c>
      <c r="AQ89" s="335">
        <v>0</v>
      </c>
      <c r="AR89" s="335">
        <v>0</v>
      </c>
      <c r="AS89" s="335">
        <v>0</v>
      </c>
      <c r="AT89" s="335">
        <v>0</v>
      </c>
      <c r="AU89" s="335">
        <v>0</v>
      </c>
      <c r="AV89" s="335">
        <v>0</v>
      </c>
      <c r="AW89" s="335">
        <v>0</v>
      </c>
      <c r="AX89" s="335">
        <v>0</v>
      </c>
      <c r="AY89" s="335">
        <v>0</v>
      </c>
      <c r="AZ89" s="335">
        <v>0</v>
      </c>
      <c r="BA89" s="335">
        <v>0</v>
      </c>
      <c r="BB89" s="335">
        <v>0</v>
      </c>
      <c r="BC89" s="335">
        <v>0</v>
      </c>
      <c r="BD89" s="335">
        <v>0</v>
      </c>
      <c r="BE89" s="335">
        <v>0</v>
      </c>
      <c r="BF89" s="335">
        <v>0</v>
      </c>
      <c r="BG89" s="335">
        <v>0</v>
      </c>
      <c r="BH89" s="335">
        <v>0</v>
      </c>
      <c r="BI89" s="335">
        <v>0</v>
      </c>
      <c r="BJ89" s="335">
        <v>0</v>
      </c>
      <c r="BK89" s="335">
        <v>0</v>
      </c>
      <c r="BL89" s="335">
        <v>0</v>
      </c>
      <c r="BM89" s="335">
        <v>0</v>
      </c>
      <c r="BN89" s="335">
        <v>0</v>
      </c>
      <c r="BO89" s="335">
        <v>0</v>
      </c>
      <c r="BP89" s="335">
        <v>0</v>
      </c>
      <c r="BQ89" s="335">
        <v>0</v>
      </c>
      <c r="BR89" s="335">
        <v>0</v>
      </c>
      <c r="BS89" s="335">
        <v>0</v>
      </c>
      <c r="BT89" s="335">
        <v>0</v>
      </c>
      <c r="BU89" s="335">
        <v>0</v>
      </c>
      <c r="BV89" s="335">
        <v>0</v>
      </c>
      <c r="BW89" s="335">
        <v>0</v>
      </c>
      <c r="BX89" s="335">
        <v>0</v>
      </c>
    </row>
    <row r="90" spans="1:76" hidden="1" outlineLevel="1">
      <c r="A90" s="355" t="s">
        <v>376</v>
      </c>
      <c r="B90" s="348">
        <v>2020</v>
      </c>
      <c r="C90" s="348" t="s">
        <v>155</v>
      </c>
      <c r="D90" s="348" t="s">
        <v>40</v>
      </c>
      <c r="E90" s="348" t="s">
        <v>14</v>
      </c>
      <c r="F90" s="383">
        <v>0</v>
      </c>
      <c r="G90" s="383">
        <v>0</v>
      </c>
      <c r="H90" s="383">
        <v>0</v>
      </c>
      <c r="I90" s="383">
        <v>0</v>
      </c>
      <c r="J90" s="383">
        <v>0</v>
      </c>
      <c r="K90" s="383">
        <v>0</v>
      </c>
      <c r="L90" s="383">
        <v>0</v>
      </c>
      <c r="M90" s="383">
        <v>0</v>
      </c>
      <c r="N90" s="383">
        <v>0</v>
      </c>
      <c r="O90" s="383">
        <v>0</v>
      </c>
      <c r="P90" s="383">
        <v>0</v>
      </c>
      <c r="Q90" s="383">
        <v>0</v>
      </c>
      <c r="R90" s="383">
        <v>0</v>
      </c>
      <c r="S90" s="383">
        <v>0</v>
      </c>
      <c r="T90" s="383">
        <v>0</v>
      </c>
      <c r="U90" s="383">
        <v>0</v>
      </c>
      <c r="V90" s="383">
        <v>0</v>
      </c>
      <c r="W90" s="383">
        <v>0</v>
      </c>
      <c r="X90" s="383">
        <v>0</v>
      </c>
      <c r="Y90" s="383">
        <v>0</v>
      </c>
      <c r="Z90" s="383">
        <v>0</v>
      </c>
      <c r="AA90" s="383">
        <v>0</v>
      </c>
      <c r="AB90" s="383">
        <v>0</v>
      </c>
      <c r="AC90" s="383">
        <v>0</v>
      </c>
      <c r="AD90" s="383">
        <v>0</v>
      </c>
      <c r="AE90" s="383">
        <v>0</v>
      </c>
      <c r="AF90" s="383">
        <v>0</v>
      </c>
      <c r="AG90" s="383">
        <v>0</v>
      </c>
      <c r="AH90" s="383">
        <v>0</v>
      </c>
      <c r="AI90" s="383">
        <v>0</v>
      </c>
      <c r="AJ90" s="383">
        <v>0</v>
      </c>
      <c r="AK90" s="335">
        <v>0</v>
      </c>
      <c r="AL90" s="335">
        <v>0</v>
      </c>
      <c r="AM90" s="335">
        <v>0</v>
      </c>
      <c r="AN90" s="335">
        <v>0</v>
      </c>
      <c r="AO90" s="335">
        <v>0</v>
      </c>
      <c r="AP90" s="335">
        <v>0</v>
      </c>
      <c r="AQ90" s="335">
        <v>0</v>
      </c>
      <c r="AR90" s="335">
        <v>0</v>
      </c>
      <c r="AS90" s="335">
        <v>0</v>
      </c>
      <c r="AT90" s="335">
        <v>0</v>
      </c>
      <c r="AU90" s="335">
        <v>0</v>
      </c>
      <c r="AV90" s="335">
        <v>0</v>
      </c>
      <c r="AW90" s="335">
        <v>0</v>
      </c>
      <c r="AX90" s="335">
        <v>0</v>
      </c>
      <c r="AY90" s="335">
        <v>0</v>
      </c>
      <c r="AZ90" s="335">
        <v>0</v>
      </c>
      <c r="BA90" s="335">
        <v>0</v>
      </c>
      <c r="BB90" s="335">
        <v>0</v>
      </c>
      <c r="BC90" s="335">
        <v>0</v>
      </c>
      <c r="BD90" s="335">
        <v>0</v>
      </c>
      <c r="BE90" s="335">
        <v>0</v>
      </c>
      <c r="BF90" s="335">
        <v>0</v>
      </c>
      <c r="BG90" s="335">
        <v>0</v>
      </c>
      <c r="BH90" s="335">
        <v>0</v>
      </c>
      <c r="BI90" s="335">
        <v>0</v>
      </c>
      <c r="BJ90" s="335">
        <v>0</v>
      </c>
      <c r="BK90" s="335">
        <v>0</v>
      </c>
      <c r="BL90" s="335">
        <v>0</v>
      </c>
      <c r="BM90" s="335">
        <v>0</v>
      </c>
      <c r="BN90" s="335">
        <v>0</v>
      </c>
      <c r="BO90" s="335">
        <v>0</v>
      </c>
      <c r="BP90" s="335">
        <v>0</v>
      </c>
      <c r="BQ90" s="335">
        <v>0</v>
      </c>
      <c r="BR90" s="335">
        <v>0</v>
      </c>
      <c r="BS90" s="335">
        <v>0</v>
      </c>
      <c r="BT90" s="335">
        <v>0</v>
      </c>
      <c r="BU90" s="335">
        <v>0</v>
      </c>
      <c r="BV90" s="335">
        <v>0</v>
      </c>
      <c r="BW90" s="335">
        <v>0</v>
      </c>
      <c r="BX90" s="335">
        <v>0</v>
      </c>
    </row>
    <row r="91" spans="1:76" hidden="1" outlineLevel="1">
      <c r="A91" s="355" t="s">
        <v>377</v>
      </c>
      <c r="B91" s="348">
        <v>2020</v>
      </c>
      <c r="C91" s="348" t="s">
        <v>156</v>
      </c>
      <c r="D91" s="348" t="s">
        <v>40</v>
      </c>
      <c r="E91" s="348" t="s">
        <v>15</v>
      </c>
      <c r="F91" s="383">
        <v>0</v>
      </c>
      <c r="G91" s="383">
        <v>0</v>
      </c>
      <c r="H91" s="383">
        <v>0</v>
      </c>
      <c r="I91" s="383">
        <v>0</v>
      </c>
      <c r="J91" s="383">
        <v>0</v>
      </c>
      <c r="K91" s="383">
        <v>0</v>
      </c>
      <c r="L91" s="383">
        <v>0</v>
      </c>
      <c r="M91" s="383">
        <v>0</v>
      </c>
      <c r="N91" s="383">
        <v>0</v>
      </c>
      <c r="O91" s="383">
        <v>0</v>
      </c>
      <c r="P91" s="383">
        <v>0</v>
      </c>
      <c r="Q91" s="383">
        <v>0</v>
      </c>
      <c r="R91" s="383">
        <v>0</v>
      </c>
      <c r="S91" s="383">
        <v>0</v>
      </c>
      <c r="T91" s="383">
        <v>0</v>
      </c>
      <c r="U91" s="383">
        <v>0</v>
      </c>
      <c r="V91" s="383">
        <v>0</v>
      </c>
      <c r="W91" s="383">
        <v>0</v>
      </c>
      <c r="X91" s="383">
        <v>0</v>
      </c>
      <c r="Y91" s="383">
        <v>0</v>
      </c>
      <c r="Z91" s="383">
        <v>0</v>
      </c>
      <c r="AA91" s="383">
        <v>0</v>
      </c>
      <c r="AB91" s="383">
        <v>0</v>
      </c>
      <c r="AC91" s="383">
        <v>0</v>
      </c>
      <c r="AD91" s="383">
        <v>0</v>
      </c>
      <c r="AE91" s="383">
        <v>0</v>
      </c>
      <c r="AF91" s="383">
        <v>0</v>
      </c>
      <c r="AG91" s="383">
        <v>0</v>
      </c>
      <c r="AH91" s="383">
        <v>0</v>
      </c>
      <c r="AI91" s="383">
        <v>0</v>
      </c>
      <c r="AJ91" s="383">
        <v>0</v>
      </c>
      <c r="AK91" s="335">
        <v>0</v>
      </c>
      <c r="AL91" s="335">
        <v>0</v>
      </c>
      <c r="AM91" s="335">
        <v>0</v>
      </c>
      <c r="AN91" s="335">
        <v>0</v>
      </c>
      <c r="AO91" s="335">
        <v>0</v>
      </c>
      <c r="AP91" s="335">
        <v>0</v>
      </c>
      <c r="AQ91" s="335">
        <v>0</v>
      </c>
      <c r="AR91" s="335">
        <v>0</v>
      </c>
      <c r="AS91" s="335">
        <v>0</v>
      </c>
      <c r="AT91" s="335">
        <v>0</v>
      </c>
      <c r="AU91" s="335">
        <v>0</v>
      </c>
      <c r="AV91" s="335">
        <v>0</v>
      </c>
      <c r="AW91" s="335">
        <v>0</v>
      </c>
      <c r="AX91" s="335">
        <v>0</v>
      </c>
      <c r="AY91" s="335">
        <v>0</v>
      </c>
      <c r="AZ91" s="335">
        <v>0</v>
      </c>
      <c r="BA91" s="335">
        <v>0</v>
      </c>
      <c r="BB91" s="335">
        <v>0</v>
      </c>
      <c r="BC91" s="335">
        <v>0</v>
      </c>
      <c r="BD91" s="335">
        <v>0</v>
      </c>
      <c r="BE91" s="335">
        <v>0</v>
      </c>
      <c r="BF91" s="335">
        <v>0</v>
      </c>
      <c r="BG91" s="335">
        <v>0</v>
      </c>
      <c r="BH91" s="335">
        <v>0</v>
      </c>
      <c r="BI91" s="335">
        <v>0</v>
      </c>
      <c r="BJ91" s="335">
        <v>0</v>
      </c>
      <c r="BK91" s="335">
        <v>0</v>
      </c>
      <c r="BL91" s="335">
        <v>0</v>
      </c>
      <c r="BM91" s="335">
        <v>0</v>
      </c>
      <c r="BN91" s="335">
        <v>0</v>
      </c>
      <c r="BO91" s="335">
        <v>0</v>
      </c>
      <c r="BP91" s="335">
        <v>0</v>
      </c>
      <c r="BQ91" s="335">
        <v>0</v>
      </c>
      <c r="BR91" s="335">
        <v>0</v>
      </c>
      <c r="BS91" s="335">
        <v>0</v>
      </c>
      <c r="BT91" s="335">
        <v>0</v>
      </c>
      <c r="BU91" s="335">
        <v>0</v>
      </c>
      <c r="BV91" s="335">
        <v>0</v>
      </c>
      <c r="BW91" s="335">
        <v>0</v>
      </c>
      <c r="BX91" s="335">
        <v>0</v>
      </c>
    </row>
    <row r="92" spans="1:76" hidden="1" outlineLevel="1">
      <c r="B92" s="348">
        <v>2020</v>
      </c>
      <c r="C92" s="348" t="s">
        <v>231</v>
      </c>
      <c r="D92" s="348" t="s">
        <v>40</v>
      </c>
      <c r="E92" s="348" t="s">
        <v>16</v>
      </c>
      <c r="F92" s="335">
        <v>0</v>
      </c>
      <c r="G92" s="335">
        <v>0</v>
      </c>
      <c r="H92" s="335">
        <v>0</v>
      </c>
      <c r="I92" s="335">
        <v>0</v>
      </c>
      <c r="J92" s="335">
        <v>0</v>
      </c>
      <c r="K92" s="335">
        <v>0</v>
      </c>
      <c r="L92" s="335">
        <v>0</v>
      </c>
      <c r="M92" s="335">
        <v>0</v>
      </c>
      <c r="N92" s="335">
        <v>0</v>
      </c>
      <c r="O92" s="335">
        <v>0</v>
      </c>
      <c r="P92" s="335">
        <v>0</v>
      </c>
      <c r="Q92" s="335">
        <v>0</v>
      </c>
      <c r="R92" s="335">
        <v>0</v>
      </c>
      <c r="S92" s="335">
        <v>0</v>
      </c>
      <c r="T92" s="335">
        <v>0</v>
      </c>
      <c r="U92" s="335">
        <v>0</v>
      </c>
      <c r="V92" s="335">
        <v>0</v>
      </c>
      <c r="W92" s="335">
        <v>0</v>
      </c>
      <c r="X92" s="335">
        <v>0</v>
      </c>
      <c r="Y92" s="335">
        <v>0</v>
      </c>
      <c r="Z92" s="335">
        <v>0</v>
      </c>
      <c r="AA92" s="335">
        <v>0</v>
      </c>
      <c r="AB92" s="335">
        <v>0</v>
      </c>
      <c r="AC92" s="335">
        <v>0</v>
      </c>
      <c r="AD92" s="335">
        <v>0</v>
      </c>
      <c r="AE92" s="335">
        <v>0</v>
      </c>
      <c r="AF92" s="335">
        <v>0</v>
      </c>
      <c r="AG92" s="335">
        <v>0</v>
      </c>
      <c r="AH92" s="335">
        <v>0</v>
      </c>
      <c r="AI92" s="335">
        <v>0</v>
      </c>
      <c r="AJ92" s="335">
        <v>0</v>
      </c>
      <c r="AK92" s="335">
        <v>0</v>
      </c>
      <c r="AL92" s="335">
        <v>0</v>
      </c>
      <c r="AM92" s="335">
        <v>0</v>
      </c>
      <c r="AN92" s="335">
        <v>0</v>
      </c>
      <c r="AO92" s="335">
        <v>0</v>
      </c>
      <c r="AP92" s="335">
        <v>0</v>
      </c>
      <c r="AQ92" s="335">
        <v>0</v>
      </c>
      <c r="AR92" s="335">
        <v>0</v>
      </c>
      <c r="AS92" s="335">
        <v>0</v>
      </c>
      <c r="AT92" s="335">
        <v>0</v>
      </c>
      <c r="AU92" s="335">
        <v>0</v>
      </c>
      <c r="AV92" s="335">
        <v>0</v>
      </c>
      <c r="AW92" s="335">
        <v>0</v>
      </c>
      <c r="AX92" s="335">
        <v>0</v>
      </c>
      <c r="AY92" s="335">
        <v>0</v>
      </c>
      <c r="AZ92" s="335">
        <v>0</v>
      </c>
      <c r="BA92" s="335">
        <v>0</v>
      </c>
      <c r="BB92" s="335">
        <v>0</v>
      </c>
      <c r="BC92" s="335">
        <v>0</v>
      </c>
      <c r="BD92" s="335">
        <v>0</v>
      </c>
      <c r="BE92" s="335">
        <v>0</v>
      </c>
      <c r="BF92" s="335">
        <v>0</v>
      </c>
      <c r="BG92" s="335">
        <v>0</v>
      </c>
      <c r="BH92" s="335">
        <v>0</v>
      </c>
      <c r="BI92" s="335">
        <v>0</v>
      </c>
      <c r="BJ92" s="335">
        <v>0</v>
      </c>
      <c r="BK92" s="335">
        <v>0</v>
      </c>
      <c r="BL92" s="335">
        <v>0</v>
      </c>
      <c r="BM92" s="335">
        <v>0</v>
      </c>
      <c r="BN92" s="335">
        <v>0</v>
      </c>
      <c r="BO92" s="335">
        <v>0</v>
      </c>
      <c r="BP92" s="335">
        <v>0</v>
      </c>
      <c r="BQ92" s="335">
        <v>0</v>
      </c>
      <c r="BR92" s="335">
        <v>0</v>
      </c>
      <c r="BS92" s="335">
        <v>0</v>
      </c>
      <c r="BT92" s="335">
        <v>0</v>
      </c>
      <c r="BU92" s="335">
        <v>0</v>
      </c>
      <c r="BV92" s="335">
        <v>0</v>
      </c>
      <c r="BW92" s="335">
        <v>0</v>
      </c>
      <c r="BX92" s="335">
        <v>0</v>
      </c>
    </row>
    <row r="93" spans="1:76" hidden="1" outlineLevel="1">
      <c r="B93" s="348">
        <v>2020</v>
      </c>
      <c r="C93" s="348" t="s">
        <v>231</v>
      </c>
      <c r="D93" s="348" t="s">
        <v>40</v>
      </c>
      <c r="E93" s="348" t="s">
        <v>17</v>
      </c>
      <c r="F93" s="335">
        <v>0</v>
      </c>
      <c r="G93" s="335">
        <v>0</v>
      </c>
      <c r="H93" s="335">
        <v>0</v>
      </c>
      <c r="I93" s="335">
        <v>0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0</v>
      </c>
      <c r="U93" s="335">
        <v>0</v>
      </c>
      <c r="V93" s="335">
        <v>0</v>
      </c>
      <c r="W93" s="335">
        <v>0</v>
      </c>
      <c r="X93" s="335">
        <v>0</v>
      </c>
      <c r="Y93" s="335">
        <v>0</v>
      </c>
      <c r="Z93" s="335">
        <v>0</v>
      </c>
      <c r="AA93" s="335">
        <v>0</v>
      </c>
      <c r="AB93" s="335">
        <v>0</v>
      </c>
      <c r="AC93" s="335">
        <v>0</v>
      </c>
      <c r="AD93" s="335">
        <v>0</v>
      </c>
      <c r="AE93" s="335">
        <v>0</v>
      </c>
      <c r="AF93" s="335">
        <v>0</v>
      </c>
      <c r="AG93" s="335">
        <v>0</v>
      </c>
      <c r="AH93" s="335">
        <v>0</v>
      </c>
      <c r="AI93" s="335">
        <v>0</v>
      </c>
      <c r="AJ93" s="335">
        <v>0</v>
      </c>
      <c r="AK93" s="335">
        <v>0</v>
      </c>
      <c r="AL93" s="335">
        <v>0</v>
      </c>
      <c r="AM93" s="335">
        <v>0</v>
      </c>
      <c r="AN93" s="335">
        <v>0</v>
      </c>
      <c r="AO93" s="335">
        <v>0</v>
      </c>
      <c r="AP93" s="335">
        <v>0</v>
      </c>
      <c r="AQ93" s="335">
        <v>0</v>
      </c>
      <c r="AR93" s="335">
        <v>0</v>
      </c>
      <c r="AS93" s="335">
        <v>0</v>
      </c>
      <c r="AT93" s="335">
        <v>0</v>
      </c>
      <c r="AU93" s="335">
        <v>0</v>
      </c>
      <c r="AV93" s="335">
        <v>0</v>
      </c>
      <c r="AW93" s="335">
        <v>0</v>
      </c>
      <c r="AX93" s="335">
        <v>0</v>
      </c>
      <c r="AY93" s="335">
        <v>0</v>
      </c>
      <c r="AZ93" s="335">
        <v>0</v>
      </c>
      <c r="BA93" s="335">
        <v>0</v>
      </c>
      <c r="BB93" s="335">
        <v>0</v>
      </c>
      <c r="BC93" s="335">
        <v>0</v>
      </c>
      <c r="BD93" s="335">
        <v>0</v>
      </c>
      <c r="BE93" s="335">
        <v>0</v>
      </c>
      <c r="BF93" s="335">
        <v>0</v>
      </c>
      <c r="BG93" s="335">
        <v>0</v>
      </c>
      <c r="BH93" s="335">
        <v>0</v>
      </c>
      <c r="BI93" s="335">
        <v>0</v>
      </c>
      <c r="BJ93" s="335">
        <v>0</v>
      </c>
      <c r="BK93" s="335">
        <v>0</v>
      </c>
      <c r="BL93" s="335">
        <v>0</v>
      </c>
      <c r="BM93" s="335">
        <v>0</v>
      </c>
      <c r="BN93" s="335">
        <v>0</v>
      </c>
      <c r="BO93" s="335">
        <v>0</v>
      </c>
      <c r="BP93" s="335">
        <v>0</v>
      </c>
      <c r="BQ93" s="335">
        <v>0</v>
      </c>
      <c r="BR93" s="335">
        <v>0</v>
      </c>
      <c r="BS93" s="335">
        <v>0</v>
      </c>
      <c r="BT93" s="335">
        <v>0</v>
      </c>
      <c r="BU93" s="335">
        <v>0</v>
      </c>
      <c r="BV93" s="335">
        <v>0</v>
      </c>
      <c r="BW93" s="335">
        <v>0</v>
      </c>
      <c r="BX93" s="335">
        <v>0</v>
      </c>
    </row>
    <row r="94" spans="1:76" hidden="1" outlineLevel="1">
      <c r="B94" s="348">
        <v>2020</v>
      </c>
      <c r="C94" s="348" t="s">
        <v>238</v>
      </c>
      <c r="D94" s="348" t="s">
        <v>40</v>
      </c>
      <c r="E94" s="348" t="s">
        <v>18</v>
      </c>
      <c r="F94" s="335">
        <v>0</v>
      </c>
      <c r="G94" s="335">
        <v>0</v>
      </c>
      <c r="H94" s="335">
        <v>0</v>
      </c>
      <c r="I94" s="335">
        <v>0</v>
      </c>
      <c r="J94" s="335">
        <v>0</v>
      </c>
      <c r="K94" s="335">
        <v>0</v>
      </c>
      <c r="L94" s="335">
        <v>0</v>
      </c>
      <c r="M94" s="335">
        <v>0</v>
      </c>
      <c r="N94" s="335">
        <v>0</v>
      </c>
      <c r="O94" s="335">
        <v>0</v>
      </c>
      <c r="P94" s="335">
        <v>0</v>
      </c>
      <c r="Q94" s="335">
        <v>0</v>
      </c>
      <c r="R94" s="335">
        <v>0</v>
      </c>
      <c r="S94" s="335">
        <v>0</v>
      </c>
      <c r="T94" s="335">
        <v>0</v>
      </c>
      <c r="U94" s="335">
        <v>0</v>
      </c>
      <c r="V94" s="335">
        <v>0</v>
      </c>
      <c r="W94" s="335">
        <v>0</v>
      </c>
      <c r="X94" s="335">
        <v>0</v>
      </c>
      <c r="Y94" s="335">
        <v>0</v>
      </c>
      <c r="Z94" s="335">
        <v>0</v>
      </c>
      <c r="AA94" s="335">
        <v>0</v>
      </c>
      <c r="AB94" s="335">
        <v>0</v>
      </c>
      <c r="AC94" s="335">
        <v>0</v>
      </c>
      <c r="AD94" s="335">
        <v>0</v>
      </c>
      <c r="AE94" s="335">
        <v>0</v>
      </c>
      <c r="AF94" s="335">
        <v>0</v>
      </c>
      <c r="AG94" s="335">
        <v>0</v>
      </c>
      <c r="AH94" s="335">
        <v>0</v>
      </c>
      <c r="AI94" s="335">
        <v>0</v>
      </c>
      <c r="AJ94" s="335">
        <v>0</v>
      </c>
      <c r="AK94" s="335">
        <v>0</v>
      </c>
      <c r="AL94" s="335">
        <v>0</v>
      </c>
      <c r="AM94" s="335">
        <v>0</v>
      </c>
      <c r="AN94" s="335">
        <v>0</v>
      </c>
      <c r="AO94" s="335">
        <v>0</v>
      </c>
      <c r="AP94" s="335">
        <v>0</v>
      </c>
      <c r="AQ94" s="335">
        <v>0</v>
      </c>
      <c r="AR94" s="335">
        <v>0</v>
      </c>
      <c r="AS94" s="335">
        <v>0</v>
      </c>
      <c r="AT94" s="335">
        <v>0</v>
      </c>
      <c r="AU94" s="335">
        <v>0</v>
      </c>
      <c r="AV94" s="335">
        <v>0</v>
      </c>
      <c r="AW94" s="335">
        <v>0</v>
      </c>
      <c r="AX94" s="335">
        <v>0</v>
      </c>
      <c r="AY94" s="335">
        <v>0</v>
      </c>
      <c r="AZ94" s="335">
        <v>0</v>
      </c>
      <c r="BA94" s="335">
        <v>0</v>
      </c>
      <c r="BB94" s="335">
        <v>0</v>
      </c>
      <c r="BC94" s="335">
        <v>0</v>
      </c>
      <c r="BD94" s="335">
        <v>0</v>
      </c>
      <c r="BE94" s="335">
        <v>0</v>
      </c>
      <c r="BF94" s="335">
        <v>0</v>
      </c>
      <c r="BG94" s="335">
        <v>0</v>
      </c>
      <c r="BH94" s="335">
        <v>0</v>
      </c>
      <c r="BI94" s="335">
        <v>0</v>
      </c>
      <c r="BJ94" s="335">
        <v>0</v>
      </c>
      <c r="BK94" s="335">
        <v>0</v>
      </c>
      <c r="BL94" s="335">
        <v>0</v>
      </c>
      <c r="BM94" s="335">
        <v>0</v>
      </c>
      <c r="BN94" s="335">
        <v>0</v>
      </c>
      <c r="BO94" s="335">
        <v>0</v>
      </c>
      <c r="BP94" s="335">
        <v>0</v>
      </c>
      <c r="BQ94" s="335">
        <v>0</v>
      </c>
      <c r="BR94" s="335">
        <v>0</v>
      </c>
      <c r="BS94" s="335">
        <v>0</v>
      </c>
      <c r="BT94" s="335">
        <v>0</v>
      </c>
      <c r="BU94" s="335">
        <v>0</v>
      </c>
      <c r="BV94" s="335">
        <v>0</v>
      </c>
      <c r="BW94" s="335">
        <v>0</v>
      </c>
      <c r="BX94" s="335">
        <v>0</v>
      </c>
    </row>
    <row r="95" spans="1:76" hidden="1" outlineLevel="1">
      <c r="B95" s="348">
        <v>2022</v>
      </c>
      <c r="C95" s="348" t="s">
        <v>231</v>
      </c>
      <c r="D95" s="348" t="s">
        <v>40</v>
      </c>
      <c r="E95" s="348" t="s">
        <v>22</v>
      </c>
      <c r="F95" s="335">
        <v>0</v>
      </c>
      <c r="G95" s="335">
        <v>0</v>
      </c>
      <c r="H95" s="335">
        <v>5.75</v>
      </c>
      <c r="I95" s="335">
        <v>5.75</v>
      </c>
      <c r="J95" s="335">
        <v>5.75</v>
      </c>
      <c r="K95" s="335">
        <v>5.75</v>
      </c>
      <c r="L95" s="335">
        <v>5.75</v>
      </c>
      <c r="M95" s="335">
        <v>5.75</v>
      </c>
      <c r="N95" s="335">
        <v>5.75</v>
      </c>
      <c r="O95" s="335">
        <v>5.75</v>
      </c>
      <c r="P95" s="335">
        <v>5.75</v>
      </c>
      <c r="Q95" s="335">
        <v>5.75</v>
      </c>
      <c r="R95" s="335">
        <v>5.75</v>
      </c>
      <c r="S95" s="335">
        <v>5.75</v>
      </c>
      <c r="T95" s="335">
        <v>5.75</v>
      </c>
      <c r="U95" s="335">
        <v>5.75</v>
      </c>
      <c r="V95" s="335">
        <v>5.75</v>
      </c>
      <c r="W95" s="335">
        <v>5.75</v>
      </c>
      <c r="X95" s="335">
        <v>5.75</v>
      </c>
      <c r="Y95" s="335">
        <v>5.75</v>
      </c>
      <c r="Z95" s="335">
        <v>5.75</v>
      </c>
      <c r="AA95" s="335">
        <v>5.75</v>
      </c>
      <c r="AB95" s="335">
        <v>5.75</v>
      </c>
      <c r="AC95" s="335">
        <v>5.75</v>
      </c>
      <c r="AD95" s="335">
        <v>5.75</v>
      </c>
      <c r="AE95" s="335">
        <v>5.75</v>
      </c>
      <c r="AF95" s="335">
        <v>5.75</v>
      </c>
      <c r="AG95" s="335">
        <v>5.75</v>
      </c>
      <c r="AH95" s="335">
        <v>5.75</v>
      </c>
      <c r="AI95" s="335">
        <v>5.75</v>
      </c>
      <c r="AJ95" s="335">
        <v>5.75</v>
      </c>
      <c r="AK95" s="335">
        <v>5.75</v>
      </c>
      <c r="AL95" s="335">
        <v>5.75</v>
      </c>
      <c r="AM95" s="335">
        <v>5.75</v>
      </c>
      <c r="AN95" s="335">
        <v>5.75</v>
      </c>
      <c r="AO95" s="335">
        <v>5.75</v>
      </c>
      <c r="AP95" s="335">
        <v>5.75</v>
      </c>
      <c r="AQ95" s="335">
        <v>5.75</v>
      </c>
      <c r="AR95" s="335">
        <v>5.75</v>
      </c>
      <c r="AS95" s="335">
        <v>5.75</v>
      </c>
      <c r="AT95" s="335">
        <v>5.75</v>
      </c>
      <c r="AU95" s="335">
        <v>5.75</v>
      </c>
      <c r="AV95" s="335">
        <v>5.75</v>
      </c>
      <c r="AW95" s="335">
        <v>5.75</v>
      </c>
      <c r="AX95" s="335">
        <v>5.75</v>
      </c>
      <c r="AY95" s="335">
        <v>5.75</v>
      </c>
      <c r="AZ95" s="335">
        <v>5.75</v>
      </c>
      <c r="BA95" s="335">
        <v>5.75</v>
      </c>
      <c r="BB95" s="335">
        <v>5.75</v>
      </c>
      <c r="BC95" s="335">
        <v>5.75</v>
      </c>
      <c r="BD95" s="335">
        <v>5.75</v>
      </c>
      <c r="BE95" s="335">
        <v>5.75</v>
      </c>
      <c r="BF95" s="335">
        <v>5.75</v>
      </c>
      <c r="BG95" s="335">
        <v>5.75</v>
      </c>
      <c r="BH95" s="335">
        <v>5.75</v>
      </c>
      <c r="BI95" s="335">
        <v>5.75</v>
      </c>
      <c r="BJ95" s="335">
        <v>5.75</v>
      </c>
      <c r="BK95" s="335">
        <v>5.75</v>
      </c>
      <c r="BL95" s="335">
        <v>5.75</v>
      </c>
      <c r="BM95" s="335">
        <v>5.75</v>
      </c>
      <c r="BN95" s="335">
        <v>5.75</v>
      </c>
      <c r="BO95" s="335">
        <v>5.75</v>
      </c>
      <c r="BP95" s="335">
        <v>5.75</v>
      </c>
      <c r="BQ95" s="335">
        <v>5.75</v>
      </c>
      <c r="BR95" s="335">
        <v>5.75</v>
      </c>
      <c r="BS95" s="335">
        <v>5.75</v>
      </c>
      <c r="BT95" s="335">
        <v>5.75</v>
      </c>
      <c r="BU95" s="335">
        <v>5.75</v>
      </c>
      <c r="BV95" s="335">
        <v>5.75</v>
      </c>
      <c r="BW95" s="335">
        <v>5.75</v>
      </c>
      <c r="BX95" s="335">
        <v>5.75</v>
      </c>
    </row>
    <row r="96" spans="1:76" hidden="1" outlineLevel="1">
      <c r="A96" s="355" t="s">
        <v>384</v>
      </c>
      <c r="B96" s="348">
        <v>2020</v>
      </c>
      <c r="C96" s="348" t="s">
        <v>194</v>
      </c>
      <c r="D96" s="348" t="s">
        <v>40</v>
      </c>
      <c r="E96" s="348" t="s">
        <v>23</v>
      </c>
      <c r="F96" s="383">
        <v>0.51249999999999996</v>
      </c>
      <c r="G96" s="383">
        <v>0.51249999999999996</v>
      </c>
      <c r="H96" s="383">
        <v>0.51249999999999996</v>
      </c>
      <c r="I96" s="383">
        <v>0.51249999999999996</v>
      </c>
      <c r="J96" s="383">
        <v>0.51249999999999996</v>
      </c>
      <c r="K96" s="383">
        <v>0.51249999999999996</v>
      </c>
      <c r="L96" s="383">
        <v>0.51249999999999996</v>
      </c>
      <c r="M96" s="383">
        <v>0.51249999999999996</v>
      </c>
      <c r="N96" s="383">
        <v>0.51249999999999996</v>
      </c>
      <c r="O96" s="383">
        <v>0.51249999999999996</v>
      </c>
      <c r="P96" s="383">
        <v>0.51249999999999996</v>
      </c>
      <c r="Q96" s="383">
        <v>0.51249999999999996</v>
      </c>
      <c r="R96" s="383">
        <v>0.51249999999999996</v>
      </c>
      <c r="S96" s="383">
        <v>0.51249999999999996</v>
      </c>
      <c r="T96" s="383">
        <v>0.51249999999999996</v>
      </c>
      <c r="U96" s="383">
        <v>0.51249999999999996</v>
      </c>
      <c r="V96" s="383">
        <v>0.51249999999999996</v>
      </c>
      <c r="W96" s="383">
        <v>0.51249999999999996</v>
      </c>
      <c r="X96" s="383">
        <v>0.51249999999999996</v>
      </c>
      <c r="Y96" s="383">
        <v>0.51249999999999996</v>
      </c>
      <c r="Z96" s="383">
        <v>0.51249999999999996</v>
      </c>
      <c r="AA96" s="383">
        <v>0.51249999999999996</v>
      </c>
      <c r="AB96" s="383">
        <v>0.51249999999999996</v>
      </c>
      <c r="AC96" s="383">
        <v>0.51249999999999996</v>
      </c>
      <c r="AD96" s="383">
        <v>0.51249999999999996</v>
      </c>
      <c r="AE96" s="383">
        <v>0.51249999999999996</v>
      </c>
      <c r="AF96" s="383">
        <v>0.51249999999999996</v>
      </c>
      <c r="AG96" s="383">
        <v>0.51249999999999996</v>
      </c>
      <c r="AH96" s="383">
        <v>0.51249999999999996</v>
      </c>
      <c r="AI96" s="383">
        <v>0.51249999999999996</v>
      </c>
      <c r="AJ96" s="383">
        <v>0.51249999999999996</v>
      </c>
      <c r="AK96" s="335">
        <v>0.51249999999999996</v>
      </c>
      <c r="AL96" s="335">
        <v>0.51249999999999996</v>
      </c>
      <c r="AM96" s="335">
        <v>0.51249999999999996</v>
      </c>
      <c r="AN96" s="335">
        <v>0.51249999999999996</v>
      </c>
      <c r="AO96" s="335">
        <v>0.51249999999999996</v>
      </c>
      <c r="AP96" s="335">
        <v>0.51249999999999996</v>
      </c>
      <c r="AQ96" s="335">
        <v>0.51249999999999996</v>
      </c>
      <c r="AR96" s="335">
        <v>0.51249999999999996</v>
      </c>
      <c r="AS96" s="335">
        <v>0.51249999999999996</v>
      </c>
      <c r="AT96" s="335">
        <v>0.51249999999999996</v>
      </c>
      <c r="AU96" s="335">
        <v>0.51249999999999996</v>
      </c>
      <c r="AV96" s="335">
        <v>0.51249999999999996</v>
      </c>
      <c r="AW96" s="335">
        <v>0.51249999999999996</v>
      </c>
      <c r="AX96" s="335">
        <v>0.51249999999999996</v>
      </c>
      <c r="AY96" s="335">
        <v>0.51249999999999996</v>
      </c>
      <c r="AZ96" s="335">
        <v>0.51249999999999996</v>
      </c>
      <c r="BA96" s="335">
        <v>0.51249999999999996</v>
      </c>
      <c r="BB96" s="335">
        <v>0.51249999999999996</v>
      </c>
      <c r="BC96" s="335">
        <v>0.51249999999999996</v>
      </c>
      <c r="BD96" s="335">
        <v>0.51249999999999996</v>
      </c>
      <c r="BE96" s="335">
        <v>0.51249999999999996</v>
      </c>
      <c r="BF96" s="335">
        <v>0.51249999999999996</v>
      </c>
      <c r="BG96" s="335">
        <v>0.51249999999999996</v>
      </c>
      <c r="BH96" s="335">
        <v>0.51249999999999996</v>
      </c>
      <c r="BI96" s="335">
        <v>0.51249999999999996</v>
      </c>
      <c r="BJ96" s="335">
        <v>0.51249999999999996</v>
      </c>
      <c r="BK96" s="335">
        <v>0.51249999999999996</v>
      </c>
      <c r="BL96" s="335">
        <v>0.51249999999999996</v>
      </c>
      <c r="BM96" s="335">
        <v>0.51249999999999996</v>
      </c>
      <c r="BN96" s="335">
        <v>0.51249999999999996</v>
      </c>
      <c r="BO96" s="335">
        <v>0.51249999999999996</v>
      </c>
      <c r="BP96" s="335">
        <v>0.51249999999999996</v>
      </c>
      <c r="BQ96" s="335">
        <v>0.51249999999999996</v>
      </c>
      <c r="BR96" s="335">
        <v>0.51249999999999996</v>
      </c>
      <c r="BS96" s="335">
        <v>0.51249999999999996</v>
      </c>
      <c r="BT96" s="335">
        <v>0.51249999999999996</v>
      </c>
      <c r="BU96" s="335">
        <v>0.51249999999999996</v>
      </c>
      <c r="BV96" s="335">
        <v>0.51249999999999996</v>
      </c>
      <c r="BW96" s="335">
        <v>0.51249999999999996</v>
      </c>
      <c r="BX96" s="335">
        <v>0.51249999999999996</v>
      </c>
    </row>
    <row r="97" spans="1:76" hidden="1" outlineLevel="1">
      <c r="A97" s="355" t="s">
        <v>385</v>
      </c>
      <c r="B97" s="348">
        <v>2020</v>
      </c>
      <c r="C97" s="348" t="s">
        <v>195</v>
      </c>
      <c r="D97" s="348" t="s">
        <v>40</v>
      </c>
      <c r="E97" s="348" t="s">
        <v>24</v>
      </c>
      <c r="F97" s="383">
        <v>0.51249999999999996</v>
      </c>
      <c r="G97" s="383">
        <v>0.51249999999999996</v>
      </c>
      <c r="H97" s="383">
        <v>0.51249999999999996</v>
      </c>
      <c r="I97" s="383">
        <v>0.51249999999999996</v>
      </c>
      <c r="J97" s="383">
        <v>0.51249999999999996</v>
      </c>
      <c r="K97" s="383">
        <v>0.51249999999999996</v>
      </c>
      <c r="L97" s="383">
        <v>0.51249999999999996</v>
      </c>
      <c r="M97" s="383">
        <v>0.51249999999999996</v>
      </c>
      <c r="N97" s="383">
        <v>0.51249999999999996</v>
      </c>
      <c r="O97" s="383">
        <v>0.51249999999999996</v>
      </c>
      <c r="P97" s="383">
        <v>0.51249999999999996</v>
      </c>
      <c r="Q97" s="383">
        <v>0.51249999999999996</v>
      </c>
      <c r="R97" s="383">
        <v>0.51249999999999996</v>
      </c>
      <c r="S97" s="383">
        <v>0.51249999999999996</v>
      </c>
      <c r="T97" s="383">
        <v>0.51249999999999996</v>
      </c>
      <c r="U97" s="383">
        <v>0.51249999999999996</v>
      </c>
      <c r="V97" s="383">
        <v>0.51249999999999996</v>
      </c>
      <c r="W97" s="383">
        <v>0.51249999999999996</v>
      </c>
      <c r="X97" s="383">
        <v>0.51249999999999996</v>
      </c>
      <c r="Y97" s="383">
        <v>0.51249999999999996</v>
      </c>
      <c r="Z97" s="383">
        <v>0.51249999999999996</v>
      </c>
      <c r="AA97" s="383">
        <v>0.51249999999999996</v>
      </c>
      <c r="AB97" s="383">
        <v>0.51249999999999996</v>
      </c>
      <c r="AC97" s="383">
        <v>0.51249999999999996</v>
      </c>
      <c r="AD97" s="383">
        <v>0.51249999999999996</v>
      </c>
      <c r="AE97" s="383">
        <v>0.51249999999999996</v>
      </c>
      <c r="AF97" s="383">
        <v>0.51249999999999996</v>
      </c>
      <c r="AG97" s="383">
        <v>0.51249999999999996</v>
      </c>
      <c r="AH97" s="383">
        <v>0.51249999999999996</v>
      </c>
      <c r="AI97" s="383">
        <v>0.51249999999999996</v>
      </c>
      <c r="AJ97" s="383">
        <v>0.51249999999999996</v>
      </c>
      <c r="AK97" s="335">
        <v>0.51249999999999996</v>
      </c>
      <c r="AL97" s="335">
        <v>0.51249999999999996</v>
      </c>
      <c r="AM97" s="335">
        <v>0.51249999999999996</v>
      </c>
      <c r="AN97" s="335">
        <v>0.51249999999999996</v>
      </c>
      <c r="AO97" s="335">
        <v>0.51249999999999996</v>
      </c>
      <c r="AP97" s="335">
        <v>0.51249999999999996</v>
      </c>
      <c r="AQ97" s="335">
        <v>0.51249999999999996</v>
      </c>
      <c r="AR97" s="335">
        <v>0.51249999999999996</v>
      </c>
      <c r="AS97" s="335">
        <v>0.51249999999999996</v>
      </c>
      <c r="AT97" s="335">
        <v>0.51249999999999996</v>
      </c>
      <c r="AU97" s="335">
        <v>0.51249999999999996</v>
      </c>
      <c r="AV97" s="335">
        <v>0.51249999999999996</v>
      </c>
      <c r="AW97" s="335">
        <v>0.51249999999999996</v>
      </c>
      <c r="AX97" s="335">
        <v>0.51249999999999996</v>
      </c>
      <c r="AY97" s="335">
        <v>0.51249999999999996</v>
      </c>
      <c r="AZ97" s="335">
        <v>0.51249999999999996</v>
      </c>
      <c r="BA97" s="335">
        <v>0.51249999999999996</v>
      </c>
      <c r="BB97" s="335">
        <v>0.51249999999999996</v>
      </c>
      <c r="BC97" s="335">
        <v>0.51249999999999996</v>
      </c>
      <c r="BD97" s="335">
        <v>0.51249999999999996</v>
      </c>
      <c r="BE97" s="335">
        <v>0.51249999999999996</v>
      </c>
      <c r="BF97" s="335">
        <v>0.51249999999999996</v>
      </c>
      <c r="BG97" s="335">
        <v>0.51249999999999996</v>
      </c>
      <c r="BH97" s="335">
        <v>0.51249999999999996</v>
      </c>
      <c r="BI97" s="335">
        <v>0.51249999999999996</v>
      </c>
      <c r="BJ97" s="335">
        <v>0.51249999999999996</v>
      </c>
      <c r="BK97" s="335">
        <v>0.51249999999999996</v>
      </c>
      <c r="BL97" s="335">
        <v>0.51249999999999996</v>
      </c>
      <c r="BM97" s="335">
        <v>0.51249999999999996</v>
      </c>
      <c r="BN97" s="335">
        <v>0.51249999999999996</v>
      </c>
      <c r="BO97" s="335">
        <v>0.51249999999999996</v>
      </c>
      <c r="BP97" s="335">
        <v>0.51249999999999996</v>
      </c>
      <c r="BQ97" s="335">
        <v>0.51249999999999996</v>
      </c>
      <c r="BR97" s="335">
        <v>0.51249999999999996</v>
      </c>
      <c r="BS97" s="335">
        <v>0.51249999999999996</v>
      </c>
      <c r="BT97" s="335">
        <v>0.51249999999999996</v>
      </c>
      <c r="BU97" s="335">
        <v>0.51249999999999996</v>
      </c>
      <c r="BV97" s="335">
        <v>0.51249999999999996</v>
      </c>
      <c r="BW97" s="335">
        <v>0.51249999999999996</v>
      </c>
      <c r="BX97" s="335">
        <v>0.51249999999999996</v>
      </c>
    </row>
    <row r="98" spans="1:76" hidden="1" outlineLevel="1">
      <c r="A98" s="355" t="s">
        <v>386</v>
      </c>
      <c r="B98" s="348">
        <v>2020</v>
      </c>
      <c r="C98" s="348" t="s">
        <v>196</v>
      </c>
      <c r="D98" s="348" t="s">
        <v>40</v>
      </c>
      <c r="E98" s="348" t="s">
        <v>25</v>
      </c>
      <c r="F98" s="383">
        <v>0.51249999999999996</v>
      </c>
      <c r="G98" s="383">
        <v>0.51249999999999996</v>
      </c>
      <c r="H98" s="383">
        <v>0.51249999999999996</v>
      </c>
      <c r="I98" s="383">
        <v>0.51249999999999996</v>
      </c>
      <c r="J98" s="383">
        <v>0.51249999999999996</v>
      </c>
      <c r="K98" s="383">
        <v>0.51249999999999996</v>
      </c>
      <c r="L98" s="383">
        <v>0.51249999999999996</v>
      </c>
      <c r="M98" s="383">
        <v>0.51249999999999996</v>
      </c>
      <c r="N98" s="383">
        <v>0.51249999999999996</v>
      </c>
      <c r="O98" s="383">
        <v>0.51249999999999996</v>
      </c>
      <c r="P98" s="383">
        <v>0.51249999999999996</v>
      </c>
      <c r="Q98" s="383">
        <v>0.51249999999999996</v>
      </c>
      <c r="R98" s="383">
        <v>0.51249999999999996</v>
      </c>
      <c r="S98" s="383">
        <v>0.51249999999999996</v>
      </c>
      <c r="T98" s="383">
        <v>0.51249999999999996</v>
      </c>
      <c r="U98" s="383">
        <v>0.51249999999999996</v>
      </c>
      <c r="V98" s="383">
        <v>0.51249999999999996</v>
      </c>
      <c r="W98" s="383">
        <v>0.51249999999999996</v>
      </c>
      <c r="X98" s="383">
        <v>0.51249999999999996</v>
      </c>
      <c r="Y98" s="383">
        <v>0.51249999999999996</v>
      </c>
      <c r="Z98" s="383">
        <v>0.51249999999999996</v>
      </c>
      <c r="AA98" s="383">
        <v>0.51249999999999996</v>
      </c>
      <c r="AB98" s="383">
        <v>0.51249999999999996</v>
      </c>
      <c r="AC98" s="383">
        <v>0.51249999999999996</v>
      </c>
      <c r="AD98" s="383">
        <v>0.51249999999999996</v>
      </c>
      <c r="AE98" s="383">
        <v>0.51249999999999996</v>
      </c>
      <c r="AF98" s="383">
        <v>0.51249999999999996</v>
      </c>
      <c r="AG98" s="383">
        <v>0.51249999999999996</v>
      </c>
      <c r="AH98" s="383">
        <v>0.51249999999999996</v>
      </c>
      <c r="AI98" s="383">
        <v>0.51249999999999996</v>
      </c>
      <c r="AJ98" s="383">
        <v>0.51249999999999996</v>
      </c>
      <c r="AK98" s="335">
        <v>0.51249999999999996</v>
      </c>
      <c r="AL98" s="335">
        <v>0.51249999999999996</v>
      </c>
      <c r="AM98" s="335">
        <v>0.51249999999999996</v>
      </c>
      <c r="AN98" s="335">
        <v>0.51249999999999996</v>
      </c>
      <c r="AO98" s="335">
        <v>0.51249999999999996</v>
      </c>
      <c r="AP98" s="335">
        <v>0.51249999999999996</v>
      </c>
      <c r="AQ98" s="335">
        <v>0.51249999999999996</v>
      </c>
      <c r="AR98" s="335">
        <v>0.51249999999999996</v>
      </c>
      <c r="AS98" s="335">
        <v>0.51249999999999996</v>
      </c>
      <c r="AT98" s="335">
        <v>0.51249999999999996</v>
      </c>
      <c r="AU98" s="335">
        <v>0.51249999999999996</v>
      </c>
      <c r="AV98" s="335">
        <v>0.51249999999999996</v>
      </c>
      <c r="AW98" s="335">
        <v>0.51249999999999996</v>
      </c>
      <c r="AX98" s="335">
        <v>0.51249999999999996</v>
      </c>
      <c r="AY98" s="335">
        <v>0.51249999999999996</v>
      </c>
      <c r="AZ98" s="335">
        <v>0.51249999999999996</v>
      </c>
      <c r="BA98" s="335">
        <v>0.51249999999999996</v>
      </c>
      <c r="BB98" s="335">
        <v>0.51249999999999996</v>
      </c>
      <c r="BC98" s="335">
        <v>0.51249999999999996</v>
      </c>
      <c r="BD98" s="335">
        <v>0.51249999999999996</v>
      </c>
      <c r="BE98" s="335">
        <v>0.51249999999999996</v>
      </c>
      <c r="BF98" s="335">
        <v>0.51249999999999996</v>
      </c>
      <c r="BG98" s="335">
        <v>0.51249999999999996</v>
      </c>
      <c r="BH98" s="335">
        <v>0.51249999999999996</v>
      </c>
      <c r="BI98" s="335">
        <v>0.51249999999999996</v>
      </c>
      <c r="BJ98" s="335">
        <v>0.51249999999999996</v>
      </c>
      <c r="BK98" s="335">
        <v>0.51249999999999996</v>
      </c>
      <c r="BL98" s="335">
        <v>0.51249999999999996</v>
      </c>
      <c r="BM98" s="335">
        <v>0.51249999999999996</v>
      </c>
      <c r="BN98" s="335">
        <v>0.51249999999999996</v>
      </c>
      <c r="BO98" s="335">
        <v>0.51249999999999996</v>
      </c>
      <c r="BP98" s="335">
        <v>0.51249999999999996</v>
      </c>
      <c r="BQ98" s="335">
        <v>0.51249999999999996</v>
      </c>
      <c r="BR98" s="335">
        <v>0.51249999999999996</v>
      </c>
      <c r="BS98" s="335">
        <v>0.51249999999999996</v>
      </c>
      <c r="BT98" s="335">
        <v>0.51249999999999996</v>
      </c>
      <c r="BU98" s="335">
        <v>0.51249999999999996</v>
      </c>
      <c r="BV98" s="335">
        <v>0.51249999999999996</v>
      </c>
      <c r="BW98" s="335">
        <v>0.51249999999999996</v>
      </c>
      <c r="BX98" s="335">
        <v>0.51249999999999996</v>
      </c>
    </row>
    <row r="99" spans="1:76" hidden="1" outlineLevel="1">
      <c r="B99" s="349">
        <v>2022</v>
      </c>
      <c r="C99" s="349" t="s">
        <v>231</v>
      </c>
      <c r="D99" s="349" t="s">
        <v>40</v>
      </c>
      <c r="E99" s="349" t="s">
        <v>26</v>
      </c>
      <c r="F99" s="335"/>
      <c r="G99" s="335"/>
      <c r="H99" s="335">
        <v>3.5074999999999994</v>
      </c>
      <c r="I99" s="335">
        <v>3.5074999999999994</v>
      </c>
      <c r="J99" s="335">
        <v>3.5074999999999994</v>
      </c>
      <c r="K99" s="335">
        <v>3.5074999999999994</v>
      </c>
      <c r="L99" s="335">
        <v>3.5074999999999994</v>
      </c>
      <c r="M99" s="335">
        <v>3.5074999999999994</v>
      </c>
      <c r="N99" s="335">
        <v>3.5074999999999994</v>
      </c>
      <c r="O99" s="335">
        <v>3.5074999999999994</v>
      </c>
      <c r="P99" s="335">
        <v>3.5074999999999994</v>
      </c>
      <c r="Q99" s="335">
        <v>3.5074999999999994</v>
      </c>
      <c r="R99" s="335">
        <v>3.5074999999999994</v>
      </c>
      <c r="S99" s="335">
        <v>3.5074999999999994</v>
      </c>
      <c r="T99" s="335">
        <v>3.5074999999999994</v>
      </c>
      <c r="U99" s="335">
        <v>3.5074999999999994</v>
      </c>
      <c r="V99" s="335">
        <v>3.5074999999999994</v>
      </c>
      <c r="W99" s="335">
        <v>3.5074999999999994</v>
      </c>
      <c r="X99" s="335">
        <v>3.5074999999999994</v>
      </c>
      <c r="Y99" s="335">
        <v>3.5074999999999994</v>
      </c>
      <c r="Z99" s="335">
        <v>3.5074999999999994</v>
      </c>
      <c r="AA99" s="335">
        <v>3.5074999999999994</v>
      </c>
      <c r="AB99" s="335">
        <v>3.5074999999999994</v>
      </c>
      <c r="AC99" s="335">
        <v>3.5074999999999994</v>
      </c>
      <c r="AD99" s="335">
        <v>3.5074999999999994</v>
      </c>
      <c r="AE99" s="335">
        <v>3.5074999999999994</v>
      </c>
      <c r="AF99" s="335">
        <v>3.5074999999999994</v>
      </c>
      <c r="AG99" s="335">
        <v>3.5074999999999994</v>
      </c>
      <c r="AH99" s="335">
        <v>3.5074999999999994</v>
      </c>
      <c r="AI99" s="335">
        <v>3.5074999999999994</v>
      </c>
      <c r="AJ99" s="335">
        <v>3.5074999999999994</v>
      </c>
      <c r="AK99" s="335">
        <v>3.5074999999999994</v>
      </c>
      <c r="AL99" s="335">
        <v>3.5074999999999994</v>
      </c>
      <c r="AM99" s="335">
        <v>3.5074999999999994</v>
      </c>
      <c r="AN99" s="335">
        <v>3.5074999999999994</v>
      </c>
      <c r="AO99" s="335">
        <v>3.5074999999999994</v>
      </c>
      <c r="AP99" s="335">
        <v>3.5074999999999994</v>
      </c>
      <c r="AQ99" s="335">
        <v>3.5074999999999994</v>
      </c>
      <c r="AR99" s="335">
        <v>3.5074999999999994</v>
      </c>
      <c r="AS99" s="335">
        <v>3.5074999999999994</v>
      </c>
      <c r="AT99" s="335">
        <v>3.5074999999999994</v>
      </c>
      <c r="AU99" s="335">
        <v>3.5074999999999994</v>
      </c>
      <c r="AV99" s="335">
        <v>3.5074999999999994</v>
      </c>
      <c r="AW99" s="335">
        <v>3.5074999999999994</v>
      </c>
      <c r="AX99" s="335">
        <v>3.5074999999999994</v>
      </c>
      <c r="AY99" s="335">
        <v>3.5074999999999994</v>
      </c>
      <c r="AZ99" s="335">
        <v>3.5074999999999994</v>
      </c>
      <c r="BA99" s="335">
        <v>3.5074999999999994</v>
      </c>
      <c r="BB99" s="335">
        <v>3.5074999999999994</v>
      </c>
      <c r="BC99" s="335">
        <v>3.5074999999999994</v>
      </c>
      <c r="BD99" s="335">
        <v>3.5074999999999994</v>
      </c>
      <c r="BE99" s="335">
        <v>3.5074999999999994</v>
      </c>
      <c r="BF99" s="335">
        <v>3.5074999999999994</v>
      </c>
      <c r="BG99" s="335">
        <v>3.5074999999999994</v>
      </c>
      <c r="BH99" s="335">
        <v>3.5074999999999994</v>
      </c>
      <c r="BI99" s="335">
        <v>3.5074999999999994</v>
      </c>
      <c r="BJ99" s="335">
        <v>3.5074999999999994</v>
      </c>
      <c r="BK99" s="335">
        <v>3.5074999999999994</v>
      </c>
      <c r="BL99" s="335">
        <v>3.5074999999999994</v>
      </c>
      <c r="BM99" s="335">
        <v>3.5074999999999994</v>
      </c>
      <c r="BN99" s="335">
        <v>3.5074999999999994</v>
      </c>
      <c r="BO99" s="335">
        <v>3.5074999999999994</v>
      </c>
      <c r="BP99" s="335">
        <v>3.5074999999999994</v>
      </c>
      <c r="BQ99" s="335">
        <v>3.5074999999999994</v>
      </c>
      <c r="BR99" s="335">
        <v>3.5074999999999994</v>
      </c>
      <c r="BS99" s="335">
        <v>3.5074999999999994</v>
      </c>
      <c r="BT99" s="335">
        <v>3.5074999999999994</v>
      </c>
      <c r="BU99" s="335">
        <v>3.5074999999999994</v>
      </c>
      <c r="BV99" s="335">
        <v>3.5074999999999994</v>
      </c>
      <c r="BW99" s="335">
        <v>3.5074999999999994</v>
      </c>
      <c r="BX99" s="335">
        <v>3.5074999999999994</v>
      </c>
    </row>
    <row r="100" spans="1:76" hidden="1" outlineLevel="1">
      <c r="B100" s="349">
        <v>2022</v>
      </c>
      <c r="C100" s="349" t="s">
        <v>231</v>
      </c>
      <c r="D100" s="349" t="s">
        <v>40</v>
      </c>
      <c r="E100" s="349" t="s">
        <v>27</v>
      </c>
      <c r="F100" s="335"/>
      <c r="G100" s="335"/>
      <c r="H100" s="335">
        <v>4.5999999999999996</v>
      </c>
      <c r="I100" s="335">
        <v>4.5999999999999996</v>
      </c>
      <c r="J100" s="335">
        <v>4.5999999999999996</v>
      </c>
      <c r="K100" s="335">
        <v>4.5999999999999996</v>
      </c>
      <c r="L100" s="335">
        <v>4.5999999999999996</v>
      </c>
      <c r="M100" s="335">
        <v>4.5999999999999996</v>
      </c>
      <c r="N100" s="335">
        <v>4.5999999999999996</v>
      </c>
      <c r="O100" s="335">
        <v>4.5999999999999996</v>
      </c>
      <c r="P100" s="335">
        <v>4.5999999999999996</v>
      </c>
      <c r="Q100" s="335">
        <v>4.5999999999999996</v>
      </c>
      <c r="R100" s="335">
        <v>4.5999999999999996</v>
      </c>
      <c r="S100" s="335">
        <v>4.5999999999999996</v>
      </c>
      <c r="T100" s="335">
        <v>4.5999999999999996</v>
      </c>
      <c r="U100" s="335">
        <v>4.5999999999999996</v>
      </c>
      <c r="V100" s="335">
        <v>4.5999999999999996</v>
      </c>
      <c r="W100" s="335">
        <v>4.5999999999999996</v>
      </c>
      <c r="X100" s="335">
        <v>4.5999999999999996</v>
      </c>
      <c r="Y100" s="335">
        <v>4.5999999999999996</v>
      </c>
      <c r="Z100" s="335">
        <v>4.5999999999999996</v>
      </c>
      <c r="AA100" s="335">
        <v>4.5999999999999996</v>
      </c>
      <c r="AB100" s="335">
        <v>4.5999999999999996</v>
      </c>
      <c r="AC100" s="335">
        <v>4.5999999999999996</v>
      </c>
      <c r="AD100" s="335">
        <v>4.5999999999999996</v>
      </c>
      <c r="AE100" s="335">
        <v>4.5999999999999996</v>
      </c>
      <c r="AF100" s="335">
        <v>4.5999999999999996</v>
      </c>
      <c r="AG100" s="335">
        <v>4.5999999999999996</v>
      </c>
      <c r="AH100" s="335">
        <v>4.5999999999999996</v>
      </c>
      <c r="AI100" s="335">
        <v>4.5999999999999996</v>
      </c>
      <c r="AJ100" s="335">
        <v>4.5999999999999996</v>
      </c>
      <c r="AK100" s="335">
        <v>4.5999999999999996</v>
      </c>
      <c r="AL100" s="335">
        <v>4.5999999999999996</v>
      </c>
      <c r="AM100" s="335">
        <v>4.5999999999999996</v>
      </c>
      <c r="AN100" s="335">
        <v>4.5999999999999996</v>
      </c>
      <c r="AO100" s="335">
        <v>4.5999999999999996</v>
      </c>
      <c r="AP100" s="335">
        <v>4.5999999999999996</v>
      </c>
      <c r="AQ100" s="335">
        <v>4.5999999999999996</v>
      </c>
      <c r="AR100" s="335">
        <v>4.5999999999999996</v>
      </c>
      <c r="AS100" s="335">
        <v>4.5999999999999996</v>
      </c>
      <c r="AT100" s="335">
        <v>4.5999999999999996</v>
      </c>
      <c r="AU100" s="335">
        <v>4.5999999999999996</v>
      </c>
      <c r="AV100" s="335">
        <v>4.5999999999999996</v>
      </c>
      <c r="AW100" s="335">
        <v>4.5999999999999996</v>
      </c>
      <c r="AX100" s="335">
        <v>4.5999999999999996</v>
      </c>
      <c r="AY100" s="335">
        <v>4.5999999999999996</v>
      </c>
      <c r="AZ100" s="335">
        <v>4.5999999999999996</v>
      </c>
      <c r="BA100" s="335">
        <v>4.5999999999999996</v>
      </c>
      <c r="BB100" s="335">
        <v>4.5999999999999996</v>
      </c>
      <c r="BC100" s="335">
        <v>4.5999999999999996</v>
      </c>
      <c r="BD100" s="335">
        <v>4.5999999999999996</v>
      </c>
      <c r="BE100" s="335">
        <v>4.5999999999999996</v>
      </c>
      <c r="BF100" s="335">
        <v>4.5999999999999996</v>
      </c>
      <c r="BG100" s="335">
        <v>4.5999999999999996</v>
      </c>
      <c r="BH100" s="335">
        <v>4.5999999999999996</v>
      </c>
      <c r="BI100" s="335">
        <v>4.5999999999999996</v>
      </c>
      <c r="BJ100" s="335">
        <v>4.5999999999999996</v>
      </c>
      <c r="BK100" s="335">
        <v>4.5999999999999996</v>
      </c>
      <c r="BL100" s="335">
        <v>4.5999999999999996</v>
      </c>
      <c r="BM100" s="335">
        <v>4.5999999999999996</v>
      </c>
      <c r="BN100" s="335">
        <v>4.5999999999999996</v>
      </c>
      <c r="BO100" s="335">
        <v>4.5999999999999996</v>
      </c>
      <c r="BP100" s="335">
        <v>4.5999999999999996</v>
      </c>
      <c r="BQ100" s="335">
        <v>4.5999999999999996</v>
      </c>
      <c r="BR100" s="335">
        <v>4.5999999999999996</v>
      </c>
      <c r="BS100" s="335">
        <v>4.5999999999999996</v>
      </c>
      <c r="BT100" s="335">
        <v>4.5999999999999996</v>
      </c>
      <c r="BU100" s="335">
        <v>4.5999999999999996</v>
      </c>
      <c r="BV100" s="335">
        <v>4.5999999999999996</v>
      </c>
      <c r="BW100" s="335">
        <v>4.5999999999999996</v>
      </c>
      <c r="BX100" s="335">
        <v>4.5999999999999996</v>
      </c>
    </row>
    <row r="101" spans="1:76" hidden="1" outlineLevel="1">
      <c r="B101" s="349">
        <v>2022</v>
      </c>
      <c r="C101" s="349" t="s">
        <v>231</v>
      </c>
      <c r="D101" s="349" t="s">
        <v>40</v>
      </c>
      <c r="E101" s="349" t="s">
        <v>28</v>
      </c>
      <c r="F101" s="335"/>
      <c r="G101" s="335"/>
      <c r="H101" s="335">
        <v>5.75</v>
      </c>
      <c r="I101" s="335">
        <v>5.75</v>
      </c>
      <c r="J101" s="335">
        <v>5.75</v>
      </c>
      <c r="K101" s="335">
        <v>5.75</v>
      </c>
      <c r="L101" s="335">
        <v>5.75</v>
      </c>
      <c r="M101" s="335">
        <v>5.75</v>
      </c>
      <c r="N101" s="335">
        <v>5.75</v>
      </c>
      <c r="O101" s="335">
        <v>5.75</v>
      </c>
      <c r="P101" s="335">
        <v>5.75</v>
      </c>
      <c r="Q101" s="335">
        <v>5.75</v>
      </c>
      <c r="R101" s="335">
        <v>5.75</v>
      </c>
      <c r="S101" s="335">
        <v>5.75</v>
      </c>
      <c r="T101" s="335">
        <v>5.75</v>
      </c>
      <c r="U101" s="335">
        <v>5.75</v>
      </c>
      <c r="V101" s="335">
        <v>5.75</v>
      </c>
      <c r="W101" s="335">
        <v>5.75</v>
      </c>
      <c r="X101" s="335">
        <v>5.75</v>
      </c>
      <c r="Y101" s="335">
        <v>5.75</v>
      </c>
      <c r="Z101" s="335">
        <v>5.75</v>
      </c>
      <c r="AA101" s="335">
        <v>5.75</v>
      </c>
      <c r="AB101" s="335">
        <v>5.75</v>
      </c>
      <c r="AC101" s="335">
        <v>5.75</v>
      </c>
      <c r="AD101" s="335">
        <v>5.75</v>
      </c>
      <c r="AE101" s="335">
        <v>5.75</v>
      </c>
      <c r="AF101" s="335">
        <v>5.75</v>
      </c>
      <c r="AG101" s="335">
        <v>5.75</v>
      </c>
      <c r="AH101" s="335">
        <v>5.75</v>
      </c>
      <c r="AI101" s="335">
        <v>5.75</v>
      </c>
      <c r="AJ101" s="335">
        <v>5.75</v>
      </c>
      <c r="AK101" s="335">
        <v>5.75</v>
      </c>
      <c r="AL101" s="335">
        <v>5.75</v>
      </c>
      <c r="AM101" s="335">
        <v>5.75</v>
      </c>
      <c r="AN101" s="335">
        <v>5.75</v>
      </c>
      <c r="AO101" s="335">
        <v>5.75</v>
      </c>
      <c r="AP101" s="335">
        <v>5.75</v>
      </c>
      <c r="AQ101" s="335">
        <v>5.75</v>
      </c>
      <c r="AR101" s="335">
        <v>5.75</v>
      </c>
      <c r="AS101" s="335">
        <v>5.75</v>
      </c>
      <c r="AT101" s="335">
        <v>5.75</v>
      </c>
      <c r="AU101" s="335">
        <v>5.75</v>
      </c>
      <c r="AV101" s="335">
        <v>5.75</v>
      </c>
      <c r="AW101" s="335">
        <v>5.75</v>
      </c>
      <c r="AX101" s="335">
        <v>5.75</v>
      </c>
      <c r="AY101" s="335">
        <v>5.75</v>
      </c>
      <c r="AZ101" s="335">
        <v>5.75</v>
      </c>
      <c r="BA101" s="335">
        <v>5.75</v>
      </c>
      <c r="BB101" s="335">
        <v>5.75</v>
      </c>
      <c r="BC101" s="335">
        <v>5.75</v>
      </c>
      <c r="BD101" s="335">
        <v>5.75</v>
      </c>
      <c r="BE101" s="335">
        <v>5.75</v>
      </c>
      <c r="BF101" s="335">
        <v>5.75</v>
      </c>
      <c r="BG101" s="335">
        <v>5.75</v>
      </c>
      <c r="BH101" s="335">
        <v>5.75</v>
      </c>
      <c r="BI101" s="335">
        <v>5.75</v>
      </c>
      <c r="BJ101" s="335">
        <v>5.75</v>
      </c>
      <c r="BK101" s="335">
        <v>5.75</v>
      </c>
      <c r="BL101" s="335">
        <v>5.75</v>
      </c>
      <c r="BM101" s="335">
        <v>5.75</v>
      </c>
      <c r="BN101" s="335">
        <v>5.75</v>
      </c>
      <c r="BO101" s="335">
        <v>5.75</v>
      </c>
      <c r="BP101" s="335">
        <v>5.75</v>
      </c>
      <c r="BQ101" s="335">
        <v>5.75</v>
      </c>
      <c r="BR101" s="335">
        <v>5.75</v>
      </c>
      <c r="BS101" s="335">
        <v>5.75</v>
      </c>
      <c r="BT101" s="335">
        <v>5.75</v>
      </c>
      <c r="BU101" s="335">
        <v>5.75</v>
      </c>
      <c r="BV101" s="335">
        <v>5.75</v>
      </c>
      <c r="BW101" s="335">
        <v>5.75</v>
      </c>
      <c r="BX101" s="335">
        <v>5.75</v>
      </c>
    </row>
    <row r="102" spans="1:76" hidden="1" outlineLevel="1">
      <c r="A102" s="38" t="s">
        <v>342</v>
      </c>
      <c r="B102" s="352">
        <v>2020</v>
      </c>
      <c r="C102" s="352" t="s">
        <v>190</v>
      </c>
      <c r="D102" s="352" t="s">
        <v>40</v>
      </c>
      <c r="E102" s="352" t="s">
        <v>130</v>
      </c>
      <c r="F102" s="383">
        <v>0</v>
      </c>
      <c r="G102" s="383">
        <v>0</v>
      </c>
      <c r="H102" s="383">
        <v>0</v>
      </c>
      <c r="I102" s="383">
        <v>0</v>
      </c>
      <c r="J102" s="383">
        <v>0</v>
      </c>
      <c r="K102" s="383">
        <v>0</v>
      </c>
      <c r="L102" s="383">
        <v>0</v>
      </c>
      <c r="M102" s="383">
        <v>0</v>
      </c>
      <c r="N102" s="383">
        <v>0</v>
      </c>
      <c r="O102" s="383">
        <v>0</v>
      </c>
      <c r="P102" s="383">
        <v>0</v>
      </c>
      <c r="Q102" s="383">
        <v>0</v>
      </c>
      <c r="R102" s="383">
        <v>0</v>
      </c>
      <c r="S102" s="383">
        <v>0</v>
      </c>
      <c r="T102" s="383">
        <v>0</v>
      </c>
      <c r="U102" s="383">
        <v>0</v>
      </c>
      <c r="V102" s="383">
        <v>0</v>
      </c>
      <c r="W102" s="383">
        <v>0</v>
      </c>
      <c r="X102" s="383">
        <v>0</v>
      </c>
      <c r="Y102" s="383">
        <v>0</v>
      </c>
      <c r="Z102" s="383">
        <v>0</v>
      </c>
      <c r="AA102" s="383">
        <v>0</v>
      </c>
      <c r="AB102" s="383">
        <v>0</v>
      </c>
      <c r="AC102" s="383">
        <v>0</v>
      </c>
      <c r="AD102" s="383">
        <v>0</v>
      </c>
      <c r="AE102" s="383">
        <v>0</v>
      </c>
      <c r="AF102" s="383">
        <v>0</v>
      </c>
      <c r="AG102" s="383">
        <v>0</v>
      </c>
      <c r="AH102" s="383">
        <v>0</v>
      </c>
      <c r="AI102" s="383">
        <v>0</v>
      </c>
      <c r="AJ102" s="383">
        <v>0</v>
      </c>
      <c r="AK102" s="340">
        <v>0</v>
      </c>
      <c r="AL102" s="340">
        <v>0</v>
      </c>
      <c r="AM102" s="340">
        <v>0</v>
      </c>
      <c r="AN102" s="340">
        <v>0</v>
      </c>
      <c r="AO102" s="340">
        <v>0</v>
      </c>
      <c r="AP102" s="340">
        <v>0</v>
      </c>
      <c r="AQ102" s="340">
        <v>0</v>
      </c>
      <c r="AR102" s="340">
        <v>0</v>
      </c>
      <c r="AS102" s="340">
        <v>0</v>
      </c>
      <c r="AT102" s="340">
        <v>0</v>
      </c>
      <c r="AU102" s="340">
        <v>0</v>
      </c>
      <c r="AV102" s="340">
        <v>0</v>
      </c>
      <c r="AW102" s="340">
        <v>0</v>
      </c>
      <c r="AX102" s="340">
        <v>0</v>
      </c>
      <c r="AY102" s="340">
        <v>0</v>
      </c>
      <c r="AZ102" s="340">
        <v>0</v>
      </c>
      <c r="BA102" s="340">
        <v>0</v>
      </c>
      <c r="BB102" s="340">
        <v>0</v>
      </c>
      <c r="BC102" s="340">
        <v>0</v>
      </c>
      <c r="BD102" s="340">
        <v>0</v>
      </c>
      <c r="BE102" s="340">
        <v>0</v>
      </c>
      <c r="BF102" s="340">
        <v>0</v>
      </c>
      <c r="BG102" s="340">
        <v>0</v>
      </c>
      <c r="BH102" s="340">
        <v>0</v>
      </c>
      <c r="BI102" s="340">
        <v>0</v>
      </c>
      <c r="BJ102" s="340">
        <v>0</v>
      </c>
      <c r="BK102" s="340">
        <v>0</v>
      </c>
      <c r="BL102" s="340">
        <v>0</v>
      </c>
      <c r="BM102" s="340">
        <v>0</v>
      </c>
      <c r="BN102" s="340">
        <v>0</v>
      </c>
      <c r="BO102" s="340">
        <v>0</v>
      </c>
      <c r="BP102" s="340">
        <v>0</v>
      </c>
      <c r="BQ102" s="340">
        <v>0</v>
      </c>
      <c r="BR102" s="340">
        <v>0</v>
      </c>
      <c r="BS102" s="340">
        <v>0</v>
      </c>
      <c r="BT102" s="340">
        <v>0</v>
      </c>
      <c r="BU102" s="340">
        <v>0</v>
      </c>
      <c r="BV102" s="340">
        <v>0</v>
      </c>
      <c r="BW102" s="340">
        <v>0</v>
      </c>
      <c r="BX102" s="340">
        <v>0</v>
      </c>
    </row>
    <row r="103" spans="1:76" hidden="1" outlineLevel="1">
      <c r="B103" s="352">
        <v>2020</v>
      </c>
      <c r="C103" s="352" t="s">
        <v>190</v>
      </c>
      <c r="D103" s="352" t="s">
        <v>40</v>
      </c>
      <c r="E103" s="352" t="s">
        <v>172</v>
      </c>
      <c r="F103" s="341">
        <f>F102</f>
        <v>0</v>
      </c>
      <c r="G103" s="341">
        <f t="shared" ref="G103:BR103" si="259">G102</f>
        <v>0</v>
      </c>
      <c r="H103" s="341">
        <f t="shared" si="259"/>
        <v>0</v>
      </c>
      <c r="I103" s="341">
        <f t="shared" si="259"/>
        <v>0</v>
      </c>
      <c r="J103" s="341">
        <f t="shared" si="259"/>
        <v>0</v>
      </c>
      <c r="K103" s="341">
        <f t="shared" si="259"/>
        <v>0</v>
      </c>
      <c r="L103" s="341">
        <f t="shared" si="259"/>
        <v>0</v>
      </c>
      <c r="M103" s="341">
        <f t="shared" si="259"/>
        <v>0</v>
      </c>
      <c r="N103" s="341">
        <f t="shared" si="259"/>
        <v>0</v>
      </c>
      <c r="O103" s="341">
        <f t="shared" si="259"/>
        <v>0</v>
      </c>
      <c r="P103" s="341">
        <f t="shared" si="259"/>
        <v>0</v>
      </c>
      <c r="Q103" s="341">
        <f t="shared" si="259"/>
        <v>0</v>
      </c>
      <c r="R103" s="341">
        <f t="shared" si="259"/>
        <v>0</v>
      </c>
      <c r="S103" s="341">
        <f t="shared" si="259"/>
        <v>0</v>
      </c>
      <c r="T103" s="341">
        <f t="shared" si="259"/>
        <v>0</v>
      </c>
      <c r="U103" s="341">
        <f t="shared" si="259"/>
        <v>0</v>
      </c>
      <c r="V103" s="341">
        <f t="shared" si="259"/>
        <v>0</v>
      </c>
      <c r="W103" s="341">
        <f t="shared" si="259"/>
        <v>0</v>
      </c>
      <c r="X103" s="341">
        <f t="shared" si="259"/>
        <v>0</v>
      </c>
      <c r="Y103" s="341">
        <f t="shared" si="259"/>
        <v>0</v>
      </c>
      <c r="Z103" s="341">
        <f t="shared" si="259"/>
        <v>0</v>
      </c>
      <c r="AA103" s="341">
        <f t="shared" si="259"/>
        <v>0</v>
      </c>
      <c r="AB103" s="341">
        <f t="shared" si="259"/>
        <v>0</v>
      </c>
      <c r="AC103" s="341">
        <f t="shared" si="259"/>
        <v>0</v>
      </c>
      <c r="AD103" s="341">
        <f t="shared" si="259"/>
        <v>0</v>
      </c>
      <c r="AE103" s="341">
        <f t="shared" si="259"/>
        <v>0</v>
      </c>
      <c r="AF103" s="341">
        <f t="shared" si="259"/>
        <v>0</v>
      </c>
      <c r="AG103" s="341">
        <f t="shared" si="259"/>
        <v>0</v>
      </c>
      <c r="AH103" s="341">
        <f t="shared" si="259"/>
        <v>0</v>
      </c>
      <c r="AI103" s="341">
        <f t="shared" si="259"/>
        <v>0</v>
      </c>
      <c r="AJ103" s="341">
        <f t="shared" si="259"/>
        <v>0</v>
      </c>
      <c r="AK103" s="341">
        <f t="shared" si="259"/>
        <v>0</v>
      </c>
      <c r="AL103" s="341">
        <f t="shared" si="259"/>
        <v>0</v>
      </c>
      <c r="AM103" s="341">
        <f t="shared" si="259"/>
        <v>0</v>
      </c>
      <c r="AN103" s="341">
        <f t="shared" si="259"/>
        <v>0</v>
      </c>
      <c r="AO103" s="341">
        <f t="shared" si="259"/>
        <v>0</v>
      </c>
      <c r="AP103" s="341">
        <f t="shared" si="259"/>
        <v>0</v>
      </c>
      <c r="AQ103" s="341">
        <f t="shared" si="259"/>
        <v>0</v>
      </c>
      <c r="AR103" s="341">
        <f t="shared" si="259"/>
        <v>0</v>
      </c>
      <c r="AS103" s="341">
        <f t="shared" si="259"/>
        <v>0</v>
      </c>
      <c r="AT103" s="341">
        <f t="shared" si="259"/>
        <v>0</v>
      </c>
      <c r="AU103" s="341">
        <f t="shared" si="259"/>
        <v>0</v>
      </c>
      <c r="AV103" s="341">
        <f t="shared" si="259"/>
        <v>0</v>
      </c>
      <c r="AW103" s="341">
        <f t="shared" si="259"/>
        <v>0</v>
      </c>
      <c r="AX103" s="341">
        <f t="shared" si="259"/>
        <v>0</v>
      </c>
      <c r="AY103" s="341">
        <f t="shared" si="259"/>
        <v>0</v>
      </c>
      <c r="AZ103" s="341">
        <f t="shared" si="259"/>
        <v>0</v>
      </c>
      <c r="BA103" s="341">
        <f t="shared" si="259"/>
        <v>0</v>
      </c>
      <c r="BB103" s="341">
        <f t="shared" si="259"/>
        <v>0</v>
      </c>
      <c r="BC103" s="341">
        <f t="shared" si="259"/>
        <v>0</v>
      </c>
      <c r="BD103" s="341">
        <f t="shared" si="259"/>
        <v>0</v>
      </c>
      <c r="BE103" s="341">
        <f t="shared" si="259"/>
        <v>0</v>
      </c>
      <c r="BF103" s="341">
        <f t="shared" si="259"/>
        <v>0</v>
      </c>
      <c r="BG103" s="341">
        <f t="shared" si="259"/>
        <v>0</v>
      </c>
      <c r="BH103" s="341">
        <f t="shared" si="259"/>
        <v>0</v>
      </c>
      <c r="BI103" s="341">
        <f t="shared" si="259"/>
        <v>0</v>
      </c>
      <c r="BJ103" s="341">
        <f t="shared" si="259"/>
        <v>0</v>
      </c>
      <c r="BK103" s="341">
        <f t="shared" si="259"/>
        <v>0</v>
      </c>
      <c r="BL103" s="341">
        <f t="shared" si="259"/>
        <v>0</v>
      </c>
      <c r="BM103" s="341">
        <f t="shared" si="259"/>
        <v>0</v>
      </c>
      <c r="BN103" s="341">
        <f t="shared" si="259"/>
        <v>0</v>
      </c>
      <c r="BO103" s="341">
        <f t="shared" si="259"/>
        <v>0</v>
      </c>
      <c r="BP103" s="341">
        <f t="shared" si="259"/>
        <v>0</v>
      </c>
      <c r="BQ103" s="341">
        <f t="shared" si="259"/>
        <v>0</v>
      </c>
      <c r="BR103" s="341">
        <f t="shared" si="259"/>
        <v>0</v>
      </c>
      <c r="BS103" s="341">
        <f t="shared" ref="BS103:BX103" si="260">BS102</f>
        <v>0</v>
      </c>
      <c r="BT103" s="341">
        <f t="shared" si="260"/>
        <v>0</v>
      </c>
      <c r="BU103" s="341">
        <f t="shared" si="260"/>
        <v>0</v>
      </c>
      <c r="BV103" s="341">
        <f t="shared" si="260"/>
        <v>0</v>
      </c>
      <c r="BW103" s="341">
        <f t="shared" si="260"/>
        <v>0</v>
      </c>
      <c r="BX103" s="341">
        <f t="shared" si="260"/>
        <v>0</v>
      </c>
    </row>
    <row r="104" spans="1:76" hidden="1" outlineLevel="1">
      <c r="B104" s="352">
        <v>2020</v>
      </c>
      <c r="C104" s="352" t="s">
        <v>190</v>
      </c>
      <c r="D104" s="352" t="s">
        <v>40</v>
      </c>
      <c r="E104" s="352" t="s">
        <v>131</v>
      </c>
      <c r="F104" s="341">
        <f>F102</f>
        <v>0</v>
      </c>
      <c r="G104" s="341">
        <f t="shared" ref="G104:BR104" si="261">G102</f>
        <v>0</v>
      </c>
      <c r="H104" s="341">
        <f t="shared" si="261"/>
        <v>0</v>
      </c>
      <c r="I104" s="341">
        <f t="shared" si="261"/>
        <v>0</v>
      </c>
      <c r="J104" s="341">
        <f t="shared" si="261"/>
        <v>0</v>
      </c>
      <c r="K104" s="341">
        <f t="shared" si="261"/>
        <v>0</v>
      </c>
      <c r="L104" s="341">
        <f t="shared" si="261"/>
        <v>0</v>
      </c>
      <c r="M104" s="341">
        <f t="shared" si="261"/>
        <v>0</v>
      </c>
      <c r="N104" s="341">
        <f t="shared" si="261"/>
        <v>0</v>
      </c>
      <c r="O104" s="341">
        <f t="shared" si="261"/>
        <v>0</v>
      </c>
      <c r="P104" s="341">
        <f t="shared" si="261"/>
        <v>0</v>
      </c>
      <c r="Q104" s="341">
        <f t="shared" si="261"/>
        <v>0</v>
      </c>
      <c r="R104" s="341">
        <f t="shared" si="261"/>
        <v>0</v>
      </c>
      <c r="S104" s="341">
        <f t="shared" si="261"/>
        <v>0</v>
      </c>
      <c r="T104" s="341">
        <f t="shared" si="261"/>
        <v>0</v>
      </c>
      <c r="U104" s="341">
        <f t="shared" si="261"/>
        <v>0</v>
      </c>
      <c r="V104" s="341">
        <f t="shared" si="261"/>
        <v>0</v>
      </c>
      <c r="W104" s="341">
        <f t="shared" si="261"/>
        <v>0</v>
      </c>
      <c r="X104" s="341">
        <f t="shared" si="261"/>
        <v>0</v>
      </c>
      <c r="Y104" s="341">
        <f t="shared" si="261"/>
        <v>0</v>
      </c>
      <c r="Z104" s="341">
        <f t="shared" si="261"/>
        <v>0</v>
      </c>
      <c r="AA104" s="341">
        <f t="shared" si="261"/>
        <v>0</v>
      </c>
      <c r="AB104" s="341">
        <f t="shared" si="261"/>
        <v>0</v>
      </c>
      <c r="AC104" s="341">
        <f t="shared" si="261"/>
        <v>0</v>
      </c>
      <c r="AD104" s="341">
        <f t="shared" si="261"/>
        <v>0</v>
      </c>
      <c r="AE104" s="341">
        <f t="shared" si="261"/>
        <v>0</v>
      </c>
      <c r="AF104" s="341">
        <f t="shared" si="261"/>
        <v>0</v>
      </c>
      <c r="AG104" s="341">
        <f t="shared" si="261"/>
        <v>0</v>
      </c>
      <c r="AH104" s="341">
        <f t="shared" si="261"/>
        <v>0</v>
      </c>
      <c r="AI104" s="341">
        <f t="shared" si="261"/>
        <v>0</v>
      </c>
      <c r="AJ104" s="341">
        <f t="shared" si="261"/>
        <v>0</v>
      </c>
      <c r="AK104" s="341">
        <f t="shared" si="261"/>
        <v>0</v>
      </c>
      <c r="AL104" s="341">
        <f t="shared" si="261"/>
        <v>0</v>
      </c>
      <c r="AM104" s="341">
        <f t="shared" si="261"/>
        <v>0</v>
      </c>
      <c r="AN104" s="341">
        <f t="shared" si="261"/>
        <v>0</v>
      </c>
      <c r="AO104" s="341">
        <f t="shared" si="261"/>
        <v>0</v>
      </c>
      <c r="AP104" s="341">
        <f t="shared" si="261"/>
        <v>0</v>
      </c>
      <c r="AQ104" s="341">
        <f t="shared" si="261"/>
        <v>0</v>
      </c>
      <c r="AR104" s="341">
        <f t="shared" si="261"/>
        <v>0</v>
      </c>
      <c r="AS104" s="341">
        <f t="shared" si="261"/>
        <v>0</v>
      </c>
      <c r="AT104" s="341">
        <f t="shared" si="261"/>
        <v>0</v>
      </c>
      <c r="AU104" s="341">
        <f t="shared" si="261"/>
        <v>0</v>
      </c>
      <c r="AV104" s="341">
        <f t="shared" si="261"/>
        <v>0</v>
      </c>
      <c r="AW104" s="341">
        <f t="shared" si="261"/>
        <v>0</v>
      </c>
      <c r="AX104" s="341">
        <f t="shared" si="261"/>
        <v>0</v>
      </c>
      <c r="AY104" s="341">
        <f t="shared" si="261"/>
        <v>0</v>
      </c>
      <c r="AZ104" s="341">
        <f t="shared" si="261"/>
        <v>0</v>
      </c>
      <c r="BA104" s="341">
        <f t="shared" si="261"/>
        <v>0</v>
      </c>
      <c r="BB104" s="341">
        <f t="shared" si="261"/>
        <v>0</v>
      </c>
      <c r="BC104" s="341">
        <f t="shared" si="261"/>
        <v>0</v>
      </c>
      <c r="BD104" s="341">
        <f t="shared" si="261"/>
        <v>0</v>
      </c>
      <c r="BE104" s="341">
        <f t="shared" si="261"/>
        <v>0</v>
      </c>
      <c r="BF104" s="341">
        <f t="shared" si="261"/>
        <v>0</v>
      </c>
      <c r="BG104" s="341">
        <f t="shared" si="261"/>
        <v>0</v>
      </c>
      <c r="BH104" s="341">
        <f t="shared" si="261"/>
        <v>0</v>
      </c>
      <c r="BI104" s="341">
        <f t="shared" si="261"/>
        <v>0</v>
      </c>
      <c r="BJ104" s="341">
        <f t="shared" si="261"/>
        <v>0</v>
      </c>
      <c r="BK104" s="341">
        <f t="shared" si="261"/>
        <v>0</v>
      </c>
      <c r="BL104" s="341">
        <f t="shared" si="261"/>
        <v>0</v>
      </c>
      <c r="BM104" s="341">
        <f t="shared" si="261"/>
        <v>0</v>
      </c>
      <c r="BN104" s="341">
        <f t="shared" si="261"/>
        <v>0</v>
      </c>
      <c r="BO104" s="341">
        <f t="shared" si="261"/>
        <v>0</v>
      </c>
      <c r="BP104" s="341">
        <f t="shared" si="261"/>
        <v>0</v>
      </c>
      <c r="BQ104" s="341">
        <f t="shared" si="261"/>
        <v>0</v>
      </c>
      <c r="BR104" s="341">
        <f t="shared" si="261"/>
        <v>0</v>
      </c>
      <c r="BS104" s="341">
        <f t="shared" ref="BS104:BX104" si="262">BS102</f>
        <v>0</v>
      </c>
      <c r="BT104" s="341">
        <f t="shared" si="262"/>
        <v>0</v>
      </c>
      <c r="BU104" s="341">
        <f t="shared" si="262"/>
        <v>0</v>
      </c>
      <c r="BV104" s="341">
        <f t="shared" si="262"/>
        <v>0</v>
      </c>
      <c r="BW104" s="341">
        <f t="shared" si="262"/>
        <v>0</v>
      </c>
      <c r="BX104" s="341">
        <f t="shared" si="262"/>
        <v>0</v>
      </c>
    </row>
    <row r="105" spans="1:76" hidden="1" outlineLevel="1">
      <c r="B105" s="352">
        <v>2020</v>
      </c>
      <c r="C105" s="352" t="s">
        <v>190</v>
      </c>
      <c r="D105" s="352" t="s">
        <v>40</v>
      </c>
      <c r="E105" s="352" t="s">
        <v>173</v>
      </c>
      <c r="F105" s="341">
        <f t="shared" ref="F105:BQ105" si="263">F104</f>
        <v>0</v>
      </c>
      <c r="G105" s="341">
        <f t="shared" si="263"/>
        <v>0</v>
      </c>
      <c r="H105" s="341">
        <f t="shared" si="263"/>
        <v>0</v>
      </c>
      <c r="I105" s="341">
        <f t="shared" si="263"/>
        <v>0</v>
      </c>
      <c r="J105" s="341">
        <f t="shared" si="263"/>
        <v>0</v>
      </c>
      <c r="K105" s="341">
        <f t="shared" si="263"/>
        <v>0</v>
      </c>
      <c r="L105" s="341">
        <f t="shared" si="263"/>
        <v>0</v>
      </c>
      <c r="M105" s="341">
        <f t="shared" si="263"/>
        <v>0</v>
      </c>
      <c r="N105" s="341">
        <f t="shared" si="263"/>
        <v>0</v>
      </c>
      <c r="O105" s="341">
        <f t="shared" si="263"/>
        <v>0</v>
      </c>
      <c r="P105" s="341">
        <f t="shared" si="263"/>
        <v>0</v>
      </c>
      <c r="Q105" s="341">
        <f t="shared" si="263"/>
        <v>0</v>
      </c>
      <c r="R105" s="341">
        <f t="shared" si="263"/>
        <v>0</v>
      </c>
      <c r="S105" s="341">
        <f t="shared" si="263"/>
        <v>0</v>
      </c>
      <c r="T105" s="341">
        <f t="shared" si="263"/>
        <v>0</v>
      </c>
      <c r="U105" s="341">
        <f t="shared" si="263"/>
        <v>0</v>
      </c>
      <c r="V105" s="341">
        <f t="shared" si="263"/>
        <v>0</v>
      </c>
      <c r="W105" s="341">
        <f t="shared" si="263"/>
        <v>0</v>
      </c>
      <c r="X105" s="341">
        <f t="shared" si="263"/>
        <v>0</v>
      </c>
      <c r="Y105" s="341">
        <f t="shared" si="263"/>
        <v>0</v>
      </c>
      <c r="Z105" s="341">
        <f t="shared" si="263"/>
        <v>0</v>
      </c>
      <c r="AA105" s="341">
        <f t="shared" si="263"/>
        <v>0</v>
      </c>
      <c r="AB105" s="341">
        <f t="shared" si="263"/>
        <v>0</v>
      </c>
      <c r="AC105" s="341">
        <f t="shared" si="263"/>
        <v>0</v>
      </c>
      <c r="AD105" s="341">
        <f t="shared" si="263"/>
        <v>0</v>
      </c>
      <c r="AE105" s="341">
        <f t="shared" si="263"/>
        <v>0</v>
      </c>
      <c r="AF105" s="341">
        <f t="shared" si="263"/>
        <v>0</v>
      </c>
      <c r="AG105" s="341">
        <f t="shared" si="263"/>
        <v>0</v>
      </c>
      <c r="AH105" s="341">
        <f t="shared" si="263"/>
        <v>0</v>
      </c>
      <c r="AI105" s="341">
        <f t="shared" si="263"/>
        <v>0</v>
      </c>
      <c r="AJ105" s="341">
        <f t="shared" si="263"/>
        <v>0</v>
      </c>
      <c r="AK105" s="341">
        <f t="shared" si="263"/>
        <v>0</v>
      </c>
      <c r="AL105" s="341">
        <f t="shared" si="263"/>
        <v>0</v>
      </c>
      <c r="AM105" s="341">
        <f t="shared" si="263"/>
        <v>0</v>
      </c>
      <c r="AN105" s="341">
        <f t="shared" si="263"/>
        <v>0</v>
      </c>
      <c r="AO105" s="341">
        <f t="shared" si="263"/>
        <v>0</v>
      </c>
      <c r="AP105" s="341">
        <f t="shared" si="263"/>
        <v>0</v>
      </c>
      <c r="AQ105" s="341">
        <f t="shared" si="263"/>
        <v>0</v>
      </c>
      <c r="AR105" s="341">
        <f t="shared" si="263"/>
        <v>0</v>
      </c>
      <c r="AS105" s="341">
        <f t="shared" si="263"/>
        <v>0</v>
      </c>
      <c r="AT105" s="341">
        <f t="shared" si="263"/>
        <v>0</v>
      </c>
      <c r="AU105" s="341">
        <f t="shared" si="263"/>
        <v>0</v>
      </c>
      <c r="AV105" s="341">
        <f t="shared" si="263"/>
        <v>0</v>
      </c>
      <c r="AW105" s="341">
        <f t="shared" si="263"/>
        <v>0</v>
      </c>
      <c r="AX105" s="341">
        <f t="shared" si="263"/>
        <v>0</v>
      </c>
      <c r="AY105" s="341">
        <f t="shared" si="263"/>
        <v>0</v>
      </c>
      <c r="AZ105" s="341">
        <f t="shared" si="263"/>
        <v>0</v>
      </c>
      <c r="BA105" s="341">
        <f t="shared" si="263"/>
        <v>0</v>
      </c>
      <c r="BB105" s="341">
        <f t="shared" si="263"/>
        <v>0</v>
      </c>
      <c r="BC105" s="341">
        <f t="shared" si="263"/>
        <v>0</v>
      </c>
      <c r="BD105" s="341">
        <f t="shared" si="263"/>
        <v>0</v>
      </c>
      <c r="BE105" s="341">
        <f t="shared" si="263"/>
        <v>0</v>
      </c>
      <c r="BF105" s="341">
        <f t="shared" si="263"/>
        <v>0</v>
      </c>
      <c r="BG105" s="341">
        <f t="shared" si="263"/>
        <v>0</v>
      </c>
      <c r="BH105" s="341">
        <f t="shared" si="263"/>
        <v>0</v>
      </c>
      <c r="BI105" s="341">
        <f t="shared" si="263"/>
        <v>0</v>
      </c>
      <c r="BJ105" s="341">
        <f t="shared" si="263"/>
        <v>0</v>
      </c>
      <c r="BK105" s="341">
        <f t="shared" si="263"/>
        <v>0</v>
      </c>
      <c r="BL105" s="341">
        <f t="shared" si="263"/>
        <v>0</v>
      </c>
      <c r="BM105" s="341">
        <f t="shared" si="263"/>
        <v>0</v>
      </c>
      <c r="BN105" s="341">
        <f t="shared" si="263"/>
        <v>0</v>
      </c>
      <c r="BO105" s="341">
        <f t="shared" si="263"/>
        <v>0</v>
      </c>
      <c r="BP105" s="341">
        <f t="shared" si="263"/>
        <v>0</v>
      </c>
      <c r="BQ105" s="341">
        <f t="shared" si="263"/>
        <v>0</v>
      </c>
      <c r="BR105" s="341">
        <f t="shared" ref="BR105:BX105" si="264">BR104</f>
        <v>0</v>
      </c>
      <c r="BS105" s="341">
        <f t="shared" si="264"/>
        <v>0</v>
      </c>
      <c r="BT105" s="341">
        <f t="shared" si="264"/>
        <v>0</v>
      </c>
      <c r="BU105" s="341">
        <f t="shared" si="264"/>
        <v>0</v>
      </c>
      <c r="BV105" s="341">
        <f t="shared" si="264"/>
        <v>0</v>
      </c>
      <c r="BW105" s="341">
        <f t="shared" si="264"/>
        <v>0</v>
      </c>
      <c r="BX105" s="341">
        <f t="shared" si="264"/>
        <v>0</v>
      </c>
    </row>
    <row r="106" spans="1:76" hidden="1" outlineLevel="1">
      <c r="A106" s="38" t="s">
        <v>339</v>
      </c>
      <c r="B106" s="352">
        <v>2020</v>
      </c>
      <c r="C106" s="352" t="s">
        <v>189</v>
      </c>
      <c r="D106" s="352" t="s">
        <v>40</v>
      </c>
      <c r="E106" s="352" t="s">
        <v>133</v>
      </c>
      <c r="F106" s="383">
        <v>0</v>
      </c>
      <c r="G106" s="383">
        <v>0</v>
      </c>
      <c r="H106" s="383">
        <v>0</v>
      </c>
      <c r="I106" s="383">
        <v>0</v>
      </c>
      <c r="J106" s="383">
        <v>0</v>
      </c>
      <c r="K106" s="383">
        <v>0</v>
      </c>
      <c r="L106" s="383">
        <v>0</v>
      </c>
      <c r="M106" s="383">
        <v>0</v>
      </c>
      <c r="N106" s="383">
        <v>0</v>
      </c>
      <c r="O106" s="383">
        <v>0</v>
      </c>
      <c r="P106" s="383">
        <v>0</v>
      </c>
      <c r="Q106" s="383">
        <v>0</v>
      </c>
      <c r="R106" s="383">
        <v>0</v>
      </c>
      <c r="S106" s="383">
        <v>0</v>
      </c>
      <c r="T106" s="383">
        <v>0</v>
      </c>
      <c r="U106" s="383">
        <v>0</v>
      </c>
      <c r="V106" s="383">
        <v>0</v>
      </c>
      <c r="W106" s="383">
        <v>0</v>
      </c>
      <c r="X106" s="383">
        <v>0</v>
      </c>
      <c r="Y106" s="383">
        <v>0</v>
      </c>
      <c r="Z106" s="383">
        <v>0</v>
      </c>
      <c r="AA106" s="383">
        <v>0</v>
      </c>
      <c r="AB106" s="383">
        <v>0</v>
      </c>
      <c r="AC106" s="383">
        <v>0</v>
      </c>
      <c r="AD106" s="383">
        <v>0</v>
      </c>
      <c r="AE106" s="383">
        <v>0</v>
      </c>
      <c r="AF106" s="383">
        <v>0</v>
      </c>
      <c r="AG106" s="383">
        <v>0</v>
      </c>
      <c r="AH106" s="383">
        <v>0</v>
      </c>
      <c r="AI106" s="383">
        <v>0</v>
      </c>
      <c r="AJ106" s="383">
        <v>0</v>
      </c>
      <c r="AK106" s="340">
        <v>0</v>
      </c>
      <c r="AL106" s="340">
        <v>0</v>
      </c>
      <c r="AM106" s="340">
        <v>0</v>
      </c>
      <c r="AN106" s="340">
        <v>0</v>
      </c>
      <c r="AO106" s="340">
        <v>0</v>
      </c>
      <c r="AP106" s="340">
        <v>0</v>
      </c>
      <c r="AQ106" s="340">
        <v>0</v>
      </c>
      <c r="AR106" s="340">
        <v>0</v>
      </c>
      <c r="AS106" s="340">
        <v>0</v>
      </c>
      <c r="AT106" s="340">
        <v>0</v>
      </c>
      <c r="AU106" s="340">
        <v>0</v>
      </c>
      <c r="AV106" s="340">
        <v>0</v>
      </c>
      <c r="AW106" s="340">
        <v>0</v>
      </c>
      <c r="AX106" s="340">
        <v>0</v>
      </c>
      <c r="AY106" s="340">
        <v>0</v>
      </c>
      <c r="AZ106" s="340">
        <v>0</v>
      </c>
      <c r="BA106" s="340">
        <v>0</v>
      </c>
      <c r="BB106" s="340">
        <v>0</v>
      </c>
      <c r="BC106" s="340">
        <v>0</v>
      </c>
      <c r="BD106" s="340">
        <v>0</v>
      </c>
      <c r="BE106" s="340">
        <v>0</v>
      </c>
      <c r="BF106" s="340">
        <v>0</v>
      </c>
      <c r="BG106" s="340">
        <v>0</v>
      </c>
      <c r="BH106" s="340">
        <v>0</v>
      </c>
      <c r="BI106" s="340">
        <v>0</v>
      </c>
      <c r="BJ106" s="340">
        <v>0</v>
      </c>
      <c r="BK106" s="340">
        <v>0</v>
      </c>
      <c r="BL106" s="340">
        <v>0</v>
      </c>
      <c r="BM106" s="340">
        <v>0</v>
      </c>
      <c r="BN106" s="340">
        <v>0</v>
      </c>
      <c r="BO106" s="340">
        <v>0</v>
      </c>
      <c r="BP106" s="340">
        <v>0</v>
      </c>
      <c r="BQ106" s="340">
        <v>0</v>
      </c>
      <c r="BR106" s="340">
        <v>0</v>
      </c>
      <c r="BS106" s="340">
        <v>0</v>
      </c>
      <c r="BT106" s="340">
        <v>0</v>
      </c>
      <c r="BU106" s="340">
        <v>0</v>
      </c>
      <c r="BV106" s="340">
        <v>0</v>
      </c>
      <c r="BW106" s="340">
        <v>0</v>
      </c>
      <c r="BX106" s="340">
        <v>0</v>
      </c>
    </row>
    <row r="107" spans="1:76" hidden="1" outlineLevel="1">
      <c r="B107" s="352">
        <v>2020</v>
      </c>
      <c r="C107" s="352" t="s">
        <v>189</v>
      </c>
      <c r="D107" s="352" t="s">
        <v>40</v>
      </c>
      <c r="E107" s="352" t="s">
        <v>174</v>
      </c>
      <c r="F107" s="341">
        <f>F106</f>
        <v>0</v>
      </c>
      <c r="G107" s="341">
        <f t="shared" ref="G107:BQ107" si="265">G106</f>
        <v>0</v>
      </c>
      <c r="H107" s="341">
        <f t="shared" si="265"/>
        <v>0</v>
      </c>
      <c r="I107" s="341">
        <f t="shared" si="265"/>
        <v>0</v>
      </c>
      <c r="J107" s="341">
        <f t="shared" si="265"/>
        <v>0</v>
      </c>
      <c r="K107" s="341">
        <f t="shared" si="265"/>
        <v>0</v>
      </c>
      <c r="L107" s="341">
        <f t="shared" si="265"/>
        <v>0</v>
      </c>
      <c r="M107" s="341">
        <f t="shared" si="265"/>
        <v>0</v>
      </c>
      <c r="N107" s="341">
        <f t="shared" si="265"/>
        <v>0</v>
      </c>
      <c r="O107" s="341">
        <f t="shared" si="265"/>
        <v>0</v>
      </c>
      <c r="P107" s="341">
        <f t="shared" si="265"/>
        <v>0</v>
      </c>
      <c r="Q107" s="341">
        <f t="shared" si="265"/>
        <v>0</v>
      </c>
      <c r="R107" s="341">
        <f t="shared" si="265"/>
        <v>0</v>
      </c>
      <c r="S107" s="341">
        <f t="shared" si="265"/>
        <v>0</v>
      </c>
      <c r="T107" s="341">
        <f t="shared" si="265"/>
        <v>0</v>
      </c>
      <c r="U107" s="341">
        <f t="shared" si="265"/>
        <v>0</v>
      </c>
      <c r="V107" s="341">
        <f t="shared" si="265"/>
        <v>0</v>
      </c>
      <c r="W107" s="341">
        <f t="shared" si="265"/>
        <v>0</v>
      </c>
      <c r="X107" s="341">
        <f t="shared" si="265"/>
        <v>0</v>
      </c>
      <c r="Y107" s="341">
        <f t="shared" si="265"/>
        <v>0</v>
      </c>
      <c r="Z107" s="341">
        <f t="shared" si="265"/>
        <v>0</v>
      </c>
      <c r="AA107" s="341">
        <f t="shared" si="265"/>
        <v>0</v>
      </c>
      <c r="AB107" s="341">
        <f t="shared" si="265"/>
        <v>0</v>
      </c>
      <c r="AC107" s="341">
        <f t="shared" si="265"/>
        <v>0</v>
      </c>
      <c r="AD107" s="341">
        <f t="shared" si="265"/>
        <v>0</v>
      </c>
      <c r="AE107" s="341">
        <f t="shared" si="265"/>
        <v>0</v>
      </c>
      <c r="AF107" s="341">
        <f t="shared" si="265"/>
        <v>0</v>
      </c>
      <c r="AG107" s="341">
        <f t="shared" si="265"/>
        <v>0</v>
      </c>
      <c r="AH107" s="341">
        <f t="shared" si="265"/>
        <v>0</v>
      </c>
      <c r="AI107" s="341">
        <f t="shared" si="265"/>
        <v>0</v>
      </c>
      <c r="AJ107" s="341">
        <f t="shared" si="265"/>
        <v>0</v>
      </c>
      <c r="AK107" s="341">
        <f t="shared" si="265"/>
        <v>0</v>
      </c>
      <c r="AL107" s="341">
        <f t="shared" si="265"/>
        <v>0</v>
      </c>
      <c r="AM107" s="341">
        <f t="shared" si="265"/>
        <v>0</v>
      </c>
      <c r="AN107" s="341">
        <f t="shared" si="265"/>
        <v>0</v>
      </c>
      <c r="AO107" s="341">
        <f t="shared" si="265"/>
        <v>0</v>
      </c>
      <c r="AP107" s="341">
        <f t="shared" si="265"/>
        <v>0</v>
      </c>
      <c r="AQ107" s="341">
        <f t="shared" si="265"/>
        <v>0</v>
      </c>
      <c r="AR107" s="341">
        <f t="shared" si="265"/>
        <v>0</v>
      </c>
      <c r="AS107" s="341">
        <f t="shared" si="265"/>
        <v>0</v>
      </c>
      <c r="AT107" s="341">
        <f t="shared" si="265"/>
        <v>0</v>
      </c>
      <c r="AU107" s="341">
        <f t="shared" si="265"/>
        <v>0</v>
      </c>
      <c r="AV107" s="341">
        <f t="shared" si="265"/>
        <v>0</v>
      </c>
      <c r="AW107" s="341">
        <f t="shared" si="265"/>
        <v>0</v>
      </c>
      <c r="AX107" s="341">
        <f t="shared" si="265"/>
        <v>0</v>
      </c>
      <c r="AY107" s="341">
        <f t="shared" si="265"/>
        <v>0</v>
      </c>
      <c r="AZ107" s="341">
        <f t="shared" si="265"/>
        <v>0</v>
      </c>
      <c r="BA107" s="341">
        <f t="shared" si="265"/>
        <v>0</v>
      </c>
      <c r="BB107" s="341">
        <f t="shared" si="265"/>
        <v>0</v>
      </c>
      <c r="BC107" s="341">
        <f t="shared" si="265"/>
        <v>0</v>
      </c>
      <c r="BD107" s="341">
        <f t="shared" si="265"/>
        <v>0</v>
      </c>
      <c r="BE107" s="341">
        <f t="shared" si="265"/>
        <v>0</v>
      </c>
      <c r="BF107" s="341">
        <f t="shared" si="265"/>
        <v>0</v>
      </c>
      <c r="BG107" s="341">
        <f t="shared" si="265"/>
        <v>0</v>
      </c>
      <c r="BH107" s="341">
        <f t="shared" si="265"/>
        <v>0</v>
      </c>
      <c r="BI107" s="341">
        <f t="shared" si="265"/>
        <v>0</v>
      </c>
      <c r="BJ107" s="341">
        <f t="shared" si="265"/>
        <v>0</v>
      </c>
      <c r="BK107" s="341">
        <f t="shared" si="265"/>
        <v>0</v>
      </c>
      <c r="BL107" s="341">
        <f t="shared" si="265"/>
        <v>0</v>
      </c>
      <c r="BM107" s="341">
        <f t="shared" si="265"/>
        <v>0</v>
      </c>
      <c r="BN107" s="341">
        <f t="shared" si="265"/>
        <v>0</v>
      </c>
      <c r="BO107" s="341">
        <f t="shared" si="265"/>
        <v>0</v>
      </c>
      <c r="BP107" s="341">
        <f t="shared" si="265"/>
        <v>0</v>
      </c>
      <c r="BQ107" s="341">
        <f t="shared" si="265"/>
        <v>0</v>
      </c>
      <c r="BR107" s="341">
        <f t="shared" ref="BR107:BX107" si="266">BR106</f>
        <v>0</v>
      </c>
      <c r="BS107" s="341">
        <f t="shared" si="266"/>
        <v>0</v>
      </c>
      <c r="BT107" s="341">
        <f t="shared" si="266"/>
        <v>0</v>
      </c>
      <c r="BU107" s="341">
        <f t="shared" si="266"/>
        <v>0</v>
      </c>
      <c r="BV107" s="341">
        <f t="shared" si="266"/>
        <v>0</v>
      </c>
      <c r="BW107" s="341">
        <f t="shared" si="266"/>
        <v>0</v>
      </c>
      <c r="BX107" s="341">
        <f t="shared" si="266"/>
        <v>0</v>
      </c>
    </row>
    <row r="108" spans="1:76" hidden="1" outlineLevel="1">
      <c r="B108" s="352">
        <v>2020</v>
      </c>
      <c r="C108" s="352" t="s">
        <v>187</v>
      </c>
      <c r="D108" s="352" t="s">
        <v>40</v>
      </c>
      <c r="E108" s="352" t="s">
        <v>8</v>
      </c>
      <c r="F108" s="341">
        <f>F110</f>
        <v>0</v>
      </c>
      <c r="G108" s="341">
        <f t="shared" ref="G108:BR108" si="267">G110</f>
        <v>0</v>
      </c>
      <c r="H108" s="341">
        <f t="shared" si="267"/>
        <v>0</v>
      </c>
      <c r="I108" s="341">
        <f t="shared" si="267"/>
        <v>0</v>
      </c>
      <c r="J108" s="341">
        <f t="shared" si="267"/>
        <v>0</v>
      </c>
      <c r="K108" s="341">
        <f t="shared" si="267"/>
        <v>0</v>
      </c>
      <c r="L108" s="341">
        <f t="shared" si="267"/>
        <v>0</v>
      </c>
      <c r="M108" s="341">
        <f t="shared" si="267"/>
        <v>0</v>
      </c>
      <c r="N108" s="341">
        <f t="shared" si="267"/>
        <v>0</v>
      </c>
      <c r="O108" s="341">
        <f t="shared" si="267"/>
        <v>0</v>
      </c>
      <c r="P108" s="341">
        <f t="shared" si="267"/>
        <v>0</v>
      </c>
      <c r="Q108" s="341">
        <f t="shared" si="267"/>
        <v>0</v>
      </c>
      <c r="R108" s="341">
        <f t="shared" si="267"/>
        <v>0</v>
      </c>
      <c r="S108" s="341">
        <f t="shared" si="267"/>
        <v>0</v>
      </c>
      <c r="T108" s="341">
        <f t="shared" si="267"/>
        <v>0</v>
      </c>
      <c r="U108" s="341">
        <f t="shared" si="267"/>
        <v>0</v>
      </c>
      <c r="V108" s="341">
        <f t="shared" si="267"/>
        <v>0</v>
      </c>
      <c r="W108" s="341">
        <f t="shared" si="267"/>
        <v>0</v>
      </c>
      <c r="X108" s="341">
        <f t="shared" si="267"/>
        <v>0</v>
      </c>
      <c r="Y108" s="341">
        <f t="shared" si="267"/>
        <v>0</v>
      </c>
      <c r="Z108" s="341">
        <f t="shared" si="267"/>
        <v>0</v>
      </c>
      <c r="AA108" s="341">
        <f t="shared" si="267"/>
        <v>0</v>
      </c>
      <c r="AB108" s="341">
        <f t="shared" si="267"/>
        <v>0</v>
      </c>
      <c r="AC108" s="341">
        <f t="shared" si="267"/>
        <v>0</v>
      </c>
      <c r="AD108" s="341">
        <f t="shared" si="267"/>
        <v>0</v>
      </c>
      <c r="AE108" s="341">
        <f t="shared" si="267"/>
        <v>0</v>
      </c>
      <c r="AF108" s="341">
        <f t="shared" si="267"/>
        <v>0</v>
      </c>
      <c r="AG108" s="341">
        <f t="shared" si="267"/>
        <v>0</v>
      </c>
      <c r="AH108" s="341">
        <f t="shared" si="267"/>
        <v>0</v>
      </c>
      <c r="AI108" s="341">
        <f t="shared" si="267"/>
        <v>0</v>
      </c>
      <c r="AJ108" s="341">
        <f t="shared" si="267"/>
        <v>0</v>
      </c>
      <c r="AK108" s="341">
        <f t="shared" si="267"/>
        <v>0</v>
      </c>
      <c r="AL108" s="341">
        <f t="shared" si="267"/>
        <v>0</v>
      </c>
      <c r="AM108" s="341">
        <f t="shared" si="267"/>
        <v>0</v>
      </c>
      <c r="AN108" s="341">
        <f t="shared" si="267"/>
        <v>0</v>
      </c>
      <c r="AO108" s="341">
        <f t="shared" si="267"/>
        <v>0</v>
      </c>
      <c r="AP108" s="341">
        <f t="shared" si="267"/>
        <v>0</v>
      </c>
      <c r="AQ108" s="341">
        <f t="shared" si="267"/>
        <v>0</v>
      </c>
      <c r="AR108" s="341">
        <f t="shared" si="267"/>
        <v>0</v>
      </c>
      <c r="AS108" s="341">
        <f t="shared" si="267"/>
        <v>0</v>
      </c>
      <c r="AT108" s="341">
        <f t="shared" si="267"/>
        <v>0</v>
      </c>
      <c r="AU108" s="341">
        <f t="shared" si="267"/>
        <v>0</v>
      </c>
      <c r="AV108" s="341">
        <f t="shared" si="267"/>
        <v>0</v>
      </c>
      <c r="AW108" s="341">
        <f t="shared" si="267"/>
        <v>0</v>
      </c>
      <c r="AX108" s="341">
        <f t="shared" si="267"/>
        <v>0</v>
      </c>
      <c r="AY108" s="341">
        <f t="shared" si="267"/>
        <v>0</v>
      </c>
      <c r="AZ108" s="341">
        <f t="shared" si="267"/>
        <v>0</v>
      </c>
      <c r="BA108" s="341">
        <f t="shared" si="267"/>
        <v>0</v>
      </c>
      <c r="BB108" s="341">
        <f t="shared" si="267"/>
        <v>0</v>
      </c>
      <c r="BC108" s="341">
        <f t="shared" si="267"/>
        <v>0</v>
      </c>
      <c r="BD108" s="341">
        <f t="shared" si="267"/>
        <v>0</v>
      </c>
      <c r="BE108" s="341">
        <f t="shared" si="267"/>
        <v>0</v>
      </c>
      <c r="BF108" s="341">
        <f t="shared" si="267"/>
        <v>0</v>
      </c>
      <c r="BG108" s="341">
        <f t="shared" si="267"/>
        <v>0</v>
      </c>
      <c r="BH108" s="341">
        <f t="shared" si="267"/>
        <v>0</v>
      </c>
      <c r="BI108" s="341">
        <f t="shared" si="267"/>
        <v>0</v>
      </c>
      <c r="BJ108" s="341">
        <f t="shared" si="267"/>
        <v>0</v>
      </c>
      <c r="BK108" s="341">
        <f t="shared" si="267"/>
        <v>0</v>
      </c>
      <c r="BL108" s="341">
        <f t="shared" si="267"/>
        <v>0</v>
      </c>
      <c r="BM108" s="341">
        <f t="shared" si="267"/>
        <v>0</v>
      </c>
      <c r="BN108" s="341">
        <f t="shared" si="267"/>
        <v>0</v>
      </c>
      <c r="BO108" s="341">
        <f t="shared" si="267"/>
        <v>0</v>
      </c>
      <c r="BP108" s="341">
        <f t="shared" si="267"/>
        <v>0</v>
      </c>
      <c r="BQ108" s="341">
        <f t="shared" si="267"/>
        <v>0</v>
      </c>
      <c r="BR108" s="341">
        <f t="shared" si="267"/>
        <v>0</v>
      </c>
      <c r="BS108" s="341">
        <f t="shared" ref="BS108:BX108" si="268">BS110</f>
        <v>0</v>
      </c>
      <c r="BT108" s="341">
        <f t="shared" si="268"/>
        <v>0</v>
      </c>
      <c r="BU108" s="341">
        <f t="shared" si="268"/>
        <v>0</v>
      </c>
      <c r="BV108" s="341">
        <f t="shared" si="268"/>
        <v>0</v>
      </c>
      <c r="BW108" s="341">
        <f t="shared" si="268"/>
        <v>0</v>
      </c>
      <c r="BX108" s="341">
        <f t="shared" si="268"/>
        <v>0</v>
      </c>
    </row>
    <row r="109" spans="1:76" hidden="1" outlineLevel="1">
      <c r="B109" s="352">
        <v>2020</v>
      </c>
      <c r="C109" s="352" t="s">
        <v>187</v>
      </c>
      <c r="D109" s="352" t="s">
        <v>40</v>
      </c>
      <c r="E109" s="352" t="s">
        <v>171</v>
      </c>
      <c r="F109" s="341">
        <f>F108</f>
        <v>0</v>
      </c>
      <c r="G109" s="341">
        <f t="shared" ref="G109:BR109" si="269">G108</f>
        <v>0</v>
      </c>
      <c r="H109" s="341">
        <f t="shared" si="269"/>
        <v>0</v>
      </c>
      <c r="I109" s="341">
        <f t="shared" si="269"/>
        <v>0</v>
      </c>
      <c r="J109" s="341">
        <f t="shared" si="269"/>
        <v>0</v>
      </c>
      <c r="K109" s="341">
        <f t="shared" si="269"/>
        <v>0</v>
      </c>
      <c r="L109" s="341">
        <f t="shared" si="269"/>
        <v>0</v>
      </c>
      <c r="M109" s="341">
        <f t="shared" si="269"/>
        <v>0</v>
      </c>
      <c r="N109" s="341">
        <f t="shared" si="269"/>
        <v>0</v>
      </c>
      <c r="O109" s="341">
        <f t="shared" si="269"/>
        <v>0</v>
      </c>
      <c r="P109" s="341">
        <f t="shared" si="269"/>
        <v>0</v>
      </c>
      <c r="Q109" s="341">
        <f t="shared" si="269"/>
        <v>0</v>
      </c>
      <c r="R109" s="341">
        <f t="shared" si="269"/>
        <v>0</v>
      </c>
      <c r="S109" s="341">
        <f t="shared" si="269"/>
        <v>0</v>
      </c>
      <c r="T109" s="341">
        <f t="shared" si="269"/>
        <v>0</v>
      </c>
      <c r="U109" s="341">
        <f t="shared" si="269"/>
        <v>0</v>
      </c>
      <c r="V109" s="341">
        <f t="shared" si="269"/>
        <v>0</v>
      </c>
      <c r="W109" s="341">
        <f t="shared" si="269"/>
        <v>0</v>
      </c>
      <c r="X109" s="341">
        <f t="shared" si="269"/>
        <v>0</v>
      </c>
      <c r="Y109" s="341">
        <f t="shared" si="269"/>
        <v>0</v>
      </c>
      <c r="Z109" s="341">
        <f t="shared" si="269"/>
        <v>0</v>
      </c>
      <c r="AA109" s="341">
        <f t="shared" si="269"/>
        <v>0</v>
      </c>
      <c r="AB109" s="341">
        <f t="shared" si="269"/>
        <v>0</v>
      </c>
      <c r="AC109" s="341">
        <f t="shared" si="269"/>
        <v>0</v>
      </c>
      <c r="AD109" s="341">
        <f t="shared" si="269"/>
        <v>0</v>
      </c>
      <c r="AE109" s="341">
        <f t="shared" si="269"/>
        <v>0</v>
      </c>
      <c r="AF109" s="341">
        <f t="shared" si="269"/>
        <v>0</v>
      </c>
      <c r="AG109" s="341">
        <f t="shared" si="269"/>
        <v>0</v>
      </c>
      <c r="AH109" s="341">
        <f t="shared" si="269"/>
        <v>0</v>
      </c>
      <c r="AI109" s="341">
        <f t="shared" si="269"/>
        <v>0</v>
      </c>
      <c r="AJ109" s="341">
        <f t="shared" si="269"/>
        <v>0</v>
      </c>
      <c r="AK109" s="341">
        <f t="shared" si="269"/>
        <v>0</v>
      </c>
      <c r="AL109" s="341">
        <f t="shared" si="269"/>
        <v>0</v>
      </c>
      <c r="AM109" s="341">
        <f t="shared" si="269"/>
        <v>0</v>
      </c>
      <c r="AN109" s="341">
        <f t="shared" si="269"/>
        <v>0</v>
      </c>
      <c r="AO109" s="341">
        <f t="shared" si="269"/>
        <v>0</v>
      </c>
      <c r="AP109" s="341">
        <f t="shared" si="269"/>
        <v>0</v>
      </c>
      <c r="AQ109" s="341">
        <f t="shared" si="269"/>
        <v>0</v>
      </c>
      <c r="AR109" s="341">
        <f t="shared" si="269"/>
        <v>0</v>
      </c>
      <c r="AS109" s="341">
        <f t="shared" si="269"/>
        <v>0</v>
      </c>
      <c r="AT109" s="341">
        <f t="shared" si="269"/>
        <v>0</v>
      </c>
      <c r="AU109" s="341">
        <f t="shared" si="269"/>
        <v>0</v>
      </c>
      <c r="AV109" s="341">
        <f t="shared" si="269"/>
        <v>0</v>
      </c>
      <c r="AW109" s="341">
        <f t="shared" si="269"/>
        <v>0</v>
      </c>
      <c r="AX109" s="341">
        <f t="shared" si="269"/>
        <v>0</v>
      </c>
      <c r="AY109" s="341">
        <f t="shared" si="269"/>
        <v>0</v>
      </c>
      <c r="AZ109" s="341">
        <f t="shared" si="269"/>
        <v>0</v>
      </c>
      <c r="BA109" s="341">
        <f t="shared" si="269"/>
        <v>0</v>
      </c>
      <c r="BB109" s="341">
        <f t="shared" si="269"/>
        <v>0</v>
      </c>
      <c r="BC109" s="341">
        <f t="shared" si="269"/>
        <v>0</v>
      </c>
      <c r="BD109" s="341">
        <f t="shared" si="269"/>
        <v>0</v>
      </c>
      <c r="BE109" s="341">
        <f t="shared" si="269"/>
        <v>0</v>
      </c>
      <c r="BF109" s="341">
        <f t="shared" si="269"/>
        <v>0</v>
      </c>
      <c r="BG109" s="341">
        <f t="shared" si="269"/>
        <v>0</v>
      </c>
      <c r="BH109" s="341">
        <f t="shared" si="269"/>
        <v>0</v>
      </c>
      <c r="BI109" s="341">
        <f t="shared" si="269"/>
        <v>0</v>
      </c>
      <c r="BJ109" s="341">
        <f t="shared" si="269"/>
        <v>0</v>
      </c>
      <c r="BK109" s="341">
        <f t="shared" si="269"/>
        <v>0</v>
      </c>
      <c r="BL109" s="341">
        <f t="shared" si="269"/>
        <v>0</v>
      </c>
      <c r="BM109" s="341">
        <f t="shared" si="269"/>
        <v>0</v>
      </c>
      <c r="BN109" s="341">
        <f t="shared" si="269"/>
        <v>0</v>
      </c>
      <c r="BO109" s="341">
        <f t="shared" si="269"/>
        <v>0</v>
      </c>
      <c r="BP109" s="341">
        <f t="shared" si="269"/>
        <v>0</v>
      </c>
      <c r="BQ109" s="341">
        <f t="shared" si="269"/>
        <v>0</v>
      </c>
      <c r="BR109" s="341">
        <f t="shared" si="269"/>
        <v>0</v>
      </c>
      <c r="BS109" s="341">
        <f t="shared" ref="BS109:BX109" si="270">BS108</f>
        <v>0</v>
      </c>
      <c r="BT109" s="341">
        <f t="shared" si="270"/>
        <v>0</v>
      </c>
      <c r="BU109" s="341">
        <f t="shared" si="270"/>
        <v>0</v>
      </c>
      <c r="BV109" s="341">
        <f t="shared" si="270"/>
        <v>0</v>
      </c>
      <c r="BW109" s="341">
        <f t="shared" si="270"/>
        <v>0</v>
      </c>
      <c r="BX109" s="341">
        <f t="shared" si="270"/>
        <v>0</v>
      </c>
    </row>
    <row r="110" spans="1:76" hidden="1" outlineLevel="1">
      <c r="A110" s="38" t="s">
        <v>340</v>
      </c>
      <c r="B110" s="352">
        <v>2020</v>
      </c>
      <c r="C110" s="352" t="s">
        <v>187</v>
      </c>
      <c r="D110" s="352" t="s">
        <v>40</v>
      </c>
      <c r="E110" s="352" t="s">
        <v>138</v>
      </c>
      <c r="F110" s="383">
        <v>0</v>
      </c>
      <c r="G110" s="383">
        <v>0</v>
      </c>
      <c r="H110" s="383">
        <v>0</v>
      </c>
      <c r="I110" s="383">
        <v>0</v>
      </c>
      <c r="J110" s="383">
        <v>0</v>
      </c>
      <c r="K110" s="383">
        <v>0</v>
      </c>
      <c r="L110" s="383">
        <v>0</v>
      </c>
      <c r="M110" s="383">
        <v>0</v>
      </c>
      <c r="N110" s="383">
        <v>0</v>
      </c>
      <c r="O110" s="383">
        <v>0</v>
      </c>
      <c r="P110" s="383">
        <v>0</v>
      </c>
      <c r="Q110" s="383">
        <v>0</v>
      </c>
      <c r="R110" s="383">
        <v>0</v>
      </c>
      <c r="S110" s="383">
        <v>0</v>
      </c>
      <c r="T110" s="383">
        <v>0</v>
      </c>
      <c r="U110" s="383">
        <v>0</v>
      </c>
      <c r="V110" s="383">
        <v>0</v>
      </c>
      <c r="W110" s="383">
        <v>0</v>
      </c>
      <c r="X110" s="383">
        <v>0</v>
      </c>
      <c r="Y110" s="383">
        <v>0</v>
      </c>
      <c r="Z110" s="383">
        <v>0</v>
      </c>
      <c r="AA110" s="383">
        <v>0</v>
      </c>
      <c r="AB110" s="383">
        <v>0</v>
      </c>
      <c r="AC110" s="383">
        <v>0</v>
      </c>
      <c r="AD110" s="383">
        <v>0</v>
      </c>
      <c r="AE110" s="383">
        <v>0</v>
      </c>
      <c r="AF110" s="383">
        <v>0</v>
      </c>
      <c r="AG110" s="383">
        <v>0</v>
      </c>
      <c r="AH110" s="383">
        <v>0</v>
      </c>
      <c r="AI110" s="383">
        <v>0</v>
      </c>
      <c r="AJ110" s="383">
        <v>0</v>
      </c>
      <c r="AK110" s="340">
        <v>0</v>
      </c>
      <c r="AL110" s="340">
        <v>0</v>
      </c>
      <c r="AM110" s="340">
        <v>0</v>
      </c>
      <c r="AN110" s="340">
        <v>0</v>
      </c>
      <c r="AO110" s="340">
        <v>0</v>
      </c>
      <c r="AP110" s="340">
        <v>0</v>
      </c>
      <c r="AQ110" s="340">
        <v>0</v>
      </c>
      <c r="AR110" s="340">
        <v>0</v>
      </c>
      <c r="AS110" s="340">
        <v>0</v>
      </c>
      <c r="AT110" s="340">
        <v>0</v>
      </c>
      <c r="AU110" s="340">
        <v>0</v>
      </c>
      <c r="AV110" s="340">
        <v>0</v>
      </c>
      <c r="AW110" s="340">
        <v>0</v>
      </c>
      <c r="AX110" s="340">
        <v>0</v>
      </c>
      <c r="AY110" s="340">
        <v>0</v>
      </c>
      <c r="AZ110" s="340">
        <v>0</v>
      </c>
      <c r="BA110" s="340">
        <v>0</v>
      </c>
      <c r="BB110" s="340">
        <v>0</v>
      </c>
      <c r="BC110" s="340">
        <v>0</v>
      </c>
      <c r="BD110" s="340">
        <v>0</v>
      </c>
      <c r="BE110" s="340">
        <v>0</v>
      </c>
      <c r="BF110" s="340">
        <v>0</v>
      </c>
      <c r="BG110" s="340">
        <v>0</v>
      </c>
      <c r="BH110" s="340">
        <v>0</v>
      </c>
      <c r="BI110" s="340">
        <v>0</v>
      </c>
      <c r="BJ110" s="340">
        <v>0</v>
      </c>
      <c r="BK110" s="340">
        <v>0</v>
      </c>
      <c r="BL110" s="340">
        <v>0</v>
      </c>
      <c r="BM110" s="340">
        <v>0</v>
      </c>
      <c r="BN110" s="340">
        <v>0</v>
      </c>
      <c r="BO110" s="340">
        <v>0</v>
      </c>
      <c r="BP110" s="340">
        <v>0</v>
      </c>
      <c r="BQ110" s="340">
        <v>0</v>
      </c>
      <c r="BR110" s="340">
        <v>0</v>
      </c>
      <c r="BS110" s="340">
        <v>0</v>
      </c>
      <c r="BT110" s="340">
        <v>0</v>
      </c>
      <c r="BU110" s="340">
        <v>0</v>
      </c>
      <c r="BV110" s="340">
        <v>0</v>
      </c>
      <c r="BW110" s="340">
        <v>0</v>
      </c>
      <c r="BX110" s="340">
        <v>0</v>
      </c>
    </row>
    <row r="111" spans="1:76" hidden="1" outlineLevel="1">
      <c r="A111" s="38" t="s">
        <v>356</v>
      </c>
      <c r="B111" s="352">
        <v>2020</v>
      </c>
      <c r="C111" s="352" t="s">
        <v>188</v>
      </c>
      <c r="D111" s="352" t="s">
        <v>40</v>
      </c>
      <c r="E111" s="352" t="s">
        <v>10</v>
      </c>
      <c r="F111" s="383">
        <v>0</v>
      </c>
      <c r="G111" s="383">
        <v>0</v>
      </c>
      <c r="H111" s="383">
        <v>0</v>
      </c>
      <c r="I111" s="383">
        <v>0</v>
      </c>
      <c r="J111" s="383">
        <v>0</v>
      </c>
      <c r="K111" s="383">
        <v>0</v>
      </c>
      <c r="L111" s="383">
        <v>0</v>
      </c>
      <c r="M111" s="383">
        <v>0</v>
      </c>
      <c r="N111" s="383">
        <v>0</v>
      </c>
      <c r="O111" s="383">
        <v>0</v>
      </c>
      <c r="P111" s="383">
        <v>0</v>
      </c>
      <c r="Q111" s="383">
        <v>0</v>
      </c>
      <c r="R111" s="383">
        <v>0</v>
      </c>
      <c r="S111" s="383">
        <v>0</v>
      </c>
      <c r="T111" s="383">
        <v>0</v>
      </c>
      <c r="U111" s="383">
        <v>0</v>
      </c>
      <c r="V111" s="383">
        <v>0</v>
      </c>
      <c r="W111" s="383">
        <v>0</v>
      </c>
      <c r="X111" s="383">
        <v>0</v>
      </c>
      <c r="Y111" s="383">
        <v>0</v>
      </c>
      <c r="Z111" s="383">
        <v>0</v>
      </c>
      <c r="AA111" s="383">
        <v>0</v>
      </c>
      <c r="AB111" s="383">
        <v>0</v>
      </c>
      <c r="AC111" s="383">
        <v>0</v>
      </c>
      <c r="AD111" s="383">
        <v>0</v>
      </c>
      <c r="AE111" s="383">
        <v>0</v>
      </c>
      <c r="AF111" s="383">
        <v>0</v>
      </c>
      <c r="AG111" s="383">
        <v>0</v>
      </c>
      <c r="AH111" s="383">
        <v>0</v>
      </c>
      <c r="AI111" s="383">
        <v>0</v>
      </c>
      <c r="AJ111" s="383">
        <v>0</v>
      </c>
      <c r="AK111" s="340">
        <v>0</v>
      </c>
      <c r="AL111" s="340">
        <v>0</v>
      </c>
      <c r="AM111" s="340">
        <v>0</v>
      </c>
      <c r="AN111" s="340">
        <v>0</v>
      </c>
      <c r="AO111" s="340">
        <v>0</v>
      </c>
      <c r="AP111" s="340">
        <v>0</v>
      </c>
      <c r="AQ111" s="340">
        <v>0</v>
      </c>
      <c r="AR111" s="340">
        <v>0</v>
      </c>
      <c r="AS111" s="340">
        <v>0</v>
      </c>
      <c r="AT111" s="340">
        <v>0</v>
      </c>
      <c r="AU111" s="340">
        <v>0</v>
      </c>
      <c r="AV111" s="340">
        <v>0</v>
      </c>
      <c r="AW111" s="340">
        <v>0</v>
      </c>
      <c r="AX111" s="340">
        <v>0</v>
      </c>
      <c r="AY111" s="340">
        <v>0</v>
      </c>
      <c r="AZ111" s="340">
        <v>0</v>
      </c>
      <c r="BA111" s="340">
        <v>0</v>
      </c>
      <c r="BB111" s="340">
        <v>0</v>
      </c>
      <c r="BC111" s="340">
        <v>0</v>
      </c>
      <c r="BD111" s="340">
        <v>0</v>
      </c>
      <c r="BE111" s="340">
        <v>0</v>
      </c>
      <c r="BF111" s="340">
        <v>0</v>
      </c>
      <c r="BG111" s="340">
        <v>0</v>
      </c>
      <c r="BH111" s="340">
        <v>0</v>
      </c>
      <c r="BI111" s="340">
        <v>0</v>
      </c>
      <c r="BJ111" s="340">
        <v>0</v>
      </c>
      <c r="BK111" s="340">
        <v>0</v>
      </c>
      <c r="BL111" s="340">
        <v>0</v>
      </c>
      <c r="BM111" s="340">
        <v>0</v>
      </c>
      <c r="BN111" s="340">
        <v>0</v>
      </c>
      <c r="BO111" s="340">
        <v>0</v>
      </c>
      <c r="BP111" s="340">
        <v>0</v>
      </c>
      <c r="BQ111" s="340">
        <v>0</v>
      </c>
      <c r="BR111" s="340">
        <v>0</v>
      </c>
      <c r="BS111" s="340">
        <v>0</v>
      </c>
      <c r="BT111" s="340">
        <v>0</v>
      </c>
      <c r="BU111" s="340">
        <v>0</v>
      </c>
      <c r="BV111" s="340">
        <v>0</v>
      </c>
      <c r="BW111" s="340">
        <v>0</v>
      </c>
      <c r="BX111" s="340">
        <v>0</v>
      </c>
    </row>
    <row r="112" spans="1:76" hidden="1" outlineLevel="1">
      <c r="B112" s="352">
        <v>2020</v>
      </c>
      <c r="C112" s="352" t="s">
        <v>154</v>
      </c>
      <c r="D112" s="352" t="s">
        <v>40</v>
      </c>
      <c r="E112" s="352" t="s">
        <v>164</v>
      </c>
      <c r="F112" s="341">
        <f>F89</f>
        <v>0</v>
      </c>
      <c r="G112" s="341">
        <f t="shared" ref="G112:BR112" si="271">G89</f>
        <v>0</v>
      </c>
      <c r="H112" s="341">
        <f t="shared" si="271"/>
        <v>0</v>
      </c>
      <c r="I112" s="341">
        <f t="shared" si="271"/>
        <v>0</v>
      </c>
      <c r="J112" s="341">
        <f t="shared" si="271"/>
        <v>0</v>
      </c>
      <c r="K112" s="341">
        <f t="shared" si="271"/>
        <v>0</v>
      </c>
      <c r="L112" s="341">
        <f t="shared" si="271"/>
        <v>0</v>
      </c>
      <c r="M112" s="341">
        <f t="shared" si="271"/>
        <v>0</v>
      </c>
      <c r="N112" s="341">
        <f t="shared" si="271"/>
        <v>0</v>
      </c>
      <c r="O112" s="341">
        <f t="shared" si="271"/>
        <v>0</v>
      </c>
      <c r="P112" s="341">
        <f t="shared" si="271"/>
        <v>0</v>
      </c>
      <c r="Q112" s="341">
        <f t="shared" si="271"/>
        <v>0</v>
      </c>
      <c r="R112" s="341">
        <f t="shared" si="271"/>
        <v>0</v>
      </c>
      <c r="S112" s="341">
        <f t="shared" si="271"/>
        <v>0</v>
      </c>
      <c r="T112" s="341">
        <f t="shared" si="271"/>
        <v>0</v>
      </c>
      <c r="U112" s="341">
        <f t="shared" si="271"/>
        <v>0</v>
      </c>
      <c r="V112" s="341">
        <f t="shared" si="271"/>
        <v>0</v>
      </c>
      <c r="W112" s="341">
        <f t="shared" si="271"/>
        <v>0</v>
      </c>
      <c r="X112" s="341">
        <f t="shared" si="271"/>
        <v>0</v>
      </c>
      <c r="Y112" s="341">
        <f t="shared" si="271"/>
        <v>0</v>
      </c>
      <c r="Z112" s="341">
        <f t="shared" si="271"/>
        <v>0</v>
      </c>
      <c r="AA112" s="341">
        <f t="shared" si="271"/>
        <v>0</v>
      </c>
      <c r="AB112" s="341">
        <f t="shared" si="271"/>
        <v>0</v>
      </c>
      <c r="AC112" s="341">
        <f t="shared" si="271"/>
        <v>0</v>
      </c>
      <c r="AD112" s="341">
        <f t="shared" si="271"/>
        <v>0</v>
      </c>
      <c r="AE112" s="341">
        <f t="shared" si="271"/>
        <v>0</v>
      </c>
      <c r="AF112" s="341">
        <f t="shared" si="271"/>
        <v>0</v>
      </c>
      <c r="AG112" s="341">
        <f t="shared" si="271"/>
        <v>0</v>
      </c>
      <c r="AH112" s="341">
        <f t="shared" si="271"/>
        <v>0</v>
      </c>
      <c r="AI112" s="341">
        <f t="shared" si="271"/>
        <v>0</v>
      </c>
      <c r="AJ112" s="341">
        <f t="shared" si="271"/>
        <v>0</v>
      </c>
      <c r="AK112" s="341">
        <f t="shared" si="271"/>
        <v>0</v>
      </c>
      <c r="AL112" s="341">
        <f t="shared" si="271"/>
        <v>0</v>
      </c>
      <c r="AM112" s="341">
        <f t="shared" si="271"/>
        <v>0</v>
      </c>
      <c r="AN112" s="341">
        <f t="shared" si="271"/>
        <v>0</v>
      </c>
      <c r="AO112" s="341">
        <f t="shared" si="271"/>
        <v>0</v>
      </c>
      <c r="AP112" s="341">
        <f t="shared" si="271"/>
        <v>0</v>
      </c>
      <c r="AQ112" s="341">
        <f t="shared" si="271"/>
        <v>0</v>
      </c>
      <c r="AR112" s="341">
        <f t="shared" si="271"/>
        <v>0</v>
      </c>
      <c r="AS112" s="341">
        <f t="shared" si="271"/>
        <v>0</v>
      </c>
      <c r="AT112" s="341">
        <f t="shared" si="271"/>
        <v>0</v>
      </c>
      <c r="AU112" s="341">
        <f t="shared" si="271"/>
        <v>0</v>
      </c>
      <c r="AV112" s="341">
        <f t="shared" si="271"/>
        <v>0</v>
      </c>
      <c r="AW112" s="341">
        <f t="shared" si="271"/>
        <v>0</v>
      </c>
      <c r="AX112" s="341">
        <f t="shared" si="271"/>
        <v>0</v>
      </c>
      <c r="AY112" s="341">
        <f t="shared" si="271"/>
        <v>0</v>
      </c>
      <c r="AZ112" s="341">
        <f t="shared" si="271"/>
        <v>0</v>
      </c>
      <c r="BA112" s="341">
        <f t="shared" si="271"/>
        <v>0</v>
      </c>
      <c r="BB112" s="341">
        <f t="shared" si="271"/>
        <v>0</v>
      </c>
      <c r="BC112" s="341">
        <f t="shared" si="271"/>
        <v>0</v>
      </c>
      <c r="BD112" s="341">
        <f t="shared" si="271"/>
        <v>0</v>
      </c>
      <c r="BE112" s="341">
        <f t="shared" si="271"/>
        <v>0</v>
      </c>
      <c r="BF112" s="341">
        <f t="shared" si="271"/>
        <v>0</v>
      </c>
      <c r="BG112" s="341">
        <f t="shared" si="271"/>
        <v>0</v>
      </c>
      <c r="BH112" s="341">
        <f t="shared" si="271"/>
        <v>0</v>
      </c>
      <c r="BI112" s="341">
        <f t="shared" si="271"/>
        <v>0</v>
      </c>
      <c r="BJ112" s="341">
        <f t="shared" si="271"/>
        <v>0</v>
      </c>
      <c r="BK112" s="341">
        <f t="shared" si="271"/>
        <v>0</v>
      </c>
      <c r="BL112" s="341">
        <f t="shared" si="271"/>
        <v>0</v>
      </c>
      <c r="BM112" s="341">
        <f t="shared" si="271"/>
        <v>0</v>
      </c>
      <c r="BN112" s="341">
        <f t="shared" si="271"/>
        <v>0</v>
      </c>
      <c r="BO112" s="341">
        <f t="shared" si="271"/>
        <v>0</v>
      </c>
      <c r="BP112" s="341">
        <f t="shared" si="271"/>
        <v>0</v>
      </c>
      <c r="BQ112" s="341">
        <f t="shared" si="271"/>
        <v>0</v>
      </c>
      <c r="BR112" s="341">
        <f t="shared" si="271"/>
        <v>0</v>
      </c>
      <c r="BS112" s="341">
        <f t="shared" ref="BS112:BX112" si="272">BS89</f>
        <v>0</v>
      </c>
      <c r="BT112" s="341">
        <f t="shared" si="272"/>
        <v>0</v>
      </c>
      <c r="BU112" s="341">
        <f t="shared" si="272"/>
        <v>0</v>
      </c>
      <c r="BV112" s="341">
        <f t="shared" si="272"/>
        <v>0</v>
      </c>
      <c r="BW112" s="341">
        <f t="shared" si="272"/>
        <v>0</v>
      </c>
      <c r="BX112" s="341">
        <f t="shared" si="272"/>
        <v>0</v>
      </c>
    </row>
    <row r="113" spans="1:76" hidden="1" outlineLevel="1">
      <c r="A113" s="355" t="s">
        <v>391</v>
      </c>
      <c r="B113" s="352">
        <v>2020</v>
      </c>
      <c r="C113" s="352" t="s">
        <v>186</v>
      </c>
      <c r="D113" s="352" t="s">
        <v>40</v>
      </c>
      <c r="E113" s="352" t="s">
        <v>168</v>
      </c>
      <c r="F113" s="383">
        <v>0</v>
      </c>
      <c r="G113" s="383">
        <v>0</v>
      </c>
      <c r="H113" s="383">
        <v>0</v>
      </c>
      <c r="I113" s="383">
        <v>0</v>
      </c>
      <c r="J113" s="383">
        <v>0</v>
      </c>
      <c r="K113" s="383">
        <v>0</v>
      </c>
      <c r="L113" s="383">
        <v>0</v>
      </c>
      <c r="M113" s="383">
        <v>0</v>
      </c>
      <c r="N113" s="383">
        <v>0</v>
      </c>
      <c r="O113" s="383">
        <v>0</v>
      </c>
      <c r="P113" s="383">
        <v>0</v>
      </c>
      <c r="Q113" s="383">
        <v>0</v>
      </c>
      <c r="R113" s="383">
        <v>0</v>
      </c>
      <c r="S113" s="383">
        <v>0</v>
      </c>
      <c r="T113" s="383">
        <v>0</v>
      </c>
      <c r="U113" s="383">
        <v>0</v>
      </c>
      <c r="V113" s="383">
        <v>0</v>
      </c>
      <c r="W113" s="383">
        <v>0</v>
      </c>
      <c r="X113" s="383">
        <v>0</v>
      </c>
      <c r="Y113" s="383">
        <v>0</v>
      </c>
      <c r="Z113" s="383">
        <v>0</v>
      </c>
      <c r="AA113" s="383">
        <v>0</v>
      </c>
      <c r="AB113" s="383">
        <v>0</v>
      </c>
      <c r="AC113" s="383">
        <v>0</v>
      </c>
      <c r="AD113" s="383">
        <v>0</v>
      </c>
      <c r="AE113" s="383">
        <v>0</v>
      </c>
      <c r="AF113" s="383">
        <v>0</v>
      </c>
      <c r="AG113" s="383">
        <v>0</v>
      </c>
      <c r="AH113" s="383">
        <v>0</v>
      </c>
      <c r="AI113" s="383">
        <v>0</v>
      </c>
      <c r="AJ113" s="383">
        <v>0</v>
      </c>
      <c r="AK113" s="340">
        <v>0</v>
      </c>
      <c r="AL113" s="340">
        <v>0</v>
      </c>
      <c r="AM113" s="340">
        <v>0</v>
      </c>
      <c r="AN113" s="340">
        <v>0</v>
      </c>
      <c r="AO113" s="340">
        <v>0</v>
      </c>
      <c r="AP113" s="340">
        <v>0</v>
      </c>
      <c r="AQ113" s="340">
        <v>0</v>
      </c>
      <c r="AR113" s="340">
        <v>0</v>
      </c>
      <c r="AS113" s="340">
        <v>0</v>
      </c>
      <c r="AT113" s="340">
        <v>0</v>
      </c>
      <c r="AU113" s="340">
        <v>0</v>
      </c>
      <c r="AV113" s="340">
        <v>0</v>
      </c>
      <c r="AW113" s="340">
        <v>0</v>
      </c>
      <c r="AX113" s="340">
        <v>0</v>
      </c>
      <c r="AY113" s="340">
        <v>0</v>
      </c>
      <c r="AZ113" s="340">
        <v>0</v>
      </c>
      <c r="BA113" s="340">
        <v>0</v>
      </c>
      <c r="BB113" s="340">
        <v>0</v>
      </c>
      <c r="BC113" s="340">
        <v>0</v>
      </c>
      <c r="BD113" s="340">
        <v>0</v>
      </c>
      <c r="BE113" s="340">
        <v>0</v>
      </c>
      <c r="BF113" s="340">
        <v>0</v>
      </c>
      <c r="BG113" s="340">
        <v>0</v>
      </c>
      <c r="BH113" s="340">
        <v>0</v>
      </c>
      <c r="BI113" s="340">
        <v>0</v>
      </c>
      <c r="BJ113" s="340">
        <v>0</v>
      </c>
      <c r="BK113" s="340">
        <v>0</v>
      </c>
      <c r="BL113" s="340">
        <v>0</v>
      </c>
      <c r="BM113" s="340">
        <v>0</v>
      </c>
      <c r="BN113" s="340">
        <v>0</v>
      </c>
      <c r="BO113" s="340">
        <v>0</v>
      </c>
      <c r="BP113" s="340">
        <v>0</v>
      </c>
      <c r="BQ113" s="340">
        <v>0</v>
      </c>
      <c r="BR113" s="340">
        <v>0</v>
      </c>
      <c r="BS113" s="340">
        <v>0</v>
      </c>
      <c r="BT113" s="340">
        <v>0</v>
      </c>
      <c r="BU113" s="340">
        <v>0</v>
      </c>
      <c r="BV113" s="340">
        <v>0</v>
      </c>
      <c r="BW113" s="340">
        <v>0</v>
      </c>
      <c r="BX113" s="340">
        <v>0</v>
      </c>
    </row>
    <row r="114" spans="1:76" hidden="1" outlineLevel="1">
      <c r="B114" s="352">
        <v>2020</v>
      </c>
      <c r="C114" s="352" t="s">
        <v>186</v>
      </c>
      <c r="D114" s="352" t="s">
        <v>40</v>
      </c>
      <c r="E114" s="352" t="s">
        <v>169</v>
      </c>
      <c r="F114" s="341">
        <v>0</v>
      </c>
      <c r="G114" s="341">
        <v>0</v>
      </c>
      <c r="H114" s="341">
        <v>0</v>
      </c>
      <c r="I114" s="341">
        <v>0</v>
      </c>
      <c r="J114" s="341">
        <v>0</v>
      </c>
      <c r="K114" s="341">
        <v>0</v>
      </c>
      <c r="L114" s="341">
        <v>0</v>
      </c>
      <c r="M114" s="341">
        <v>0</v>
      </c>
      <c r="N114" s="341">
        <v>0</v>
      </c>
      <c r="O114" s="341">
        <v>0</v>
      </c>
      <c r="P114" s="341">
        <v>0</v>
      </c>
      <c r="Q114" s="341">
        <v>0</v>
      </c>
      <c r="R114" s="341">
        <v>0</v>
      </c>
      <c r="S114" s="341">
        <v>0</v>
      </c>
      <c r="T114" s="341">
        <v>0</v>
      </c>
      <c r="U114" s="341">
        <v>0</v>
      </c>
      <c r="V114" s="341">
        <v>0</v>
      </c>
      <c r="W114" s="341">
        <v>0</v>
      </c>
      <c r="X114" s="341">
        <v>0</v>
      </c>
      <c r="Y114" s="341">
        <v>0</v>
      </c>
      <c r="Z114" s="341">
        <v>0</v>
      </c>
      <c r="AA114" s="341">
        <v>0</v>
      </c>
      <c r="AB114" s="341">
        <v>0</v>
      </c>
      <c r="AC114" s="341">
        <v>0</v>
      </c>
      <c r="AD114" s="341">
        <v>0</v>
      </c>
      <c r="AE114" s="341">
        <v>0</v>
      </c>
      <c r="AF114" s="341">
        <v>0</v>
      </c>
      <c r="AG114" s="341">
        <v>0</v>
      </c>
      <c r="AH114" s="341">
        <v>0</v>
      </c>
      <c r="AI114" s="341">
        <v>0</v>
      </c>
      <c r="AJ114" s="341">
        <v>0</v>
      </c>
      <c r="AK114" s="341">
        <v>0</v>
      </c>
      <c r="AL114" s="341">
        <v>0</v>
      </c>
      <c r="AM114" s="341">
        <v>0</v>
      </c>
      <c r="AN114" s="341">
        <v>0</v>
      </c>
      <c r="AO114" s="341">
        <v>0</v>
      </c>
      <c r="AP114" s="341">
        <v>0</v>
      </c>
      <c r="AQ114" s="341">
        <v>0</v>
      </c>
      <c r="AR114" s="341">
        <v>0</v>
      </c>
      <c r="AS114" s="341">
        <v>0</v>
      </c>
      <c r="AT114" s="341">
        <v>0</v>
      </c>
      <c r="AU114" s="341">
        <v>0</v>
      </c>
      <c r="AV114" s="341">
        <v>0</v>
      </c>
      <c r="AW114" s="341">
        <v>0</v>
      </c>
      <c r="AX114" s="341">
        <v>0</v>
      </c>
      <c r="AY114" s="341">
        <v>0</v>
      </c>
      <c r="AZ114" s="341">
        <v>0</v>
      </c>
      <c r="BA114" s="341">
        <v>0</v>
      </c>
      <c r="BB114" s="341">
        <v>0</v>
      </c>
      <c r="BC114" s="341">
        <v>0</v>
      </c>
      <c r="BD114" s="341">
        <v>0</v>
      </c>
      <c r="BE114" s="341">
        <v>0</v>
      </c>
      <c r="BF114" s="341">
        <v>0</v>
      </c>
      <c r="BG114" s="341">
        <v>0</v>
      </c>
      <c r="BH114" s="341">
        <v>0</v>
      </c>
      <c r="BI114" s="341">
        <v>0</v>
      </c>
      <c r="BJ114" s="341">
        <v>0</v>
      </c>
      <c r="BK114" s="341">
        <v>0</v>
      </c>
      <c r="BL114" s="341">
        <v>0</v>
      </c>
      <c r="BM114" s="341">
        <v>0</v>
      </c>
      <c r="BN114" s="341">
        <v>0</v>
      </c>
      <c r="BO114" s="341">
        <v>0</v>
      </c>
      <c r="BP114" s="341">
        <v>0</v>
      </c>
      <c r="BQ114" s="341">
        <v>0</v>
      </c>
      <c r="BR114" s="341">
        <v>0</v>
      </c>
      <c r="BS114" s="341">
        <v>0</v>
      </c>
      <c r="BT114" s="341">
        <v>0</v>
      </c>
      <c r="BU114" s="341">
        <v>0</v>
      </c>
      <c r="BV114" s="341">
        <v>0</v>
      </c>
      <c r="BW114" s="341">
        <v>0</v>
      </c>
      <c r="BX114" s="341">
        <v>0</v>
      </c>
    </row>
    <row r="115" spans="1:76" hidden="1" outlineLevel="1">
      <c r="A115" s="38" t="s">
        <v>350</v>
      </c>
      <c r="B115" s="350">
        <v>2020</v>
      </c>
      <c r="C115" s="350" t="s">
        <v>148</v>
      </c>
      <c r="D115" s="350" t="s">
        <v>40</v>
      </c>
      <c r="E115" s="350" t="s">
        <v>4</v>
      </c>
      <c r="F115" s="383">
        <v>0</v>
      </c>
      <c r="G115" s="383">
        <v>0</v>
      </c>
      <c r="H115" s="383">
        <v>0</v>
      </c>
      <c r="I115" s="383">
        <v>0</v>
      </c>
      <c r="J115" s="383">
        <v>0</v>
      </c>
      <c r="K115" s="383">
        <v>0</v>
      </c>
      <c r="L115" s="383">
        <v>0</v>
      </c>
      <c r="M115" s="383">
        <v>0</v>
      </c>
      <c r="N115" s="383">
        <v>0</v>
      </c>
      <c r="O115" s="383">
        <v>0</v>
      </c>
      <c r="P115" s="383">
        <v>0</v>
      </c>
      <c r="Q115" s="383">
        <v>0</v>
      </c>
      <c r="R115" s="383">
        <v>0</v>
      </c>
      <c r="S115" s="383">
        <v>0</v>
      </c>
      <c r="T115" s="383">
        <v>0</v>
      </c>
      <c r="U115" s="383">
        <v>0</v>
      </c>
      <c r="V115" s="383">
        <v>0</v>
      </c>
      <c r="W115" s="383">
        <v>0</v>
      </c>
      <c r="X115" s="383">
        <v>0</v>
      </c>
      <c r="Y115" s="383">
        <v>0</v>
      </c>
      <c r="Z115" s="383">
        <v>0</v>
      </c>
      <c r="AA115" s="383">
        <v>0</v>
      </c>
      <c r="AB115" s="383">
        <v>0</v>
      </c>
      <c r="AC115" s="383">
        <v>0</v>
      </c>
      <c r="AD115" s="383">
        <v>0</v>
      </c>
      <c r="AE115" s="383">
        <v>0</v>
      </c>
      <c r="AF115" s="383">
        <v>0</v>
      </c>
      <c r="AG115" s="383">
        <v>0</v>
      </c>
      <c r="AH115" s="383">
        <v>0</v>
      </c>
      <c r="AI115" s="383">
        <v>0</v>
      </c>
      <c r="AJ115" s="383">
        <v>0</v>
      </c>
      <c r="AK115" s="340">
        <v>0</v>
      </c>
      <c r="AL115" s="340">
        <v>0</v>
      </c>
      <c r="AM115" s="340">
        <v>0</v>
      </c>
      <c r="AN115" s="340">
        <v>0</v>
      </c>
      <c r="AO115" s="340">
        <v>0</v>
      </c>
      <c r="AP115" s="340">
        <v>0</v>
      </c>
      <c r="AQ115" s="340">
        <v>0</v>
      </c>
      <c r="AR115" s="340">
        <v>0</v>
      </c>
      <c r="AS115" s="340">
        <v>0</v>
      </c>
      <c r="AT115" s="340">
        <v>0</v>
      </c>
      <c r="AU115" s="340">
        <v>0</v>
      </c>
      <c r="AV115" s="340">
        <v>0</v>
      </c>
      <c r="AW115" s="340">
        <v>0</v>
      </c>
      <c r="AX115" s="340">
        <v>0</v>
      </c>
      <c r="AY115" s="340">
        <v>0</v>
      </c>
      <c r="AZ115" s="340">
        <v>0</v>
      </c>
      <c r="BA115" s="340">
        <v>0</v>
      </c>
      <c r="BB115" s="340">
        <v>0</v>
      </c>
      <c r="BC115" s="340">
        <v>0</v>
      </c>
      <c r="BD115" s="340">
        <v>0</v>
      </c>
      <c r="BE115" s="340">
        <v>0</v>
      </c>
      <c r="BF115" s="340">
        <v>0</v>
      </c>
      <c r="BG115" s="340">
        <v>0</v>
      </c>
      <c r="BH115" s="340">
        <v>0</v>
      </c>
      <c r="BI115" s="340">
        <v>0</v>
      </c>
      <c r="BJ115" s="340">
        <v>0</v>
      </c>
      <c r="BK115" s="340">
        <v>0</v>
      </c>
      <c r="BL115" s="340">
        <v>0</v>
      </c>
      <c r="BM115" s="340">
        <v>0</v>
      </c>
      <c r="BN115" s="340">
        <v>0</v>
      </c>
      <c r="BO115" s="340">
        <v>0</v>
      </c>
      <c r="BP115" s="340">
        <v>0</v>
      </c>
      <c r="BQ115" s="340">
        <v>0</v>
      </c>
      <c r="BR115" s="340">
        <v>0</v>
      </c>
      <c r="BS115" s="340">
        <v>0</v>
      </c>
      <c r="BT115" s="340">
        <v>0</v>
      </c>
      <c r="BU115" s="340">
        <v>0</v>
      </c>
      <c r="BV115" s="340">
        <v>0</v>
      </c>
      <c r="BW115" s="340">
        <v>0</v>
      </c>
      <c r="BX115" s="340">
        <v>0</v>
      </c>
    </row>
    <row r="116" spans="1:76" hidden="1" outlineLevel="1">
      <c r="B116" s="350">
        <v>2020</v>
      </c>
      <c r="C116" s="350" t="s">
        <v>148</v>
      </c>
      <c r="D116" s="350" t="s">
        <v>40</v>
      </c>
      <c r="E116" s="350" t="s">
        <v>5</v>
      </c>
      <c r="F116" s="341">
        <f>F115</f>
        <v>0</v>
      </c>
      <c r="G116" s="341">
        <f t="shared" ref="G116:BQ116" si="273">G115</f>
        <v>0</v>
      </c>
      <c r="H116" s="341">
        <f t="shared" si="273"/>
        <v>0</v>
      </c>
      <c r="I116" s="341">
        <f t="shared" si="273"/>
        <v>0</v>
      </c>
      <c r="J116" s="341">
        <f t="shared" si="273"/>
        <v>0</v>
      </c>
      <c r="K116" s="341">
        <f t="shared" si="273"/>
        <v>0</v>
      </c>
      <c r="L116" s="341">
        <f t="shared" si="273"/>
        <v>0</v>
      </c>
      <c r="M116" s="341">
        <f t="shared" si="273"/>
        <v>0</v>
      </c>
      <c r="N116" s="341">
        <f t="shared" si="273"/>
        <v>0</v>
      </c>
      <c r="O116" s="341">
        <f t="shared" si="273"/>
        <v>0</v>
      </c>
      <c r="P116" s="341">
        <f t="shared" si="273"/>
        <v>0</v>
      </c>
      <c r="Q116" s="341">
        <f t="shared" si="273"/>
        <v>0</v>
      </c>
      <c r="R116" s="341">
        <f t="shared" si="273"/>
        <v>0</v>
      </c>
      <c r="S116" s="341">
        <f t="shared" si="273"/>
        <v>0</v>
      </c>
      <c r="T116" s="341">
        <f t="shared" si="273"/>
        <v>0</v>
      </c>
      <c r="U116" s="341">
        <f t="shared" si="273"/>
        <v>0</v>
      </c>
      <c r="V116" s="341">
        <f t="shared" si="273"/>
        <v>0</v>
      </c>
      <c r="W116" s="341">
        <f t="shared" si="273"/>
        <v>0</v>
      </c>
      <c r="X116" s="341">
        <f t="shared" si="273"/>
        <v>0</v>
      </c>
      <c r="Y116" s="341">
        <f t="shared" si="273"/>
        <v>0</v>
      </c>
      <c r="Z116" s="341">
        <f t="shared" si="273"/>
        <v>0</v>
      </c>
      <c r="AA116" s="341">
        <f t="shared" si="273"/>
        <v>0</v>
      </c>
      <c r="AB116" s="341">
        <f t="shared" si="273"/>
        <v>0</v>
      </c>
      <c r="AC116" s="341">
        <f t="shared" si="273"/>
        <v>0</v>
      </c>
      <c r="AD116" s="341">
        <f t="shared" si="273"/>
        <v>0</v>
      </c>
      <c r="AE116" s="341">
        <f t="shared" si="273"/>
        <v>0</v>
      </c>
      <c r="AF116" s="341">
        <f t="shared" si="273"/>
        <v>0</v>
      </c>
      <c r="AG116" s="341">
        <f t="shared" si="273"/>
        <v>0</v>
      </c>
      <c r="AH116" s="341">
        <f t="shared" si="273"/>
        <v>0</v>
      </c>
      <c r="AI116" s="341">
        <f t="shared" si="273"/>
        <v>0</v>
      </c>
      <c r="AJ116" s="341">
        <f t="shared" si="273"/>
        <v>0</v>
      </c>
      <c r="AK116" s="341">
        <f t="shared" si="273"/>
        <v>0</v>
      </c>
      <c r="AL116" s="341">
        <f t="shared" si="273"/>
        <v>0</v>
      </c>
      <c r="AM116" s="341">
        <f t="shared" si="273"/>
        <v>0</v>
      </c>
      <c r="AN116" s="341">
        <f t="shared" si="273"/>
        <v>0</v>
      </c>
      <c r="AO116" s="341">
        <f t="shared" si="273"/>
        <v>0</v>
      </c>
      <c r="AP116" s="341">
        <f t="shared" si="273"/>
        <v>0</v>
      </c>
      <c r="AQ116" s="341">
        <f t="shared" si="273"/>
        <v>0</v>
      </c>
      <c r="AR116" s="341">
        <f t="shared" si="273"/>
        <v>0</v>
      </c>
      <c r="AS116" s="341">
        <f t="shared" si="273"/>
        <v>0</v>
      </c>
      <c r="AT116" s="341">
        <f t="shared" si="273"/>
        <v>0</v>
      </c>
      <c r="AU116" s="341">
        <f t="shared" si="273"/>
        <v>0</v>
      </c>
      <c r="AV116" s="341">
        <f t="shared" si="273"/>
        <v>0</v>
      </c>
      <c r="AW116" s="341">
        <f t="shared" si="273"/>
        <v>0</v>
      </c>
      <c r="AX116" s="341">
        <f t="shared" si="273"/>
        <v>0</v>
      </c>
      <c r="AY116" s="341">
        <f t="shared" si="273"/>
        <v>0</v>
      </c>
      <c r="AZ116" s="341">
        <f t="shared" si="273"/>
        <v>0</v>
      </c>
      <c r="BA116" s="341">
        <f t="shared" si="273"/>
        <v>0</v>
      </c>
      <c r="BB116" s="341">
        <f t="shared" si="273"/>
        <v>0</v>
      </c>
      <c r="BC116" s="341">
        <f t="shared" si="273"/>
        <v>0</v>
      </c>
      <c r="BD116" s="341">
        <f t="shared" si="273"/>
        <v>0</v>
      </c>
      <c r="BE116" s="341">
        <f t="shared" si="273"/>
        <v>0</v>
      </c>
      <c r="BF116" s="341">
        <f t="shared" si="273"/>
        <v>0</v>
      </c>
      <c r="BG116" s="341">
        <f t="shared" si="273"/>
        <v>0</v>
      </c>
      <c r="BH116" s="341">
        <f t="shared" si="273"/>
        <v>0</v>
      </c>
      <c r="BI116" s="341">
        <f t="shared" si="273"/>
        <v>0</v>
      </c>
      <c r="BJ116" s="341">
        <f t="shared" si="273"/>
        <v>0</v>
      </c>
      <c r="BK116" s="341">
        <f t="shared" si="273"/>
        <v>0</v>
      </c>
      <c r="BL116" s="341">
        <f t="shared" si="273"/>
        <v>0</v>
      </c>
      <c r="BM116" s="341">
        <f t="shared" si="273"/>
        <v>0</v>
      </c>
      <c r="BN116" s="341">
        <f t="shared" si="273"/>
        <v>0</v>
      </c>
      <c r="BO116" s="341">
        <f t="shared" si="273"/>
        <v>0</v>
      </c>
      <c r="BP116" s="341">
        <f t="shared" si="273"/>
        <v>0</v>
      </c>
      <c r="BQ116" s="341">
        <f t="shared" si="273"/>
        <v>0</v>
      </c>
      <c r="BR116" s="341">
        <f t="shared" ref="BR116:BX116" si="274">BR115</f>
        <v>0</v>
      </c>
      <c r="BS116" s="341">
        <f t="shared" si="274"/>
        <v>0</v>
      </c>
      <c r="BT116" s="341">
        <f t="shared" si="274"/>
        <v>0</v>
      </c>
      <c r="BU116" s="341">
        <f t="shared" si="274"/>
        <v>0</v>
      </c>
      <c r="BV116" s="341">
        <f t="shared" si="274"/>
        <v>0</v>
      </c>
      <c r="BW116" s="341">
        <f t="shared" si="274"/>
        <v>0</v>
      </c>
      <c r="BX116" s="341">
        <f t="shared" si="274"/>
        <v>0</v>
      </c>
    </row>
    <row r="117" spans="1:76" hidden="1" outlineLevel="1">
      <c r="A117" s="38" t="s">
        <v>351</v>
      </c>
      <c r="B117" s="350">
        <v>2020</v>
      </c>
      <c r="C117" s="350" t="s">
        <v>149</v>
      </c>
      <c r="D117" s="350" t="s">
        <v>40</v>
      </c>
      <c r="E117" s="350" t="s">
        <v>6</v>
      </c>
      <c r="F117" s="383">
        <v>0</v>
      </c>
      <c r="G117" s="383">
        <v>0</v>
      </c>
      <c r="H117" s="383">
        <v>0</v>
      </c>
      <c r="I117" s="383">
        <v>0</v>
      </c>
      <c r="J117" s="383">
        <v>0</v>
      </c>
      <c r="K117" s="383">
        <v>0</v>
      </c>
      <c r="L117" s="383">
        <v>0</v>
      </c>
      <c r="M117" s="383">
        <v>0</v>
      </c>
      <c r="N117" s="383">
        <v>0</v>
      </c>
      <c r="O117" s="383">
        <v>0</v>
      </c>
      <c r="P117" s="383">
        <v>0</v>
      </c>
      <c r="Q117" s="383">
        <v>0</v>
      </c>
      <c r="R117" s="383">
        <v>0</v>
      </c>
      <c r="S117" s="383">
        <v>0</v>
      </c>
      <c r="T117" s="383">
        <v>0</v>
      </c>
      <c r="U117" s="383">
        <v>0</v>
      </c>
      <c r="V117" s="383">
        <v>0</v>
      </c>
      <c r="W117" s="383">
        <v>0</v>
      </c>
      <c r="X117" s="383">
        <v>0</v>
      </c>
      <c r="Y117" s="383">
        <v>0</v>
      </c>
      <c r="Z117" s="383">
        <v>0</v>
      </c>
      <c r="AA117" s="383">
        <v>0</v>
      </c>
      <c r="AB117" s="383">
        <v>0</v>
      </c>
      <c r="AC117" s="383">
        <v>0</v>
      </c>
      <c r="AD117" s="383">
        <v>0</v>
      </c>
      <c r="AE117" s="383">
        <v>0</v>
      </c>
      <c r="AF117" s="383">
        <v>0</v>
      </c>
      <c r="AG117" s="383">
        <v>0</v>
      </c>
      <c r="AH117" s="383">
        <v>0</v>
      </c>
      <c r="AI117" s="383">
        <v>0</v>
      </c>
      <c r="AJ117" s="383">
        <v>0</v>
      </c>
      <c r="AK117" s="340">
        <v>0</v>
      </c>
      <c r="AL117" s="340">
        <v>0</v>
      </c>
      <c r="AM117" s="340">
        <v>0</v>
      </c>
      <c r="AN117" s="340">
        <v>0</v>
      </c>
      <c r="AO117" s="340">
        <v>0</v>
      </c>
      <c r="AP117" s="340">
        <v>0</v>
      </c>
      <c r="AQ117" s="340">
        <v>0</v>
      </c>
      <c r="AR117" s="340">
        <v>0</v>
      </c>
      <c r="AS117" s="340">
        <v>0</v>
      </c>
      <c r="AT117" s="340">
        <v>0</v>
      </c>
      <c r="AU117" s="340">
        <v>0</v>
      </c>
      <c r="AV117" s="340">
        <v>0</v>
      </c>
      <c r="AW117" s="340">
        <v>0</v>
      </c>
      <c r="AX117" s="340">
        <v>0</v>
      </c>
      <c r="AY117" s="340">
        <v>0</v>
      </c>
      <c r="AZ117" s="340">
        <v>0</v>
      </c>
      <c r="BA117" s="340">
        <v>0</v>
      </c>
      <c r="BB117" s="340">
        <v>0</v>
      </c>
      <c r="BC117" s="340">
        <v>0</v>
      </c>
      <c r="BD117" s="340">
        <v>0</v>
      </c>
      <c r="BE117" s="340">
        <v>0</v>
      </c>
      <c r="BF117" s="340">
        <v>0</v>
      </c>
      <c r="BG117" s="340">
        <v>0</v>
      </c>
      <c r="BH117" s="340">
        <v>0</v>
      </c>
      <c r="BI117" s="340">
        <v>0</v>
      </c>
      <c r="BJ117" s="340">
        <v>0</v>
      </c>
      <c r="BK117" s="340">
        <v>0</v>
      </c>
      <c r="BL117" s="340">
        <v>0</v>
      </c>
      <c r="BM117" s="340">
        <v>0</v>
      </c>
      <c r="BN117" s="340">
        <v>0</v>
      </c>
      <c r="BO117" s="340">
        <v>0</v>
      </c>
      <c r="BP117" s="340">
        <v>0</v>
      </c>
      <c r="BQ117" s="340">
        <v>0</v>
      </c>
      <c r="BR117" s="340">
        <v>0</v>
      </c>
      <c r="BS117" s="340">
        <v>0</v>
      </c>
      <c r="BT117" s="340">
        <v>0</v>
      </c>
      <c r="BU117" s="340">
        <v>0</v>
      </c>
      <c r="BV117" s="340">
        <v>0</v>
      </c>
      <c r="BW117" s="340">
        <v>0</v>
      </c>
      <c r="BX117" s="340">
        <v>0</v>
      </c>
    </row>
    <row r="118" spans="1:76" hidden="1" outlineLevel="1">
      <c r="A118" s="38" t="s">
        <v>352</v>
      </c>
      <c r="B118" s="350">
        <v>2020</v>
      </c>
      <c r="C118" s="350" t="s">
        <v>193</v>
      </c>
      <c r="D118" s="350" t="s">
        <v>40</v>
      </c>
      <c r="E118" s="350" t="s">
        <v>7</v>
      </c>
      <c r="F118" s="383">
        <v>0</v>
      </c>
      <c r="G118" s="383">
        <v>0</v>
      </c>
      <c r="H118" s="383">
        <v>0</v>
      </c>
      <c r="I118" s="383">
        <v>0</v>
      </c>
      <c r="J118" s="383">
        <v>0</v>
      </c>
      <c r="K118" s="383">
        <v>0</v>
      </c>
      <c r="L118" s="383">
        <v>0</v>
      </c>
      <c r="M118" s="383">
        <v>0</v>
      </c>
      <c r="N118" s="383">
        <v>0</v>
      </c>
      <c r="O118" s="383">
        <v>0</v>
      </c>
      <c r="P118" s="383">
        <v>0</v>
      </c>
      <c r="Q118" s="383">
        <v>0</v>
      </c>
      <c r="R118" s="383">
        <v>0</v>
      </c>
      <c r="S118" s="383">
        <v>0</v>
      </c>
      <c r="T118" s="383">
        <v>0</v>
      </c>
      <c r="U118" s="383">
        <v>0</v>
      </c>
      <c r="V118" s="383">
        <v>0</v>
      </c>
      <c r="W118" s="383">
        <v>0</v>
      </c>
      <c r="X118" s="383">
        <v>0</v>
      </c>
      <c r="Y118" s="383">
        <v>0</v>
      </c>
      <c r="Z118" s="383">
        <v>0</v>
      </c>
      <c r="AA118" s="383">
        <v>0</v>
      </c>
      <c r="AB118" s="383">
        <v>0</v>
      </c>
      <c r="AC118" s="383">
        <v>0</v>
      </c>
      <c r="AD118" s="383">
        <v>0</v>
      </c>
      <c r="AE118" s="383">
        <v>0</v>
      </c>
      <c r="AF118" s="383">
        <v>0</v>
      </c>
      <c r="AG118" s="383">
        <v>0</v>
      </c>
      <c r="AH118" s="383">
        <v>0</v>
      </c>
      <c r="AI118" s="383">
        <v>0</v>
      </c>
      <c r="AJ118" s="383">
        <v>0</v>
      </c>
      <c r="AK118" s="340">
        <v>0</v>
      </c>
      <c r="AL118" s="340">
        <v>0</v>
      </c>
      <c r="AM118" s="340">
        <v>0</v>
      </c>
      <c r="AN118" s="340">
        <v>0</v>
      </c>
      <c r="AO118" s="340">
        <v>0</v>
      </c>
      <c r="AP118" s="340">
        <v>0</v>
      </c>
      <c r="AQ118" s="340">
        <v>0</v>
      </c>
      <c r="AR118" s="340">
        <v>0</v>
      </c>
      <c r="AS118" s="340">
        <v>0</v>
      </c>
      <c r="AT118" s="340">
        <v>0</v>
      </c>
      <c r="AU118" s="340">
        <v>0</v>
      </c>
      <c r="AV118" s="340">
        <v>0</v>
      </c>
      <c r="AW118" s="340">
        <v>0</v>
      </c>
      <c r="AX118" s="340">
        <v>0</v>
      </c>
      <c r="AY118" s="340">
        <v>0</v>
      </c>
      <c r="AZ118" s="340">
        <v>0</v>
      </c>
      <c r="BA118" s="340">
        <v>0</v>
      </c>
      <c r="BB118" s="340">
        <v>0</v>
      </c>
      <c r="BC118" s="340">
        <v>0</v>
      </c>
      <c r="BD118" s="340">
        <v>0</v>
      </c>
      <c r="BE118" s="340">
        <v>0</v>
      </c>
      <c r="BF118" s="340">
        <v>0</v>
      </c>
      <c r="BG118" s="340">
        <v>0</v>
      </c>
      <c r="BH118" s="340">
        <v>0</v>
      </c>
      <c r="BI118" s="340">
        <v>0</v>
      </c>
      <c r="BJ118" s="340">
        <v>0</v>
      </c>
      <c r="BK118" s="340">
        <v>0</v>
      </c>
      <c r="BL118" s="340">
        <v>0</v>
      </c>
      <c r="BM118" s="340">
        <v>0</v>
      </c>
      <c r="BN118" s="340">
        <v>0</v>
      </c>
      <c r="BO118" s="340">
        <v>0</v>
      </c>
      <c r="BP118" s="340">
        <v>0</v>
      </c>
      <c r="BQ118" s="340">
        <v>0</v>
      </c>
      <c r="BR118" s="340">
        <v>0</v>
      </c>
      <c r="BS118" s="340">
        <v>0</v>
      </c>
      <c r="BT118" s="340">
        <v>0</v>
      </c>
      <c r="BU118" s="340">
        <v>0</v>
      </c>
      <c r="BV118" s="340">
        <v>0</v>
      </c>
      <c r="BW118" s="340">
        <v>0</v>
      </c>
      <c r="BX118" s="340">
        <v>0</v>
      </c>
    </row>
    <row r="119" spans="1:76" hidden="1" outlineLevel="1">
      <c r="A119" s="38" t="s">
        <v>367</v>
      </c>
      <c r="B119" s="351">
        <v>2020</v>
      </c>
      <c r="C119" s="351" t="s">
        <v>151</v>
      </c>
      <c r="D119" s="351" t="s">
        <v>40</v>
      </c>
      <c r="E119" s="351" t="s">
        <v>3</v>
      </c>
      <c r="F119" s="383">
        <v>3.6</v>
      </c>
      <c r="G119" s="383">
        <v>3.6</v>
      </c>
      <c r="H119" s="383">
        <v>3.6</v>
      </c>
      <c r="I119" s="383">
        <v>3.6</v>
      </c>
      <c r="J119" s="383">
        <v>3.6</v>
      </c>
      <c r="K119" s="383">
        <v>3.6</v>
      </c>
      <c r="L119" s="383">
        <v>3.6</v>
      </c>
      <c r="M119" s="383">
        <v>3.6</v>
      </c>
      <c r="N119" s="383">
        <v>3.6</v>
      </c>
      <c r="O119" s="383">
        <v>3.6</v>
      </c>
      <c r="P119" s="383">
        <v>3.6</v>
      </c>
      <c r="Q119" s="383">
        <v>3.6</v>
      </c>
      <c r="R119" s="383">
        <v>3.6</v>
      </c>
      <c r="S119" s="383">
        <v>3.6</v>
      </c>
      <c r="T119" s="383">
        <v>3.6</v>
      </c>
      <c r="U119" s="383">
        <v>3.6</v>
      </c>
      <c r="V119" s="383">
        <v>3.6</v>
      </c>
      <c r="W119" s="383">
        <v>3.6</v>
      </c>
      <c r="X119" s="383">
        <v>3.6</v>
      </c>
      <c r="Y119" s="383">
        <v>3.6</v>
      </c>
      <c r="Z119" s="383">
        <v>3.6</v>
      </c>
      <c r="AA119" s="383">
        <v>3.6</v>
      </c>
      <c r="AB119" s="383">
        <v>3.6</v>
      </c>
      <c r="AC119" s="383">
        <v>3.6</v>
      </c>
      <c r="AD119" s="383">
        <v>3.6</v>
      </c>
      <c r="AE119" s="383">
        <v>3.6</v>
      </c>
      <c r="AF119" s="383">
        <v>3.6</v>
      </c>
      <c r="AG119" s="383">
        <v>3.6</v>
      </c>
      <c r="AH119" s="383">
        <v>3.6</v>
      </c>
      <c r="AI119" s="383">
        <v>3.6</v>
      </c>
      <c r="AJ119" s="383">
        <v>3.6</v>
      </c>
      <c r="AK119" s="340">
        <v>3.6</v>
      </c>
      <c r="AL119" s="340">
        <v>3.6</v>
      </c>
      <c r="AM119" s="340">
        <v>3.6</v>
      </c>
      <c r="AN119" s="340">
        <v>3.6</v>
      </c>
      <c r="AO119" s="340">
        <v>3.6</v>
      </c>
      <c r="AP119" s="340">
        <v>3.6</v>
      </c>
      <c r="AQ119" s="340">
        <v>3.6</v>
      </c>
      <c r="AR119" s="340">
        <v>3.6</v>
      </c>
      <c r="AS119" s="340">
        <v>3.6</v>
      </c>
      <c r="AT119" s="340">
        <v>3.6</v>
      </c>
      <c r="AU119" s="340">
        <v>3.6</v>
      </c>
      <c r="AV119" s="340">
        <v>3.6</v>
      </c>
      <c r="AW119" s="340">
        <v>3.6</v>
      </c>
      <c r="AX119" s="340">
        <v>3.6</v>
      </c>
      <c r="AY119" s="340">
        <v>3.6</v>
      </c>
      <c r="AZ119" s="340">
        <v>3.6</v>
      </c>
      <c r="BA119" s="340">
        <v>3.6</v>
      </c>
      <c r="BB119" s="340">
        <v>3.6</v>
      </c>
      <c r="BC119" s="340">
        <v>3.6</v>
      </c>
      <c r="BD119" s="340">
        <v>3.6</v>
      </c>
      <c r="BE119" s="340">
        <v>3.6</v>
      </c>
      <c r="BF119" s="340">
        <v>3.6</v>
      </c>
      <c r="BG119" s="340">
        <v>3.6</v>
      </c>
      <c r="BH119" s="340">
        <v>3.6</v>
      </c>
      <c r="BI119" s="340">
        <v>3.6</v>
      </c>
      <c r="BJ119" s="340">
        <v>3.6</v>
      </c>
      <c r="BK119" s="340">
        <v>3.6</v>
      </c>
      <c r="BL119" s="340">
        <v>3.6</v>
      </c>
      <c r="BM119" s="340">
        <v>3.6</v>
      </c>
      <c r="BN119" s="340">
        <v>3.6</v>
      </c>
      <c r="BO119" s="340">
        <v>3.6</v>
      </c>
      <c r="BP119" s="340">
        <v>3.6</v>
      </c>
      <c r="BQ119" s="340">
        <v>3.6</v>
      </c>
      <c r="BR119" s="340">
        <v>3.6</v>
      </c>
      <c r="BS119" s="340">
        <v>3.6</v>
      </c>
      <c r="BT119" s="340">
        <v>3.6</v>
      </c>
      <c r="BU119" s="340">
        <v>3.6</v>
      </c>
      <c r="BV119" s="340">
        <v>3.6</v>
      </c>
      <c r="BW119" s="340">
        <v>3.6</v>
      </c>
      <c r="BX119" s="340">
        <v>3.6</v>
      </c>
    </row>
    <row r="120" spans="1:76" hidden="1" outlineLevel="1">
      <c r="A120" s="38" t="s">
        <v>368</v>
      </c>
      <c r="B120" s="351">
        <v>2020</v>
      </c>
      <c r="C120" s="351" t="s">
        <v>197</v>
      </c>
      <c r="D120" s="351" t="s">
        <v>40</v>
      </c>
      <c r="E120" s="351" t="s">
        <v>19</v>
      </c>
      <c r="F120" s="383">
        <v>0</v>
      </c>
      <c r="G120" s="383">
        <v>0</v>
      </c>
      <c r="H120" s="383">
        <v>0</v>
      </c>
      <c r="I120" s="383">
        <v>0</v>
      </c>
      <c r="J120" s="383">
        <v>0</v>
      </c>
      <c r="K120" s="383">
        <v>0</v>
      </c>
      <c r="L120" s="383">
        <v>0</v>
      </c>
      <c r="M120" s="383">
        <v>0</v>
      </c>
      <c r="N120" s="383">
        <v>0</v>
      </c>
      <c r="O120" s="383">
        <v>0</v>
      </c>
      <c r="P120" s="383">
        <v>0</v>
      </c>
      <c r="Q120" s="383">
        <v>0</v>
      </c>
      <c r="R120" s="383">
        <v>0</v>
      </c>
      <c r="S120" s="383">
        <v>0</v>
      </c>
      <c r="T120" s="383">
        <v>0</v>
      </c>
      <c r="U120" s="383">
        <v>0</v>
      </c>
      <c r="V120" s="383">
        <v>0</v>
      </c>
      <c r="W120" s="383">
        <v>0</v>
      </c>
      <c r="X120" s="383">
        <v>0</v>
      </c>
      <c r="Y120" s="383">
        <v>0</v>
      </c>
      <c r="Z120" s="383">
        <v>0</v>
      </c>
      <c r="AA120" s="383">
        <v>0</v>
      </c>
      <c r="AB120" s="383">
        <v>0</v>
      </c>
      <c r="AC120" s="383">
        <v>0</v>
      </c>
      <c r="AD120" s="383">
        <v>0</v>
      </c>
      <c r="AE120" s="383">
        <v>0</v>
      </c>
      <c r="AF120" s="383">
        <v>0</v>
      </c>
      <c r="AG120" s="383">
        <v>0</v>
      </c>
      <c r="AH120" s="383">
        <v>0</v>
      </c>
      <c r="AI120" s="383">
        <v>0</v>
      </c>
      <c r="AJ120" s="383">
        <v>0</v>
      </c>
      <c r="AK120" s="340">
        <v>0</v>
      </c>
      <c r="AL120" s="340">
        <v>0</v>
      </c>
      <c r="AM120" s="340">
        <v>0</v>
      </c>
      <c r="AN120" s="340">
        <v>0</v>
      </c>
      <c r="AO120" s="340">
        <v>0</v>
      </c>
      <c r="AP120" s="340">
        <v>0</v>
      </c>
      <c r="AQ120" s="340">
        <v>0</v>
      </c>
      <c r="AR120" s="340">
        <v>0</v>
      </c>
      <c r="AS120" s="340">
        <v>0</v>
      </c>
      <c r="AT120" s="340">
        <v>0</v>
      </c>
      <c r="AU120" s="340">
        <v>0</v>
      </c>
      <c r="AV120" s="340">
        <v>0</v>
      </c>
      <c r="AW120" s="340">
        <v>0</v>
      </c>
      <c r="AX120" s="340">
        <v>0</v>
      </c>
      <c r="AY120" s="340">
        <v>0</v>
      </c>
      <c r="AZ120" s="340">
        <v>0</v>
      </c>
      <c r="BA120" s="340">
        <v>0</v>
      </c>
      <c r="BB120" s="340">
        <v>0</v>
      </c>
      <c r="BC120" s="340">
        <v>0</v>
      </c>
      <c r="BD120" s="340">
        <v>0</v>
      </c>
      <c r="BE120" s="340">
        <v>0</v>
      </c>
      <c r="BF120" s="340">
        <v>0</v>
      </c>
      <c r="BG120" s="340">
        <v>0</v>
      </c>
      <c r="BH120" s="340">
        <v>0</v>
      </c>
      <c r="BI120" s="340">
        <v>0</v>
      </c>
      <c r="BJ120" s="340">
        <v>0</v>
      </c>
      <c r="BK120" s="340">
        <v>0</v>
      </c>
      <c r="BL120" s="340">
        <v>0</v>
      </c>
      <c r="BM120" s="340">
        <v>0</v>
      </c>
      <c r="BN120" s="340">
        <v>0</v>
      </c>
      <c r="BO120" s="340">
        <v>0</v>
      </c>
      <c r="BP120" s="340">
        <v>0</v>
      </c>
      <c r="BQ120" s="340">
        <v>0</v>
      </c>
      <c r="BR120" s="340">
        <v>0</v>
      </c>
      <c r="BS120" s="340">
        <v>0</v>
      </c>
      <c r="BT120" s="340">
        <v>0</v>
      </c>
      <c r="BU120" s="340">
        <v>0</v>
      </c>
      <c r="BV120" s="340">
        <v>0</v>
      </c>
      <c r="BW120" s="340">
        <v>0</v>
      </c>
      <c r="BX120" s="340">
        <v>0</v>
      </c>
    </row>
    <row r="121" spans="1:76" hidden="1" outlineLevel="1">
      <c r="B121" s="353">
        <v>2022</v>
      </c>
      <c r="C121" s="353" t="s">
        <v>231</v>
      </c>
      <c r="D121" s="353" t="s">
        <v>40</v>
      </c>
      <c r="E121" s="353" t="s">
        <v>0</v>
      </c>
      <c r="F121" s="335"/>
      <c r="G121" s="335"/>
      <c r="H121" s="335">
        <v>3</v>
      </c>
      <c r="I121" s="335">
        <v>3</v>
      </c>
      <c r="J121" s="335">
        <v>3</v>
      </c>
      <c r="K121" s="335">
        <v>3</v>
      </c>
      <c r="L121" s="335">
        <v>3</v>
      </c>
      <c r="M121" s="335">
        <v>3</v>
      </c>
      <c r="N121" s="335">
        <v>3</v>
      </c>
      <c r="O121" s="335">
        <v>3</v>
      </c>
      <c r="P121" s="335">
        <v>3</v>
      </c>
      <c r="Q121" s="335">
        <v>3</v>
      </c>
      <c r="R121" s="335">
        <v>3</v>
      </c>
      <c r="S121" s="335">
        <v>3</v>
      </c>
      <c r="T121" s="335">
        <v>3</v>
      </c>
      <c r="U121" s="335">
        <v>3</v>
      </c>
      <c r="V121" s="335">
        <v>3</v>
      </c>
      <c r="W121" s="335">
        <v>3</v>
      </c>
      <c r="X121" s="335">
        <v>3</v>
      </c>
      <c r="Y121" s="335">
        <v>3</v>
      </c>
      <c r="Z121" s="335">
        <v>3</v>
      </c>
      <c r="AA121" s="335">
        <v>3</v>
      </c>
      <c r="AB121" s="335">
        <v>3</v>
      </c>
      <c r="AC121" s="335">
        <v>3</v>
      </c>
      <c r="AD121" s="335">
        <v>3</v>
      </c>
      <c r="AE121" s="335">
        <v>3</v>
      </c>
      <c r="AF121" s="335">
        <v>3</v>
      </c>
      <c r="AG121" s="335">
        <v>3</v>
      </c>
      <c r="AH121" s="335">
        <v>3</v>
      </c>
      <c r="AI121" s="335">
        <v>3</v>
      </c>
      <c r="AJ121" s="335">
        <v>3</v>
      </c>
      <c r="AK121" s="335">
        <v>3</v>
      </c>
      <c r="AL121" s="335">
        <v>3</v>
      </c>
      <c r="AM121" s="335">
        <v>3</v>
      </c>
      <c r="AN121" s="335">
        <v>3</v>
      </c>
      <c r="AO121" s="335">
        <v>3</v>
      </c>
      <c r="AP121" s="335">
        <v>3</v>
      </c>
      <c r="AQ121" s="335">
        <v>3</v>
      </c>
      <c r="AR121" s="335">
        <v>3</v>
      </c>
      <c r="AS121" s="335">
        <v>3</v>
      </c>
      <c r="AT121" s="335">
        <v>3</v>
      </c>
      <c r="AU121" s="335">
        <v>3</v>
      </c>
      <c r="AV121" s="335">
        <v>3</v>
      </c>
      <c r="AW121" s="335">
        <v>3</v>
      </c>
      <c r="AX121" s="335">
        <v>3</v>
      </c>
      <c r="AY121" s="335">
        <v>3</v>
      </c>
      <c r="AZ121" s="335">
        <v>3</v>
      </c>
      <c r="BA121" s="335">
        <v>3</v>
      </c>
      <c r="BB121" s="335">
        <v>3</v>
      </c>
      <c r="BC121" s="335">
        <v>3</v>
      </c>
      <c r="BD121" s="335">
        <v>3</v>
      </c>
      <c r="BE121" s="335">
        <v>3</v>
      </c>
      <c r="BF121" s="335">
        <v>3</v>
      </c>
      <c r="BG121" s="335">
        <v>3</v>
      </c>
      <c r="BH121" s="335">
        <v>3</v>
      </c>
      <c r="BI121" s="335">
        <v>3</v>
      </c>
      <c r="BJ121" s="335">
        <v>3</v>
      </c>
      <c r="BK121" s="335">
        <v>3</v>
      </c>
      <c r="BL121" s="335">
        <v>3</v>
      </c>
      <c r="BM121" s="335">
        <v>3</v>
      </c>
      <c r="BN121" s="335">
        <v>3</v>
      </c>
      <c r="BO121" s="335">
        <v>3</v>
      </c>
      <c r="BP121" s="335">
        <v>3</v>
      </c>
      <c r="BQ121" s="335">
        <v>3</v>
      </c>
      <c r="BR121" s="335">
        <v>3</v>
      </c>
      <c r="BS121" s="335">
        <v>3</v>
      </c>
      <c r="BT121" s="335">
        <v>3</v>
      </c>
      <c r="BU121" s="335">
        <v>3</v>
      </c>
      <c r="BV121" s="335">
        <v>3</v>
      </c>
      <c r="BW121" s="335">
        <v>3</v>
      </c>
      <c r="BX121" s="335">
        <v>3</v>
      </c>
    </row>
    <row r="122" spans="1:76" hidden="1" outlineLevel="1">
      <c r="B122" s="353">
        <v>2022</v>
      </c>
      <c r="C122" s="353" t="s">
        <v>231</v>
      </c>
      <c r="D122" s="353" t="s">
        <v>40</v>
      </c>
      <c r="E122" s="353" t="s">
        <v>1</v>
      </c>
      <c r="F122" s="335"/>
      <c r="G122" s="335"/>
      <c r="H122" s="335">
        <v>5.75</v>
      </c>
      <c r="I122" s="335">
        <v>5.75</v>
      </c>
      <c r="J122" s="335">
        <v>5.75</v>
      </c>
      <c r="K122" s="335">
        <v>5.75</v>
      </c>
      <c r="L122" s="335">
        <v>5.75</v>
      </c>
      <c r="M122" s="335">
        <v>5.75</v>
      </c>
      <c r="N122" s="335">
        <v>5.75</v>
      </c>
      <c r="O122" s="335">
        <v>5.75</v>
      </c>
      <c r="P122" s="335">
        <v>5.75</v>
      </c>
      <c r="Q122" s="335">
        <v>5.75</v>
      </c>
      <c r="R122" s="335">
        <v>5.75</v>
      </c>
      <c r="S122" s="335">
        <v>5.75</v>
      </c>
      <c r="T122" s="335">
        <v>5.75</v>
      </c>
      <c r="U122" s="335">
        <v>5.75</v>
      </c>
      <c r="V122" s="335">
        <v>5.75</v>
      </c>
      <c r="W122" s="335">
        <v>5.75</v>
      </c>
      <c r="X122" s="335">
        <v>5.75</v>
      </c>
      <c r="Y122" s="335">
        <v>5.75</v>
      </c>
      <c r="Z122" s="335">
        <v>5.75</v>
      </c>
      <c r="AA122" s="335">
        <v>5.75</v>
      </c>
      <c r="AB122" s="335">
        <v>5.75</v>
      </c>
      <c r="AC122" s="335">
        <v>5.75</v>
      </c>
      <c r="AD122" s="335">
        <v>5.75</v>
      </c>
      <c r="AE122" s="335">
        <v>5.75</v>
      </c>
      <c r="AF122" s="335">
        <v>5.75</v>
      </c>
      <c r="AG122" s="335">
        <v>5.75</v>
      </c>
      <c r="AH122" s="335">
        <v>5.75</v>
      </c>
      <c r="AI122" s="335">
        <v>5.75</v>
      </c>
      <c r="AJ122" s="335">
        <v>5.75</v>
      </c>
      <c r="AK122" s="335">
        <v>5.75</v>
      </c>
      <c r="AL122" s="335">
        <v>5.75</v>
      </c>
      <c r="AM122" s="335">
        <v>5.75</v>
      </c>
      <c r="AN122" s="335">
        <v>5.75</v>
      </c>
      <c r="AO122" s="335">
        <v>5.75</v>
      </c>
      <c r="AP122" s="335">
        <v>5.75</v>
      </c>
      <c r="AQ122" s="335">
        <v>5.75</v>
      </c>
      <c r="AR122" s="335">
        <v>5.75</v>
      </c>
      <c r="AS122" s="335">
        <v>5.75</v>
      </c>
      <c r="AT122" s="335">
        <v>5.75</v>
      </c>
      <c r="AU122" s="335">
        <v>5.75</v>
      </c>
      <c r="AV122" s="335">
        <v>5.75</v>
      </c>
      <c r="AW122" s="335">
        <v>5.75</v>
      </c>
      <c r="AX122" s="335">
        <v>5.75</v>
      </c>
      <c r="AY122" s="335">
        <v>5.75</v>
      </c>
      <c r="AZ122" s="335">
        <v>5.75</v>
      </c>
      <c r="BA122" s="335">
        <v>5.75</v>
      </c>
      <c r="BB122" s="335">
        <v>5.75</v>
      </c>
      <c r="BC122" s="335">
        <v>5.75</v>
      </c>
      <c r="BD122" s="335">
        <v>5.75</v>
      </c>
      <c r="BE122" s="335">
        <v>5.75</v>
      </c>
      <c r="BF122" s="335">
        <v>5.75</v>
      </c>
      <c r="BG122" s="335">
        <v>5.75</v>
      </c>
      <c r="BH122" s="335">
        <v>5.75</v>
      </c>
      <c r="BI122" s="335">
        <v>5.75</v>
      </c>
      <c r="BJ122" s="335">
        <v>5.75</v>
      </c>
      <c r="BK122" s="335">
        <v>5.75</v>
      </c>
      <c r="BL122" s="335">
        <v>5.75</v>
      </c>
      <c r="BM122" s="335">
        <v>5.75</v>
      </c>
      <c r="BN122" s="335">
        <v>5.75</v>
      </c>
      <c r="BO122" s="335">
        <v>5.75</v>
      </c>
      <c r="BP122" s="335">
        <v>5.75</v>
      </c>
      <c r="BQ122" s="335">
        <v>5.75</v>
      </c>
      <c r="BR122" s="335">
        <v>5.75</v>
      </c>
      <c r="BS122" s="335">
        <v>5.75</v>
      </c>
      <c r="BT122" s="335">
        <v>5.75</v>
      </c>
      <c r="BU122" s="335">
        <v>5.75</v>
      </c>
      <c r="BV122" s="335">
        <v>5.75</v>
      </c>
      <c r="BW122" s="335">
        <v>5.75</v>
      </c>
      <c r="BX122" s="335">
        <v>5.75</v>
      </c>
    </row>
    <row r="123" spans="1:76" hidden="1" outlineLevel="1">
      <c r="B123" s="353">
        <v>2022</v>
      </c>
      <c r="C123" s="353" t="s">
        <v>231</v>
      </c>
      <c r="D123" s="353" t="s">
        <v>40</v>
      </c>
      <c r="E123" s="353" t="s">
        <v>2</v>
      </c>
      <c r="F123" s="335"/>
      <c r="G123" s="335"/>
      <c r="H123" s="335">
        <v>4.5999999999999996</v>
      </c>
      <c r="I123" s="335">
        <v>4.5999999999999996</v>
      </c>
      <c r="J123" s="335">
        <v>4.5999999999999996</v>
      </c>
      <c r="K123" s="335">
        <v>4.5999999999999996</v>
      </c>
      <c r="L123" s="335">
        <v>4.5999999999999996</v>
      </c>
      <c r="M123" s="335">
        <v>4.5999999999999996</v>
      </c>
      <c r="N123" s="335">
        <v>4.5999999999999996</v>
      </c>
      <c r="O123" s="335">
        <v>4.5999999999999996</v>
      </c>
      <c r="P123" s="335">
        <v>4.5999999999999996</v>
      </c>
      <c r="Q123" s="335">
        <v>4.5999999999999996</v>
      </c>
      <c r="R123" s="335">
        <v>4.5999999999999996</v>
      </c>
      <c r="S123" s="335">
        <v>4.5999999999999996</v>
      </c>
      <c r="T123" s="335">
        <v>4.5999999999999996</v>
      </c>
      <c r="U123" s="335">
        <v>4.5999999999999996</v>
      </c>
      <c r="V123" s="335">
        <v>4.5999999999999996</v>
      </c>
      <c r="W123" s="335">
        <v>4.5999999999999996</v>
      </c>
      <c r="X123" s="335">
        <v>4.5999999999999996</v>
      </c>
      <c r="Y123" s="335">
        <v>4.5999999999999996</v>
      </c>
      <c r="Z123" s="335">
        <v>4.5999999999999996</v>
      </c>
      <c r="AA123" s="335">
        <v>4.5999999999999996</v>
      </c>
      <c r="AB123" s="335">
        <v>4.5999999999999996</v>
      </c>
      <c r="AC123" s="335">
        <v>4.5999999999999996</v>
      </c>
      <c r="AD123" s="335">
        <v>4.5999999999999996</v>
      </c>
      <c r="AE123" s="335">
        <v>4.5999999999999996</v>
      </c>
      <c r="AF123" s="335">
        <v>4.5999999999999996</v>
      </c>
      <c r="AG123" s="335">
        <v>4.5999999999999996</v>
      </c>
      <c r="AH123" s="335">
        <v>4.5999999999999996</v>
      </c>
      <c r="AI123" s="335">
        <v>4.5999999999999996</v>
      </c>
      <c r="AJ123" s="335">
        <v>4.5999999999999996</v>
      </c>
      <c r="AK123" s="335">
        <v>4.5999999999999996</v>
      </c>
      <c r="AL123" s="335">
        <v>4.5999999999999996</v>
      </c>
      <c r="AM123" s="335">
        <v>4.5999999999999996</v>
      </c>
      <c r="AN123" s="335">
        <v>4.5999999999999996</v>
      </c>
      <c r="AO123" s="335">
        <v>4.5999999999999996</v>
      </c>
      <c r="AP123" s="335">
        <v>4.5999999999999996</v>
      </c>
      <c r="AQ123" s="335">
        <v>4.5999999999999996</v>
      </c>
      <c r="AR123" s="335">
        <v>4.5999999999999996</v>
      </c>
      <c r="AS123" s="335">
        <v>4.5999999999999996</v>
      </c>
      <c r="AT123" s="335">
        <v>4.5999999999999996</v>
      </c>
      <c r="AU123" s="335">
        <v>4.5999999999999996</v>
      </c>
      <c r="AV123" s="335">
        <v>4.5999999999999996</v>
      </c>
      <c r="AW123" s="335">
        <v>4.5999999999999996</v>
      </c>
      <c r="AX123" s="335">
        <v>4.5999999999999996</v>
      </c>
      <c r="AY123" s="335">
        <v>4.5999999999999996</v>
      </c>
      <c r="AZ123" s="335">
        <v>4.5999999999999996</v>
      </c>
      <c r="BA123" s="335">
        <v>4.5999999999999996</v>
      </c>
      <c r="BB123" s="335">
        <v>4.5999999999999996</v>
      </c>
      <c r="BC123" s="335">
        <v>4.5999999999999996</v>
      </c>
      <c r="BD123" s="335">
        <v>4.5999999999999996</v>
      </c>
      <c r="BE123" s="335">
        <v>4.5999999999999996</v>
      </c>
      <c r="BF123" s="335">
        <v>4.5999999999999996</v>
      </c>
      <c r="BG123" s="335">
        <v>4.5999999999999996</v>
      </c>
      <c r="BH123" s="335">
        <v>4.5999999999999996</v>
      </c>
      <c r="BI123" s="335">
        <v>4.5999999999999996</v>
      </c>
      <c r="BJ123" s="335">
        <v>4.5999999999999996</v>
      </c>
      <c r="BK123" s="335">
        <v>4.5999999999999996</v>
      </c>
      <c r="BL123" s="335">
        <v>4.5999999999999996</v>
      </c>
      <c r="BM123" s="335">
        <v>4.5999999999999996</v>
      </c>
      <c r="BN123" s="335">
        <v>4.5999999999999996</v>
      </c>
      <c r="BO123" s="335">
        <v>4.5999999999999996</v>
      </c>
      <c r="BP123" s="335">
        <v>4.5999999999999996</v>
      </c>
      <c r="BQ123" s="335">
        <v>4.5999999999999996</v>
      </c>
      <c r="BR123" s="335">
        <v>4.5999999999999996</v>
      </c>
      <c r="BS123" s="335">
        <v>4.5999999999999996</v>
      </c>
      <c r="BT123" s="335">
        <v>4.5999999999999996</v>
      </c>
      <c r="BU123" s="335">
        <v>4.5999999999999996</v>
      </c>
      <c r="BV123" s="335">
        <v>4.5999999999999996</v>
      </c>
      <c r="BW123" s="335">
        <v>4.5999999999999996</v>
      </c>
      <c r="BX123" s="335">
        <v>4.5999999999999996</v>
      </c>
    </row>
    <row r="124" spans="1:76" hidden="1" outlineLevel="1">
      <c r="B124" s="353">
        <v>2022</v>
      </c>
      <c r="C124" s="353" t="s">
        <v>231</v>
      </c>
      <c r="D124" s="353" t="s">
        <v>40</v>
      </c>
      <c r="E124" s="353" t="s">
        <v>20</v>
      </c>
      <c r="F124" s="335"/>
      <c r="G124" s="335"/>
      <c r="H124" s="335">
        <v>0</v>
      </c>
      <c r="I124" s="335">
        <v>0</v>
      </c>
      <c r="J124" s="335">
        <v>0</v>
      </c>
      <c r="K124" s="335">
        <v>0</v>
      </c>
      <c r="L124" s="335">
        <v>0</v>
      </c>
      <c r="M124" s="335">
        <v>0</v>
      </c>
      <c r="N124" s="335">
        <v>0</v>
      </c>
      <c r="O124" s="335">
        <v>0</v>
      </c>
      <c r="P124" s="335">
        <v>0</v>
      </c>
      <c r="Q124" s="335">
        <v>0</v>
      </c>
      <c r="R124" s="335">
        <v>0</v>
      </c>
      <c r="S124" s="335">
        <v>0</v>
      </c>
      <c r="T124" s="335">
        <v>0</v>
      </c>
      <c r="U124" s="335">
        <v>0</v>
      </c>
      <c r="V124" s="335">
        <v>0</v>
      </c>
      <c r="W124" s="335">
        <v>0</v>
      </c>
      <c r="X124" s="335">
        <v>0</v>
      </c>
      <c r="Y124" s="335">
        <v>0</v>
      </c>
      <c r="Z124" s="335">
        <v>0</v>
      </c>
      <c r="AA124" s="335">
        <v>0</v>
      </c>
      <c r="AB124" s="335">
        <v>0</v>
      </c>
      <c r="AC124" s="335">
        <v>0</v>
      </c>
      <c r="AD124" s="335">
        <v>0</v>
      </c>
      <c r="AE124" s="335">
        <v>0</v>
      </c>
      <c r="AF124" s="335">
        <v>0</v>
      </c>
      <c r="AG124" s="335">
        <v>0</v>
      </c>
      <c r="AH124" s="335">
        <v>0</v>
      </c>
      <c r="AI124" s="335">
        <v>0</v>
      </c>
      <c r="AJ124" s="335">
        <v>0</v>
      </c>
      <c r="AK124" s="335">
        <v>0</v>
      </c>
      <c r="AL124" s="335">
        <v>0</v>
      </c>
      <c r="AM124" s="335">
        <v>0</v>
      </c>
      <c r="AN124" s="335">
        <v>0</v>
      </c>
      <c r="AO124" s="335">
        <v>0</v>
      </c>
      <c r="AP124" s="335">
        <v>0</v>
      </c>
      <c r="AQ124" s="335">
        <v>0</v>
      </c>
      <c r="AR124" s="335">
        <v>0</v>
      </c>
      <c r="AS124" s="335">
        <v>0</v>
      </c>
      <c r="AT124" s="335">
        <v>0</v>
      </c>
      <c r="AU124" s="335">
        <v>0</v>
      </c>
      <c r="AV124" s="335">
        <v>0</v>
      </c>
      <c r="AW124" s="335">
        <v>0</v>
      </c>
      <c r="AX124" s="335">
        <v>0</v>
      </c>
      <c r="AY124" s="335">
        <v>0</v>
      </c>
      <c r="AZ124" s="335">
        <v>0</v>
      </c>
      <c r="BA124" s="335">
        <v>0</v>
      </c>
      <c r="BB124" s="335">
        <v>0</v>
      </c>
      <c r="BC124" s="335">
        <v>0</v>
      </c>
      <c r="BD124" s="335">
        <v>0</v>
      </c>
      <c r="BE124" s="335">
        <v>0</v>
      </c>
      <c r="BF124" s="335">
        <v>0</v>
      </c>
      <c r="BG124" s="335">
        <v>0</v>
      </c>
      <c r="BH124" s="335">
        <v>0</v>
      </c>
      <c r="BI124" s="335">
        <v>0</v>
      </c>
      <c r="BJ124" s="335">
        <v>0</v>
      </c>
      <c r="BK124" s="335">
        <v>0</v>
      </c>
      <c r="BL124" s="335">
        <v>0</v>
      </c>
      <c r="BM124" s="335">
        <v>0</v>
      </c>
      <c r="BN124" s="335">
        <v>0</v>
      </c>
      <c r="BO124" s="335">
        <v>0</v>
      </c>
      <c r="BP124" s="335">
        <v>0</v>
      </c>
      <c r="BQ124" s="335">
        <v>0</v>
      </c>
      <c r="BR124" s="335">
        <v>0</v>
      </c>
      <c r="BS124" s="335">
        <v>0</v>
      </c>
      <c r="BT124" s="335">
        <v>0</v>
      </c>
      <c r="BU124" s="335">
        <v>0</v>
      </c>
      <c r="BV124" s="335">
        <v>0</v>
      </c>
      <c r="BW124" s="335">
        <v>0</v>
      </c>
      <c r="BX124" s="335">
        <v>0</v>
      </c>
    </row>
    <row r="125" spans="1:76" hidden="1" outlineLevel="1">
      <c r="B125" s="353">
        <v>2022</v>
      </c>
      <c r="C125" s="353" t="s">
        <v>231</v>
      </c>
      <c r="D125" s="353" t="s">
        <v>40</v>
      </c>
      <c r="E125" s="353" t="s">
        <v>21</v>
      </c>
      <c r="F125" s="335"/>
      <c r="G125" s="335"/>
      <c r="H125" s="341">
        <f>H121</f>
        <v>3</v>
      </c>
      <c r="I125" s="341">
        <f t="shared" ref="I125:BT125" si="275">I121</f>
        <v>3</v>
      </c>
      <c r="J125" s="341">
        <f t="shared" si="275"/>
        <v>3</v>
      </c>
      <c r="K125" s="341">
        <f t="shared" si="275"/>
        <v>3</v>
      </c>
      <c r="L125" s="341">
        <f t="shared" si="275"/>
        <v>3</v>
      </c>
      <c r="M125" s="341">
        <f t="shared" si="275"/>
        <v>3</v>
      </c>
      <c r="N125" s="341">
        <f t="shared" si="275"/>
        <v>3</v>
      </c>
      <c r="O125" s="341">
        <f t="shared" si="275"/>
        <v>3</v>
      </c>
      <c r="P125" s="341">
        <f t="shared" si="275"/>
        <v>3</v>
      </c>
      <c r="Q125" s="341">
        <f t="shared" si="275"/>
        <v>3</v>
      </c>
      <c r="R125" s="341">
        <f t="shared" si="275"/>
        <v>3</v>
      </c>
      <c r="S125" s="341">
        <f t="shared" si="275"/>
        <v>3</v>
      </c>
      <c r="T125" s="341">
        <f t="shared" si="275"/>
        <v>3</v>
      </c>
      <c r="U125" s="341">
        <f t="shared" si="275"/>
        <v>3</v>
      </c>
      <c r="V125" s="341">
        <f t="shared" si="275"/>
        <v>3</v>
      </c>
      <c r="W125" s="341">
        <f t="shared" si="275"/>
        <v>3</v>
      </c>
      <c r="X125" s="341">
        <f t="shared" si="275"/>
        <v>3</v>
      </c>
      <c r="Y125" s="341">
        <f t="shared" si="275"/>
        <v>3</v>
      </c>
      <c r="Z125" s="341">
        <f t="shared" si="275"/>
        <v>3</v>
      </c>
      <c r="AA125" s="341">
        <f t="shared" si="275"/>
        <v>3</v>
      </c>
      <c r="AB125" s="341">
        <f t="shared" si="275"/>
        <v>3</v>
      </c>
      <c r="AC125" s="341">
        <f t="shared" si="275"/>
        <v>3</v>
      </c>
      <c r="AD125" s="341">
        <f t="shared" si="275"/>
        <v>3</v>
      </c>
      <c r="AE125" s="341">
        <f t="shared" si="275"/>
        <v>3</v>
      </c>
      <c r="AF125" s="341">
        <f t="shared" si="275"/>
        <v>3</v>
      </c>
      <c r="AG125" s="341">
        <f t="shared" si="275"/>
        <v>3</v>
      </c>
      <c r="AH125" s="341">
        <f t="shared" si="275"/>
        <v>3</v>
      </c>
      <c r="AI125" s="341">
        <f t="shared" si="275"/>
        <v>3</v>
      </c>
      <c r="AJ125" s="341">
        <f t="shared" si="275"/>
        <v>3</v>
      </c>
      <c r="AK125" s="341">
        <f t="shared" si="275"/>
        <v>3</v>
      </c>
      <c r="AL125" s="341">
        <f t="shared" si="275"/>
        <v>3</v>
      </c>
      <c r="AM125" s="341">
        <f t="shared" si="275"/>
        <v>3</v>
      </c>
      <c r="AN125" s="341">
        <f t="shared" si="275"/>
        <v>3</v>
      </c>
      <c r="AO125" s="341">
        <f t="shared" si="275"/>
        <v>3</v>
      </c>
      <c r="AP125" s="341">
        <f t="shared" si="275"/>
        <v>3</v>
      </c>
      <c r="AQ125" s="341">
        <f t="shared" si="275"/>
        <v>3</v>
      </c>
      <c r="AR125" s="341">
        <f t="shared" si="275"/>
        <v>3</v>
      </c>
      <c r="AS125" s="341">
        <f t="shared" si="275"/>
        <v>3</v>
      </c>
      <c r="AT125" s="341">
        <f t="shared" si="275"/>
        <v>3</v>
      </c>
      <c r="AU125" s="341">
        <f t="shared" si="275"/>
        <v>3</v>
      </c>
      <c r="AV125" s="341">
        <f t="shared" si="275"/>
        <v>3</v>
      </c>
      <c r="AW125" s="341">
        <f t="shared" si="275"/>
        <v>3</v>
      </c>
      <c r="AX125" s="341">
        <f t="shared" si="275"/>
        <v>3</v>
      </c>
      <c r="AY125" s="341">
        <f t="shared" si="275"/>
        <v>3</v>
      </c>
      <c r="AZ125" s="341">
        <f t="shared" si="275"/>
        <v>3</v>
      </c>
      <c r="BA125" s="341">
        <f t="shared" si="275"/>
        <v>3</v>
      </c>
      <c r="BB125" s="341">
        <f t="shared" si="275"/>
        <v>3</v>
      </c>
      <c r="BC125" s="341">
        <f t="shared" si="275"/>
        <v>3</v>
      </c>
      <c r="BD125" s="341">
        <f t="shared" si="275"/>
        <v>3</v>
      </c>
      <c r="BE125" s="341">
        <f t="shared" si="275"/>
        <v>3</v>
      </c>
      <c r="BF125" s="341">
        <f t="shared" si="275"/>
        <v>3</v>
      </c>
      <c r="BG125" s="341">
        <f t="shared" si="275"/>
        <v>3</v>
      </c>
      <c r="BH125" s="341">
        <f t="shared" si="275"/>
        <v>3</v>
      </c>
      <c r="BI125" s="341">
        <f t="shared" si="275"/>
        <v>3</v>
      </c>
      <c r="BJ125" s="341">
        <f t="shared" si="275"/>
        <v>3</v>
      </c>
      <c r="BK125" s="341">
        <f t="shared" si="275"/>
        <v>3</v>
      </c>
      <c r="BL125" s="341">
        <f t="shared" si="275"/>
        <v>3</v>
      </c>
      <c r="BM125" s="341">
        <f t="shared" si="275"/>
        <v>3</v>
      </c>
      <c r="BN125" s="341">
        <f t="shared" si="275"/>
        <v>3</v>
      </c>
      <c r="BO125" s="341">
        <f t="shared" si="275"/>
        <v>3</v>
      </c>
      <c r="BP125" s="341">
        <f t="shared" si="275"/>
        <v>3</v>
      </c>
      <c r="BQ125" s="341">
        <f t="shared" si="275"/>
        <v>3</v>
      </c>
      <c r="BR125" s="341">
        <f t="shared" si="275"/>
        <v>3</v>
      </c>
      <c r="BS125" s="341">
        <f t="shared" si="275"/>
        <v>3</v>
      </c>
      <c r="BT125" s="341">
        <f t="shared" si="275"/>
        <v>3</v>
      </c>
      <c r="BU125" s="341">
        <f t="shared" ref="BU125:BX125" si="276">BU121</f>
        <v>3</v>
      </c>
      <c r="BV125" s="341">
        <f t="shared" si="276"/>
        <v>3</v>
      </c>
      <c r="BW125" s="341">
        <f t="shared" si="276"/>
        <v>3</v>
      </c>
      <c r="BX125" s="341">
        <f t="shared" si="276"/>
        <v>3</v>
      </c>
    </row>
    <row r="126" spans="1:76" collapsed="1">
      <c r="F126" s="330"/>
      <c r="G126" s="330"/>
      <c r="H126" s="330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/>
      <c r="AG126" s="330"/>
      <c r="AH126" s="330"/>
      <c r="AI126" s="330"/>
      <c r="AJ126" s="330"/>
      <c r="AK126" s="330"/>
    </row>
    <row r="127" spans="1:76">
      <c r="B127" s="259" t="str">
        <f>D127</f>
        <v>Fuel Costs</v>
      </c>
      <c r="D127" s="259" t="s">
        <v>250</v>
      </c>
      <c r="F127" s="259"/>
      <c r="G127" s="259"/>
      <c r="H127" s="259"/>
      <c r="I127" s="259"/>
      <c r="J127" s="259"/>
      <c r="K127" s="259"/>
      <c r="L127" s="259"/>
      <c r="M127" s="259"/>
      <c r="N127" s="259"/>
      <c r="O127" s="259"/>
      <c r="P127" s="259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I127" s="259"/>
      <c r="BJ127" s="259"/>
      <c r="BK127" s="259"/>
      <c r="BL127" s="259"/>
      <c r="BM127" s="259"/>
      <c r="BN127" s="259"/>
      <c r="BO127" s="259"/>
      <c r="BP127" s="259"/>
      <c r="BQ127" s="259"/>
      <c r="BR127" s="259"/>
      <c r="BS127" s="259"/>
      <c r="BT127" s="259"/>
      <c r="BU127" s="259"/>
      <c r="BV127" s="259"/>
      <c r="BW127" s="259"/>
      <c r="BX127" s="259"/>
    </row>
    <row r="128" spans="1:76" hidden="1" outlineLevel="1">
      <c r="A128" s="38" t="s">
        <v>369</v>
      </c>
      <c r="B128" s="351">
        <v>2020</v>
      </c>
      <c r="C128" s="351" t="s">
        <v>151</v>
      </c>
      <c r="D128" s="351" t="s">
        <v>221</v>
      </c>
      <c r="E128" s="351" t="s">
        <v>3</v>
      </c>
      <c r="F128" s="383">
        <v>0.68449283667621774</v>
      </c>
      <c r="G128" s="383">
        <v>0.68449283667621774</v>
      </c>
      <c r="H128" s="383">
        <v>0.68549474689589307</v>
      </c>
      <c r="I128" s="383">
        <v>0.68749952244508128</v>
      </c>
      <c r="J128" s="383">
        <v>0.6885014326647565</v>
      </c>
      <c r="K128" s="383">
        <v>0.69050525310410704</v>
      </c>
      <c r="L128" s="383">
        <v>0.69150811843361992</v>
      </c>
      <c r="M128" s="383">
        <v>0.69351193887297036</v>
      </c>
      <c r="N128" s="383">
        <v>0.69451384909264569</v>
      </c>
      <c r="O128" s="383">
        <v>0.69651862464183389</v>
      </c>
      <c r="P128" s="383">
        <v>0.69852340019102199</v>
      </c>
      <c r="Q128" s="383">
        <v>0.69952531041069732</v>
      </c>
      <c r="R128" s="383">
        <v>0.70153008595988542</v>
      </c>
      <c r="S128" s="383">
        <v>0.70353390639923596</v>
      </c>
      <c r="T128" s="383">
        <v>0.70453581661891118</v>
      </c>
      <c r="U128" s="383">
        <v>0.70654059216809939</v>
      </c>
      <c r="V128" s="383">
        <v>0.7085453677172876</v>
      </c>
      <c r="W128" s="383">
        <v>0.70954727793696282</v>
      </c>
      <c r="X128" s="383">
        <v>0.71155109837631336</v>
      </c>
      <c r="Y128" s="383">
        <v>0.71355587392550146</v>
      </c>
      <c r="Z128" s="383">
        <v>0.71556064947468956</v>
      </c>
      <c r="AA128" s="383">
        <v>0.71756446991404021</v>
      </c>
      <c r="AB128" s="383">
        <v>0.71956924546322831</v>
      </c>
      <c r="AC128" s="383">
        <v>0.72157306590257886</v>
      </c>
      <c r="AD128" s="383">
        <v>0.72357784145176696</v>
      </c>
      <c r="AE128" s="383">
        <v>0.72558261700095517</v>
      </c>
      <c r="AF128" s="383">
        <v>0.72758643744030571</v>
      </c>
      <c r="AG128" s="383">
        <v>0.72959121298949381</v>
      </c>
      <c r="AH128" s="383">
        <v>0.73159503342884435</v>
      </c>
      <c r="AI128" s="383">
        <v>0.73359980897803245</v>
      </c>
      <c r="AJ128" s="383">
        <v>0.735603629417383</v>
      </c>
      <c r="AK128" s="340"/>
      <c r="AL128" s="340"/>
      <c r="AM128" s="340"/>
      <c r="AN128" s="340"/>
      <c r="AO128" s="340"/>
      <c r="AP128" s="340"/>
      <c r="AQ128" s="340"/>
      <c r="AR128" s="340"/>
      <c r="AS128" s="340"/>
      <c r="AT128" s="340"/>
      <c r="AU128" s="340"/>
      <c r="AV128" s="340"/>
      <c r="AW128" s="340"/>
      <c r="AX128" s="340"/>
      <c r="AY128" s="340"/>
      <c r="AZ128" s="340"/>
      <c r="BA128" s="340"/>
      <c r="BB128" s="340"/>
      <c r="BC128" s="340"/>
      <c r="BD128" s="340"/>
      <c r="BE128" s="340"/>
      <c r="BF128" s="340"/>
      <c r="BG128" s="340"/>
      <c r="BH128" s="340"/>
      <c r="BI128" s="340"/>
      <c r="BJ128" s="340"/>
      <c r="BK128" s="340"/>
      <c r="BL128" s="340"/>
      <c r="BM128" s="340"/>
      <c r="BN128" s="340"/>
      <c r="BO128" s="340"/>
      <c r="BP128" s="340"/>
      <c r="BQ128" s="340"/>
      <c r="BR128" s="340"/>
      <c r="BS128" s="340"/>
      <c r="BT128" s="340"/>
      <c r="BU128" s="340"/>
      <c r="BV128" s="340"/>
      <c r="BW128" s="340"/>
      <c r="BX128" s="340"/>
    </row>
    <row r="129" spans="2:76" hidden="1" outlineLevel="1">
      <c r="B129" s="353"/>
      <c r="C129" s="353" t="s">
        <v>180</v>
      </c>
      <c r="D129" s="353" t="s">
        <v>107</v>
      </c>
      <c r="E129" s="353" t="s">
        <v>0</v>
      </c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  <c r="AA129" s="335"/>
      <c r="AB129" s="335"/>
      <c r="AC129" s="335"/>
      <c r="AD129" s="335"/>
      <c r="AE129" s="335"/>
      <c r="AF129" s="335"/>
      <c r="AG129" s="335"/>
      <c r="AH129" s="335"/>
      <c r="AI129" s="335"/>
      <c r="AJ129" s="335"/>
      <c r="AK129" s="340"/>
      <c r="AL129" s="340"/>
      <c r="AM129" s="340"/>
      <c r="AN129" s="340"/>
      <c r="AO129" s="340"/>
      <c r="AP129" s="340"/>
      <c r="AQ129" s="340"/>
      <c r="AR129" s="340"/>
      <c r="AS129" s="340"/>
      <c r="AT129" s="340"/>
      <c r="AU129" s="340"/>
      <c r="AV129" s="340"/>
      <c r="AW129" s="340"/>
      <c r="AX129" s="340"/>
      <c r="AY129" s="340"/>
      <c r="AZ129" s="340"/>
      <c r="BA129" s="340"/>
      <c r="BB129" s="340"/>
      <c r="BC129" s="340"/>
      <c r="BD129" s="340"/>
      <c r="BE129" s="340"/>
      <c r="BF129" s="340"/>
      <c r="BG129" s="340"/>
      <c r="BH129" s="340"/>
      <c r="BI129" s="340"/>
      <c r="BJ129" s="340"/>
      <c r="BK129" s="340"/>
      <c r="BL129" s="340"/>
      <c r="BM129" s="340"/>
      <c r="BN129" s="340"/>
      <c r="BO129" s="340"/>
      <c r="BP129" s="340"/>
      <c r="BQ129" s="340"/>
      <c r="BR129" s="340"/>
      <c r="BS129" s="340"/>
      <c r="BT129" s="340"/>
      <c r="BU129" s="340"/>
      <c r="BV129" s="340"/>
      <c r="BW129" s="340"/>
      <c r="BX129" s="340"/>
    </row>
    <row r="130" spans="2:76" hidden="1" outlineLevel="1">
      <c r="B130" s="353"/>
      <c r="C130" s="353" t="s">
        <v>157</v>
      </c>
      <c r="D130" s="353" t="s">
        <v>108</v>
      </c>
      <c r="E130" s="353" t="s">
        <v>0</v>
      </c>
      <c r="F130" s="315">
        <v>5.0000000000000002E-5</v>
      </c>
      <c r="G130" s="315">
        <v>5.0000000000000002E-5</v>
      </c>
      <c r="H130" s="315">
        <v>5.0000000000000002E-5</v>
      </c>
      <c r="I130" s="315">
        <v>5.0000000000000002E-5</v>
      </c>
      <c r="J130" s="315">
        <v>5.0000000000000002E-5</v>
      </c>
      <c r="K130" s="315">
        <v>5.0000000000000002E-5</v>
      </c>
      <c r="L130" s="315">
        <v>5.0000000000000002E-5</v>
      </c>
      <c r="M130" s="315">
        <v>5.0000000000000002E-5</v>
      </c>
      <c r="N130" s="315">
        <v>5.0000000000000002E-5</v>
      </c>
      <c r="O130" s="315">
        <v>5.0000000000000002E-5</v>
      </c>
      <c r="P130" s="315">
        <v>5.0000000000000002E-5</v>
      </c>
      <c r="Q130" s="315">
        <v>5.0000000000000002E-5</v>
      </c>
      <c r="R130" s="315">
        <v>5.0000000000000002E-5</v>
      </c>
      <c r="S130" s="315">
        <v>5.0000000000000002E-5</v>
      </c>
      <c r="T130" s="315">
        <v>5.0000000000000002E-5</v>
      </c>
      <c r="U130" s="315">
        <v>5.0000000000000002E-5</v>
      </c>
      <c r="V130" s="315">
        <v>5.0000000000000002E-5</v>
      </c>
      <c r="W130" s="315">
        <v>5.0000000000000002E-5</v>
      </c>
      <c r="X130" s="315">
        <v>5.0000000000000002E-5</v>
      </c>
      <c r="Y130" s="315">
        <v>5.0000000000000002E-5</v>
      </c>
      <c r="Z130" s="315">
        <v>5.0000000000000002E-5</v>
      </c>
      <c r="AA130" s="315">
        <v>5.0000000000000002E-5</v>
      </c>
      <c r="AB130" s="315">
        <v>5.0000000000000002E-5</v>
      </c>
      <c r="AC130" s="315">
        <v>5.0000000000000002E-5</v>
      </c>
      <c r="AD130" s="315">
        <v>5.0000000000000002E-5</v>
      </c>
      <c r="AE130" s="315">
        <v>5.0000000000000002E-5</v>
      </c>
      <c r="AF130" s="315">
        <v>5.0000000000000002E-5</v>
      </c>
      <c r="AG130" s="315">
        <v>5.0000000000000002E-5</v>
      </c>
      <c r="AH130" s="315">
        <v>5.0000000000000002E-5</v>
      </c>
      <c r="AI130" s="315">
        <v>5.0000000000000002E-5</v>
      </c>
      <c r="AJ130" s="315">
        <v>5.0000000000000002E-5</v>
      </c>
      <c r="AK130" s="315">
        <v>5.0000000000000002E-5</v>
      </c>
      <c r="AL130" s="315">
        <v>5.0000000000000002E-5</v>
      </c>
      <c r="AM130" s="315">
        <v>5.0000000000000002E-5</v>
      </c>
      <c r="AN130" s="315">
        <v>5.0000000000000002E-5</v>
      </c>
      <c r="AO130" s="315">
        <v>5.0000000000000002E-5</v>
      </c>
      <c r="AP130" s="315">
        <v>5.0000000000000002E-5</v>
      </c>
      <c r="AQ130" s="315">
        <v>5.0000000000000002E-5</v>
      </c>
      <c r="AR130" s="315">
        <v>5.0000000000000002E-5</v>
      </c>
      <c r="AS130" s="315">
        <v>5.0000000000000002E-5</v>
      </c>
      <c r="AT130" s="315">
        <v>5.0000000000000002E-5</v>
      </c>
      <c r="AU130" s="315">
        <v>5.0000000000000002E-5</v>
      </c>
      <c r="AV130" s="315">
        <v>5.0000000000000002E-5</v>
      </c>
      <c r="AW130" s="315">
        <v>5.0000000000000002E-5</v>
      </c>
      <c r="AX130" s="315">
        <v>5.0000000000000002E-5</v>
      </c>
      <c r="AY130" s="315">
        <v>5.0000000000000002E-5</v>
      </c>
      <c r="AZ130" s="315">
        <v>5.0000000000000002E-5</v>
      </c>
      <c r="BA130" s="315">
        <v>5.0000000000000002E-5</v>
      </c>
      <c r="BB130" s="315">
        <v>5.0000000000000002E-5</v>
      </c>
      <c r="BC130" s="315">
        <v>5.0000000000000002E-5</v>
      </c>
      <c r="BD130" s="315">
        <v>5.0000000000000002E-5</v>
      </c>
      <c r="BE130" s="315">
        <v>5.0000000000000002E-5</v>
      </c>
      <c r="BF130" s="315">
        <v>5.0000000000000002E-5</v>
      </c>
      <c r="BG130" s="315">
        <v>5.0000000000000002E-5</v>
      </c>
      <c r="BH130" s="315">
        <v>5.0000000000000002E-5</v>
      </c>
      <c r="BI130" s="315">
        <v>5.0000000000000002E-5</v>
      </c>
      <c r="BJ130" s="315">
        <v>5.0000000000000002E-5</v>
      </c>
      <c r="BK130" s="315">
        <v>5.0000000000000002E-5</v>
      </c>
      <c r="BL130" s="315">
        <v>5.0000000000000002E-5</v>
      </c>
      <c r="BM130" s="315">
        <v>5.0000000000000002E-5</v>
      </c>
      <c r="BN130" s="315">
        <v>5.0000000000000002E-5</v>
      </c>
      <c r="BO130" s="315">
        <v>5.0000000000000002E-5</v>
      </c>
      <c r="BP130" s="315">
        <v>5.0000000000000002E-5</v>
      </c>
      <c r="BQ130" s="315">
        <v>5.0000000000000002E-5</v>
      </c>
      <c r="BR130" s="315">
        <v>5.0000000000000002E-5</v>
      </c>
      <c r="BS130" s="315">
        <v>5.0000000000000002E-5</v>
      </c>
      <c r="BT130" s="315">
        <v>5.0000000000000002E-5</v>
      </c>
      <c r="BU130" s="315">
        <v>5.0000000000000002E-5</v>
      </c>
      <c r="BV130" s="315">
        <v>5.0000000000000002E-5</v>
      </c>
      <c r="BW130" s="315">
        <v>5.0000000000000002E-5</v>
      </c>
      <c r="BX130" s="315">
        <v>5.0000000000000002E-5</v>
      </c>
    </row>
    <row r="131" spans="2:76" hidden="1" outlineLevel="1">
      <c r="B131" s="353"/>
      <c r="C131" s="353" t="s">
        <v>180</v>
      </c>
      <c r="D131" s="353" t="s">
        <v>107</v>
      </c>
      <c r="E131" s="353" t="s">
        <v>1</v>
      </c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5"/>
      <c r="AE131" s="335"/>
      <c r="AF131" s="335"/>
      <c r="AG131" s="335"/>
      <c r="AH131" s="335"/>
      <c r="AI131" s="335"/>
      <c r="AJ131" s="335"/>
      <c r="AK131" s="340"/>
      <c r="AL131" s="340"/>
      <c r="AM131" s="340"/>
      <c r="AN131" s="340"/>
      <c r="AO131" s="340"/>
      <c r="AP131" s="340"/>
      <c r="AQ131" s="340"/>
      <c r="AR131" s="340"/>
      <c r="AS131" s="340"/>
      <c r="AT131" s="340"/>
      <c r="AU131" s="340"/>
      <c r="AV131" s="340"/>
      <c r="AW131" s="340"/>
      <c r="AX131" s="340"/>
      <c r="AY131" s="340"/>
      <c r="AZ131" s="340"/>
      <c r="BA131" s="340"/>
      <c r="BB131" s="340"/>
      <c r="BC131" s="340"/>
      <c r="BD131" s="340"/>
      <c r="BE131" s="340"/>
      <c r="BF131" s="340"/>
      <c r="BG131" s="340"/>
      <c r="BH131" s="340"/>
      <c r="BI131" s="340"/>
      <c r="BJ131" s="340"/>
      <c r="BK131" s="340"/>
      <c r="BL131" s="340"/>
      <c r="BM131" s="340"/>
      <c r="BN131" s="340"/>
      <c r="BO131" s="340"/>
      <c r="BP131" s="340"/>
      <c r="BQ131" s="340"/>
      <c r="BR131" s="340"/>
      <c r="BS131" s="340"/>
      <c r="BT131" s="340"/>
      <c r="BU131" s="340"/>
      <c r="BV131" s="340"/>
      <c r="BW131" s="340"/>
      <c r="BX131" s="340"/>
    </row>
    <row r="132" spans="2:76" hidden="1" outlineLevel="1">
      <c r="B132" s="353"/>
      <c r="C132" s="353" t="s">
        <v>157</v>
      </c>
      <c r="D132" s="353" t="s">
        <v>108</v>
      </c>
      <c r="E132" s="353" t="s">
        <v>1</v>
      </c>
      <c r="F132" s="315">
        <v>5.0000000000000002E-5</v>
      </c>
      <c r="G132" s="315">
        <v>5.0000000000000002E-5</v>
      </c>
      <c r="H132" s="315">
        <v>5.0000000000000002E-5</v>
      </c>
      <c r="I132" s="315">
        <v>5.0000000000000002E-5</v>
      </c>
      <c r="J132" s="315">
        <v>5.0000000000000002E-5</v>
      </c>
      <c r="K132" s="315">
        <v>5.0000000000000002E-5</v>
      </c>
      <c r="L132" s="315">
        <v>5.0000000000000002E-5</v>
      </c>
      <c r="M132" s="315">
        <v>5.0000000000000002E-5</v>
      </c>
      <c r="N132" s="315">
        <v>5.0000000000000002E-5</v>
      </c>
      <c r="O132" s="315">
        <v>5.0000000000000002E-5</v>
      </c>
      <c r="P132" s="315">
        <v>5.0000000000000002E-5</v>
      </c>
      <c r="Q132" s="315">
        <v>5.0000000000000002E-5</v>
      </c>
      <c r="R132" s="315">
        <v>5.0000000000000002E-5</v>
      </c>
      <c r="S132" s="315">
        <v>5.0000000000000002E-5</v>
      </c>
      <c r="T132" s="315">
        <v>5.0000000000000002E-5</v>
      </c>
      <c r="U132" s="315">
        <v>5.0000000000000002E-5</v>
      </c>
      <c r="V132" s="315">
        <v>5.0000000000000002E-5</v>
      </c>
      <c r="W132" s="315">
        <v>5.0000000000000002E-5</v>
      </c>
      <c r="X132" s="315">
        <v>5.0000000000000002E-5</v>
      </c>
      <c r="Y132" s="315">
        <v>5.0000000000000002E-5</v>
      </c>
      <c r="Z132" s="315">
        <v>5.0000000000000002E-5</v>
      </c>
      <c r="AA132" s="315">
        <v>5.0000000000000002E-5</v>
      </c>
      <c r="AB132" s="315">
        <v>5.0000000000000002E-5</v>
      </c>
      <c r="AC132" s="315">
        <v>5.0000000000000002E-5</v>
      </c>
      <c r="AD132" s="315">
        <v>5.0000000000000002E-5</v>
      </c>
      <c r="AE132" s="315">
        <v>5.0000000000000002E-5</v>
      </c>
      <c r="AF132" s="315">
        <v>5.0000000000000002E-5</v>
      </c>
      <c r="AG132" s="315">
        <v>5.0000000000000002E-5</v>
      </c>
      <c r="AH132" s="315">
        <v>5.0000000000000002E-5</v>
      </c>
      <c r="AI132" s="315">
        <v>5.0000000000000002E-5</v>
      </c>
      <c r="AJ132" s="315">
        <v>5.0000000000000002E-5</v>
      </c>
      <c r="AK132" s="315">
        <v>5.0000000000000002E-5</v>
      </c>
      <c r="AL132" s="315">
        <v>5.0000000000000002E-5</v>
      </c>
      <c r="AM132" s="315">
        <v>5.0000000000000002E-5</v>
      </c>
      <c r="AN132" s="315">
        <v>5.0000000000000002E-5</v>
      </c>
      <c r="AO132" s="315">
        <v>5.0000000000000002E-5</v>
      </c>
      <c r="AP132" s="315">
        <v>5.0000000000000002E-5</v>
      </c>
      <c r="AQ132" s="315">
        <v>5.0000000000000002E-5</v>
      </c>
      <c r="AR132" s="315">
        <v>5.0000000000000002E-5</v>
      </c>
      <c r="AS132" s="315">
        <v>5.0000000000000002E-5</v>
      </c>
      <c r="AT132" s="315">
        <v>5.0000000000000002E-5</v>
      </c>
      <c r="AU132" s="315">
        <v>5.0000000000000002E-5</v>
      </c>
      <c r="AV132" s="315">
        <v>5.0000000000000002E-5</v>
      </c>
      <c r="AW132" s="315">
        <v>5.0000000000000002E-5</v>
      </c>
      <c r="AX132" s="315">
        <v>5.0000000000000002E-5</v>
      </c>
      <c r="AY132" s="315">
        <v>5.0000000000000002E-5</v>
      </c>
      <c r="AZ132" s="315">
        <v>5.0000000000000002E-5</v>
      </c>
      <c r="BA132" s="315">
        <v>5.0000000000000002E-5</v>
      </c>
      <c r="BB132" s="315">
        <v>5.0000000000000002E-5</v>
      </c>
      <c r="BC132" s="315">
        <v>5.0000000000000002E-5</v>
      </c>
      <c r="BD132" s="315">
        <v>5.0000000000000002E-5</v>
      </c>
      <c r="BE132" s="315">
        <v>5.0000000000000002E-5</v>
      </c>
      <c r="BF132" s="315">
        <v>5.0000000000000002E-5</v>
      </c>
      <c r="BG132" s="315">
        <v>5.0000000000000002E-5</v>
      </c>
      <c r="BH132" s="315">
        <v>5.0000000000000002E-5</v>
      </c>
      <c r="BI132" s="315">
        <v>5.0000000000000002E-5</v>
      </c>
      <c r="BJ132" s="315">
        <v>5.0000000000000002E-5</v>
      </c>
      <c r="BK132" s="315">
        <v>5.0000000000000002E-5</v>
      </c>
      <c r="BL132" s="315">
        <v>5.0000000000000002E-5</v>
      </c>
      <c r="BM132" s="315">
        <v>5.0000000000000002E-5</v>
      </c>
      <c r="BN132" s="315">
        <v>5.0000000000000002E-5</v>
      </c>
      <c r="BO132" s="315">
        <v>5.0000000000000002E-5</v>
      </c>
      <c r="BP132" s="315">
        <v>5.0000000000000002E-5</v>
      </c>
      <c r="BQ132" s="315">
        <v>5.0000000000000002E-5</v>
      </c>
      <c r="BR132" s="315">
        <v>5.0000000000000002E-5</v>
      </c>
      <c r="BS132" s="315">
        <v>5.0000000000000002E-5</v>
      </c>
      <c r="BT132" s="315">
        <v>5.0000000000000002E-5</v>
      </c>
      <c r="BU132" s="315">
        <v>5.0000000000000002E-5</v>
      </c>
      <c r="BV132" s="315">
        <v>5.0000000000000002E-5</v>
      </c>
      <c r="BW132" s="315">
        <v>5.0000000000000002E-5</v>
      </c>
      <c r="BX132" s="315">
        <v>5.0000000000000002E-5</v>
      </c>
    </row>
    <row r="133" spans="2:76" hidden="1" outlineLevel="1">
      <c r="B133" s="353"/>
      <c r="C133" s="353" t="s">
        <v>180</v>
      </c>
      <c r="D133" s="353" t="s">
        <v>107</v>
      </c>
      <c r="E133" s="353" t="s">
        <v>2</v>
      </c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40"/>
      <c r="AL133" s="340"/>
      <c r="AM133" s="340"/>
      <c r="AN133" s="340"/>
      <c r="AO133" s="340"/>
      <c r="AP133" s="340"/>
      <c r="AQ133" s="340"/>
      <c r="AR133" s="340"/>
      <c r="AS133" s="340"/>
      <c r="AT133" s="340"/>
      <c r="AU133" s="340"/>
      <c r="AV133" s="340"/>
      <c r="AW133" s="340"/>
      <c r="AX133" s="340"/>
      <c r="AY133" s="340"/>
      <c r="AZ133" s="340"/>
      <c r="BA133" s="340"/>
      <c r="BB133" s="340"/>
      <c r="BC133" s="340"/>
      <c r="BD133" s="340"/>
      <c r="BE133" s="340"/>
      <c r="BF133" s="340"/>
      <c r="BG133" s="340"/>
      <c r="BH133" s="340"/>
      <c r="BI133" s="340"/>
      <c r="BJ133" s="340"/>
      <c r="BK133" s="340"/>
      <c r="BL133" s="340"/>
      <c r="BM133" s="340"/>
      <c r="BN133" s="340"/>
      <c r="BO133" s="340"/>
      <c r="BP133" s="340"/>
      <c r="BQ133" s="340"/>
      <c r="BR133" s="340"/>
      <c r="BS133" s="340"/>
      <c r="BT133" s="340"/>
      <c r="BU133" s="340"/>
      <c r="BV133" s="340"/>
      <c r="BW133" s="340"/>
      <c r="BX133" s="340"/>
    </row>
    <row r="134" spans="2:76" hidden="1" outlineLevel="1">
      <c r="B134" s="353"/>
      <c r="C134" s="353" t="s">
        <v>157</v>
      </c>
      <c r="D134" s="353" t="s">
        <v>108</v>
      </c>
      <c r="E134" s="353" t="s">
        <v>2</v>
      </c>
      <c r="F134" s="315">
        <v>5.0000000000000002E-5</v>
      </c>
      <c r="G134" s="315">
        <v>5.0000000000000002E-5</v>
      </c>
      <c r="H134" s="315">
        <v>5.0000000000000002E-5</v>
      </c>
      <c r="I134" s="315">
        <v>5.0000000000000002E-5</v>
      </c>
      <c r="J134" s="315">
        <v>5.0000000000000002E-5</v>
      </c>
      <c r="K134" s="315">
        <v>5.0000000000000002E-5</v>
      </c>
      <c r="L134" s="315">
        <v>5.0000000000000002E-5</v>
      </c>
      <c r="M134" s="315">
        <v>5.0000000000000002E-5</v>
      </c>
      <c r="N134" s="315">
        <v>5.0000000000000002E-5</v>
      </c>
      <c r="O134" s="315">
        <v>5.0000000000000002E-5</v>
      </c>
      <c r="P134" s="315">
        <v>5.0000000000000002E-5</v>
      </c>
      <c r="Q134" s="315">
        <v>5.0000000000000002E-5</v>
      </c>
      <c r="R134" s="315">
        <v>5.0000000000000002E-5</v>
      </c>
      <c r="S134" s="315">
        <v>5.0000000000000002E-5</v>
      </c>
      <c r="T134" s="315">
        <v>5.0000000000000002E-5</v>
      </c>
      <c r="U134" s="315">
        <v>5.0000000000000002E-5</v>
      </c>
      <c r="V134" s="315">
        <v>5.0000000000000002E-5</v>
      </c>
      <c r="W134" s="315">
        <v>5.0000000000000002E-5</v>
      </c>
      <c r="X134" s="315">
        <v>5.0000000000000002E-5</v>
      </c>
      <c r="Y134" s="315">
        <v>5.0000000000000002E-5</v>
      </c>
      <c r="Z134" s="315">
        <v>5.0000000000000002E-5</v>
      </c>
      <c r="AA134" s="315">
        <v>5.0000000000000002E-5</v>
      </c>
      <c r="AB134" s="315">
        <v>5.0000000000000002E-5</v>
      </c>
      <c r="AC134" s="315">
        <v>5.0000000000000002E-5</v>
      </c>
      <c r="AD134" s="315">
        <v>5.0000000000000002E-5</v>
      </c>
      <c r="AE134" s="315">
        <v>5.0000000000000002E-5</v>
      </c>
      <c r="AF134" s="315">
        <v>5.0000000000000002E-5</v>
      </c>
      <c r="AG134" s="315">
        <v>5.0000000000000002E-5</v>
      </c>
      <c r="AH134" s="315">
        <v>5.0000000000000002E-5</v>
      </c>
      <c r="AI134" s="315">
        <v>5.0000000000000002E-5</v>
      </c>
      <c r="AJ134" s="315">
        <v>5.0000000000000002E-5</v>
      </c>
      <c r="AK134" s="315">
        <v>5.0000000000000002E-5</v>
      </c>
      <c r="AL134" s="315">
        <v>5.0000000000000002E-5</v>
      </c>
      <c r="AM134" s="315">
        <v>5.0000000000000002E-5</v>
      </c>
      <c r="AN134" s="315">
        <v>5.0000000000000002E-5</v>
      </c>
      <c r="AO134" s="315">
        <v>5.0000000000000002E-5</v>
      </c>
      <c r="AP134" s="315">
        <v>5.0000000000000002E-5</v>
      </c>
      <c r="AQ134" s="315">
        <v>5.0000000000000002E-5</v>
      </c>
      <c r="AR134" s="315">
        <v>5.0000000000000002E-5</v>
      </c>
      <c r="AS134" s="315">
        <v>5.0000000000000002E-5</v>
      </c>
      <c r="AT134" s="315">
        <v>5.0000000000000002E-5</v>
      </c>
      <c r="AU134" s="315">
        <v>5.0000000000000002E-5</v>
      </c>
      <c r="AV134" s="315">
        <v>5.0000000000000002E-5</v>
      </c>
      <c r="AW134" s="315">
        <v>5.0000000000000002E-5</v>
      </c>
      <c r="AX134" s="315">
        <v>5.0000000000000002E-5</v>
      </c>
      <c r="AY134" s="315">
        <v>5.0000000000000002E-5</v>
      </c>
      <c r="AZ134" s="315">
        <v>5.0000000000000002E-5</v>
      </c>
      <c r="BA134" s="315">
        <v>5.0000000000000002E-5</v>
      </c>
      <c r="BB134" s="315">
        <v>5.0000000000000002E-5</v>
      </c>
      <c r="BC134" s="315">
        <v>5.0000000000000002E-5</v>
      </c>
      <c r="BD134" s="315">
        <v>5.0000000000000002E-5</v>
      </c>
      <c r="BE134" s="315">
        <v>5.0000000000000002E-5</v>
      </c>
      <c r="BF134" s="315">
        <v>5.0000000000000002E-5</v>
      </c>
      <c r="BG134" s="315">
        <v>5.0000000000000002E-5</v>
      </c>
      <c r="BH134" s="315">
        <v>5.0000000000000002E-5</v>
      </c>
      <c r="BI134" s="315">
        <v>5.0000000000000002E-5</v>
      </c>
      <c r="BJ134" s="315">
        <v>5.0000000000000002E-5</v>
      </c>
      <c r="BK134" s="315">
        <v>5.0000000000000002E-5</v>
      </c>
      <c r="BL134" s="315">
        <v>5.0000000000000002E-5</v>
      </c>
      <c r="BM134" s="315">
        <v>5.0000000000000002E-5</v>
      </c>
      <c r="BN134" s="315">
        <v>5.0000000000000002E-5</v>
      </c>
      <c r="BO134" s="315">
        <v>5.0000000000000002E-5</v>
      </c>
      <c r="BP134" s="315">
        <v>5.0000000000000002E-5</v>
      </c>
      <c r="BQ134" s="315">
        <v>5.0000000000000002E-5</v>
      </c>
      <c r="BR134" s="315">
        <v>5.0000000000000002E-5</v>
      </c>
      <c r="BS134" s="315">
        <v>5.0000000000000002E-5</v>
      </c>
      <c r="BT134" s="315">
        <v>5.0000000000000002E-5</v>
      </c>
      <c r="BU134" s="315">
        <v>5.0000000000000002E-5</v>
      </c>
      <c r="BV134" s="315">
        <v>5.0000000000000002E-5</v>
      </c>
      <c r="BW134" s="315">
        <v>5.0000000000000002E-5</v>
      </c>
      <c r="BX134" s="315">
        <v>5.0000000000000002E-5</v>
      </c>
    </row>
    <row r="135" spans="2:76" hidden="1" outlineLevel="1">
      <c r="B135" s="353"/>
      <c r="C135" s="353" t="s">
        <v>223</v>
      </c>
      <c r="D135" s="353" t="s">
        <v>222</v>
      </c>
      <c r="E135" s="353" t="s">
        <v>20</v>
      </c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  <c r="AA135" s="335"/>
      <c r="AB135" s="335"/>
      <c r="AC135" s="335"/>
      <c r="AD135" s="335"/>
      <c r="AE135" s="335"/>
      <c r="AF135" s="335"/>
      <c r="AG135" s="335"/>
      <c r="AH135" s="335"/>
      <c r="AI135" s="335"/>
      <c r="AJ135" s="335"/>
      <c r="AK135" s="340"/>
      <c r="AL135" s="340"/>
      <c r="AM135" s="340"/>
      <c r="AN135" s="340"/>
      <c r="AO135" s="340"/>
      <c r="AP135" s="340"/>
      <c r="AQ135" s="340"/>
      <c r="AR135" s="340"/>
      <c r="AS135" s="340"/>
      <c r="AT135" s="340"/>
      <c r="AU135" s="340"/>
      <c r="AV135" s="340"/>
      <c r="AW135" s="340"/>
      <c r="AX135" s="340"/>
      <c r="AY135" s="340"/>
      <c r="AZ135" s="340"/>
      <c r="BA135" s="340"/>
      <c r="BB135" s="340"/>
      <c r="BC135" s="340"/>
      <c r="BD135" s="340"/>
      <c r="BE135" s="340"/>
      <c r="BF135" s="340"/>
      <c r="BG135" s="340"/>
      <c r="BH135" s="340"/>
      <c r="BI135" s="340"/>
      <c r="BJ135" s="340"/>
      <c r="BK135" s="340"/>
      <c r="BL135" s="340"/>
      <c r="BM135" s="340"/>
      <c r="BN135" s="340"/>
      <c r="BO135" s="340"/>
      <c r="BP135" s="340"/>
      <c r="BQ135" s="340"/>
      <c r="BR135" s="340"/>
      <c r="BS135" s="340"/>
      <c r="BT135" s="340"/>
      <c r="BU135" s="340"/>
      <c r="BV135" s="340"/>
      <c r="BW135" s="340"/>
      <c r="BX135" s="340"/>
    </row>
    <row r="136" spans="2:76" hidden="1" outlineLevel="1">
      <c r="B136" s="353"/>
      <c r="C136" s="353" t="s">
        <v>199</v>
      </c>
      <c r="D136" s="353" t="s">
        <v>198</v>
      </c>
      <c r="E136" s="353" t="s">
        <v>21</v>
      </c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5"/>
      <c r="AC136" s="335"/>
      <c r="AD136" s="335"/>
      <c r="AE136" s="335"/>
      <c r="AF136" s="335"/>
      <c r="AG136" s="335"/>
      <c r="AH136" s="335"/>
      <c r="AI136" s="335"/>
      <c r="AJ136" s="335"/>
      <c r="AK136" s="340"/>
      <c r="AL136" s="340"/>
      <c r="AM136" s="340"/>
      <c r="AN136" s="340"/>
      <c r="AO136" s="340"/>
      <c r="AP136" s="340"/>
      <c r="AQ136" s="340"/>
      <c r="AR136" s="340"/>
      <c r="AS136" s="340"/>
      <c r="AT136" s="340"/>
      <c r="AU136" s="340"/>
      <c r="AV136" s="340"/>
      <c r="AW136" s="340"/>
      <c r="AX136" s="340"/>
      <c r="AY136" s="340"/>
      <c r="AZ136" s="340"/>
      <c r="BA136" s="340"/>
      <c r="BB136" s="340"/>
      <c r="BC136" s="340"/>
      <c r="BD136" s="340"/>
      <c r="BE136" s="340"/>
      <c r="BF136" s="340"/>
      <c r="BG136" s="340"/>
      <c r="BH136" s="340"/>
      <c r="BI136" s="340"/>
      <c r="BJ136" s="340"/>
      <c r="BK136" s="340"/>
      <c r="BL136" s="340"/>
      <c r="BM136" s="340"/>
      <c r="BN136" s="340"/>
      <c r="BO136" s="340"/>
      <c r="BP136" s="340"/>
      <c r="BQ136" s="340"/>
      <c r="BR136" s="340"/>
      <c r="BS136" s="340"/>
      <c r="BT136" s="340"/>
      <c r="BU136" s="340"/>
      <c r="BV136" s="340"/>
      <c r="BW136" s="340"/>
      <c r="BX136" s="340"/>
    </row>
    <row r="137" spans="2:76" hidden="1" outlineLevel="1">
      <c r="B137" s="349"/>
      <c r="C137" s="349" t="s">
        <v>157</v>
      </c>
      <c r="D137" s="349" t="s">
        <v>126</v>
      </c>
      <c r="E137" s="349" t="s">
        <v>26</v>
      </c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  <c r="AA137" s="335"/>
      <c r="AB137" s="335"/>
      <c r="AC137" s="335"/>
      <c r="AD137" s="335"/>
      <c r="AE137" s="335"/>
      <c r="AF137" s="335"/>
      <c r="AG137" s="335"/>
      <c r="AH137" s="335"/>
      <c r="AI137" s="335"/>
      <c r="AJ137" s="335"/>
      <c r="AK137" s="340"/>
      <c r="AL137" s="340"/>
      <c r="AM137" s="340"/>
      <c r="AN137" s="340"/>
      <c r="AO137" s="340"/>
      <c r="AP137" s="340"/>
      <c r="AQ137" s="340"/>
      <c r="AR137" s="340"/>
      <c r="AS137" s="340"/>
      <c r="AT137" s="340"/>
      <c r="AU137" s="340"/>
      <c r="AV137" s="340"/>
      <c r="AW137" s="340"/>
      <c r="AX137" s="340"/>
      <c r="AY137" s="340"/>
      <c r="AZ137" s="340"/>
      <c r="BA137" s="340"/>
      <c r="BB137" s="340"/>
      <c r="BC137" s="340"/>
      <c r="BD137" s="340"/>
      <c r="BE137" s="340"/>
      <c r="BF137" s="340"/>
      <c r="BG137" s="340"/>
      <c r="BH137" s="340"/>
      <c r="BI137" s="340"/>
      <c r="BJ137" s="340"/>
      <c r="BK137" s="340"/>
      <c r="BL137" s="340"/>
      <c r="BM137" s="340"/>
      <c r="BN137" s="340"/>
      <c r="BO137" s="340"/>
      <c r="BP137" s="340"/>
      <c r="BQ137" s="340"/>
      <c r="BR137" s="340"/>
      <c r="BS137" s="340"/>
      <c r="BT137" s="340"/>
      <c r="BU137" s="340"/>
      <c r="BV137" s="340"/>
      <c r="BW137" s="340"/>
      <c r="BX137" s="340"/>
    </row>
    <row r="138" spans="2:76" hidden="1" outlineLevel="1">
      <c r="B138" s="349"/>
      <c r="C138" s="349" t="s">
        <v>180</v>
      </c>
      <c r="D138" s="349" t="s">
        <v>107</v>
      </c>
      <c r="E138" s="349" t="s">
        <v>27</v>
      </c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  <c r="AA138" s="335"/>
      <c r="AB138" s="335"/>
      <c r="AC138" s="335"/>
      <c r="AD138" s="335"/>
      <c r="AE138" s="335"/>
      <c r="AF138" s="335"/>
      <c r="AG138" s="335"/>
      <c r="AH138" s="335"/>
      <c r="AI138" s="335"/>
      <c r="AJ138" s="335"/>
      <c r="AK138" s="340"/>
      <c r="AL138" s="340"/>
      <c r="AM138" s="340"/>
      <c r="AN138" s="340"/>
      <c r="AO138" s="340"/>
      <c r="AP138" s="340"/>
      <c r="AQ138" s="340"/>
      <c r="AR138" s="340"/>
      <c r="AS138" s="340"/>
      <c r="AT138" s="340"/>
      <c r="AU138" s="340"/>
      <c r="AV138" s="340"/>
      <c r="AW138" s="340"/>
      <c r="AX138" s="340"/>
      <c r="AY138" s="340"/>
      <c r="AZ138" s="340"/>
      <c r="BA138" s="340"/>
      <c r="BB138" s="340"/>
      <c r="BC138" s="340"/>
      <c r="BD138" s="340"/>
      <c r="BE138" s="340"/>
      <c r="BF138" s="340"/>
      <c r="BG138" s="340"/>
      <c r="BH138" s="340"/>
      <c r="BI138" s="340"/>
      <c r="BJ138" s="340"/>
      <c r="BK138" s="340"/>
      <c r="BL138" s="340"/>
      <c r="BM138" s="340"/>
      <c r="BN138" s="340"/>
      <c r="BO138" s="340"/>
      <c r="BP138" s="340"/>
      <c r="BQ138" s="340"/>
      <c r="BR138" s="340"/>
      <c r="BS138" s="340"/>
      <c r="BT138" s="340"/>
      <c r="BU138" s="340"/>
      <c r="BV138" s="340"/>
      <c r="BW138" s="340"/>
      <c r="BX138" s="340"/>
    </row>
    <row r="139" spans="2:76" hidden="1" outlineLevel="1">
      <c r="B139" s="349"/>
      <c r="C139" s="349" t="s">
        <v>180</v>
      </c>
      <c r="D139" s="349" t="s">
        <v>107</v>
      </c>
      <c r="E139" s="349" t="s">
        <v>27</v>
      </c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  <c r="AA139" s="335"/>
      <c r="AB139" s="335"/>
      <c r="AC139" s="335"/>
      <c r="AD139" s="335"/>
      <c r="AE139" s="335"/>
      <c r="AF139" s="335"/>
      <c r="AG139" s="335"/>
      <c r="AH139" s="335"/>
      <c r="AI139" s="335"/>
      <c r="AJ139" s="335"/>
      <c r="AK139" s="340"/>
      <c r="AL139" s="340"/>
      <c r="AM139" s="340"/>
      <c r="AN139" s="340"/>
      <c r="AO139" s="340"/>
      <c r="AP139" s="340"/>
      <c r="AQ139" s="340"/>
      <c r="AR139" s="340"/>
      <c r="AS139" s="340"/>
      <c r="AT139" s="340"/>
      <c r="AU139" s="340"/>
      <c r="AV139" s="340"/>
      <c r="AW139" s="340"/>
      <c r="AX139" s="340"/>
      <c r="AY139" s="340"/>
      <c r="AZ139" s="340"/>
      <c r="BA139" s="340"/>
      <c r="BB139" s="340"/>
      <c r="BC139" s="340"/>
      <c r="BD139" s="340"/>
      <c r="BE139" s="340"/>
      <c r="BF139" s="340"/>
      <c r="BG139" s="340"/>
      <c r="BH139" s="340"/>
      <c r="BI139" s="340"/>
      <c r="BJ139" s="340"/>
      <c r="BK139" s="340"/>
      <c r="BL139" s="340"/>
      <c r="BM139" s="340"/>
      <c r="BN139" s="340"/>
      <c r="BO139" s="340"/>
      <c r="BP139" s="340"/>
      <c r="BQ139" s="340"/>
      <c r="BR139" s="340"/>
      <c r="BS139" s="340"/>
      <c r="BT139" s="340"/>
      <c r="BU139" s="340"/>
      <c r="BV139" s="340"/>
      <c r="BW139" s="340"/>
      <c r="BX139" s="340"/>
    </row>
    <row r="140" spans="2:76" hidden="1" outlineLevel="1">
      <c r="B140" s="349"/>
      <c r="C140" s="349" t="s">
        <v>157</v>
      </c>
      <c r="D140" s="349" t="s">
        <v>97</v>
      </c>
      <c r="E140" s="349" t="s">
        <v>27</v>
      </c>
      <c r="F140" s="315">
        <v>5.0000000000000002E-5</v>
      </c>
      <c r="G140" s="315">
        <v>5.0000000000000002E-5</v>
      </c>
      <c r="H140" s="315">
        <v>5.0000000000000002E-5</v>
      </c>
      <c r="I140" s="315">
        <v>5.0000000000000002E-5</v>
      </c>
      <c r="J140" s="315">
        <v>5.0000000000000002E-5</v>
      </c>
      <c r="K140" s="315">
        <v>5.0000000000000002E-5</v>
      </c>
      <c r="L140" s="315">
        <v>5.0000000000000002E-5</v>
      </c>
      <c r="M140" s="315">
        <v>5.0000000000000002E-5</v>
      </c>
      <c r="N140" s="315">
        <v>5.0000000000000002E-5</v>
      </c>
      <c r="O140" s="315">
        <v>5.0000000000000002E-5</v>
      </c>
      <c r="P140" s="315">
        <v>5.0000000000000002E-5</v>
      </c>
      <c r="Q140" s="315">
        <v>5.0000000000000002E-5</v>
      </c>
      <c r="R140" s="315">
        <v>5.0000000000000002E-5</v>
      </c>
      <c r="S140" s="315">
        <v>5.0000000000000002E-5</v>
      </c>
      <c r="T140" s="315">
        <v>5.0000000000000002E-5</v>
      </c>
      <c r="U140" s="315">
        <v>5.0000000000000002E-5</v>
      </c>
      <c r="V140" s="315">
        <v>5.0000000000000002E-5</v>
      </c>
      <c r="W140" s="315">
        <v>5.0000000000000002E-5</v>
      </c>
      <c r="X140" s="315">
        <v>5.0000000000000002E-5</v>
      </c>
      <c r="Y140" s="315">
        <v>5.0000000000000002E-5</v>
      </c>
      <c r="Z140" s="315">
        <v>5.0000000000000002E-5</v>
      </c>
      <c r="AA140" s="315">
        <v>5.0000000000000002E-5</v>
      </c>
      <c r="AB140" s="315">
        <v>5.0000000000000002E-5</v>
      </c>
      <c r="AC140" s="315">
        <v>5.0000000000000002E-5</v>
      </c>
      <c r="AD140" s="315">
        <v>5.0000000000000002E-5</v>
      </c>
      <c r="AE140" s="315">
        <v>5.0000000000000002E-5</v>
      </c>
      <c r="AF140" s="315">
        <v>5.0000000000000002E-5</v>
      </c>
      <c r="AG140" s="315">
        <v>5.0000000000000002E-5</v>
      </c>
      <c r="AH140" s="315">
        <v>5.0000000000000002E-5</v>
      </c>
      <c r="AI140" s="315">
        <v>5.0000000000000002E-5</v>
      </c>
      <c r="AJ140" s="315">
        <v>5.0000000000000002E-5</v>
      </c>
      <c r="AK140" s="315">
        <v>5.0000000000000002E-5</v>
      </c>
      <c r="AL140" s="315">
        <v>5.0000000000000002E-5</v>
      </c>
      <c r="AM140" s="315">
        <v>5.0000000000000002E-5</v>
      </c>
      <c r="AN140" s="315">
        <v>5.0000000000000002E-5</v>
      </c>
      <c r="AO140" s="315">
        <v>5.0000000000000002E-5</v>
      </c>
      <c r="AP140" s="315">
        <v>5.0000000000000002E-5</v>
      </c>
      <c r="AQ140" s="315">
        <v>5.0000000000000002E-5</v>
      </c>
      <c r="AR140" s="315">
        <v>5.0000000000000002E-5</v>
      </c>
      <c r="AS140" s="315">
        <v>5.0000000000000002E-5</v>
      </c>
      <c r="AT140" s="315">
        <v>5.0000000000000002E-5</v>
      </c>
      <c r="AU140" s="315">
        <v>5.0000000000000002E-5</v>
      </c>
      <c r="AV140" s="315">
        <v>5.0000000000000002E-5</v>
      </c>
      <c r="AW140" s="315">
        <v>5.0000000000000002E-5</v>
      </c>
      <c r="AX140" s="315">
        <v>5.0000000000000002E-5</v>
      </c>
      <c r="AY140" s="315">
        <v>5.0000000000000002E-5</v>
      </c>
      <c r="AZ140" s="315">
        <v>5.0000000000000002E-5</v>
      </c>
      <c r="BA140" s="315">
        <v>5.0000000000000002E-5</v>
      </c>
      <c r="BB140" s="315">
        <v>5.0000000000000002E-5</v>
      </c>
      <c r="BC140" s="315">
        <v>5.0000000000000002E-5</v>
      </c>
      <c r="BD140" s="315">
        <v>5.0000000000000002E-5</v>
      </c>
      <c r="BE140" s="315">
        <v>5.0000000000000002E-5</v>
      </c>
      <c r="BF140" s="315">
        <v>5.0000000000000002E-5</v>
      </c>
      <c r="BG140" s="315">
        <v>5.0000000000000002E-5</v>
      </c>
      <c r="BH140" s="315">
        <v>5.0000000000000002E-5</v>
      </c>
      <c r="BI140" s="315">
        <v>5.0000000000000002E-5</v>
      </c>
      <c r="BJ140" s="315">
        <v>5.0000000000000002E-5</v>
      </c>
      <c r="BK140" s="315">
        <v>5.0000000000000002E-5</v>
      </c>
      <c r="BL140" s="315">
        <v>5.0000000000000002E-5</v>
      </c>
      <c r="BM140" s="315">
        <v>5.0000000000000002E-5</v>
      </c>
      <c r="BN140" s="315">
        <v>5.0000000000000002E-5</v>
      </c>
      <c r="BO140" s="315">
        <v>5.0000000000000002E-5</v>
      </c>
      <c r="BP140" s="315">
        <v>5.0000000000000002E-5</v>
      </c>
      <c r="BQ140" s="315">
        <v>5.0000000000000002E-5</v>
      </c>
      <c r="BR140" s="315">
        <v>5.0000000000000002E-5</v>
      </c>
      <c r="BS140" s="315">
        <v>5.0000000000000002E-5</v>
      </c>
      <c r="BT140" s="315">
        <v>5.0000000000000002E-5</v>
      </c>
      <c r="BU140" s="315">
        <v>5.0000000000000002E-5</v>
      </c>
      <c r="BV140" s="315">
        <v>5.0000000000000002E-5</v>
      </c>
      <c r="BW140" s="315">
        <v>5.0000000000000002E-5</v>
      </c>
      <c r="BX140" s="315">
        <v>5.0000000000000002E-5</v>
      </c>
    </row>
    <row r="141" spans="2:76" hidden="1" outlineLevel="1">
      <c r="B141" s="349"/>
      <c r="C141" s="349" t="s">
        <v>180</v>
      </c>
      <c r="D141" s="349" t="s">
        <v>107</v>
      </c>
      <c r="E141" s="349" t="s">
        <v>28</v>
      </c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  <c r="AA141" s="335"/>
      <c r="AB141" s="335"/>
      <c r="AC141" s="335"/>
      <c r="AD141" s="335"/>
      <c r="AE141" s="335"/>
      <c r="AF141" s="335"/>
      <c r="AG141" s="335"/>
      <c r="AH141" s="335"/>
      <c r="AI141" s="335"/>
      <c r="AJ141" s="335"/>
      <c r="AK141" s="340"/>
      <c r="AL141" s="340"/>
      <c r="AM141" s="340"/>
      <c r="AN141" s="340"/>
      <c r="AO141" s="340"/>
      <c r="AP141" s="340"/>
      <c r="AQ141" s="340"/>
      <c r="AR141" s="340"/>
      <c r="AS141" s="340"/>
      <c r="AT141" s="340"/>
      <c r="AU141" s="340"/>
      <c r="AV141" s="340"/>
      <c r="AW141" s="340"/>
      <c r="AX141" s="340"/>
      <c r="AY141" s="340"/>
      <c r="AZ141" s="340"/>
      <c r="BA141" s="340"/>
      <c r="BB141" s="340"/>
      <c r="BC141" s="340"/>
      <c r="BD141" s="340"/>
      <c r="BE141" s="340"/>
      <c r="BF141" s="340"/>
      <c r="BG141" s="340"/>
      <c r="BH141" s="340"/>
      <c r="BI141" s="340"/>
      <c r="BJ141" s="340"/>
      <c r="BK141" s="340"/>
      <c r="BL141" s="340"/>
      <c r="BM141" s="340"/>
      <c r="BN141" s="340"/>
      <c r="BO141" s="340"/>
      <c r="BP141" s="340"/>
      <c r="BQ141" s="340"/>
      <c r="BR141" s="340"/>
      <c r="BS141" s="340"/>
      <c r="BT141" s="340"/>
      <c r="BU141" s="340"/>
      <c r="BV141" s="340"/>
      <c r="BW141" s="340"/>
      <c r="BX141" s="340"/>
    </row>
    <row r="142" spans="2:76" collapsed="1">
      <c r="F142" s="330"/>
      <c r="G142" s="330"/>
      <c r="H142" s="330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  <c r="S142" s="330"/>
      <c r="T142" s="330"/>
      <c r="U142" s="330"/>
      <c r="V142" s="330"/>
      <c r="W142" s="330"/>
      <c r="X142" s="330"/>
      <c r="Y142" s="330"/>
      <c r="Z142" s="330"/>
      <c r="AA142" s="330"/>
      <c r="AB142" s="330"/>
      <c r="AC142" s="330"/>
      <c r="AD142" s="330"/>
      <c r="AE142" s="330"/>
      <c r="AF142" s="330"/>
      <c r="AG142" s="330"/>
      <c r="AH142" s="330"/>
      <c r="AI142" s="330"/>
      <c r="AJ142" s="330"/>
    </row>
    <row r="143" spans="2:76">
      <c r="B143" s="259" t="str">
        <f>D143</f>
        <v>Mid-Columbia (off-peak)</v>
      </c>
      <c r="D143" s="259" t="s">
        <v>123</v>
      </c>
      <c r="F143" s="259"/>
      <c r="G143" s="259"/>
      <c r="H143" s="259"/>
      <c r="I143" s="259"/>
      <c r="J143" s="259"/>
      <c r="K143" s="259"/>
      <c r="L143" s="259"/>
      <c r="M143" s="259"/>
      <c r="N143" s="259"/>
      <c r="O143" s="259"/>
      <c r="P143" s="259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I143" s="259"/>
      <c r="BJ143" s="259"/>
      <c r="BK143" s="259"/>
      <c r="BL143" s="259"/>
      <c r="BM143" s="259"/>
      <c r="BN143" s="259"/>
      <c r="BO143" s="259"/>
      <c r="BP143" s="259"/>
      <c r="BQ143" s="259"/>
      <c r="BR143" s="259"/>
      <c r="BS143" s="259"/>
      <c r="BT143" s="259"/>
      <c r="BU143" s="259"/>
      <c r="BV143" s="259"/>
      <c r="BW143" s="259"/>
      <c r="BX143" s="259"/>
    </row>
    <row r="144" spans="2:76" hidden="1" outlineLevel="1">
      <c r="B144" s="348"/>
      <c r="C144" s="348"/>
      <c r="D144" s="348" t="s">
        <v>254</v>
      </c>
      <c r="E144" s="348" t="s">
        <v>11</v>
      </c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  <c r="AA144" s="335"/>
      <c r="AB144" s="335"/>
      <c r="AC144" s="335"/>
      <c r="AD144" s="335"/>
      <c r="AE144" s="335"/>
      <c r="AF144" s="335"/>
      <c r="AG144" s="335"/>
      <c r="AH144" s="335"/>
      <c r="AI144" s="335"/>
      <c r="AJ144" s="335"/>
      <c r="AK144" s="334"/>
      <c r="AL144" s="334"/>
      <c r="AM144" s="334"/>
      <c r="AN144" s="334"/>
      <c r="AO144" s="334"/>
      <c r="AP144" s="334"/>
      <c r="AQ144" s="334"/>
      <c r="AR144" s="334"/>
      <c r="AS144" s="334"/>
      <c r="AT144" s="334"/>
      <c r="AU144" s="334"/>
      <c r="AV144" s="334"/>
      <c r="AW144" s="334"/>
      <c r="AX144" s="334"/>
      <c r="AY144" s="334"/>
      <c r="AZ144" s="334"/>
      <c r="BA144" s="334"/>
      <c r="BB144" s="334"/>
      <c r="BC144" s="334"/>
      <c r="BD144" s="334"/>
      <c r="BE144" s="334"/>
      <c r="BF144" s="334"/>
      <c r="BG144" s="334"/>
      <c r="BH144" s="334"/>
      <c r="BI144" s="334"/>
      <c r="BJ144" s="334"/>
      <c r="BK144" s="334"/>
      <c r="BL144" s="334"/>
      <c r="BM144" s="334"/>
      <c r="BN144" s="334"/>
      <c r="BO144" s="334"/>
      <c r="BP144" s="334"/>
      <c r="BQ144" s="334"/>
      <c r="BR144" s="334"/>
      <c r="BS144" s="334"/>
      <c r="BT144" s="334"/>
      <c r="BU144" s="334"/>
      <c r="BV144" s="334"/>
      <c r="BW144" s="334"/>
      <c r="BX144" s="334"/>
    </row>
    <row r="145" spans="1:76" hidden="1" outlineLevel="1">
      <c r="B145" s="348"/>
      <c r="C145" s="348"/>
      <c r="D145" s="348" t="s">
        <v>254</v>
      </c>
      <c r="E145" s="348" t="s">
        <v>12</v>
      </c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4"/>
      <c r="AL145" s="334"/>
      <c r="AM145" s="334"/>
      <c r="AN145" s="334"/>
      <c r="AO145" s="334"/>
      <c r="AP145" s="334"/>
      <c r="AQ145" s="334"/>
      <c r="AR145" s="334"/>
      <c r="AS145" s="334"/>
      <c r="AT145" s="334"/>
      <c r="AU145" s="334"/>
      <c r="AV145" s="334"/>
      <c r="AW145" s="334"/>
      <c r="AX145" s="334"/>
      <c r="AY145" s="334"/>
      <c r="AZ145" s="334"/>
      <c r="BA145" s="334"/>
      <c r="BB145" s="334"/>
      <c r="BC145" s="334"/>
      <c r="BD145" s="334"/>
      <c r="BE145" s="334"/>
      <c r="BF145" s="334"/>
      <c r="BG145" s="334"/>
      <c r="BH145" s="334"/>
      <c r="BI145" s="334"/>
      <c r="BJ145" s="334"/>
      <c r="BK145" s="334"/>
      <c r="BL145" s="334"/>
      <c r="BM145" s="334"/>
      <c r="BN145" s="334"/>
      <c r="BO145" s="334"/>
      <c r="BP145" s="334"/>
      <c r="BQ145" s="334"/>
      <c r="BR145" s="334"/>
      <c r="BS145" s="334"/>
      <c r="BT145" s="334"/>
      <c r="BU145" s="334"/>
      <c r="BV145" s="334"/>
      <c r="BW145" s="334"/>
      <c r="BX145" s="334"/>
    </row>
    <row r="146" spans="1:76" hidden="1" outlineLevel="1">
      <c r="B146" s="348"/>
      <c r="C146" s="348"/>
      <c r="D146" s="348" t="s">
        <v>254</v>
      </c>
      <c r="E146" s="348" t="s">
        <v>13</v>
      </c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335"/>
      <c r="AK146" s="334"/>
      <c r="AL146" s="334"/>
      <c r="AM146" s="334"/>
      <c r="AN146" s="334"/>
      <c r="AO146" s="334"/>
      <c r="AP146" s="334"/>
      <c r="AQ146" s="334"/>
      <c r="AR146" s="334"/>
      <c r="AS146" s="334"/>
      <c r="AT146" s="334"/>
      <c r="AU146" s="334"/>
      <c r="AV146" s="334"/>
      <c r="AW146" s="334"/>
      <c r="AX146" s="334"/>
      <c r="AY146" s="334"/>
      <c r="AZ146" s="334"/>
      <c r="BA146" s="334"/>
      <c r="BB146" s="334"/>
      <c r="BC146" s="334"/>
      <c r="BD146" s="334"/>
      <c r="BE146" s="334"/>
      <c r="BF146" s="334"/>
      <c r="BG146" s="334"/>
      <c r="BH146" s="334"/>
      <c r="BI146" s="334"/>
      <c r="BJ146" s="334"/>
      <c r="BK146" s="334"/>
      <c r="BL146" s="334"/>
      <c r="BM146" s="334"/>
      <c r="BN146" s="334"/>
      <c r="BO146" s="334"/>
      <c r="BP146" s="334"/>
      <c r="BQ146" s="334"/>
      <c r="BR146" s="334"/>
      <c r="BS146" s="334"/>
      <c r="BT146" s="334"/>
      <c r="BU146" s="334"/>
      <c r="BV146" s="334"/>
      <c r="BW146" s="334"/>
      <c r="BX146" s="334"/>
    </row>
    <row r="147" spans="1:76" hidden="1" outlineLevel="1">
      <c r="B147" s="348"/>
      <c r="C147" s="348"/>
      <c r="D147" s="348" t="s">
        <v>254</v>
      </c>
      <c r="E147" s="348" t="s">
        <v>14</v>
      </c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  <c r="AA147" s="335"/>
      <c r="AB147" s="335"/>
      <c r="AC147" s="335"/>
      <c r="AD147" s="335"/>
      <c r="AE147" s="335"/>
      <c r="AF147" s="335"/>
      <c r="AG147" s="335"/>
      <c r="AH147" s="335"/>
      <c r="AI147" s="335"/>
      <c r="AJ147" s="335"/>
      <c r="AK147" s="334"/>
      <c r="AL147" s="334"/>
      <c r="AM147" s="334"/>
      <c r="AN147" s="334"/>
      <c r="AO147" s="334"/>
      <c r="AP147" s="334"/>
      <c r="AQ147" s="334"/>
      <c r="AR147" s="334"/>
      <c r="AS147" s="334"/>
      <c r="AT147" s="334"/>
      <c r="AU147" s="334"/>
      <c r="AV147" s="334"/>
      <c r="AW147" s="334"/>
      <c r="AX147" s="334"/>
      <c r="AY147" s="334"/>
      <c r="AZ147" s="334"/>
      <c r="BA147" s="334"/>
      <c r="BB147" s="334"/>
      <c r="BC147" s="334"/>
      <c r="BD147" s="334"/>
      <c r="BE147" s="334"/>
      <c r="BF147" s="334"/>
      <c r="BG147" s="334"/>
      <c r="BH147" s="334"/>
      <c r="BI147" s="334"/>
      <c r="BJ147" s="334"/>
      <c r="BK147" s="334"/>
      <c r="BL147" s="334"/>
      <c r="BM147" s="334"/>
      <c r="BN147" s="334"/>
      <c r="BO147" s="334"/>
      <c r="BP147" s="334"/>
      <c r="BQ147" s="334"/>
      <c r="BR147" s="334"/>
      <c r="BS147" s="334"/>
      <c r="BT147" s="334"/>
      <c r="BU147" s="334"/>
      <c r="BV147" s="334"/>
      <c r="BW147" s="334"/>
      <c r="BX147" s="334"/>
    </row>
    <row r="148" spans="1:76" hidden="1" outlineLevel="1">
      <c r="B148" s="348"/>
      <c r="C148" s="348"/>
      <c r="D148" s="348" t="s">
        <v>254</v>
      </c>
      <c r="E148" s="348" t="s">
        <v>15</v>
      </c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  <c r="AA148" s="335"/>
      <c r="AB148" s="335"/>
      <c r="AC148" s="335"/>
      <c r="AD148" s="335"/>
      <c r="AE148" s="335"/>
      <c r="AF148" s="335"/>
      <c r="AG148" s="335"/>
      <c r="AH148" s="335"/>
      <c r="AI148" s="335"/>
      <c r="AJ148" s="335"/>
      <c r="AK148" s="334"/>
      <c r="AL148" s="334"/>
      <c r="AM148" s="334"/>
      <c r="AN148" s="334"/>
      <c r="AO148" s="334"/>
      <c r="AP148" s="334"/>
      <c r="AQ148" s="334"/>
      <c r="AR148" s="334"/>
      <c r="AS148" s="334"/>
      <c r="AT148" s="334"/>
      <c r="AU148" s="334"/>
      <c r="AV148" s="334"/>
      <c r="AW148" s="334"/>
      <c r="AX148" s="334"/>
      <c r="AY148" s="334"/>
      <c r="AZ148" s="334"/>
      <c r="BA148" s="334"/>
      <c r="BB148" s="334"/>
      <c r="BC148" s="334"/>
      <c r="BD148" s="334"/>
      <c r="BE148" s="334"/>
      <c r="BF148" s="334"/>
      <c r="BG148" s="334"/>
      <c r="BH148" s="334"/>
      <c r="BI148" s="334"/>
      <c r="BJ148" s="334"/>
      <c r="BK148" s="334"/>
      <c r="BL148" s="334"/>
      <c r="BM148" s="334"/>
      <c r="BN148" s="334"/>
      <c r="BO148" s="334"/>
      <c r="BP148" s="334"/>
      <c r="BQ148" s="334"/>
      <c r="BR148" s="334"/>
      <c r="BS148" s="334"/>
      <c r="BT148" s="334"/>
      <c r="BU148" s="334"/>
      <c r="BV148" s="334"/>
      <c r="BW148" s="334"/>
      <c r="BX148" s="334"/>
    </row>
    <row r="149" spans="1:76" hidden="1" outlineLevel="1">
      <c r="B149" s="348"/>
      <c r="C149" s="348"/>
      <c r="D149" s="348" t="s">
        <v>254</v>
      </c>
      <c r="E149" s="348" t="s">
        <v>16</v>
      </c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335"/>
      <c r="AC149" s="335"/>
      <c r="AD149" s="335"/>
      <c r="AE149" s="335"/>
      <c r="AF149" s="335"/>
      <c r="AG149" s="335"/>
      <c r="AH149" s="335"/>
      <c r="AI149" s="335"/>
      <c r="AJ149" s="335"/>
      <c r="AK149" s="334"/>
      <c r="AL149" s="334"/>
      <c r="AM149" s="334"/>
      <c r="AN149" s="334"/>
      <c r="AO149" s="334"/>
      <c r="AP149" s="334"/>
      <c r="AQ149" s="334"/>
      <c r="AR149" s="334"/>
      <c r="AS149" s="334"/>
      <c r="AT149" s="334"/>
      <c r="AU149" s="334"/>
      <c r="AV149" s="334"/>
      <c r="AW149" s="334"/>
      <c r="AX149" s="334"/>
      <c r="AY149" s="334"/>
      <c r="AZ149" s="334"/>
      <c r="BA149" s="334"/>
      <c r="BB149" s="334"/>
      <c r="BC149" s="334"/>
      <c r="BD149" s="334"/>
      <c r="BE149" s="334"/>
      <c r="BF149" s="334"/>
      <c r="BG149" s="334"/>
      <c r="BH149" s="334"/>
      <c r="BI149" s="334"/>
      <c r="BJ149" s="334"/>
      <c r="BK149" s="334"/>
      <c r="BL149" s="334"/>
      <c r="BM149" s="334"/>
      <c r="BN149" s="334"/>
      <c r="BO149" s="334"/>
      <c r="BP149" s="334"/>
      <c r="BQ149" s="334"/>
      <c r="BR149" s="334"/>
      <c r="BS149" s="334"/>
      <c r="BT149" s="334"/>
      <c r="BU149" s="334"/>
      <c r="BV149" s="334"/>
      <c r="BW149" s="334"/>
      <c r="BX149" s="334"/>
    </row>
    <row r="150" spans="1:76" hidden="1" outlineLevel="1">
      <c r="B150" s="348"/>
      <c r="C150" s="348"/>
      <c r="D150" s="348" t="s">
        <v>254</v>
      </c>
      <c r="E150" s="348" t="s">
        <v>17</v>
      </c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  <c r="AA150" s="335"/>
      <c r="AB150" s="335"/>
      <c r="AC150" s="335"/>
      <c r="AD150" s="335"/>
      <c r="AE150" s="335"/>
      <c r="AF150" s="335"/>
      <c r="AG150" s="335"/>
      <c r="AH150" s="335"/>
      <c r="AI150" s="335"/>
      <c r="AJ150" s="335"/>
      <c r="AK150" s="334"/>
      <c r="AL150" s="334"/>
      <c r="AM150" s="334"/>
      <c r="AN150" s="334"/>
      <c r="AO150" s="334"/>
      <c r="AP150" s="334"/>
      <c r="AQ150" s="334"/>
      <c r="AR150" s="334"/>
      <c r="AS150" s="334"/>
      <c r="AT150" s="334"/>
      <c r="AU150" s="334"/>
      <c r="AV150" s="334"/>
      <c r="AW150" s="334"/>
      <c r="AX150" s="334"/>
      <c r="AY150" s="334"/>
      <c r="AZ150" s="334"/>
      <c r="BA150" s="334"/>
      <c r="BB150" s="334"/>
      <c r="BC150" s="334"/>
      <c r="BD150" s="334"/>
      <c r="BE150" s="334"/>
      <c r="BF150" s="334"/>
      <c r="BG150" s="334"/>
      <c r="BH150" s="334"/>
      <c r="BI150" s="334"/>
      <c r="BJ150" s="334"/>
      <c r="BK150" s="334"/>
      <c r="BL150" s="334"/>
      <c r="BM150" s="334"/>
      <c r="BN150" s="334"/>
      <c r="BO150" s="334"/>
      <c r="BP150" s="334"/>
      <c r="BQ150" s="334"/>
      <c r="BR150" s="334"/>
      <c r="BS150" s="334"/>
      <c r="BT150" s="334"/>
      <c r="BU150" s="334"/>
      <c r="BV150" s="334"/>
      <c r="BW150" s="334"/>
      <c r="BX150" s="334"/>
    </row>
    <row r="151" spans="1:76" hidden="1" outlineLevel="1">
      <c r="B151" s="348"/>
      <c r="C151" s="348"/>
      <c r="D151" s="348" t="s">
        <v>254</v>
      </c>
      <c r="E151" s="348" t="s">
        <v>18</v>
      </c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  <c r="AA151" s="335"/>
      <c r="AB151" s="335"/>
      <c r="AC151" s="335"/>
      <c r="AD151" s="335"/>
      <c r="AE151" s="335"/>
      <c r="AF151" s="335"/>
      <c r="AG151" s="335"/>
      <c r="AH151" s="335"/>
      <c r="AI151" s="335"/>
      <c r="AJ151" s="335"/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34"/>
      <c r="BJ151" s="334"/>
      <c r="BK151" s="334"/>
      <c r="BL151" s="334"/>
      <c r="BM151" s="334"/>
      <c r="BN151" s="334"/>
      <c r="BO151" s="334"/>
      <c r="BP151" s="334"/>
      <c r="BQ151" s="334"/>
      <c r="BR151" s="334"/>
      <c r="BS151" s="334"/>
      <c r="BT151" s="334"/>
      <c r="BU151" s="334"/>
      <c r="BV151" s="334"/>
      <c r="BW151" s="334"/>
      <c r="BX151" s="334"/>
    </row>
    <row r="152" spans="1:76" hidden="1" outlineLevel="1">
      <c r="B152" s="348"/>
      <c r="C152" s="348"/>
      <c r="D152" s="348" t="s">
        <v>254</v>
      </c>
      <c r="E152" s="348" t="s">
        <v>22</v>
      </c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  <c r="AA152" s="335"/>
      <c r="AB152" s="335"/>
      <c r="AC152" s="335"/>
      <c r="AD152" s="335"/>
      <c r="AE152" s="335"/>
      <c r="AF152" s="335"/>
      <c r="AG152" s="335"/>
      <c r="AH152" s="335"/>
      <c r="AI152" s="335"/>
      <c r="AJ152" s="335"/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34"/>
      <c r="BJ152" s="334"/>
      <c r="BK152" s="334"/>
      <c r="BL152" s="334"/>
      <c r="BM152" s="334"/>
      <c r="BN152" s="334"/>
      <c r="BO152" s="334"/>
      <c r="BP152" s="334"/>
      <c r="BQ152" s="334"/>
      <c r="BR152" s="334"/>
      <c r="BS152" s="334"/>
      <c r="BT152" s="334"/>
      <c r="BU152" s="334"/>
      <c r="BV152" s="334"/>
      <c r="BW152" s="334"/>
      <c r="BX152" s="334"/>
    </row>
    <row r="153" spans="1:76" hidden="1" outlineLevel="1">
      <c r="B153" s="348"/>
      <c r="C153" s="348"/>
      <c r="D153" s="348" t="s">
        <v>254</v>
      </c>
      <c r="E153" s="348" t="s">
        <v>23</v>
      </c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335"/>
      <c r="AC153" s="335"/>
      <c r="AD153" s="335"/>
      <c r="AE153" s="335"/>
      <c r="AF153" s="335"/>
      <c r="AG153" s="335"/>
      <c r="AH153" s="335"/>
      <c r="AI153" s="335"/>
      <c r="AJ153" s="335"/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34"/>
      <c r="BJ153" s="334"/>
      <c r="BK153" s="334"/>
      <c r="BL153" s="334"/>
      <c r="BM153" s="334"/>
      <c r="BN153" s="334"/>
      <c r="BO153" s="334"/>
      <c r="BP153" s="334"/>
      <c r="BQ153" s="334"/>
      <c r="BR153" s="334"/>
      <c r="BS153" s="334"/>
      <c r="BT153" s="334"/>
      <c r="BU153" s="334"/>
      <c r="BV153" s="334"/>
      <c r="BW153" s="334"/>
      <c r="BX153" s="334"/>
    </row>
    <row r="154" spans="1:76" hidden="1" outlineLevel="1">
      <c r="B154" s="348"/>
      <c r="C154" s="348"/>
      <c r="D154" s="348" t="s">
        <v>254</v>
      </c>
      <c r="E154" s="348" t="s">
        <v>24</v>
      </c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  <c r="AA154" s="335"/>
      <c r="AB154" s="335"/>
      <c r="AC154" s="335"/>
      <c r="AD154" s="335"/>
      <c r="AE154" s="335"/>
      <c r="AF154" s="335"/>
      <c r="AG154" s="335"/>
      <c r="AH154" s="335"/>
      <c r="AI154" s="335"/>
      <c r="AJ154" s="335"/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34"/>
      <c r="BJ154" s="334"/>
      <c r="BK154" s="334"/>
      <c r="BL154" s="334"/>
      <c r="BM154" s="334"/>
      <c r="BN154" s="334"/>
      <c r="BO154" s="334"/>
      <c r="BP154" s="334"/>
      <c r="BQ154" s="334"/>
      <c r="BR154" s="334"/>
      <c r="BS154" s="334"/>
      <c r="BT154" s="334"/>
      <c r="BU154" s="334"/>
      <c r="BV154" s="334"/>
      <c r="BW154" s="334"/>
      <c r="BX154" s="334"/>
    </row>
    <row r="155" spans="1:76" hidden="1" outlineLevel="1">
      <c r="B155" s="348"/>
      <c r="C155" s="348"/>
      <c r="D155" s="348" t="s">
        <v>254</v>
      </c>
      <c r="E155" s="348" t="s">
        <v>25</v>
      </c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  <c r="AA155" s="335"/>
      <c r="AB155" s="335"/>
      <c r="AC155" s="335"/>
      <c r="AD155" s="335"/>
      <c r="AE155" s="335"/>
      <c r="AF155" s="335"/>
      <c r="AG155" s="335"/>
      <c r="AH155" s="335"/>
      <c r="AI155" s="335"/>
      <c r="AJ155" s="335"/>
      <c r="AK155" s="334"/>
      <c r="AL155" s="334"/>
      <c r="AM155" s="334"/>
      <c r="AN155" s="334"/>
      <c r="AO155" s="334"/>
      <c r="AP155" s="334"/>
      <c r="AQ155" s="334"/>
      <c r="AR155" s="334"/>
      <c r="AS155" s="334"/>
      <c r="AT155" s="334"/>
      <c r="AU155" s="334"/>
      <c r="AV155" s="334"/>
      <c r="AW155" s="334"/>
      <c r="AX155" s="334"/>
      <c r="AY155" s="334"/>
      <c r="AZ155" s="334"/>
      <c r="BA155" s="334"/>
      <c r="BB155" s="334"/>
      <c r="BC155" s="334"/>
      <c r="BD155" s="334"/>
      <c r="BE155" s="334"/>
      <c r="BF155" s="334"/>
      <c r="BG155" s="334"/>
      <c r="BH155" s="334"/>
      <c r="BI155" s="334"/>
      <c r="BJ155" s="334"/>
      <c r="BK155" s="334"/>
      <c r="BL155" s="334"/>
      <c r="BM155" s="334"/>
      <c r="BN155" s="334"/>
      <c r="BO155" s="334"/>
      <c r="BP155" s="334"/>
      <c r="BQ155" s="334"/>
      <c r="BR155" s="334"/>
      <c r="BS155" s="334"/>
      <c r="BT155" s="334"/>
      <c r="BU155" s="334"/>
      <c r="BV155" s="334"/>
      <c r="BW155" s="334"/>
      <c r="BX155" s="334"/>
    </row>
    <row r="156" spans="1:76" collapsed="1">
      <c r="F156" s="330"/>
      <c r="G156" s="330"/>
      <c r="H156" s="330"/>
      <c r="I156" s="330"/>
      <c r="J156" s="330"/>
      <c r="K156" s="330"/>
      <c r="L156" s="330"/>
      <c r="M156" s="330"/>
      <c r="N156" s="330"/>
      <c r="O156" s="330"/>
      <c r="P156" s="330"/>
      <c r="Q156" s="330"/>
      <c r="R156" s="330"/>
      <c r="S156" s="330"/>
      <c r="T156" s="330"/>
      <c r="U156" s="330"/>
      <c r="V156" s="330"/>
      <c r="W156" s="330"/>
      <c r="X156" s="330"/>
      <c r="Y156" s="330"/>
      <c r="Z156" s="330"/>
      <c r="AA156" s="330"/>
      <c r="AB156" s="330"/>
      <c r="AC156" s="330"/>
      <c r="AD156" s="330"/>
      <c r="AE156" s="330"/>
      <c r="AF156" s="330"/>
      <c r="AG156" s="330"/>
      <c r="AH156" s="330"/>
      <c r="AI156" s="330"/>
      <c r="AJ156" s="330"/>
    </row>
    <row r="157" spans="1:76">
      <c r="B157" s="259" t="str">
        <f>D157</f>
        <v>Fixed Operation and Maintenance Expenses ($/kW-yr)</v>
      </c>
      <c r="D157" s="259" t="s">
        <v>41</v>
      </c>
      <c r="F157" s="259"/>
      <c r="G157" s="259"/>
      <c r="H157" s="259"/>
      <c r="I157" s="259"/>
      <c r="J157" s="259"/>
      <c r="K157" s="259"/>
      <c r="L157" s="259"/>
      <c r="M157" s="259"/>
      <c r="N157" s="259"/>
      <c r="O157" s="259"/>
      <c r="P157" s="259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I157" s="259"/>
      <c r="BJ157" s="259"/>
      <c r="BK157" s="259"/>
      <c r="BL157" s="259"/>
      <c r="BM157" s="259"/>
      <c r="BN157" s="259"/>
      <c r="BO157" s="259"/>
      <c r="BP157" s="259"/>
      <c r="BQ157" s="259"/>
      <c r="BR157" s="259"/>
      <c r="BS157" s="259"/>
      <c r="BT157" s="259"/>
      <c r="BU157" s="259"/>
      <c r="BV157" s="259"/>
      <c r="BW157" s="259"/>
      <c r="BX157" s="259"/>
    </row>
    <row r="158" spans="1:76" hidden="1" outlineLevel="1">
      <c r="B158" s="348">
        <v>2020</v>
      </c>
      <c r="C158" s="348" t="s">
        <v>154</v>
      </c>
      <c r="D158" s="348" t="s">
        <v>41</v>
      </c>
      <c r="E158" s="348" t="s">
        <v>11</v>
      </c>
      <c r="F158" s="335">
        <f t="shared" ref="F158:AK158" si="277">F39*0.025</f>
        <v>57.013691089493207</v>
      </c>
      <c r="G158" s="335">
        <f t="shared" si="277"/>
        <v>48.702861285465438</v>
      </c>
      <c r="H158" s="335">
        <f t="shared" si="277"/>
        <v>45.248757648198392</v>
      </c>
      <c r="I158" s="335">
        <f t="shared" si="277"/>
        <v>41.449243647204639</v>
      </c>
      <c r="J158" s="335">
        <f t="shared" si="277"/>
        <v>38.513255555527628</v>
      </c>
      <c r="K158" s="335">
        <f t="shared" si="277"/>
        <v>36.440793373167409</v>
      </c>
      <c r="L158" s="335">
        <f t="shared" si="277"/>
        <v>34.886446736397225</v>
      </c>
      <c r="M158" s="335">
        <f t="shared" si="277"/>
        <v>33.504805281490398</v>
      </c>
      <c r="N158" s="335">
        <f t="shared" si="277"/>
        <v>31.950458644720239</v>
      </c>
      <c r="O158" s="335">
        <f t="shared" si="277"/>
        <v>30.741522371676766</v>
      </c>
      <c r="P158" s="335">
        <f t="shared" si="277"/>
        <v>29.532586098633296</v>
      </c>
      <c r="Q158" s="335">
        <f t="shared" si="277"/>
        <v>29.178108712858791</v>
      </c>
      <c r="R158" s="335">
        <f t="shared" si="277"/>
        <v>28.808951386625822</v>
      </c>
      <c r="S158" s="335">
        <f t="shared" si="277"/>
        <v>28.439794060392945</v>
      </c>
      <c r="T158" s="335">
        <f t="shared" si="277"/>
        <v>28.070636734160075</v>
      </c>
      <c r="U158" s="335">
        <f t="shared" si="277"/>
        <v>27.701479407927106</v>
      </c>
      <c r="V158" s="335">
        <f t="shared" si="277"/>
        <v>27.332322081694201</v>
      </c>
      <c r="W158" s="335">
        <f t="shared" si="277"/>
        <v>26.963164755461236</v>
      </c>
      <c r="X158" s="335">
        <f t="shared" si="277"/>
        <v>26.594007429228363</v>
      </c>
      <c r="Y158" s="335">
        <f t="shared" si="277"/>
        <v>26.224850102995493</v>
      </c>
      <c r="Z158" s="335">
        <f t="shared" si="277"/>
        <v>25.855692776762524</v>
      </c>
      <c r="AA158" s="335">
        <f t="shared" si="277"/>
        <v>25.486535450529622</v>
      </c>
      <c r="AB158" s="335">
        <f t="shared" si="277"/>
        <v>25.117378124296657</v>
      </c>
      <c r="AC158" s="335">
        <f t="shared" si="277"/>
        <v>24.748220798063784</v>
      </c>
      <c r="AD158" s="335">
        <f t="shared" si="277"/>
        <v>24.379063471830911</v>
      </c>
      <c r="AE158" s="335">
        <f t="shared" si="277"/>
        <v>24.009906145597945</v>
      </c>
      <c r="AF158" s="335">
        <f t="shared" si="277"/>
        <v>23.640748819365044</v>
      </c>
      <c r="AG158" s="335">
        <f t="shared" si="277"/>
        <v>23.271591493132078</v>
      </c>
      <c r="AH158" s="335">
        <f t="shared" si="277"/>
        <v>22.902434166899205</v>
      </c>
      <c r="AI158" s="335">
        <f t="shared" si="277"/>
        <v>22.533276840666332</v>
      </c>
      <c r="AJ158" s="335">
        <f t="shared" si="277"/>
        <v>22.164119514433366</v>
      </c>
      <c r="AK158" s="335">
        <f t="shared" si="277"/>
        <v>0</v>
      </c>
      <c r="AL158" s="335">
        <f t="shared" ref="AL158:BQ158" si="278">AL39*0.025</f>
        <v>0</v>
      </c>
      <c r="AM158" s="335">
        <f t="shared" si="278"/>
        <v>0</v>
      </c>
      <c r="AN158" s="335">
        <f t="shared" si="278"/>
        <v>0</v>
      </c>
      <c r="AO158" s="335">
        <f t="shared" si="278"/>
        <v>0</v>
      </c>
      <c r="AP158" s="335">
        <f t="shared" si="278"/>
        <v>0</v>
      </c>
      <c r="AQ158" s="335">
        <f t="shared" si="278"/>
        <v>0</v>
      </c>
      <c r="AR158" s="335">
        <f t="shared" si="278"/>
        <v>0</v>
      </c>
      <c r="AS158" s="335">
        <f t="shared" si="278"/>
        <v>0</v>
      </c>
      <c r="AT158" s="335">
        <f t="shared" si="278"/>
        <v>0</v>
      </c>
      <c r="AU158" s="335">
        <f t="shared" si="278"/>
        <v>0</v>
      </c>
      <c r="AV158" s="335">
        <f t="shared" si="278"/>
        <v>0</v>
      </c>
      <c r="AW158" s="335">
        <f t="shared" si="278"/>
        <v>0</v>
      </c>
      <c r="AX158" s="335">
        <f t="shared" si="278"/>
        <v>0</v>
      </c>
      <c r="AY158" s="335">
        <f t="shared" si="278"/>
        <v>0</v>
      </c>
      <c r="AZ158" s="335">
        <f t="shared" si="278"/>
        <v>0</v>
      </c>
      <c r="BA158" s="335">
        <f t="shared" si="278"/>
        <v>0</v>
      </c>
      <c r="BB158" s="335">
        <f t="shared" si="278"/>
        <v>0</v>
      </c>
      <c r="BC158" s="335">
        <f t="shared" si="278"/>
        <v>0</v>
      </c>
      <c r="BD158" s="335">
        <f t="shared" si="278"/>
        <v>0</v>
      </c>
      <c r="BE158" s="335">
        <f t="shared" si="278"/>
        <v>0</v>
      </c>
      <c r="BF158" s="335">
        <f t="shared" si="278"/>
        <v>0</v>
      </c>
      <c r="BG158" s="335">
        <f t="shared" si="278"/>
        <v>0</v>
      </c>
      <c r="BH158" s="335">
        <f t="shared" si="278"/>
        <v>0</v>
      </c>
      <c r="BI158" s="335">
        <f t="shared" si="278"/>
        <v>0</v>
      </c>
      <c r="BJ158" s="335">
        <f t="shared" si="278"/>
        <v>0</v>
      </c>
      <c r="BK158" s="335">
        <f t="shared" si="278"/>
        <v>0</v>
      </c>
      <c r="BL158" s="335">
        <f t="shared" si="278"/>
        <v>0</v>
      </c>
      <c r="BM158" s="335">
        <f t="shared" si="278"/>
        <v>0</v>
      </c>
      <c r="BN158" s="335">
        <f t="shared" si="278"/>
        <v>0</v>
      </c>
      <c r="BO158" s="335">
        <f t="shared" si="278"/>
        <v>0</v>
      </c>
      <c r="BP158" s="335">
        <f t="shared" si="278"/>
        <v>0</v>
      </c>
      <c r="BQ158" s="335">
        <f t="shared" si="278"/>
        <v>0</v>
      </c>
      <c r="BR158" s="335">
        <f t="shared" ref="BR158:BX158" si="279">BR39*0.025</f>
        <v>0</v>
      </c>
      <c r="BS158" s="335">
        <f t="shared" si="279"/>
        <v>0</v>
      </c>
      <c r="BT158" s="335">
        <f t="shared" si="279"/>
        <v>0</v>
      </c>
      <c r="BU158" s="335">
        <f t="shared" si="279"/>
        <v>0</v>
      </c>
      <c r="BV158" s="335">
        <f t="shared" si="279"/>
        <v>0</v>
      </c>
      <c r="BW158" s="335">
        <f t="shared" si="279"/>
        <v>0</v>
      </c>
      <c r="BX158" s="335">
        <f t="shared" si="279"/>
        <v>0</v>
      </c>
    </row>
    <row r="159" spans="1:76" hidden="1" outlineLevel="1">
      <c r="B159" s="348">
        <v>2020</v>
      </c>
      <c r="C159" s="348" t="s">
        <v>155</v>
      </c>
      <c r="D159" s="348" t="s">
        <v>41</v>
      </c>
      <c r="E159" s="348" t="s">
        <v>12</v>
      </c>
      <c r="F159" s="335">
        <f t="shared" ref="F159:AK159" si="280">F40*0.025</f>
        <v>105.79472726244683</v>
      </c>
      <c r="G159" s="335">
        <f t="shared" si="280"/>
        <v>89.541767104828494</v>
      </c>
      <c r="H159" s="335">
        <f t="shared" si="280"/>
        <v>82.491784967743314</v>
      </c>
      <c r="I159" s="335">
        <f t="shared" si="280"/>
        <v>75.09639246693142</v>
      </c>
      <c r="J159" s="335">
        <f t="shared" si="280"/>
        <v>68.821374339709038</v>
      </c>
      <c r="K159" s="335">
        <f t="shared" si="280"/>
        <v>64.95097290743972</v>
      </c>
      <c r="L159" s="335">
        <f t="shared" si="280"/>
        <v>61.598687020760487</v>
      </c>
      <c r="M159" s="335">
        <f t="shared" si="280"/>
        <v>58.675954780217332</v>
      </c>
      <c r="N159" s="335">
        <f t="shared" si="280"/>
        <v>55.580517357810805</v>
      </c>
      <c r="O159" s="335">
        <f t="shared" si="280"/>
        <v>52.830490299131</v>
      </c>
      <c r="P159" s="335">
        <f t="shared" si="280"/>
        <v>50.337311704723916</v>
      </c>
      <c r="Q159" s="335">
        <f t="shared" si="280"/>
        <v>49.729196460480161</v>
      </c>
      <c r="R159" s="335">
        <f t="shared" si="280"/>
        <v>49.099980064170985</v>
      </c>
      <c r="S159" s="335">
        <f t="shared" si="280"/>
        <v>48.47076366786203</v>
      </c>
      <c r="T159" s="335">
        <f t="shared" si="280"/>
        <v>47.841547271553075</v>
      </c>
      <c r="U159" s="335">
        <f t="shared" si="280"/>
        <v>47.2123308752439</v>
      </c>
      <c r="V159" s="335">
        <f t="shared" si="280"/>
        <v>46.58311447893491</v>
      </c>
      <c r="W159" s="335">
        <f t="shared" si="280"/>
        <v>45.953898082625749</v>
      </c>
      <c r="X159" s="335">
        <f t="shared" si="280"/>
        <v>45.324681686316779</v>
      </c>
      <c r="Y159" s="335">
        <f t="shared" si="280"/>
        <v>44.695465290007832</v>
      </c>
      <c r="Z159" s="335">
        <f t="shared" si="280"/>
        <v>44.066248893698656</v>
      </c>
      <c r="AA159" s="335">
        <f t="shared" si="280"/>
        <v>43.437032497389659</v>
      </c>
      <c r="AB159" s="335">
        <f t="shared" si="280"/>
        <v>42.807816101080505</v>
      </c>
      <c r="AC159" s="335">
        <f t="shared" si="280"/>
        <v>42.178599704771536</v>
      </c>
      <c r="AD159" s="335">
        <f t="shared" si="280"/>
        <v>41.549383308462581</v>
      </c>
      <c r="AE159" s="335">
        <f t="shared" si="280"/>
        <v>40.92016691215342</v>
      </c>
      <c r="AF159" s="335">
        <f t="shared" si="280"/>
        <v>40.290950515844429</v>
      </c>
      <c r="AG159" s="335">
        <f t="shared" si="280"/>
        <v>39.661734119535254</v>
      </c>
      <c r="AH159" s="335">
        <f t="shared" si="280"/>
        <v>39.032517723226299</v>
      </c>
      <c r="AI159" s="335">
        <f t="shared" si="280"/>
        <v>38.403301326917351</v>
      </c>
      <c r="AJ159" s="335">
        <f t="shared" si="280"/>
        <v>37.767663719001327</v>
      </c>
      <c r="AK159" s="335">
        <f t="shared" si="280"/>
        <v>0</v>
      </c>
      <c r="AL159" s="335">
        <f t="shared" ref="AL159:BQ159" si="281">AL40*0.025</f>
        <v>0</v>
      </c>
      <c r="AM159" s="335">
        <f t="shared" si="281"/>
        <v>0</v>
      </c>
      <c r="AN159" s="335">
        <f t="shared" si="281"/>
        <v>0</v>
      </c>
      <c r="AO159" s="335">
        <f t="shared" si="281"/>
        <v>0</v>
      </c>
      <c r="AP159" s="335">
        <f t="shared" si="281"/>
        <v>0</v>
      </c>
      <c r="AQ159" s="335">
        <f t="shared" si="281"/>
        <v>0</v>
      </c>
      <c r="AR159" s="335">
        <f t="shared" si="281"/>
        <v>0</v>
      </c>
      <c r="AS159" s="335">
        <f t="shared" si="281"/>
        <v>0</v>
      </c>
      <c r="AT159" s="335">
        <f t="shared" si="281"/>
        <v>0</v>
      </c>
      <c r="AU159" s="335">
        <f t="shared" si="281"/>
        <v>0</v>
      </c>
      <c r="AV159" s="335">
        <f t="shared" si="281"/>
        <v>0</v>
      </c>
      <c r="AW159" s="335">
        <f t="shared" si="281"/>
        <v>0</v>
      </c>
      <c r="AX159" s="335">
        <f t="shared" si="281"/>
        <v>0</v>
      </c>
      <c r="AY159" s="335">
        <f t="shared" si="281"/>
        <v>0</v>
      </c>
      <c r="AZ159" s="335">
        <f t="shared" si="281"/>
        <v>0</v>
      </c>
      <c r="BA159" s="335">
        <f t="shared" si="281"/>
        <v>0</v>
      </c>
      <c r="BB159" s="335">
        <f t="shared" si="281"/>
        <v>0</v>
      </c>
      <c r="BC159" s="335">
        <f t="shared" si="281"/>
        <v>0</v>
      </c>
      <c r="BD159" s="335">
        <f t="shared" si="281"/>
        <v>0</v>
      </c>
      <c r="BE159" s="335">
        <f t="shared" si="281"/>
        <v>0</v>
      </c>
      <c r="BF159" s="335">
        <f t="shared" si="281"/>
        <v>0</v>
      </c>
      <c r="BG159" s="335">
        <f t="shared" si="281"/>
        <v>0</v>
      </c>
      <c r="BH159" s="335">
        <f t="shared" si="281"/>
        <v>0</v>
      </c>
      <c r="BI159" s="335">
        <f t="shared" si="281"/>
        <v>0</v>
      </c>
      <c r="BJ159" s="335">
        <f t="shared" si="281"/>
        <v>0</v>
      </c>
      <c r="BK159" s="335">
        <f t="shared" si="281"/>
        <v>0</v>
      </c>
      <c r="BL159" s="335">
        <f t="shared" si="281"/>
        <v>0</v>
      </c>
      <c r="BM159" s="335">
        <f t="shared" si="281"/>
        <v>0</v>
      </c>
      <c r="BN159" s="335">
        <f t="shared" si="281"/>
        <v>0</v>
      </c>
      <c r="BO159" s="335">
        <f t="shared" si="281"/>
        <v>0</v>
      </c>
      <c r="BP159" s="335">
        <f t="shared" si="281"/>
        <v>0</v>
      </c>
      <c r="BQ159" s="335">
        <f t="shared" si="281"/>
        <v>0</v>
      </c>
      <c r="BR159" s="335">
        <f t="shared" ref="BR159:BX159" si="282">BR40*0.025</f>
        <v>0</v>
      </c>
      <c r="BS159" s="335">
        <f t="shared" si="282"/>
        <v>0</v>
      </c>
      <c r="BT159" s="335">
        <f t="shared" si="282"/>
        <v>0</v>
      </c>
      <c r="BU159" s="335">
        <f t="shared" si="282"/>
        <v>0</v>
      </c>
      <c r="BV159" s="335">
        <f t="shared" si="282"/>
        <v>0</v>
      </c>
      <c r="BW159" s="335">
        <f t="shared" si="282"/>
        <v>0</v>
      </c>
      <c r="BX159" s="335">
        <f t="shared" si="282"/>
        <v>0</v>
      </c>
    </row>
    <row r="160" spans="1:76" hidden="1" outlineLevel="1">
      <c r="A160" s="355" t="s">
        <v>378</v>
      </c>
      <c r="B160" s="348">
        <v>2020</v>
      </c>
      <c r="C160" s="348" t="s">
        <v>154</v>
      </c>
      <c r="D160" s="348" t="s">
        <v>41</v>
      </c>
      <c r="E160" s="348" t="s">
        <v>13</v>
      </c>
      <c r="F160" s="384">
        <v>43.180861120239101</v>
      </c>
      <c r="G160" s="384">
        <v>36.88642936702464</v>
      </c>
      <c r="H160" s="384">
        <v>34.270370546668282</v>
      </c>
      <c r="I160" s="384">
        <v>31.392705844276293</v>
      </c>
      <c r="J160" s="384">
        <v>29.169055846973386</v>
      </c>
      <c r="K160" s="384">
        <v>27.599420554759575</v>
      </c>
      <c r="L160" s="384">
        <v>26.422194085599212</v>
      </c>
      <c r="M160" s="384">
        <v>25.375770557456669</v>
      </c>
      <c r="N160" s="384">
        <v>24.198544088296309</v>
      </c>
      <c r="O160" s="384">
        <v>23.282923501171584</v>
      </c>
      <c r="P160" s="384">
        <v>22.36730291404686</v>
      </c>
      <c r="Q160" s="384">
        <v>22.098829877607802</v>
      </c>
      <c r="R160" s="384">
        <v>21.819238591182177</v>
      </c>
      <c r="S160" s="384">
        <v>21.539647304756627</v>
      </c>
      <c r="T160" s="384">
        <v>21.260056018331074</v>
      </c>
      <c r="U160" s="384">
        <v>20.98046473190545</v>
      </c>
      <c r="V160" s="384">
        <v>20.700873445479871</v>
      </c>
      <c r="W160" s="384">
        <v>20.421282159054247</v>
      </c>
      <c r="X160" s="384">
        <v>20.141690872628697</v>
      </c>
      <c r="Y160" s="384">
        <v>19.862099586203144</v>
      </c>
      <c r="Z160" s="384">
        <v>19.582508299777519</v>
      </c>
      <c r="AA160" s="384">
        <v>19.302917013351944</v>
      </c>
      <c r="AB160" s="384">
        <v>19.02332572692632</v>
      </c>
      <c r="AC160" s="384">
        <v>18.743734440500766</v>
      </c>
      <c r="AD160" s="384">
        <v>18.464143154075213</v>
      </c>
      <c r="AE160" s="384">
        <v>18.184551867649589</v>
      </c>
      <c r="AF160" s="384">
        <v>17.904960581224014</v>
      </c>
      <c r="AG160" s="384">
        <v>17.625369294798389</v>
      </c>
      <c r="AH160" s="384">
        <v>17.345778008372839</v>
      </c>
      <c r="AI160" s="384">
        <v>17.066186721947286</v>
      </c>
      <c r="AJ160" s="384">
        <v>16.786595435521662</v>
      </c>
      <c r="AK160" s="335">
        <f t="shared" ref="AK160" si="283">AK41*0.025</f>
        <v>16.507004149096037</v>
      </c>
      <c r="AL160" s="335">
        <f t="shared" ref="AL160:BQ160" si="284">AL41*0.025</f>
        <v>16.227412862670413</v>
      </c>
      <c r="AM160" s="335">
        <f t="shared" si="284"/>
        <v>15.947821576244786</v>
      </c>
      <c r="AN160" s="335">
        <f t="shared" si="284"/>
        <v>15.668230289819162</v>
      </c>
      <c r="AO160" s="335">
        <f t="shared" si="284"/>
        <v>15.388639003393536</v>
      </c>
      <c r="AP160" s="335">
        <f t="shared" si="284"/>
        <v>0</v>
      </c>
      <c r="AQ160" s="335">
        <f t="shared" si="284"/>
        <v>0</v>
      </c>
      <c r="AR160" s="335">
        <f t="shared" si="284"/>
        <v>0</v>
      </c>
      <c r="AS160" s="335">
        <f t="shared" si="284"/>
        <v>0</v>
      </c>
      <c r="AT160" s="335">
        <f t="shared" si="284"/>
        <v>0</v>
      </c>
      <c r="AU160" s="335">
        <f t="shared" si="284"/>
        <v>0</v>
      </c>
      <c r="AV160" s="335">
        <f t="shared" si="284"/>
        <v>0</v>
      </c>
      <c r="AW160" s="335">
        <f t="shared" si="284"/>
        <v>0</v>
      </c>
      <c r="AX160" s="335">
        <f t="shared" si="284"/>
        <v>0</v>
      </c>
      <c r="AY160" s="335">
        <f t="shared" si="284"/>
        <v>0</v>
      </c>
      <c r="AZ160" s="335">
        <f t="shared" si="284"/>
        <v>0</v>
      </c>
      <c r="BA160" s="335">
        <f t="shared" si="284"/>
        <v>0</v>
      </c>
      <c r="BB160" s="335">
        <f t="shared" si="284"/>
        <v>0</v>
      </c>
      <c r="BC160" s="335">
        <f t="shared" si="284"/>
        <v>0</v>
      </c>
      <c r="BD160" s="335">
        <f t="shared" si="284"/>
        <v>0</v>
      </c>
      <c r="BE160" s="335">
        <f t="shared" si="284"/>
        <v>0</v>
      </c>
      <c r="BF160" s="335">
        <f t="shared" si="284"/>
        <v>0</v>
      </c>
      <c r="BG160" s="335">
        <f t="shared" si="284"/>
        <v>0</v>
      </c>
      <c r="BH160" s="335">
        <f t="shared" si="284"/>
        <v>0</v>
      </c>
      <c r="BI160" s="335">
        <f t="shared" si="284"/>
        <v>0</v>
      </c>
      <c r="BJ160" s="335">
        <f t="shared" si="284"/>
        <v>0</v>
      </c>
      <c r="BK160" s="335">
        <f t="shared" si="284"/>
        <v>0</v>
      </c>
      <c r="BL160" s="335">
        <f t="shared" si="284"/>
        <v>0</v>
      </c>
      <c r="BM160" s="335">
        <f t="shared" si="284"/>
        <v>0</v>
      </c>
      <c r="BN160" s="335">
        <f t="shared" si="284"/>
        <v>0</v>
      </c>
      <c r="BO160" s="335">
        <f t="shared" si="284"/>
        <v>0</v>
      </c>
      <c r="BP160" s="335">
        <f t="shared" si="284"/>
        <v>0</v>
      </c>
      <c r="BQ160" s="335">
        <f t="shared" si="284"/>
        <v>0</v>
      </c>
      <c r="BR160" s="335">
        <f t="shared" ref="BR160:BX160" si="285">BR41*0.025</f>
        <v>0</v>
      </c>
      <c r="BS160" s="335">
        <f t="shared" si="285"/>
        <v>0</v>
      </c>
      <c r="BT160" s="335">
        <f t="shared" si="285"/>
        <v>0</v>
      </c>
      <c r="BU160" s="335">
        <f t="shared" si="285"/>
        <v>0</v>
      </c>
      <c r="BV160" s="335">
        <f t="shared" si="285"/>
        <v>0</v>
      </c>
      <c r="BW160" s="335">
        <f t="shared" si="285"/>
        <v>0</v>
      </c>
      <c r="BX160" s="335">
        <f t="shared" si="285"/>
        <v>0</v>
      </c>
    </row>
    <row r="161" spans="1:76" hidden="1" outlineLevel="1">
      <c r="A161" s="355" t="s">
        <v>379</v>
      </c>
      <c r="B161" s="348">
        <v>2020</v>
      </c>
      <c r="C161" s="348" t="s">
        <v>155</v>
      </c>
      <c r="D161" s="348" t="s">
        <v>41</v>
      </c>
      <c r="E161" s="348" t="s">
        <v>14</v>
      </c>
      <c r="F161" s="384">
        <v>80.126498352869575</v>
      </c>
      <c r="G161" s="384">
        <v>67.816879348247156</v>
      </c>
      <c r="H161" s="384">
        <v>62.47738468048756</v>
      </c>
      <c r="I161" s="384">
        <v>56.876284130692333</v>
      </c>
      <c r="J161" s="384">
        <v>52.123729417943565</v>
      </c>
      <c r="K161" s="384">
        <v>49.192376202028129</v>
      </c>
      <c r="L161" s="384">
        <v>46.653431809166136</v>
      </c>
      <c r="M161" s="384">
        <v>44.439821489279353</v>
      </c>
      <c r="N161" s="384">
        <v>42.095408228374744</v>
      </c>
      <c r="O161" s="384">
        <v>40.01260084950578</v>
      </c>
      <c r="P161" s="384">
        <v>38.124324602594179</v>
      </c>
      <c r="Q161" s="384">
        <v>37.663752073347268</v>
      </c>
      <c r="R161" s="384">
        <v>37.187198015814751</v>
      </c>
      <c r="S161" s="384">
        <v>36.71064395828239</v>
      </c>
      <c r="T161" s="384">
        <v>36.234089900750028</v>
      </c>
      <c r="U161" s="384">
        <v>35.757535843217511</v>
      </c>
      <c r="V161" s="384">
        <v>35.280981785685128</v>
      </c>
      <c r="W161" s="384">
        <v>34.804427728152611</v>
      </c>
      <c r="X161" s="384">
        <v>34.327873670620249</v>
      </c>
      <c r="Y161" s="384">
        <v>33.851319613087895</v>
      </c>
      <c r="Z161" s="384">
        <v>33.374765555555378</v>
      </c>
      <c r="AA161" s="384">
        <v>32.898211498022988</v>
      </c>
      <c r="AB161" s="384">
        <v>32.421657440490478</v>
      </c>
      <c r="AC161" s="384">
        <v>31.945103382958116</v>
      </c>
      <c r="AD161" s="384">
        <v>31.468549325425762</v>
      </c>
      <c r="AE161" s="384">
        <v>30.991995267893245</v>
      </c>
      <c r="AF161" s="384">
        <v>30.515441210360862</v>
      </c>
      <c r="AG161" s="384">
        <v>30.038887152828341</v>
      </c>
      <c r="AH161" s="384">
        <v>29.562333095295983</v>
      </c>
      <c r="AI161" s="384">
        <v>29.085779037763629</v>
      </c>
      <c r="AJ161" s="384">
        <v>28.604361701932152</v>
      </c>
      <c r="AK161" s="335">
        <f t="shared" ref="AK161" si="286">AK42*0.025</f>
        <v>0</v>
      </c>
      <c r="AL161" s="335">
        <f t="shared" ref="AL161:BQ161" si="287">AL42*0.025</f>
        <v>0</v>
      </c>
      <c r="AM161" s="335">
        <f t="shared" si="287"/>
        <v>0</v>
      </c>
      <c r="AN161" s="335">
        <f t="shared" si="287"/>
        <v>0</v>
      </c>
      <c r="AO161" s="335">
        <f t="shared" si="287"/>
        <v>0</v>
      </c>
      <c r="AP161" s="335">
        <f t="shared" si="287"/>
        <v>0</v>
      </c>
      <c r="AQ161" s="335">
        <f t="shared" si="287"/>
        <v>0</v>
      </c>
      <c r="AR161" s="335">
        <f t="shared" si="287"/>
        <v>0</v>
      </c>
      <c r="AS161" s="335">
        <f t="shared" si="287"/>
        <v>0</v>
      </c>
      <c r="AT161" s="335">
        <f t="shared" si="287"/>
        <v>0</v>
      </c>
      <c r="AU161" s="335">
        <f t="shared" si="287"/>
        <v>0</v>
      </c>
      <c r="AV161" s="335">
        <f t="shared" si="287"/>
        <v>0</v>
      </c>
      <c r="AW161" s="335">
        <f t="shared" si="287"/>
        <v>0</v>
      </c>
      <c r="AX161" s="335">
        <f t="shared" si="287"/>
        <v>0</v>
      </c>
      <c r="AY161" s="335">
        <f t="shared" si="287"/>
        <v>0</v>
      </c>
      <c r="AZ161" s="335">
        <f t="shared" si="287"/>
        <v>0</v>
      </c>
      <c r="BA161" s="335">
        <f t="shared" si="287"/>
        <v>0</v>
      </c>
      <c r="BB161" s="335">
        <f t="shared" si="287"/>
        <v>0</v>
      </c>
      <c r="BC161" s="335">
        <f t="shared" si="287"/>
        <v>0</v>
      </c>
      <c r="BD161" s="335">
        <f t="shared" si="287"/>
        <v>0</v>
      </c>
      <c r="BE161" s="335">
        <f t="shared" si="287"/>
        <v>0</v>
      </c>
      <c r="BF161" s="335">
        <f t="shared" si="287"/>
        <v>0</v>
      </c>
      <c r="BG161" s="335">
        <f t="shared" si="287"/>
        <v>0</v>
      </c>
      <c r="BH161" s="335">
        <f t="shared" si="287"/>
        <v>0</v>
      </c>
      <c r="BI161" s="335">
        <f t="shared" si="287"/>
        <v>0</v>
      </c>
      <c r="BJ161" s="335">
        <f t="shared" si="287"/>
        <v>0</v>
      </c>
      <c r="BK161" s="335">
        <f t="shared" si="287"/>
        <v>0</v>
      </c>
      <c r="BL161" s="335">
        <f t="shared" si="287"/>
        <v>0</v>
      </c>
      <c r="BM161" s="335">
        <f t="shared" si="287"/>
        <v>0</v>
      </c>
      <c r="BN161" s="335">
        <f t="shared" si="287"/>
        <v>0</v>
      </c>
      <c r="BO161" s="335">
        <f t="shared" si="287"/>
        <v>0</v>
      </c>
      <c r="BP161" s="335">
        <f t="shared" si="287"/>
        <v>0</v>
      </c>
      <c r="BQ161" s="335">
        <f t="shared" si="287"/>
        <v>0</v>
      </c>
      <c r="BR161" s="335">
        <f t="shared" ref="BR161:BX161" si="288">BR42*0.025</f>
        <v>0</v>
      </c>
      <c r="BS161" s="335">
        <f t="shared" si="288"/>
        <v>0</v>
      </c>
      <c r="BT161" s="335">
        <f t="shared" si="288"/>
        <v>0</v>
      </c>
      <c r="BU161" s="335">
        <f t="shared" si="288"/>
        <v>0</v>
      </c>
      <c r="BV161" s="335">
        <f t="shared" si="288"/>
        <v>0</v>
      </c>
      <c r="BW161" s="335">
        <f t="shared" si="288"/>
        <v>0</v>
      </c>
      <c r="BX161" s="335">
        <f t="shared" si="288"/>
        <v>0</v>
      </c>
    </row>
    <row r="162" spans="1:76" hidden="1" outlineLevel="1">
      <c r="A162" s="355" t="s">
        <v>380</v>
      </c>
      <c r="B162" s="348">
        <v>2020</v>
      </c>
      <c r="C162" s="348" t="s">
        <v>156</v>
      </c>
      <c r="D162" s="348" t="s">
        <v>41</v>
      </c>
      <c r="E162" s="348" t="s">
        <v>15</v>
      </c>
      <c r="F162" s="384">
        <v>154.01777281813045</v>
      </c>
      <c r="G162" s="384">
        <v>129.67777931069222</v>
      </c>
      <c r="H162" s="384">
        <v>118.89141294812612</v>
      </c>
      <c r="I162" s="384">
        <v>107.84344070352441</v>
      </c>
      <c r="J162" s="384">
        <v>98.033076559883909</v>
      </c>
      <c r="K162" s="384">
        <v>92.378287496565221</v>
      </c>
      <c r="L162" s="384">
        <v>87.115907256300005</v>
      </c>
      <c r="M162" s="384">
        <v>82.567923352924723</v>
      </c>
      <c r="N162" s="384">
        <v>77.889136508531635</v>
      </c>
      <c r="O162" s="384">
        <v>73.471955546174158</v>
      </c>
      <c r="P162" s="384">
        <v>69.638367979688823</v>
      </c>
      <c r="Q162" s="384">
        <v>68.793596464826194</v>
      </c>
      <c r="R162" s="384">
        <v>67.923116865079891</v>
      </c>
      <c r="S162" s="384">
        <v>67.052637265333928</v>
      </c>
      <c r="T162" s="384">
        <v>66.182157665587951</v>
      </c>
      <c r="U162" s="384">
        <v>65.311678065841633</v>
      </c>
      <c r="V162" s="384">
        <v>64.441198466095656</v>
      </c>
      <c r="W162" s="384">
        <v>63.570718866349345</v>
      </c>
      <c r="X162" s="384">
        <v>62.700239266603369</v>
      </c>
      <c r="Y162" s="384">
        <v>61.829759666857399</v>
      </c>
      <c r="Z162" s="384">
        <v>60.959280067111095</v>
      </c>
      <c r="AA162" s="384">
        <v>60.088800467365097</v>
      </c>
      <c r="AB162" s="384">
        <v>59.218320867618786</v>
      </c>
      <c r="AC162" s="384">
        <v>58.347841267872809</v>
      </c>
      <c r="AD162" s="384">
        <v>57.477361668126846</v>
      </c>
      <c r="AE162" s="384">
        <v>56.606882068380543</v>
      </c>
      <c r="AF162" s="384">
        <v>55.736402468634552</v>
      </c>
      <c r="AG162" s="384">
        <v>54.865922868888248</v>
      </c>
      <c r="AH162" s="384">
        <v>53.995443269142271</v>
      </c>
      <c r="AI162" s="384">
        <v>53.124963669396301</v>
      </c>
      <c r="AJ162" s="384">
        <v>52.239894234753137</v>
      </c>
      <c r="AK162" s="335">
        <f t="shared" ref="AK162" si="289">AK43*0.025</f>
        <v>0</v>
      </c>
      <c r="AL162" s="335">
        <f t="shared" ref="AL162:BQ162" si="290">AL43*0.025</f>
        <v>0</v>
      </c>
      <c r="AM162" s="335">
        <f t="shared" si="290"/>
        <v>0</v>
      </c>
      <c r="AN162" s="335">
        <f t="shared" si="290"/>
        <v>0</v>
      </c>
      <c r="AO162" s="335">
        <f t="shared" si="290"/>
        <v>0</v>
      </c>
      <c r="AP162" s="335">
        <f t="shared" si="290"/>
        <v>0</v>
      </c>
      <c r="AQ162" s="335">
        <f t="shared" si="290"/>
        <v>0</v>
      </c>
      <c r="AR162" s="335">
        <f t="shared" si="290"/>
        <v>0</v>
      </c>
      <c r="AS162" s="335">
        <f t="shared" si="290"/>
        <v>0</v>
      </c>
      <c r="AT162" s="335">
        <f t="shared" si="290"/>
        <v>0</v>
      </c>
      <c r="AU162" s="335">
        <f t="shared" si="290"/>
        <v>0</v>
      </c>
      <c r="AV162" s="335">
        <f t="shared" si="290"/>
        <v>0</v>
      </c>
      <c r="AW162" s="335">
        <f t="shared" si="290"/>
        <v>0</v>
      </c>
      <c r="AX162" s="335">
        <f t="shared" si="290"/>
        <v>0</v>
      </c>
      <c r="AY162" s="335">
        <f t="shared" si="290"/>
        <v>0</v>
      </c>
      <c r="AZ162" s="335">
        <f t="shared" si="290"/>
        <v>0</v>
      </c>
      <c r="BA162" s="335">
        <f t="shared" si="290"/>
        <v>0</v>
      </c>
      <c r="BB162" s="335">
        <f t="shared" si="290"/>
        <v>0</v>
      </c>
      <c r="BC162" s="335">
        <f t="shared" si="290"/>
        <v>0</v>
      </c>
      <c r="BD162" s="335">
        <f t="shared" si="290"/>
        <v>0</v>
      </c>
      <c r="BE162" s="335">
        <f t="shared" si="290"/>
        <v>0</v>
      </c>
      <c r="BF162" s="335">
        <f t="shared" si="290"/>
        <v>0</v>
      </c>
      <c r="BG162" s="335">
        <f t="shared" si="290"/>
        <v>0</v>
      </c>
      <c r="BH162" s="335">
        <f t="shared" si="290"/>
        <v>0</v>
      </c>
      <c r="BI162" s="335">
        <f t="shared" si="290"/>
        <v>0</v>
      </c>
      <c r="BJ162" s="335">
        <f t="shared" si="290"/>
        <v>0</v>
      </c>
      <c r="BK162" s="335">
        <f t="shared" si="290"/>
        <v>0</v>
      </c>
      <c r="BL162" s="335">
        <f t="shared" si="290"/>
        <v>0</v>
      </c>
      <c r="BM162" s="335">
        <f t="shared" si="290"/>
        <v>0</v>
      </c>
      <c r="BN162" s="335">
        <f t="shared" si="290"/>
        <v>0</v>
      </c>
      <c r="BO162" s="335">
        <f t="shared" si="290"/>
        <v>0</v>
      </c>
      <c r="BP162" s="335">
        <f t="shared" si="290"/>
        <v>0</v>
      </c>
      <c r="BQ162" s="335">
        <f t="shared" si="290"/>
        <v>0</v>
      </c>
      <c r="BR162" s="335">
        <f t="shared" ref="BR162:BX162" si="291">BR43*0.025</f>
        <v>0</v>
      </c>
      <c r="BS162" s="335">
        <f t="shared" si="291"/>
        <v>0</v>
      </c>
      <c r="BT162" s="335">
        <f t="shared" si="291"/>
        <v>0</v>
      </c>
      <c r="BU162" s="335">
        <f t="shared" si="291"/>
        <v>0</v>
      </c>
      <c r="BV162" s="335">
        <f t="shared" si="291"/>
        <v>0</v>
      </c>
      <c r="BW162" s="335">
        <f t="shared" si="291"/>
        <v>0</v>
      </c>
      <c r="BX162" s="335">
        <f t="shared" si="291"/>
        <v>0</v>
      </c>
    </row>
    <row r="163" spans="1:76" hidden="1" outlineLevel="1">
      <c r="B163" s="348">
        <v>2020</v>
      </c>
      <c r="C163" s="348" t="s">
        <v>231</v>
      </c>
      <c r="D163" s="348" t="s">
        <v>41</v>
      </c>
      <c r="E163" s="348" t="s">
        <v>16</v>
      </c>
      <c r="F163" s="335">
        <v>57.150799999999997</v>
      </c>
      <c r="G163" s="335">
        <v>57.150799999999997</v>
      </c>
      <c r="H163" s="335">
        <v>57.150799999999997</v>
      </c>
      <c r="I163" s="335">
        <v>57.150799999999997</v>
      </c>
      <c r="J163" s="335">
        <v>57.150799999999997</v>
      </c>
      <c r="K163" s="335">
        <v>57.150799999999997</v>
      </c>
      <c r="L163" s="335">
        <v>57.150799999999997</v>
      </c>
      <c r="M163" s="335">
        <v>57.150799999999997</v>
      </c>
      <c r="N163" s="335">
        <v>57.150799999999997</v>
      </c>
      <c r="O163" s="335">
        <v>57.150799999999997</v>
      </c>
      <c r="P163" s="335">
        <v>57.150799999999997</v>
      </c>
      <c r="Q163" s="335">
        <v>57.150799999999997</v>
      </c>
      <c r="R163" s="335">
        <v>57.150799999999997</v>
      </c>
      <c r="S163" s="335">
        <v>57.150799999999997</v>
      </c>
      <c r="T163" s="335">
        <v>57.150799999999997</v>
      </c>
      <c r="U163" s="335">
        <v>57.150799999999997</v>
      </c>
      <c r="V163" s="335">
        <v>57.150799999999997</v>
      </c>
      <c r="W163" s="335">
        <v>57.150799999999997</v>
      </c>
      <c r="X163" s="335">
        <v>57.150799999999997</v>
      </c>
      <c r="Y163" s="335">
        <v>57.150799999999997</v>
      </c>
      <c r="Z163" s="335">
        <v>57.150799999999997</v>
      </c>
      <c r="AA163" s="335">
        <v>57.150799999999997</v>
      </c>
      <c r="AB163" s="335">
        <v>57.150799999999997</v>
      </c>
      <c r="AC163" s="335">
        <v>57.150799999999997</v>
      </c>
      <c r="AD163" s="335">
        <v>57.150799999999997</v>
      </c>
      <c r="AE163" s="335">
        <v>57.150799999999997</v>
      </c>
      <c r="AF163" s="335">
        <v>57.150799999999997</v>
      </c>
      <c r="AG163" s="335">
        <v>57.150799999999997</v>
      </c>
      <c r="AH163" s="335">
        <v>57.150799999999997</v>
      </c>
      <c r="AI163" s="335">
        <v>57.150799999999997</v>
      </c>
      <c r="AJ163" s="335">
        <v>57.150799999999997</v>
      </c>
      <c r="AK163" s="335">
        <v>57.150799999999997</v>
      </c>
      <c r="AL163" s="335">
        <v>57.150799999999997</v>
      </c>
      <c r="AM163" s="335">
        <v>57.150799999999997</v>
      </c>
      <c r="AN163" s="335">
        <v>57.150799999999997</v>
      </c>
      <c r="AO163" s="335">
        <v>57.150799999999997</v>
      </c>
      <c r="AP163" s="335">
        <v>57.150799999999997</v>
      </c>
      <c r="AQ163" s="335">
        <v>57.150799999999997</v>
      </c>
      <c r="AR163" s="335">
        <v>57.150799999999997</v>
      </c>
      <c r="AS163" s="335">
        <v>57.150799999999997</v>
      </c>
      <c r="AT163" s="335">
        <v>57.150799999999997</v>
      </c>
      <c r="AU163" s="335">
        <v>57.150799999999997</v>
      </c>
      <c r="AV163" s="335">
        <v>57.150799999999997</v>
      </c>
      <c r="AW163" s="335">
        <v>57.150799999999997</v>
      </c>
      <c r="AX163" s="335">
        <v>57.150799999999997</v>
      </c>
      <c r="AY163" s="335">
        <v>57.150799999999997</v>
      </c>
      <c r="AZ163" s="335">
        <v>57.150799999999997</v>
      </c>
      <c r="BA163" s="335">
        <v>57.150799999999997</v>
      </c>
      <c r="BB163" s="335">
        <v>57.150799999999997</v>
      </c>
      <c r="BC163" s="335">
        <v>57.150799999999997</v>
      </c>
      <c r="BD163" s="335">
        <v>57.150799999999997</v>
      </c>
      <c r="BE163" s="335">
        <v>57.150799999999997</v>
      </c>
      <c r="BF163" s="335">
        <v>57.150799999999997</v>
      </c>
      <c r="BG163" s="335">
        <v>57.150799999999997</v>
      </c>
      <c r="BH163" s="335">
        <v>57.150799999999997</v>
      </c>
      <c r="BI163" s="335">
        <v>57.150799999999997</v>
      </c>
      <c r="BJ163" s="335">
        <v>57.150799999999997</v>
      </c>
      <c r="BK163" s="335">
        <v>57.150799999999997</v>
      </c>
      <c r="BL163" s="335">
        <v>57.150799999999997</v>
      </c>
      <c r="BM163" s="335">
        <v>57.150799999999997</v>
      </c>
      <c r="BN163" s="335">
        <v>57.150799999999997</v>
      </c>
      <c r="BO163" s="335">
        <v>57.150799999999997</v>
      </c>
      <c r="BP163" s="335">
        <v>57.150799999999997</v>
      </c>
      <c r="BQ163" s="335">
        <v>57.150799999999997</v>
      </c>
      <c r="BR163" s="335">
        <v>57.150799999999997</v>
      </c>
      <c r="BS163" s="335">
        <v>57.150799999999997</v>
      </c>
      <c r="BT163" s="335">
        <v>57.150799999999997</v>
      </c>
      <c r="BU163" s="335">
        <v>57.150799999999997</v>
      </c>
      <c r="BV163" s="335">
        <v>57.150799999999997</v>
      </c>
      <c r="BW163" s="335">
        <v>57.150799999999997</v>
      </c>
      <c r="BX163" s="335">
        <v>57.150799999999997</v>
      </c>
    </row>
    <row r="164" spans="1:76" hidden="1" outlineLevel="1">
      <c r="B164" s="348">
        <v>2020</v>
      </c>
      <c r="C164" s="348" t="s">
        <v>231</v>
      </c>
      <c r="D164" s="348" t="s">
        <v>41</v>
      </c>
      <c r="E164" s="348" t="s">
        <v>17</v>
      </c>
      <c r="F164" s="335">
        <v>64.295000000000002</v>
      </c>
      <c r="G164" s="335">
        <v>64.295000000000002</v>
      </c>
      <c r="H164" s="335">
        <v>64.295000000000002</v>
      </c>
      <c r="I164" s="335">
        <v>64.295000000000002</v>
      </c>
      <c r="J164" s="335">
        <v>64.295000000000002</v>
      </c>
      <c r="K164" s="335">
        <v>64.295000000000002</v>
      </c>
      <c r="L164" s="335">
        <v>64.295000000000002</v>
      </c>
      <c r="M164" s="335">
        <v>64.295000000000002</v>
      </c>
      <c r="N164" s="335">
        <v>64.295000000000002</v>
      </c>
      <c r="O164" s="335">
        <v>64.295000000000002</v>
      </c>
      <c r="P164" s="335">
        <v>64.295000000000002</v>
      </c>
      <c r="Q164" s="335">
        <v>64.295000000000002</v>
      </c>
      <c r="R164" s="335">
        <v>64.295000000000002</v>
      </c>
      <c r="S164" s="335">
        <v>64.295000000000002</v>
      </c>
      <c r="T164" s="335">
        <v>64.295000000000002</v>
      </c>
      <c r="U164" s="335">
        <v>64.295000000000002</v>
      </c>
      <c r="V164" s="335">
        <v>64.295000000000002</v>
      </c>
      <c r="W164" s="335">
        <v>64.295000000000002</v>
      </c>
      <c r="X164" s="335">
        <v>64.295000000000002</v>
      </c>
      <c r="Y164" s="335">
        <v>64.295000000000002</v>
      </c>
      <c r="Z164" s="335">
        <v>64.295000000000002</v>
      </c>
      <c r="AA164" s="335">
        <v>64.295000000000002</v>
      </c>
      <c r="AB164" s="335">
        <v>64.295000000000002</v>
      </c>
      <c r="AC164" s="335">
        <v>64.295000000000002</v>
      </c>
      <c r="AD164" s="335">
        <v>64.295000000000002</v>
      </c>
      <c r="AE164" s="335">
        <v>64.295000000000002</v>
      </c>
      <c r="AF164" s="335">
        <v>64.295000000000002</v>
      </c>
      <c r="AG164" s="335">
        <v>64.295000000000002</v>
      </c>
      <c r="AH164" s="335">
        <v>64.295000000000002</v>
      </c>
      <c r="AI164" s="335">
        <v>64.295000000000002</v>
      </c>
      <c r="AJ164" s="335">
        <v>64.295000000000002</v>
      </c>
      <c r="AK164" s="335">
        <v>64.295000000000002</v>
      </c>
      <c r="AL164" s="335">
        <v>64.295000000000002</v>
      </c>
      <c r="AM164" s="335">
        <v>64.295000000000002</v>
      </c>
      <c r="AN164" s="335">
        <v>64.295000000000002</v>
      </c>
      <c r="AO164" s="335">
        <v>64.295000000000002</v>
      </c>
      <c r="AP164" s="335">
        <v>64.295000000000002</v>
      </c>
      <c r="AQ164" s="335">
        <v>64.295000000000002</v>
      </c>
      <c r="AR164" s="335">
        <v>64.295000000000002</v>
      </c>
      <c r="AS164" s="335">
        <v>64.295000000000002</v>
      </c>
      <c r="AT164" s="335">
        <v>64.295000000000002</v>
      </c>
      <c r="AU164" s="335">
        <v>64.295000000000002</v>
      </c>
      <c r="AV164" s="335">
        <v>64.295000000000002</v>
      </c>
      <c r="AW164" s="335">
        <v>64.295000000000002</v>
      </c>
      <c r="AX164" s="335">
        <v>64.295000000000002</v>
      </c>
      <c r="AY164" s="335">
        <v>64.295000000000002</v>
      </c>
      <c r="AZ164" s="335">
        <v>64.295000000000002</v>
      </c>
      <c r="BA164" s="335">
        <v>64.295000000000002</v>
      </c>
      <c r="BB164" s="335">
        <v>64.295000000000002</v>
      </c>
      <c r="BC164" s="335">
        <v>64.295000000000002</v>
      </c>
      <c r="BD164" s="335">
        <v>64.295000000000002</v>
      </c>
      <c r="BE164" s="335">
        <v>64.295000000000002</v>
      </c>
      <c r="BF164" s="335">
        <v>64.295000000000002</v>
      </c>
      <c r="BG164" s="335">
        <v>64.295000000000002</v>
      </c>
      <c r="BH164" s="335">
        <v>64.295000000000002</v>
      </c>
      <c r="BI164" s="335">
        <v>64.295000000000002</v>
      </c>
      <c r="BJ164" s="335">
        <v>64.295000000000002</v>
      </c>
      <c r="BK164" s="335">
        <v>64.295000000000002</v>
      </c>
      <c r="BL164" s="335">
        <v>64.295000000000002</v>
      </c>
      <c r="BM164" s="335">
        <v>64.295000000000002</v>
      </c>
      <c r="BN164" s="335">
        <v>64.295000000000002</v>
      </c>
      <c r="BO164" s="335">
        <v>64.295000000000002</v>
      </c>
      <c r="BP164" s="335">
        <v>64.295000000000002</v>
      </c>
      <c r="BQ164" s="335">
        <v>64.295000000000002</v>
      </c>
      <c r="BR164" s="335">
        <v>64.295000000000002</v>
      </c>
      <c r="BS164" s="335">
        <v>64.295000000000002</v>
      </c>
      <c r="BT164" s="335">
        <v>64.295000000000002</v>
      </c>
      <c r="BU164" s="335">
        <v>64.295000000000002</v>
      </c>
      <c r="BV164" s="335">
        <v>64.295000000000002</v>
      </c>
      <c r="BW164" s="335">
        <v>64.295000000000002</v>
      </c>
      <c r="BX164" s="335">
        <v>64.295000000000002</v>
      </c>
    </row>
    <row r="165" spans="1:76" hidden="1" outlineLevel="1">
      <c r="B165" s="348">
        <v>2022</v>
      </c>
      <c r="C165" s="348" t="s">
        <v>231</v>
      </c>
      <c r="D165" s="348" t="s">
        <v>41</v>
      </c>
      <c r="E165" s="348" t="s">
        <v>18</v>
      </c>
      <c r="F165" s="335"/>
      <c r="G165" s="335"/>
      <c r="H165" s="335">
        <v>30</v>
      </c>
      <c r="I165" s="335">
        <v>30</v>
      </c>
      <c r="J165" s="335">
        <v>30</v>
      </c>
      <c r="K165" s="335">
        <v>30</v>
      </c>
      <c r="L165" s="335">
        <v>30</v>
      </c>
      <c r="M165" s="335">
        <v>30</v>
      </c>
      <c r="N165" s="335">
        <v>30</v>
      </c>
      <c r="O165" s="335">
        <v>30</v>
      </c>
      <c r="P165" s="335">
        <v>30</v>
      </c>
      <c r="Q165" s="335">
        <v>30</v>
      </c>
      <c r="R165" s="335">
        <v>30</v>
      </c>
      <c r="S165" s="335">
        <v>30</v>
      </c>
      <c r="T165" s="335">
        <v>30</v>
      </c>
      <c r="U165" s="335">
        <v>30</v>
      </c>
      <c r="V165" s="335">
        <v>30</v>
      </c>
      <c r="W165" s="335">
        <v>30</v>
      </c>
      <c r="X165" s="335">
        <v>30</v>
      </c>
      <c r="Y165" s="335">
        <v>30</v>
      </c>
      <c r="Z165" s="335">
        <v>30</v>
      </c>
      <c r="AA165" s="335">
        <v>30</v>
      </c>
      <c r="AB165" s="335">
        <v>30</v>
      </c>
      <c r="AC165" s="335">
        <v>30</v>
      </c>
      <c r="AD165" s="335">
        <v>30</v>
      </c>
      <c r="AE165" s="335">
        <v>30</v>
      </c>
      <c r="AF165" s="335">
        <v>30</v>
      </c>
      <c r="AG165" s="335">
        <v>30</v>
      </c>
      <c r="AH165" s="335">
        <v>30</v>
      </c>
      <c r="AI165" s="335">
        <v>30</v>
      </c>
      <c r="AJ165" s="335">
        <v>30</v>
      </c>
      <c r="AK165" s="335">
        <v>30</v>
      </c>
      <c r="AL165" s="335">
        <v>30</v>
      </c>
      <c r="AM165" s="335">
        <v>30</v>
      </c>
      <c r="AN165" s="335">
        <v>30</v>
      </c>
      <c r="AO165" s="335">
        <v>30</v>
      </c>
      <c r="AP165" s="335">
        <v>30</v>
      </c>
      <c r="AQ165" s="335">
        <v>30</v>
      </c>
      <c r="AR165" s="335">
        <v>30</v>
      </c>
      <c r="AS165" s="335">
        <v>30</v>
      </c>
      <c r="AT165" s="335">
        <v>30</v>
      </c>
      <c r="AU165" s="335">
        <v>30</v>
      </c>
      <c r="AV165" s="335">
        <v>30</v>
      </c>
      <c r="AW165" s="335">
        <v>30</v>
      </c>
      <c r="AX165" s="335">
        <v>30</v>
      </c>
      <c r="AY165" s="335">
        <v>30</v>
      </c>
      <c r="AZ165" s="335">
        <v>30</v>
      </c>
      <c r="BA165" s="335">
        <v>30</v>
      </c>
      <c r="BB165" s="335">
        <v>30</v>
      </c>
      <c r="BC165" s="335">
        <v>30</v>
      </c>
      <c r="BD165" s="335">
        <v>30</v>
      </c>
      <c r="BE165" s="335">
        <v>30</v>
      </c>
      <c r="BF165" s="335">
        <v>30</v>
      </c>
      <c r="BG165" s="335">
        <v>30</v>
      </c>
      <c r="BH165" s="335">
        <v>30</v>
      </c>
      <c r="BI165" s="335">
        <v>30</v>
      </c>
      <c r="BJ165" s="335">
        <v>30</v>
      </c>
      <c r="BK165" s="335">
        <v>30</v>
      </c>
      <c r="BL165" s="335">
        <v>30</v>
      </c>
      <c r="BM165" s="335">
        <v>30</v>
      </c>
      <c r="BN165" s="335">
        <v>30</v>
      </c>
      <c r="BO165" s="335">
        <v>30</v>
      </c>
      <c r="BP165" s="335">
        <v>30</v>
      </c>
      <c r="BQ165" s="335">
        <v>30</v>
      </c>
      <c r="BR165" s="335">
        <v>30</v>
      </c>
      <c r="BS165" s="335">
        <v>30</v>
      </c>
      <c r="BT165" s="335">
        <v>30</v>
      </c>
      <c r="BU165" s="335">
        <v>30</v>
      </c>
      <c r="BV165" s="335">
        <v>30</v>
      </c>
      <c r="BW165" s="335">
        <v>30</v>
      </c>
      <c r="BX165" s="335">
        <v>30</v>
      </c>
    </row>
    <row r="166" spans="1:76" hidden="1" outlineLevel="1">
      <c r="B166" s="348">
        <v>2022</v>
      </c>
      <c r="C166" s="348" t="s">
        <v>231</v>
      </c>
      <c r="D166" s="348" t="s">
        <v>41</v>
      </c>
      <c r="E166" s="348" t="s">
        <v>22</v>
      </c>
      <c r="F166" s="335"/>
      <c r="G166" s="335"/>
      <c r="H166" s="335">
        <v>25</v>
      </c>
      <c r="I166" s="335">
        <v>25</v>
      </c>
      <c r="J166" s="335">
        <v>25</v>
      </c>
      <c r="K166" s="335">
        <v>25</v>
      </c>
      <c r="L166" s="335">
        <v>25</v>
      </c>
      <c r="M166" s="335">
        <v>25</v>
      </c>
      <c r="N166" s="335">
        <v>25</v>
      </c>
      <c r="O166" s="335">
        <v>25</v>
      </c>
      <c r="P166" s="335">
        <v>25</v>
      </c>
      <c r="Q166" s="335">
        <v>25</v>
      </c>
      <c r="R166" s="335">
        <v>25</v>
      </c>
      <c r="S166" s="335">
        <v>25</v>
      </c>
      <c r="T166" s="335">
        <v>25</v>
      </c>
      <c r="U166" s="335">
        <v>25</v>
      </c>
      <c r="V166" s="335">
        <v>25</v>
      </c>
      <c r="W166" s="335">
        <v>25</v>
      </c>
      <c r="X166" s="335">
        <v>25</v>
      </c>
      <c r="Y166" s="335">
        <v>25</v>
      </c>
      <c r="Z166" s="335">
        <v>25</v>
      </c>
      <c r="AA166" s="335">
        <v>25</v>
      </c>
      <c r="AB166" s="335">
        <v>25</v>
      </c>
      <c r="AC166" s="335">
        <v>25</v>
      </c>
      <c r="AD166" s="335">
        <v>25</v>
      </c>
      <c r="AE166" s="335">
        <v>25</v>
      </c>
      <c r="AF166" s="335">
        <v>25</v>
      </c>
      <c r="AG166" s="335">
        <v>25</v>
      </c>
      <c r="AH166" s="335">
        <v>25</v>
      </c>
      <c r="AI166" s="335">
        <v>25</v>
      </c>
      <c r="AJ166" s="335">
        <v>25</v>
      </c>
      <c r="AK166" s="335">
        <v>25</v>
      </c>
      <c r="AL166" s="335">
        <v>25</v>
      </c>
      <c r="AM166" s="335">
        <v>25</v>
      </c>
      <c r="AN166" s="335">
        <v>25</v>
      </c>
      <c r="AO166" s="335">
        <v>25</v>
      </c>
      <c r="AP166" s="335">
        <v>25</v>
      </c>
      <c r="AQ166" s="335">
        <v>25</v>
      </c>
      <c r="AR166" s="335">
        <v>25</v>
      </c>
      <c r="AS166" s="335">
        <v>25</v>
      </c>
      <c r="AT166" s="335">
        <v>25</v>
      </c>
      <c r="AU166" s="335">
        <v>25</v>
      </c>
      <c r="AV166" s="335">
        <v>25</v>
      </c>
      <c r="AW166" s="335">
        <v>25</v>
      </c>
      <c r="AX166" s="335">
        <v>25</v>
      </c>
      <c r="AY166" s="335">
        <v>25</v>
      </c>
      <c r="AZ166" s="335">
        <v>25</v>
      </c>
      <c r="BA166" s="335">
        <v>25</v>
      </c>
      <c r="BB166" s="335">
        <v>25</v>
      </c>
      <c r="BC166" s="335">
        <v>25</v>
      </c>
      <c r="BD166" s="335">
        <v>25</v>
      </c>
      <c r="BE166" s="335">
        <v>25</v>
      </c>
      <c r="BF166" s="335">
        <v>25</v>
      </c>
      <c r="BG166" s="335">
        <v>25</v>
      </c>
      <c r="BH166" s="335">
        <v>25</v>
      </c>
      <c r="BI166" s="335">
        <v>25</v>
      </c>
      <c r="BJ166" s="335">
        <v>25</v>
      </c>
      <c r="BK166" s="335">
        <v>25</v>
      </c>
      <c r="BL166" s="335">
        <v>25</v>
      </c>
      <c r="BM166" s="335">
        <v>25</v>
      </c>
      <c r="BN166" s="335">
        <v>25</v>
      </c>
      <c r="BO166" s="335">
        <v>25</v>
      </c>
      <c r="BP166" s="335">
        <v>25</v>
      </c>
      <c r="BQ166" s="335">
        <v>25</v>
      </c>
      <c r="BR166" s="335">
        <v>25</v>
      </c>
      <c r="BS166" s="335">
        <v>25</v>
      </c>
      <c r="BT166" s="335">
        <v>25</v>
      </c>
      <c r="BU166" s="335">
        <v>25</v>
      </c>
      <c r="BV166" s="335">
        <v>25</v>
      </c>
      <c r="BW166" s="335">
        <v>25</v>
      </c>
      <c r="BX166" s="335">
        <v>25</v>
      </c>
    </row>
    <row r="167" spans="1:76" hidden="1" outlineLevel="1">
      <c r="A167" s="355" t="s">
        <v>387</v>
      </c>
      <c r="B167" s="348">
        <v>2020</v>
      </c>
      <c r="C167" s="348" t="s">
        <v>194</v>
      </c>
      <c r="D167" s="348" t="s">
        <v>41</v>
      </c>
      <c r="E167" s="348" t="s">
        <v>23</v>
      </c>
      <c r="F167" s="383">
        <v>17.82</v>
      </c>
      <c r="G167" s="383">
        <v>17.82</v>
      </c>
      <c r="H167" s="383">
        <v>17.82</v>
      </c>
      <c r="I167" s="383">
        <v>17.82</v>
      </c>
      <c r="J167" s="383">
        <v>17.82</v>
      </c>
      <c r="K167" s="383">
        <v>17.82</v>
      </c>
      <c r="L167" s="383">
        <v>17.82</v>
      </c>
      <c r="M167" s="383">
        <v>17.82</v>
      </c>
      <c r="N167" s="383">
        <v>17.82</v>
      </c>
      <c r="O167" s="383">
        <v>17.82</v>
      </c>
      <c r="P167" s="383">
        <v>17.82</v>
      </c>
      <c r="Q167" s="383">
        <v>17.82</v>
      </c>
      <c r="R167" s="383">
        <v>17.82</v>
      </c>
      <c r="S167" s="383">
        <v>17.82</v>
      </c>
      <c r="T167" s="383">
        <v>17.82</v>
      </c>
      <c r="U167" s="383">
        <v>17.82</v>
      </c>
      <c r="V167" s="383">
        <v>17.82</v>
      </c>
      <c r="W167" s="383">
        <v>17.82</v>
      </c>
      <c r="X167" s="383">
        <v>17.82</v>
      </c>
      <c r="Y167" s="383">
        <v>17.82</v>
      </c>
      <c r="Z167" s="383">
        <v>17.82</v>
      </c>
      <c r="AA167" s="383">
        <v>17.82</v>
      </c>
      <c r="AB167" s="383">
        <v>17.82</v>
      </c>
      <c r="AC167" s="383">
        <v>17.82</v>
      </c>
      <c r="AD167" s="383">
        <v>17.82</v>
      </c>
      <c r="AE167" s="383">
        <v>17.82</v>
      </c>
      <c r="AF167" s="383">
        <v>17.82</v>
      </c>
      <c r="AG167" s="383">
        <v>17.82</v>
      </c>
      <c r="AH167" s="383">
        <v>17.82</v>
      </c>
      <c r="AI167" s="383">
        <v>17.82</v>
      </c>
      <c r="AJ167" s="383">
        <v>17.82</v>
      </c>
      <c r="AK167" s="340">
        <v>17.82</v>
      </c>
      <c r="AL167" s="340">
        <v>17.82</v>
      </c>
      <c r="AM167" s="340">
        <v>17.82</v>
      </c>
      <c r="AN167" s="340">
        <v>17.82</v>
      </c>
      <c r="AO167" s="340">
        <v>17.82</v>
      </c>
      <c r="AP167" s="340">
        <v>17.82</v>
      </c>
      <c r="AQ167" s="340">
        <v>17.82</v>
      </c>
      <c r="AR167" s="340">
        <v>17.82</v>
      </c>
      <c r="AS167" s="340">
        <v>17.82</v>
      </c>
      <c r="AT167" s="340">
        <v>17.82</v>
      </c>
      <c r="AU167" s="340">
        <v>17.82</v>
      </c>
      <c r="AV167" s="340">
        <v>17.82</v>
      </c>
      <c r="AW167" s="340">
        <v>17.82</v>
      </c>
      <c r="AX167" s="340">
        <v>17.82</v>
      </c>
      <c r="AY167" s="340">
        <v>17.82</v>
      </c>
      <c r="AZ167" s="340">
        <v>17.82</v>
      </c>
      <c r="BA167" s="340">
        <v>17.82</v>
      </c>
      <c r="BB167" s="340">
        <v>17.82</v>
      </c>
      <c r="BC167" s="340">
        <v>17.82</v>
      </c>
      <c r="BD167" s="340">
        <v>17.82</v>
      </c>
      <c r="BE167" s="340">
        <v>17.82</v>
      </c>
      <c r="BF167" s="340">
        <v>17.82</v>
      </c>
      <c r="BG167" s="340">
        <v>17.82</v>
      </c>
      <c r="BH167" s="340">
        <v>17.82</v>
      </c>
      <c r="BI167" s="340">
        <v>17.82</v>
      </c>
      <c r="BJ167" s="340">
        <v>17.82</v>
      </c>
      <c r="BK167" s="340">
        <v>17.82</v>
      </c>
      <c r="BL167" s="340">
        <v>17.82</v>
      </c>
      <c r="BM167" s="340">
        <v>17.82</v>
      </c>
      <c r="BN167" s="340">
        <v>17.82</v>
      </c>
      <c r="BO167" s="340">
        <v>17.82</v>
      </c>
      <c r="BP167" s="340">
        <v>17.82</v>
      </c>
      <c r="BQ167" s="340">
        <v>17.82</v>
      </c>
      <c r="BR167" s="340">
        <v>17.82</v>
      </c>
      <c r="BS167" s="340">
        <v>17.82</v>
      </c>
      <c r="BT167" s="340">
        <v>17.82</v>
      </c>
      <c r="BU167" s="340">
        <v>17.82</v>
      </c>
      <c r="BV167" s="340">
        <v>17.82</v>
      </c>
      <c r="BW167" s="340">
        <v>17.82</v>
      </c>
      <c r="BX167" s="340">
        <v>17.82</v>
      </c>
    </row>
    <row r="168" spans="1:76" hidden="1" outlineLevel="1">
      <c r="A168" s="355" t="s">
        <v>388</v>
      </c>
      <c r="B168" s="348">
        <v>2020</v>
      </c>
      <c r="C168" s="348" t="s">
        <v>195</v>
      </c>
      <c r="D168" s="348" t="s">
        <v>41</v>
      </c>
      <c r="E168" s="348" t="s">
        <v>24</v>
      </c>
      <c r="F168" s="383">
        <v>17.82</v>
      </c>
      <c r="G168" s="383">
        <v>17.82</v>
      </c>
      <c r="H168" s="383">
        <v>17.82</v>
      </c>
      <c r="I168" s="383">
        <v>17.82</v>
      </c>
      <c r="J168" s="383">
        <v>17.82</v>
      </c>
      <c r="K168" s="383">
        <v>17.82</v>
      </c>
      <c r="L168" s="383">
        <v>17.82</v>
      </c>
      <c r="M168" s="383">
        <v>17.82</v>
      </c>
      <c r="N168" s="383">
        <v>17.82</v>
      </c>
      <c r="O168" s="383">
        <v>17.82</v>
      </c>
      <c r="P168" s="383">
        <v>17.82</v>
      </c>
      <c r="Q168" s="383">
        <v>17.82</v>
      </c>
      <c r="R168" s="383">
        <v>17.82</v>
      </c>
      <c r="S168" s="383">
        <v>17.82</v>
      </c>
      <c r="T168" s="383">
        <v>17.82</v>
      </c>
      <c r="U168" s="383">
        <v>17.82</v>
      </c>
      <c r="V168" s="383">
        <v>17.82</v>
      </c>
      <c r="W168" s="383">
        <v>17.82</v>
      </c>
      <c r="X168" s="383">
        <v>17.82</v>
      </c>
      <c r="Y168" s="383">
        <v>17.82</v>
      </c>
      <c r="Z168" s="383">
        <v>17.82</v>
      </c>
      <c r="AA168" s="383">
        <v>17.82</v>
      </c>
      <c r="AB168" s="383">
        <v>17.82</v>
      </c>
      <c r="AC168" s="383">
        <v>17.82</v>
      </c>
      <c r="AD168" s="383">
        <v>17.82</v>
      </c>
      <c r="AE168" s="383">
        <v>17.82</v>
      </c>
      <c r="AF168" s="383">
        <v>17.82</v>
      </c>
      <c r="AG168" s="383">
        <v>17.82</v>
      </c>
      <c r="AH168" s="383">
        <v>17.82</v>
      </c>
      <c r="AI168" s="383">
        <v>17.82</v>
      </c>
      <c r="AJ168" s="383">
        <v>17.82</v>
      </c>
      <c r="AK168" s="340">
        <v>17.82</v>
      </c>
      <c r="AL168" s="340">
        <v>17.82</v>
      </c>
      <c r="AM168" s="340">
        <v>17.82</v>
      </c>
      <c r="AN168" s="340">
        <v>17.82</v>
      </c>
      <c r="AO168" s="340">
        <v>17.82</v>
      </c>
      <c r="AP168" s="340">
        <v>17.82</v>
      </c>
      <c r="AQ168" s="340">
        <v>17.82</v>
      </c>
      <c r="AR168" s="340">
        <v>17.82</v>
      </c>
      <c r="AS168" s="340">
        <v>17.82</v>
      </c>
      <c r="AT168" s="340">
        <v>17.82</v>
      </c>
      <c r="AU168" s="340">
        <v>17.82</v>
      </c>
      <c r="AV168" s="340">
        <v>17.82</v>
      </c>
      <c r="AW168" s="340">
        <v>17.82</v>
      </c>
      <c r="AX168" s="340">
        <v>17.82</v>
      </c>
      <c r="AY168" s="340">
        <v>17.82</v>
      </c>
      <c r="AZ168" s="340">
        <v>17.82</v>
      </c>
      <c r="BA168" s="340">
        <v>17.82</v>
      </c>
      <c r="BB168" s="340">
        <v>17.82</v>
      </c>
      <c r="BC168" s="340">
        <v>17.82</v>
      </c>
      <c r="BD168" s="340">
        <v>17.82</v>
      </c>
      <c r="BE168" s="340">
        <v>17.82</v>
      </c>
      <c r="BF168" s="340">
        <v>17.82</v>
      </c>
      <c r="BG168" s="340">
        <v>17.82</v>
      </c>
      <c r="BH168" s="340">
        <v>17.82</v>
      </c>
      <c r="BI168" s="340">
        <v>17.82</v>
      </c>
      <c r="BJ168" s="340">
        <v>17.82</v>
      </c>
      <c r="BK168" s="340">
        <v>17.82</v>
      </c>
      <c r="BL168" s="340">
        <v>17.82</v>
      </c>
      <c r="BM168" s="340">
        <v>17.82</v>
      </c>
      <c r="BN168" s="340">
        <v>17.82</v>
      </c>
      <c r="BO168" s="340">
        <v>17.82</v>
      </c>
      <c r="BP168" s="340">
        <v>17.82</v>
      </c>
      <c r="BQ168" s="340">
        <v>17.82</v>
      </c>
      <c r="BR168" s="340">
        <v>17.82</v>
      </c>
      <c r="BS168" s="340">
        <v>17.82</v>
      </c>
      <c r="BT168" s="340">
        <v>17.82</v>
      </c>
      <c r="BU168" s="340">
        <v>17.82</v>
      </c>
      <c r="BV168" s="340">
        <v>17.82</v>
      </c>
      <c r="BW168" s="340">
        <v>17.82</v>
      </c>
      <c r="BX168" s="340">
        <v>17.82</v>
      </c>
    </row>
    <row r="169" spans="1:76" hidden="1" outlineLevel="1">
      <c r="A169" s="355" t="s">
        <v>389</v>
      </c>
      <c r="B169" s="348">
        <v>2020</v>
      </c>
      <c r="C169" s="348" t="s">
        <v>196</v>
      </c>
      <c r="D169" s="348" t="s">
        <v>41</v>
      </c>
      <c r="E169" s="348" t="s">
        <v>25</v>
      </c>
      <c r="F169" s="383">
        <v>17.82</v>
      </c>
      <c r="G169" s="383">
        <v>17.82</v>
      </c>
      <c r="H169" s="383">
        <v>17.82</v>
      </c>
      <c r="I169" s="383">
        <v>17.82</v>
      </c>
      <c r="J169" s="383">
        <v>17.82</v>
      </c>
      <c r="K169" s="383">
        <v>17.82</v>
      </c>
      <c r="L169" s="383">
        <v>17.82</v>
      </c>
      <c r="M169" s="383">
        <v>17.82</v>
      </c>
      <c r="N169" s="383">
        <v>17.82</v>
      </c>
      <c r="O169" s="383">
        <v>17.82</v>
      </c>
      <c r="P169" s="383">
        <v>17.82</v>
      </c>
      <c r="Q169" s="383">
        <v>17.82</v>
      </c>
      <c r="R169" s="383">
        <v>17.82</v>
      </c>
      <c r="S169" s="383">
        <v>17.82</v>
      </c>
      <c r="T169" s="383">
        <v>17.82</v>
      </c>
      <c r="U169" s="383">
        <v>17.82</v>
      </c>
      <c r="V169" s="383">
        <v>17.82</v>
      </c>
      <c r="W169" s="383">
        <v>17.82</v>
      </c>
      <c r="X169" s="383">
        <v>17.82</v>
      </c>
      <c r="Y169" s="383">
        <v>17.82</v>
      </c>
      <c r="Z169" s="383">
        <v>17.82</v>
      </c>
      <c r="AA169" s="383">
        <v>17.82</v>
      </c>
      <c r="AB169" s="383">
        <v>17.82</v>
      </c>
      <c r="AC169" s="383">
        <v>17.82</v>
      </c>
      <c r="AD169" s="383">
        <v>17.82</v>
      </c>
      <c r="AE169" s="383">
        <v>17.82</v>
      </c>
      <c r="AF169" s="383">
        <v>17.82</v>
      </c>
      <c r="AG169" s="383">
        <v>17.82</v>
      </c>
      <c r="AH169" s="383">
        <v>17.82</v>
      </c>
      <c r="AI169" s="383">
        <v>17.82</v>
      </c>
      <c r="AJ169" s="383">
        <v>17.82</v>
      </c>
      <c r="AK169" s="340">
        <v>17.82</v>
      </c>
      <c r="AL169" s="340">
        <v>17.82</v>
      </c>
      <c r="AM169" s="340">
        <v>17.82</v>
      </c>
      <c r="AN169" s="340">
        <v>17.82</v>
      </c>
      <c r="AO169" s="340">
        <v>17.82</v>
      </c>
      <c r="AP169" s="340">
        <v>17.82</v>
      </c>
      <c r="AQ169" s="340">
        <v>17.82</v>
      </c>
      <c r="AR169" s="340">
        <v>17.82</v>
      </c>
      <c r="AS169" s="340">
        <v>17.82</v>
      </c>
      <c r="AT169" s="340">
        <v>17.82</v>
      </c>
      <c r="AU169" s="340">
        <v>17.82</v>
      </c>
      <c r="AV169" s="340">
        <v>17.82</v>
      </c>
      <c r="AW169" s="340">
        <v>17.82</v>
      </c>
      <c r="AX169" s="340">
        <v>17.82</v>
      </c>
      <c r="AY169" s="340">
        <v>17.82</v>
      </c>
      <c r="AZ169" s="340">
        <v>17.82</v>
      </c>
      <c r="BA169" s="340">
        <v>17.82</v>
      </c>
      <c r="BB169" s="340">
        <v>17.82</v>
      </c>
      <c r="BC169" s="340">
        <v>17.82</v>
      </c>
      <c r="BD169" s="340">
        <v>17.82</v>
      </c>
      <c r="BE169" s="340">
        <v>17.82</v>
      </c>
      <c r="BF169" s="340">
        <v>17.82</v>
      </c>
      <c r="BG169" s="340">
        <v>17.82</v>
      </c>
      <c r="BH169" s="340">
        <v>17.82</v>
      </c>
      <c r="BI169" s="340">
        <v>17.82</v>
      </c>
      <c r="BJ169" s="340">
        <v>17.82</v>
      </c>
      <c r="BK169" s="340">
        <v>17.82</v>
      </c>
      <c r="BL169" s="340">
        <v>17.82</v>
      </c>
      <c r="BM169" s="340">
        <v>17.82</v>
      </c>
      <c r="BN169" s="340">
        <v>17.82</v>
      </c>
      <c r="BO169" s="340">
        <v>17.82</v>
      </c>
      <c r="BP169" s="340">
        <v>17.82</v>
      </c>
      <c r="BQ169" s="340">
        <v>17.82</v>
      </c>
      <c r="BR169" s="340">
        <v>17.82</v>
      </c>
      <c r="BS169" s="340">
        <v>17.82</v>
      </c>
      <c r="BT169" s="340">
        <v>17.82</v>
      </c>
      <c r="BU169" s="340">
        <v>17.82</v>
      </c>
      <c r="BV169" s="340">
        <v>17.82</v>
      </c>
      <c r="BW169" s="340">
        <v>17.82</v>
      </c>
      <c r="BX169" s="340">
        <v>17.82</v>
      </c>
    </row>
    <row r="170" spans="1:76" hidden="1" outlineLevel="1">
      <c r="B170" s="349">
        <v>2022</v>
      </c>
      <c r="C170" s="349" t="s">
        <v>231</v>
      </c>
      <c r="D170" s="349" t="s">
        <v>41</v>
      </c>
      <c r="E170" s="349" t="s">
        <v>26</v>
      </c>
      <c r="F170" s="335"/>
      <c r="G170" s="335"/>
      <c r="H170" s="335">
        <v>28.749999999999996</v>
      </c>
      <c r="I170" s="335">
        <v>28.749999999999996</v>
      </c>
      <c r="J170" s="335">
        <v>28.749999999999996</v>
      </c>
      <c r="K170" s="335">
        <v>28.749999999999996</v>
      </c>
      <c r="L170" s="335">
        <v>28.749999999999996</v>
      </c>
      <c r="M170" s="335">
        <v>28.749999999999996</v>
      </c>
      <c r="N170" s="335">
        <v>28.749999999999996</v>
      </c>
      <c r="O170" s="335">
        <v>28.749999999999996</v>
      </c>
      <c r="P170" s="335">
        <v>28.749999999999996</v>
      </c>
      <c r="Q170" s="335">
        <v>28.749999999999996</v>
      </c>
      <c r="R170" s="335">
        <v>28.749999999999996</v>
      </c>
      <c r="S170" s="335">
        <v>28.749999999999996</v>
      </c>
      <c r="T170" s="335">
        <v>28.749999999999996</v>
      </c>
      <c r="U170" s="335">
        <v>28.749999999999996</v>
      </c>
      <c r="V170" s="335">
        <v>28.749999999999996</v>
      </c>
      <c r="W170" s="335">
        <v>28.749999999999996</v>
      </c>
      <c r="X170" s="335">
        <v>28.749999999999996</v>
      </c>
      <c r="Y170" s="335">
        <v>28.749999999999996</v>
      </c>
      <c r="Z170" s="335">
        <v>28.749999999999996</v>
      </c>
      <c r="AA170" s="335">
        <v>28.749999999999996</v>
      </c>
      <c r="AB170" s="335">
        <v>28.749999999999996</v>
      </c>
      <c r="AC170" s="335">
        <v>28.749999999999996</v>
      </c>
      <c r="AD170" s="335">
        <v>28.749999999999996</v>
      </c>
      <c r="AE170" s="335">
        <v>28.749999999999996</v>
      </c>
      <c r="AF170" s="335">
        <v>28.749999999999996</v>
      </c>
      <c r="AG170" s="335">
        <v>28.749999999999996</v>
      </c>
      <c r="AH170" s="335">
        <v>28.749999999999996</v>
      </c>
      <c r="AI170" s="335">
        <v>28.749999999999996</v>
      </c>
      <c r="AJ170" s="335">
        <v>28.749999999999996</v>
      </c>
      <c r="AK170" s="340">
        <v>28.749999999999996</v>
      </c>
      <c r="AL170" s="340">
        <v>28.749999999999996</v>
      </c>
      <c r="AM170" s="340">
        <v>28.749999999999996</v>
      </c>
      <c r="AN170" s="340">
        <v>28.749999999999996</v>
      </c>
      <c r="AO170" s="340">
        <v>28.749999999999996</v>
      </c>
      <c r="AP170" s="340">
        <v>28.749999999999996</v>
      </c>
      <c r="AQ170" s="340">
        <v>28.749999999999996</v>
      </c>
      <c r="AR170" s="340">
        <v>28.749999999999996</v>
      </c>
      <c r="AS170" s="340">
        <v>28.749999999999996</v>
      </c>
      <c r="AT170" s="340">
        <v>28.749999999999996</v>
      </c>
      <c r="AU170" s="340">
        <v>28.749999999999996</v>
      </c>
      <c r="AV170" s="340">
        <v>28.749999999999996</v>
      </c>
      <c r="AW170" s="340">
        <v>28.749999999999996</v>
      </c>
      <c r="AX170" s="340">
        <v>28.749999999999996</v>
      </c>
      <c r="AY170" s="340">
        <v>28.749999999999996</v>
      </c>
      <c r="AZ170" s="340">
        <v>28.749999999999996</v>
      </c>
      <c r="BA170" s="340">
        <v>28.749999999999996</v>
      </c>
      <c r="BB170" s="340">
        <v>28.749999999999996</v>
      </c>
      <c r="BC170" s="340">
        <v>28.749999999999996</v>
      </c>
      <c r="BD170" s="340">
        <v>28.749999999999996</v>
      </c>
      <c r="BE170" s="340">
        <v>28.749999999999996</v>
      </c>
      <c r="BF170" s="340">
        <v>28.749999999999996</v>
      </c>
      <c r="BG170" s="340">
        <v>28.749999999999996</v>
      </c>
      <c r="BH170" s="340">
        <v>28.749999999999996</v>
      </c>
      <c r="BI170" s="340">
        <v>28.749999999999996</v>
      </c>
      <c r="BJ170" s="340">
        <v>28.749999999999996</v>
      </c>
      <c r="BK170" s="340">
        <v>28.749999999999996</v>
      </c>
      <c r="BL170" s="340">
        <v>28.749999999999996</v>
      </c>
      <c r="BM170" s="340">
        <v>28.749999999999996</v>
      </c>
      <c r="BN170" s="340">
        <v>28.749999999999996</v>
      </c>
      <c r="BO170" s="340">
        <v>28.749999999999996</v>
      </c>
      <c r="BP170" s="340">
        <v>28.749999999999996</v>
      </c>
      <c r="BQ170" s="340">
        <v>28.749999999999996</v>
      </c>
      <c r="BR170" s="340">
        <v>28.749999999999996</v>
      </c>
      <c r="BS170" s="340">
        <v>28.749999999999996</v>
      </c>
      <c r="BT170" s="340">
        <v>28.749999999999996</v>
      </c>
      <c r="BU170" s="340">
        <v>28.749999999999996</v>
      </c>
      <c r="BV170" s="340">
        <v>28.749999999999996</v>
      </c>
      <c r="BW170" s="340">
        <v>28.749999999999996</v>
      </c>
      <c r="BX170" s="340">
        <v>28.749999999999996</v>
      </c>
    </row>
    <row r="171" spans="1:76" hidden="1" outlineLevel="1">
      <c r="B171" s="349">
        <v>2022</v>
      </c>
      <c r="C171" s="349" t="s">
        <v>231</v>
      </c>
      <c r="D171" s="349" t="s">
        <v>41</v>
      </c>
      <c r="E171" s="349" t="s">
        <v>27</v>
      </c>
      <c r="F171" s="335"/>
      <c r="G171" s="335"/>
      <c r="H171" s="335">
        <v>5.4854999999999992</v>
      </c>
      <c r="I171" s="335">
        <v>5.4854999999999992</v>
      </c>
      <c r="J171" s="335">
        <v>5.4854999999999992</v>
      </c>
      <c r="K171" s="335">
        <v>5.4854999999999992</v>
      </c>
      <c r="L171" s="335">
        <v>5.4854999999999992</v>
      </c>
      <c r="M171" s="335">
        <v>5.4854999999999992</v>
      </c>
      <c r="N171" s="335">
        <v>5.4854999999999992</v>
      </c>
      <c r="O171" s="335">
        <v>5.4854999999999992</v>
      </c>
      <c r="P171" s="335">
        <v>5.4854999999999992</v>
      </c>
      <c r="Q171" s="335">
        <v>5.4854999999999992</v>
      </c>
      <c r="R171" s="335">
        <v>5.4854999999999992</v>
      </c>
      <c r="S171" s="335">
        <v>5.4854999999999992</v>
      </c>
      <c r="T171" s="335">
        <v>5.4854999999999992</v>
      </c>
      <c r="U171" s="335">
        <v>5.4854999999999992</v>
      </c>
      <c r="V171" s="335">
        <v>5.4854999999999992</v>
      </c>
      <c r="W171" s="335">
        <v>5.4854999999999992</v>
      </c>
      <c r="X171" s="335">
        <v>5.4854999999999992</v>
      </c>
      <c r="Y171" s="335">
        <v>5.4854999999999992</v>
      </c>
      <c r="Z171" s="335">
        <v>5.4854999999999992</v>
      </c>
      <c r="AA171" s="335">
        <v>5.4854999999999992</v>
      </c>
      <c r="AB171" s="335">
        <v>5.4854999999999992</v>
      </c>
      <c r="AC171" s="335">
        <v>5.4854999999999992</v>
      </c>
      <c r="AD171" s="335">
        <v>5.4854999999999992</v>
      </c>
      <c r="AE171" s="335">
        <v>5.4854999999999992</v>
      </c>
      <c r="AF171" s="335">
        <v>5.4854999999999992</v>
      </c>
      <c r="AG171" s="335">
        <v>5.4854999999999992</v>
      </c>
      <c r="AH171" s="335">
        <v>5.4854999999999992</v>
      </c>
      <c r="AI171" s="335">
        <v>5.4854999999999992</v>
      </c>
      <c r="AJ171" s="335">
        <v>5.4854999999999992</v>
      </c>
      <c r="AK171" s="340">
        <v>5.4854999999999992</v>
      </c>
      <c r="AL171" s="340">
        <v>5.4854999999999992</v>
      </c>
      <c r="AM171" s="340">
        <v>5.4854999999999992</v>
      </c>
      <c r="AN171" s="340">
        <v>5.4854999999999992</v>
      </c>
      <c r="AO171" s="340">
        <v>5.4854999999999992</v>
      </c>
      <c r="AP171" s="340">
        <v>5.4854999999999992</v>
      </c>
      <c r="AQ171" s="340">
        <v>5.4854999999999992</v>
      </c>
      <c r="AR171" s="340">
        <v>5.4854999999999992</v>
      </c>
      <c r="AS171" s="340">
        <v>5.4854999999999992</v>
      </c>
      <c r="AT171" s="340">
        <v>5.4854999999999992</v>
      </c>
      <c r="AU171" s="340">
        <v>5.4854999999999992</v>
      </c>
      <c r="AV171" s="340">
        <v>5.4854999999999992</v>
      </c>
      <c r="AW171" s="340">
        <v>5.4854999999999992</v>
      </c>
      <c r="AX171" s="340">
        <v>5.4854999999999992</v>
      </c>
      <c r="AY171" s="340">
        <v>5.4854999999999992</v>
      </c>
      <c r="AZ171" s="340">
        <v>5.4854999999999992</v>
      </c>
      <c r="BA171" s="340">
        <v>5.4854999999999992</v>
      </c>
      <c r="BB171" s="340">
        <v>5.4854999999999992</v>
      </c>
      <c r="BC171" s="340">
        <v>5.4854999999999992</v>
      </c>
      <c r="BD171" s="340">
        <v>5.4854999999999992</v>
      </c>
      <c r="BE171" s="340">
        <v>5.4854999999999992</v>
      </c>
      <c r="BF171" s="340">
        <v>5.4854999999999992</v>
      </c>
      <c r="BG171" s="340">
        <v>5.4854999999999992</v>
      </c>
      <c r="BH171" s="340">
        <v>5.4854999999999992</v>
      </c>
      <c r="BI171" s="340">
        <v>5.4854999999999992</v>
      </c>
      <c r="BJ171" s="340">
        <v>5.4854999999999992</v>
      </c>
      <c r="BK171" s="340">
        <v>5.4854999999999992</v>
      </c>
      <c r="BL171" s="340">
        <v>5.4854999999999992</v>
      </c>
      <c r="BM171" s="340">
        <v>5.4854999999999992</v>
      </c>
      <c r="BN171" s="340">
        <v>5.4854999999999992</v>
      </c>
      <c r="BO171" s="340">
        <v>5.4854999999999992</v>
      </c>
      <c r="BP171" s="340">
        <v>5.4854999999999992</v>
      </c>
      <c r="BQ171" s="340">
        <v>5.4854999999999992</v>
      </c>
      <c r="BR171" s="340">
        <v>5.4854999999999992</v>
      </c>
      <c r="BS171" s="340">
        <v>5.4854999999999992</v>
      </c>
      <c r="BT171" s="340">
        <v>5.4854999999999992</v>
      </c>
      <c r="BU171" s="340">
        <v>5.4854999999999992</v>
      </c>
      <c r="BV171" s="340">
        <v>5.4854999999999992</v>
      </c>
      <c r="BW171" s="340">
        <v>5.4854999999999992</v>
      </c>
      <c r="BX171" s="340">
        <v>5.4854999999999992</v>
      </c>
    </row>
    <row r="172" spans="1:76" hidden="1" outlineLevel="1">
      <c r="B172" s="349">
        <v>2022</v>
      </c>
      <c r="C172" s="349" t="s">
        <v>231</v>
      </c>
      <c r="D172" s="349" t="s">
        <v>41</v>
      </c>
      <c r="E172" s="349" t="s">
        <v>28</v>
      </c>
      <c r="F172" s="335"/>
      <c r="G172" s="335"/>
      <c r="H172" s="335">
        <v>5.4854999999999992</v>
      </c>
      <c r="I172" s="335">
        <v>5.4854999999999992</v>
      </c>
      <c r="J172" s="335">
        <v>5.4854999999999992</v>
      </c>
      <c r="K172" s="335">
        <v>5.4854999999999992</v>
      </c>
      <c r="L172" s="335">
        <v>5.4854999999999992</v>
      </c>
      <c r="M172" s="335">
        <v>5.4854999999999992</v>
      </c>
      <c r="N172" s="335">
        <v>5.4854999999999992</v>
      </c>
      <c r="O172" s="335">
        <v>5.4854999999999992</v>
      </c>
      <c r="P172" s="335">
        <v>5.4854999999999992</v>
      </c>
      <c r="Q172" s="335">
        <v>5.4854999999999992</v>
      </c>
      <c r="R172" s="335">
        <v>5.4854999999999992</v>
      </c>
      <c r="S172" s="335">
        <v>5.4854999999999992</v>
      </c>
      <c r="T172" s="335">
        <v>5.4854999999999992</v>
      </c>
      <c r="U172" s="335">
        <v>5.4854999999999992</v>
      </c>
      <c r="V172" s="335">
        <v>5.4854999999999992</v>
      </c>
      <c r="W172" s="335">
        <v>5.4854999999999992</v>
      </c>
      <c r="X172" s="335">
        <v>5.4854999999999992</v>
      </c>
      <c r="Y172" s="335">
        <v>5.4854999999999992</v>
      </c>
      <c r="Z172" s="335">
        <v>5.4854999999999992</v>
      </c>
      <c r="AA172" s="335">
        <v>5.4854999999999992</v>
      </c>
      <c r="AB172" s="335">
        <v>5.4854999999999992</v>
      </c>
      <c r="AC172" s="335">
        <v>5.4854999999999992</v>
      </c>
      <c r="AD172" s="335">
        <v>5.4854999999999992</v>
      </c>
      <c r="AE172" s="335">
        <v>5.4854999999999992</v>
      </c>
      <c r="AF172" s="335">
        <v>5.4854999999999992</v>
      </c>
      <c r="AG172" s="335">
        <v>5.4854999999999992</v>
      </c>
      <c r="AH172" s="335">
        <v>5.4854999999999992</v>
      </c>
      <c r="AI172" s="335">
        <v>5.4854999999999992</v>
      </c>
      <c r="AJ172" s="335">
        <v>5.4854999999999992</v>
      </c>
      <c r="AK172" s="340">
        <v>5.4854999999999992</v>
      </c>
      <c r="AL172" s="340">
        <v>5.4854999999999992</v>
      </c>
      <c r="AM172" s="340">
        <v>5.4854999999999992</v>
      </c>
      <c r="AN172" s="340">
        <v>5.4854999999999992</v>
      </c>
      <c r="AO172" s="340">
        <v>5.4854999999999992</v>
      </c>
      <c r="AP172" s="340">
        <v>5.4854999999999992</v>
      </c>
      <c r="AQ172" s="340">
        <v>5.4854999999999992</v>
      </c>
      <c r="AR172" s="340">
        <v>5.4854999999999992</v>
      </c>
      <c r="AS172" s="340">
        <v>5.4854999999999992</v>
      </c>
      <c r="AT172" s="340">
        <v>5.4854999999999992</v>
      </c>
      <c r="AU172" s="340">
        <v>5.4854999999999992</v>
      </c>
      <c r="AV172" s="340">
        <v>5.4854999999999992</v>
      </c>
      <c r="AW172" s="340">
        <v>5.4854999999999992</v>
      </c>
      <c r="AX172" s="340">
        <v>5.4854999999999992</v>
      </c>
      <c r="AY172" s="340">
        <v>5.4854999999999992</v>
      </c>
      <c r="AZ172" s="340">
        <v>5.4854999999999992</v>
      </c>
      <c r="BA172" s="340">
        <v>5.4854999999999992</v>
      </c>
      <c r="BB172" s="340">
        <v>5.4854999999999992</v>
      </c>
      <c r="BC172" s="340">
        <v>5.4854999999999992</v>
      </c>
      <c r="BD172" s="340">
        <v>5.4854999999999992</v>
      </c>
      <c r="BE172" s="340">
        <v>5.4854999999999992</v>
      </c>
      <c r="BF172" s="340">
        <v>5.4854999999999992</v>
      </c>
      <c r="BG172" s="340">
        <v>5.4854999999999992</v>
      </c>
      <c r="BH172" s="340">
        <v>5.4854999999999992</v>
      </c>
      <c r="BI172" s="340">
        <v>5.4854999999999992</v>
      </c>
      <c r="BJ172" s="340">
        <v>5.4854999999999992</v>
      </c>
      <c r="BK172" s="340">
        <v>5.4854999999999992</v>
      </c>
      <c r="BL172" s="340">
        <v>5.4854999999999992</v>
      </c>
      <c r="BM172" s="340">
        <v>5.4854999999999992</v>
      </c>
      <c r="BN172" s="340">
        <v>5.4854999999999992</v>
      </c>
      <c r="BO172" s="340">
        <v>5.4854999999999992</v>
      </c>
      <c r="BP172" s="340">
        <v>5.4854999999999992</v>
      </c>
      <c r="BQ172" s="340">
        <v>5.4854999999999992</v>
      </c>
      <c r="BR172" s="340">
        <v>5.4854999999999992</v>
      </c>
      <c r="BS172" s="340">
        <v>5.4854999999999992</v>
      </c>
      <c r="BT172" s="340">
        <v>5.4854999999999992</v>
      </c>
      <c r="BU172" s="340">
        <v>5.4854999999999992</v>
      </c>
      <c r="BV172" s="340">
        <v>5.4854999999999992</v>
      </c>
      <c r="BW172" s="340">
        <v>5.4854999999999992</v>
      </c>
      <c r="BX172" s="340">
        <v>5.4854999999999992</v>
      </c>
    </row>
    <row r="173" spans="1:76" hidden="1" outlineLevel="1">
      <c r="A173" s="38" t="s">
        <v>357</v>
      </c>
      <c r="B173" s="352">
        <v>2020</v>
      </c>
      <c r="C173" s="352" t="s">
        <v>190</v>
      </c>
      <c r="D173" s="352" t="s">
        <v>41</v>
      </c>
      <c r="E173" s="352" t="s">
        <v>130</v>
      </c>
      <c r="F173" s="383">
        <v>29.295961999999999</v>
      </c>
      <c r="G173" s="383">
        <v>28.973695854980193</v>
      </c>
      <c r="H173" s="383">
        <v>27.227838866776466</v>
      </c>
      <c r="I173" s="383">
        <v>25.481981878572736</v>
      </c>
      <c r="J173" s="383">
        <v>23.736124890369009</v>
      </c>
      <c r="K173" s="383">
        <v>21.990267902165286</v>
      </c>
      <c r="L173" s="383">
        <v>20.244410913961559</v>
      </c>
      <c r="M173" s="383">
        <v>18.498553925757832</v>
      </c>
      <c r="N173" s="383">
        <v>16.752696937554106</v>
      </c>
      <c r="O173" s="383">
        <v>15.006839949350381</v>
      </c>
      <c r="P173" s="383">
        <v>13.260982961146656</v>
      </c>
      <c r="Q173" s="383">
        <v>13.152605425931542</v>
      </c>
      <c r="R173" s="383">
        <v>13.044227890716426</v>
      </c>
      <c r="S173" s="383">
        <v>12.93585035550131</v>
      </c>
      <c r="T173" s="383">
        <v>12.827472820286197</v>
      </c>
      <c r="U173" s="383">
        <v>12.719095285071081</v>
      </c>
      <c r="V173" s="383">
        <v>12.610717749855965</v>
      </c>
      <c r="W173" s="383">
        <v>12.502340214640851</v>
      </c>
      <c r="X173" s="383">
        <v>12.393962679425735</v>
      </c>
      <c r="Y173" s="383">
        <v>12.285585144210621</v>
      </c>
      <c r="Z173" s="383">
        <v>12.177207608995506</v>
      </c>
      <c r="AA173" s="383">
        <v>12.06883007378039</v>
      </c>
      <c r="AB173" s="383">
        <v>11.960452538565276</v>
      </c>
      <c r="AC173" s="383">
        <v>11.85207500335016</v>
      </c>
      <c r="AD173" s="383">
        <v>11.743697468135045</v>
      </c>
      <c r="AE173" s="383">
        <v>11.635319932919931</v>
      </c>
      <c r="AF173" s="383">
        <v>11.526942397704815</v>
      </c>
      <c r="AG173" s="383">
        <v>11.418564862489701</v>
      </c>
      <c r="AH173" s="383">
        <v>11.310187327274585</v>
      </c>
      <c r="AI173" s="383">
        <v>11.201809792059469</v>
      </c>
      <c r="AJ173" s="383">
        <v>11.093432256844359</v>
      </c>
      <c r="AK173" s="340"/>
      <c r="AL173" s="340"/>
      <c r="AM173" s="340"/>
      <c r="AN173" s="340"/>
      <c r="AO173" s="340"/>
      <c r="AP173" s="340"/>
      <c r="AQ173" s="340"/>
      <c r="AR173" s="340"/>
      <c r="AS173" s="340"/>
      <c r="AT173" s="340"/>
      <c r="AU173" s="340"/>
      <c r="AV173" s="340"/>
      <c r="AW173" s="340"/>
      <c r="AX173" s="340"/>
      <c r="AY173" s="340"/>
      <c r="AZ173" s="340"/>
      <c r="BA173" s="340"/>
      <c r="BB173" s="340"/>
      <c r="BC173" s="340"/>
      <c r="BD173" s="340"/>
      <c r="BE173" s="340"/>
      <c r="BF173" s="340"/>
      <c r="BG173" s="340"/>
      <c r="BH173" s="340"/>
      <c r="BI173" s="340"/>
      <c r="BJ173" s="340"/>
      <c r="BK173" s="340"/>
      <c r="BL173" s="340"/>
      <c r="BM173" s="340"/>
      <c r="BN173" s="340"/>
      <c r="BO173" s="340"/>
      <c r="BP173" s="340"/>
      <c r="BQ173" s="340"/>
      <c r="BR173" s="340"/>
      <c r="BS173" s="340"/>
      <c r="BT173" s="340"/>
      <c r="BU173" s="340"/>
      <c r="BV173" s="340"/>
      <c r="BW173" s="340"/>
      <c r="BX173" s="340"/>
    </row>
    <row r="174" spans="1:76" hidden="1" outlineLevel="1">
      <c r="B174" s="352">
        <v>2020</v>
      </c>
      <c r="C174" s="352" t="str">
        <f>C173</f>
        <v>NREL Residential PV - Class 8</v>
      </c>
      <c r="D174" s="352" t="s">
        <v>41</v>
      </c>
      <c r="E174" s="352" t="s">
        <v>172</v>
      </c>
      <c r="F174" s="341">
        <f>F173</f>
        <v>29.295961999999999</v>
      </c>
      <c r="G174" s="341">
        <f t="shared" ref="G174:BR174" si="292">G173</f>
        <v>28.973695854980193</v>
      </c>
      <c r="H174" s="341">
        <f t="shared" si="292"/>
        <v>27.227838866776466</v>
      </c>
      <c r="I174" s="341">
        <f t="shared" si="292"/>
        <v>25.481981878572736</v>
      </c>
      <c r="J174" s="341">
        <f t="shared" si="292"/>
        <v>23.736124890369009</v>
      </c>
      <c r="K174" s="341">
        <f t="shared" si="292"/>
        <v>21.990267902165286</v>
      </c>
      <c r="L174" s="341">
        <f t="shared" si="292"/>
        <v>20.244410913961559</v>
      </c>
      <c r="M174" s="341">
        <f t="shared" si="292"/>
        <v>18.498553925757832</v>
      </c>
      <c r="N174" s="341">
        <f t="shared" si="292"/>
        <v>16.752696937554106</v>
      </c>
      <c r="O174" s="341">
        <f t="shared" si="292"/>
        <v>15.006839949350381</v>
      </c>
      <c r="P174" s="341">
        <f t="shared" si="292"/>
        <v>13.260982961146656</v>
      </c>
      <c r="Q174" s="341">
        <f t="shared" si="292"/>
        <v>13.152605425931542</v>
      </c>
      <c r="R174" s="341">
        <f t="shared" si="292"/>
        <v>13.044227890716426</v>
      </c>
      <c r="S174" s="341">
        <f t="shared" si="292"/>
        <v>12.93585035550131</v>
      </c>
      <c r="T174" s="341">
        <f t="shared" si="292"/>
        <v>12.827472820286197</v>
      </c>
      <c r="U174" s="341">
        <f t="shared" si="292"/>
        <v>12.719095285071081</v>
      </c>
      <c r="V174" s="341">
        <f t="shared" si="292"/>
        <v>12.610717749855965</v>
      </c>
      <c r="W174" s="341">
        <f t="shared" si="292"/>
        <v>12.502340214640851</v>
      </c>
      <c r="X174" s="341">
        <f t="shared" si="292"/>
        <v>12.393962679425735</v>
      </c>
      <c r="Y174" s="341">
        <f t="shared" si="292"/>
        <v>12.285585144210621</v>
      </c>
      <c r="Z174" s="341">
        <f t="shared" si="292"/>
        <v>12.177207608995506</v>
      </c>
      <c r="AA174" s="341">
        <f t="shared" si="292"/>
        <v>12.06883007378039</v>
      </c>
      <c r="AB174" s="341">
        <f t="shared" si="292"/>
        <v>11.960452538565276</v>
      </c>
      <c r="AC174" s="341">
        <f t="shared" si="292"/>
        <v>11.85207500335016</v>
      </c>
      <c r="AD174" s="341">
        <f t="shared" si="292"/>
        <v>11.743697468135045</v>
      </c>
      <c r="AE174" s="341">
        <f t="shared" si="292"/>
        <v>11.635319932919931</v>
      </c>
      <c r="AF174" s="341">
        <f t="shared" si="292"/>
        <v>11.526942397704815</v>
      </c>
      <c r="AG174" s="341">
        <f t="shared" si="292"/>
        <v>11.418564862489701</v>
      </c>
      <c r="AH174" s="341">
        <f t="shared" si="292"/>
        <v>11.310187327274585</v>
      </c>
      <c r="AI174" s="341">
        <f t="shared" si="292"/>
        <v>11.201809792059469</v>
      </c>
      <c r="AJ174" s="341">
        <f t="shared" si="292"/>
        <v>11.093432256844359</v>
      </c>
      <c r="AK174" s="341">
        <f t="shared" si="292"/>
        <v>0</v>
      </c>
      <c r="AL174" s="341">
        <f t="shared" si="292"/>
        <v>0</v>
      </c>
      <c r="AM174" s="341">
        <f t="shared" si="292"/>
        <v>0</v>
      </c>
      <c r="AN174" s="341">
        <f t="shared" si="292"/>
        <v>0</v>
      </c>
      <c r="AO174" s="341">
        <f t="shared" si="292"/>
        <v>0</v>
      </c>
      <c r="AP174" s="341">
        <f t="shared" si="292"/>
        <v>0</v>
      </c>
      <c r="AQ174" s="341">
        <f t="shared" si="292"/>
        <v>0</v>
      </c>
      <c r="AR174" s="341">
        <f t="shared" si="292"/>
        <v>0</v>
      </c>
      <c r="AS174" s="341">
        <f t="shared" si="292"/>
        <v>0</v>
      </c>
      <c r="AT174" s="341">
        <f t="shared" si="292"/>
        <v>0</v>
      </c>
      <c r="AU174" s="341">
        <f t="shared" si="292"/>
        <v>0</v>
      </c>
      <c r="AV174" s="341">
        <f t="shared" si="292"/>
        <v>0</v>
      </c>
      <c r="AW174" s="341">
        <f t="shared" si="292"/>
        <v>0</v>
      </c>
      <c r="AX174" s="341">
        <f t="shared" si="292"/>
        <v>0</v>
      </c>
      <c r="AY174" s="341">
        <f t="shared" si="292"/>
        <v>0</v>
      </c>
      <c r="AZ174" s="341">
        <f t="shared" si="292"/>
        <v>0</v>
      </c>
      <c r="BA174" s="341">
        <f t="shared" si="292"/>
        <v>0</v>
      </c>
      <c r="BB174" s="341">
        <f t="shared" si="292"/>
        <v>0</v>
      </c>
      <c r="BC174" s="341">
        <f t="shared" si="292"/>
        <v>0</v>
      </c>
      <c r="BD174" s="341">
        <f t="shared" si="292"/>
        <v>0</v>
      </c>
      <c r="BE174" s="341">
        <f t="shared" si="292"/>
        <v>0</v>
      </c>
      <c r="BF174" s="341">
        <f t="shared" si="292"/>
        <v>0</v>
      </c>
      <c r="BG174" s="341">
        <f t="shared" si="292"/>
        <v>0</v>
      </c>
      <c r="BH174" s="341">
        <f t="shared" si="292"/>
        <v>0</v>
      </c>
      <c r="BI174" s="341">
        <f t="shared" si="292"/>
        <v>0</v>
      </c>
      <c r="BJ174" s="341">
        <f t="shared" si="292"/>
        <v>0</v>
      </c>
      <c r="BK174" s="341">
        <f t="shared" si="292"/>
        <v>0</v>
      </c>
      <c r="BL174" s="341">
        <f t="shared" si="292"/>
        <v>0</v>
      </c>
      <c r="BM174" s="341">
        <f t="shared" si="292"/>
        <v>0</v>
      </c>
      <c r="BN174" s="341">
        <f t="shared" si="292"/>
        <v>0</v>
      </c>
      <c r="BO174" s="341">
        <f t="shared" si="292"/>
        <v>0</v>
      </c>
      <c r="BP174" s="341">
        <f t="shared" si="292"/>
        <v>0</v>
      </c>
      <c r="BQ174" s="341">
        <f t="shared" si="292"/>
        <v>0</v>
      </c>
      <c r="BR174" s="341">
        <f t="shared" si="292"/>
        <v>0</v>
      </c>
      <c r="BS174" s="341">
        <f t="shared" ref="BS174:BX174" si="293">BS173</f>
        <v>0</v>
      </c>
      <c r="BT174" s="341">
        <f t="shared" si="293"/>
        <v>0</v>
      </c>
      <c r="BU174" s="341">
        <f t="shared" si="293"/>
        <v>0</v>
      </c>
      <c r="BV174" s="341">
        <f t="shared" si="293"/>
        <v>0</v>
      </c>
      <c r="BW174" s="341">
        <f t="shared" si="293"/>
        <v>0</v>
      </c>
      <c r="BX174" s="341">
        <f t="shared" si="293"/>
        <v>0</v>
      </c>
    </row>
    <row r="175" spans="1:76" hidden="1" outlineLevel="1">
      <c r="A175" s="355" t="s">
        <v>393</v>
      </c>
      <c r="B175" s="352">
        <v>2020</v>
      </c>
      <c r="C175" s="352" t="s">
        <v>191</v>
      </c>
      <c r="D175" s="352" t="s">
        <v>41</v>
      </c>
      <c r="E175" s="352" t="s">
        <v>175</v>
      </c>
      <c r="F175" s="384">
        <v>93.660152825328879</v>
      </c>
      <c r="G175" s="384">
        <v>87.909514267412931</v>
      </c>
      <c r="H175" s="384">
        <v>81.662226845568284</v>
      </c>
      <c r="I175" s="384">
        <v>75.869041122940857</v>
      </c>
      <c r="J175" s="384">
        <v>70.43115856971211</v>
      </c>
      <c r="K175" s="384">
        <v>65.271063006774284</v>
      </c>
      <c r="L175" s="384">
        <v>62.631423357593178</v>
      </c>
      <c r="M175" s="384">
        <v>60.288747677082426</v>
      </c>
      <c r="N175" s="384">
        <v>58.277402425614731</v>
      </c>
      <c r="O175" s="384">
        <v>56.352897470882432</v>
      </c>
      <c r="P175" s="384">
        <v>54.61091962282233</v>
      </c>
      <c r="Q175" s="384">
        <v>53.94304109545476</v>
      </c>
      <c r="R175" s="384">
        <v>53.260412604010781</v>
      </c>
      <c r="S175" s="384">
        <v>52.577784112566761</v>
      </c>
      <c r="T175" s="384">
        <v>51.895155621122846</v>
      </c>
      <c r="U175" s="384">
        <v>51.212527129678783</v>
      </c>
      <c r="V175" s="384">
        <v>50.529898638234883</v>
      </c>
      <c r="W175" s="384">
        <v>49.847270146790834</v>
      </c>
      <c r="X175" s="384">
        <v>49.164641655346863</v>
      </c>
      <c r="Y175" s="384">
        <v>48.482013163902835</v>
      </c>
      <c r="Z175" s="384">
        <v>47.799384672458871</v>
      </c>
      <c r="AA175" s="384">
        <v>47.116756181014793</v>
      </c>
      <c r="AB175" s="384">
        <v>46.434127689570886</v>
      </c>
      <c r="AC175" s="384">
        <v>45.751499198126808</v>
      </c>
      <c r="AD175" s="384">
        <v>45.068870706682844</v>
      </c>
      <c r="AE175" s="384">
        <v>44.386242215238802</v>
      </c>
      <c r="AF175" s="384">
        <v>43.703613723794859</v>
      </c>
      <c r="AG175" s="384">
        <v>43.020985232350817</v>
      </c>
      <c r="AH175" s="384">
        <v>42.33835674090686</v>
      </c>
      <c r="AI175" s="384">
        <v>41.655728249462911</v>
      </c>
      <c r="AJ175" s="384">
        <v>40.95818971711676</v>
      </c>
      <c r="AK175" s="340"/>
      <c r="AL175" s="340"/>
      <c r="AM175" s="340"/>
      <c r="AN175" s="340"/>
      <c r="AO175" s="340"/>
      <c r="AP175" s="340"/>
      <c r="AQ175" s="340"/>
      <c r="AR175" s="340"/>
      <c r="AS175" s="340"/>
      <c r="AT175" s="340"/>
      <c r="AU175" s="340"/>
      <c r="AV175" s="340"/>
      <c r="AW175" s="340"/>
      <c r="AX175" s="340"/>
      <c r="AY175" s="340"/>
      <c r="AZ175" s="340"/>
      <c r="BA175" s="340"/>
      <c r="BB175" s="340"/>
      <c r="BC175" s="340"/>
      <c r="BD175" s="340"/>
      <c r="BE175" s="340"/>
      <c r="BF175" s="340"/>
      <c r="BG175" s="340"/>
      <c r="BH175" s="340"/>
      <c r="BI175" s="340"/>
      <c r="BJ175" s="340"/>
      <c r="BK175" s="340"/>
      <c r="BL175" s="340"/>
      <c r="BM175" s="340"/>
      <c r="BN175" s="340"/>
      <c r="BO175" s="340"/>
      <c r="BP175" s="340"/>
      <c r="BQ175" s="340"/>
      <c r="BR175" s="340"/>
      <c r="BS175" s="340"/>
      <c r="BT175" s="340"/>
      <c r="BU175" s="340"/>
      <c r="BV175" s="340"/>
      <c r="BW175" s="340"/>
      <c r="BX175" s="340"/>
    </row>
    <row r="176" spans="1:76" hidden="1" outlineLevel="1">
      <c r="B176" s="352">
        <v>2020</v>
      </c>
      <c r="C176" s="352" t="str">
        <f>C173</f>
        <v>NREL Residential PV - Class 8</v>
      </c>
      <c r="D176" s="352" t="s">
        <v>41</v>
      </c>
      <c r="E176" s="352" t="s">
        <v>131</v>
      </c>
      <c r="F176" s="341">
        <f>F173</f>
        <v>29.295961999999999</v>
      </c>
      <c r="G176" s="341">
        <f t="shared" ref="G176:BR176" si="294">G173</f>
        <v>28.973695854980193</v>
      </c>
      <c r="H176" s="341">
        <f t="shared" si="294"/>
        <v>27.227838866776466</v>
      </c>
      <c r="I176" s="341">
        <f t="shared" si="294"/>
        <v>25.481981878572736</v>
      </c>
      <c r="J176" s="341">
        <f t="shared" si="294"/>
        <v>23.736124890369009</v>
      </c>
      <c r="K176" s="341">
        <f t="shared" si="294"/>
        <v>21.990267902165286</v>
      </c>
      <c r="L176" s="341">
        <f t="shared" si="294"/>
        <v>20.244410913961559</v>
      </c>
      <c r="M176" s="341">
        <f t="shared" si="294"/>
        <v>18.498553925757832</v>
      </c>
      <c r="N176" s="341">
        <f t="shared" si="294"/>
        <v>16.752696937554106</v>
      </c>
      <c r="O176" s="341">
        <f t="shared" si="294"/>
        <v>15.006839949350381</v>
      </c>
      <c r="P176" s="341">
        <f t="shared" si="294"/>
        <v>13.260982961146656</v>
      </c>
      <c r="Q176" s="341">
        <f t="shared" si="294"/>
        <v>13.152605425931542</v>
      </c>
      <c r="R176" s="341">
        <f t="shared" si="294"/>
        <v>13.044227890716426</v>
      </c>
      <c r="S176" s="341">
        <f t="shared" si="294"/>
        <v>12.93585035550131</v>
      </c>
      <c r="T176" s="341">
        <f t="shared" si="294"/>
        <v>12.827472820286197</v>
      </c>
      <c r="U176" s="341">
        <f t="shared" si="294"/>
        <v>12.719095285071081</v>
      </c>
      <c r="V176" s="341">
        <f t="shared" si="294"/>
        <v>12.610717749855965</v>
      </c>
      <c r="W176" s="341">
        <f t="shared" si="294"/>
        <v>12.502340214640851</v>
      </c>
      <c r="X176" s="341">
        <f t="shared" si="294"/>
        <v>12.393962679425735</v>
      </c>
      <c r="Y176" s="341">
        <f t="shared" si="294"/>
        <v>12.285585144210621</v>
      </c>
      <c r="Z176" s="341">
        <f t="shared" si="294"/>
        <v>12.177207608995506</v>
      </c>
      <c r="AA176" s="341">
        <f t="shared" si="294"/>
        <v>12.06883007378039</v>
      </c>
      <c r="AB176" s="341">
        <f t="shared" si="294"/>
        <v>11.960452538565276</v>
      </c>
      <c r="AC176" s="341">
        <f t="shared" si="294"/>
        <v>11.85207500335016</v>
      </c>
      <c r="AD176" s="341">
        <f t="shared" si="294"/>
        <v>11.743697468135045</v>
      </c>
      <c r="AE176" s="341">
        <f t="shared" si="294"/>
        <v>11.635319932919931</v>
      </c>
      <c r="AF176" s="341">
        <f t="shared" si="294"/>
        <v>11.526942397704815</v>
      </c>
      <c r="AG176" s="341">
        <f t="shared" si="294"/>
        <v>11.418564862489701</v>
      </c>
      <c r="AH176" s="341">
        <f t="shared" si="294"/>
        <v>11.310187327274585</v>
      </c>
      <c r="AI176" s="341">
        <f t="shared" si="294"/>
        <v>11.201809792059469</v>
      </c>
      <c r="AJ176" s="341">
        <f t="shared" si="294"/>
        <v>11.093432256844359</v>
      </c>
      <c r="AK176" s="341">
        <f t="shared" si="294"/>
        <v>0</v>
      </c>
      <c r="AL176" s="341">
        <f t="shared" si="294"/>
        <v>0</v>
      </c>
      <c r="AM176" s="341">
        <f t="shared" si="294"/>
        <v>0</v>
      </c>
      <c r="AN176" s="341">
        <f t="shared" si="294"/>
        <v>0</v>
      </c>
      <c r="AO176" s="341">
        <f t="shared" si="294"/>
        <v>0</v>
      </c>
      <c r="AP176" s="341">
        <f t="shared" si="294"/>
        <v>0</v>
      </c>
      <c r="AQ176" s="341">
        <f t="shared" si="294"/>
        <v>0</v>
      </c>
      <c r="AR176" s="341">
        <f t="shared" si="294"/>
        <v>0</v>
      </c>
      <c r="AS176" s="341">
        <f t="shared" si="294"/>
        <v>0</v>
      </c>
      <c r="AT176" s="341">
        <f t="shared" si="294"/>
        <v>0</v>
      </c>
      <c r="AU176" s="341">
        <f t="shared" si="294"/>
        <v>0</v>
      </c>
      <c r="AV176" s="341">
        <f t="shared" si="294"/>
        <v>0</v>
      </c>
      <c r="AW176" s="341">
        <f t="shared" si="294"/>
        <v>0</v>
      </c>
      <c r="AX176" s="341">
        <f t="shared" si="294"/>
        <v>0</v>
      </c>
      <c r="AY176" s="341">
        <f t="shared" si="294"/>
        <v>0</v>
      </c>
      <c r="AZ176" s="341">
        <f t="shared" si="294"/>
        <v>0</v>
      </c>
      <c r="BA176" s="341">
        <f t="shared" si="294"/>
        <v>0</v>
      </c>
      <c r="BB176" s="341">
        <f t="shared" si="294"/>
        <v>0</v>
      </c>
      <c r="BC176" s="341">
        <f t="shared" si="294"/>
        <v>0</v>
      </c>
      <c r="BD176" s="341">
        <f t="shared" si="294"/>
        <v>0</v>
      </c>
      <c r="BE176" s="341">
        <f t="shared" si="294"/>
        <v>0</v>
      </c>
      <c r="BF176" s="341">
        <f t="shared" si="294"/>
        <v>0</v>
      </c>
      <c r="BG176" s="341">
        <f t="shared" si="294"/>
        <v>0</v>
      </c>
      <c r="BH176" s="341">
        <f t="shared" si="294"/>
        <v>0</v>
      </c>
      <c r="BI176" s="341">
        <f t="shared" si="294"/>
        <v>0</v>
      </c>
      <c r="BJ176" s="341">
        <f t="shared" si="294"/>
        <v>0</v>
      </c>
      <c r="BK176" s="341">
        <f t="shared" si="294"/>
        <v>0</v>
      </c>
      <c r="BL176" s="341">
        <f t="shared" si="294"/>
        <v>0</v>
      </c>
      <c r="BM176" s="341">
        <f t="shared" si="294"/>
        <v>0</v>
      </c>
      <c r="BN176" s="341">
        <f t="shared" si="294"/>
        <v>0</v>
      </c>
      <c r="BO176" s="341">
        <f t="shared" si="294"/>
        <v>0</v>
      </c>
      <c r="BP176" s="341">
        <f t="shared" si="294"/>
        <v>0</v>
      </c>
      <c r="BQ176" s="341">
        <f t="shared" si="294"/>
        <v>0</v>
      </c>
      <c r="BR176" s="341">
        <f t="shared" si="294"/>
        <v>0</v>
      </c>
      <c r="BS176" s="341">
        <f t="shared" ref="BS176:BX176" si="295">BS173</f>
        <v>0</v>
      </c>
      <c r="BT176" s="341">
        <f t="shared" si="295"/>
        <v>0</v>
      </c>
      <c r="BU176" s="341">
        <f t="shared" si="295"/>
        <v>0</v>
      </c>
      <c r="BV176" s="341">
        <f t="shared" si="295"/>
        <v>0</v>
      </c>
      <c r="BW176" s="341">
        <f t="shared" si="295"/>
        <v>0</v>
      </c>
      <c r="BX176" s="341">
        <f t="shared" si="295"/>
        <v>0</v>
      </c>
    </row>
    <row r="177" spans="1:76" hidden="1" outlineLevel="1">
      <c r="B177" s="352">
        <v>2020</v>
      </c>
      <c r="C177" s="352" t="str">
        <f>C176</f>
        <v>NREL Residential PV - Class 8</v>
      </c>
      <c r="D177" s="352" t="s">
        <v>41</v>
      </c>
      <c r="E177" s="352" t="s">
        <v>173</v>
      </c>
      <c r="F177" s="341">
        <f>F176</f>
        <v>29.295961999999999</v>
      </c>
      <c r="G177" s="341">
        <f t="shared" ref="G177:BR177" si="296">G176</f>
        <v>28.973695854980193</v>
      </c>
      <c r="H177" s="341">
        <f t="shared" si="296"/>
        <v>27.227838866776466</v>
      </c>
      <c r="I177" s="341">
        <f t="shared" si="296"/>
        <v>25.481981878572736</v>
      </c>
      <c r="J177" s="341">
        <f t="shared" si="296"/>
        <v>23.736124890369009</v>
      </c>
      <c r="K177" s="341">
        <f t="shared" si="296"/>
        <v>21.990267902165286</v>
      </c>
      <c r="L177" s="341">
        <f t="shared" si="296"/>
        <v>20.244410913961559</v>
      </c>
      <c r="M177" s="341">
        <f t="shared" si="296"/>
        <v>18.498553925757832</v>
      </c>
      <c r="N177" s="341">
        <f t="shared" si="296"/>
        <v>16.752696937554106</v>
      </c>
      <c r="O177" s="341">
        <f t="shared" si="296"/>
        <v>15.006839949350381</v>
      </c>
      <c r="P177" s="341">
        <f t="shared" si="296"/>
        <v>13.260982961146656</v>
      </c>
      <c r="Q177" s="341">
        <f t="shared" si="296"/>
        <v>13.152605425931542</v>
      </c>
      <c r="R177" s="341">
        <f t="shared" si="296"/>
        <v>13.044227890716426</v>
      </c>
      <c r="S177" s="341">
        <f t="shared" si="296"/>
        <v>12.93585035550131</v>
      </c>
      <c r="T177" s="341">
        <f t="shared" si="296"/>
        <v>12.827472820286197</v>
      </c>
      <c r="U177" s="341">
        <f t="shared" si="296"/>
        <v>12.719095285071081</v>
      </c>
      <c r="V177" s="341">
        <f t="shared" si="296"/>
        <v>12.610717749855965</v>
      </c>
      <c r="W177" s="341">
        <f t="shared" si="296"/>
        <v>12.502340214640851</v>
      </c>
      <c r="X177" s="341">
        <f t="shared" si="296"/>
        <v>12.393962679425735</v>
      </c>
      <c r="Y177" s="341">
        <f t="shared" si="296"/>
        <v>12.285585144210621</v>
      </c>
      <c r="Z177" s="341">
        <f t="shared" si="296"/>
        <v>12.177207608995506</v>
      </c>
      <c r="AA177" s="341">
        <f t="shared" si="296"/>
        <v>12.06883007378039</v>
      </c>
      <c r="AB177" s="341">
        <f t="shared" si="296"/>
        <v>11.960452538565276</v>
      </c>
      <c r="AC177" s="341">
        <f t="shared" si="296"/>
        <v>11.85207500335016</v>
      </c>
      <c r="AD177" s="341">
        <f t="shared" si="296"/>
        <v>11.743697468135045</v>
      </c>
      <c r="AE177" s="341">
        <f t="shared" si="296"/>
        <v>11.635319932919931</v>
      </c>
      <c r="AF177" s="341">
        <f t="shared" si="296"/>
        <v>11.526942397704815</v>
      </c>
      <c r="AG177" s="341">
        <f t="shared" si="296"/>
        <v>11.418564862489701</v>
      </c>
      <c r="AH177" s="341">
        <f t="shared" si="296"/>
        <v>11.310187327274585</v>
      </c>
      <c r="AI177" s="341">
        <f t="shared" si="296"/>
        <v>11.201809792059469</v>
      </c>
      <c r="AJ177" s="341">
        <f t="shared" si="296"/>
        <v>11.093432256844359</v>
      </c>
      <c r="AK177" s="341">
        <f t="shared" si="296"/>
        <v>0</v>
      </c>
      <c r="AL177" s="341">
        <f t="shared" si="296"/>
        <v>0</v>
      </c>
      <c r="AM177" s="341">
        <f t="shared" si="296"/>
        <v>0</v>
      </c>
      <c r="AN177" s="341">
        <f t="shared" si="296"/>
        <v>0</v>
      </c>
      <c r="AO177" s="341">
        <f t="shared" si="296"/>
        <v>0</v>
      </c>
      <c r="AP177" s="341">
        <f t="shared" si="296"/>
        <v>0</v>
      </c>
      <c r="AQ177" s="341">
        <f t="shared" si="296"/>
        <v>0</v>
      </c>
      <c r="AR177" s="341">
        <f t="shared" si="296"/>
        <v>0</v>
      </c>
      <c r="AS177" s="341">
        <f t="shared" si="296"/>
        <v>0</v>
      </c>
      <c r="AT177" s="341">
        <f t="shared" si="296"/>
        <v>0</v>
      </c>
      <c r="AU177" s="341">
        <f t="shared" si="296"/>
        <v>0</v>
      </c>
      <c r="AV177" s="341">
        <f t="shared" si="296"/>
        <v>0</v>
      </c>
      <c r="AW177" s="341">
        <f t="shared" si="296"/>
        <v>0</v>
      </c>
      <c r="AX177" s="341">
        <f t="shared" si="296"/>
        <v>0</v>
      </c>
      <c r="AY177" s="341">
        <f t="shared" si="296"/>
        <v>0</v>
      </c>
      <c r="AZ177" s="341">
        <f t="shared" si="296"/>
        <v>0</v>
      </c>
      <c r="BA177" s="341">
        <f t="shared" si="296"/>
        <v>0</v>
      </c>
      <c r="BB177" s="341">
        <f t="shared" si="296"/>
        <v>0</v>
      </c>
      <c r="BC177" s="341">
        <f t="shared" si="296"/>
        <v>0</v>
      </c>
      <c r="BD177" s="341">
        <f t="shared" si="296"/>
        <v>0</v>
      </c>
      <c r="BE177" s="341">
        <f t="shared" si="296"/>
        <v>0</v>
      </c>
      <c r="BF177" s="341">
        <f t="shared" si="296"/>
        <v>0</v>
      </c>
      <c r="BG177" s="341">
        <f t="shared" si="296"/>
        <v>0</v>
      </c>
      <c r="BH177" s="341">
        <f t="shared" si="296"/>
        <v>0</v>
      </c>
      <c r="BI177" s="341">
        <f t="shared" si="296"/>
        <v>0</v>
      </c>
      <c r="BJ177" s="341">
        <f t="shared" si="296"/>
        <v>0</v>
      </c>
      <c r="BK177" s="341">
        <f t="shared" si="296"/>
        <v>0</v>
      </c>
      <c r="BL177" s="341">
        <f t="shared" si="296"/>
        <v>0</v>
      </c>
      <c r="BM177" s="341">
        <f t="shared" si="296"/>
        <v>0</v>
      </c>
      <c r="BN177" s="341">
        <f t="shared" si="296"/>
        <v>0</v>
      </c>
      <c r="BO177" s="341">
        <f t="shared" si="296"/>
        <v>0</v>
      </c>
      <c r="BP177" s="341">
        <f t="shared" si="296"/>
        <v>0</v>
      </c>
      <c r="BQ177" s="341">
        <f t="shared" si="296"/>
        <v>0</v>
      </c>
      <c r="BR177" s="341">
        <f t="shared" si="296"/>
        <v>0</v>
      </c>
      <c r="BS177" s="341">
        <f t="shared" ref="BS177:BX177" si="297">BS176</f>
        <v>0</v>
      </c>
      <c r="BT177" s="341">
        <f t="shared" si="297"/>
        <v>0</v>
      </c>
      <c r="BU177" s="341">
        <f t="shared" si="297"/>
        <v>0</v>
      </c>
      <c r="BV177" s="341">
        <f t="shared" si="297"/>
        <v>0</v>
      </c>
      <c r="BW177" s="341">
        <f t="shared" si="297"/>
        <v>0</v>
      </c>
      <c r="BX177" s="341">
        <f t="shared" si="297"/>
        <v>0</v>
      </c>
    </row>
    <row r="178" spans="1:76" hidden="1" outlineLevel="1">
      <c r="B178" s="352">
        <v>2020</v>
      </c>
      <c r="C178" s="352" t="str">
        <f>C175</f>
        <v>NREL Residential Battery Storage - 5 kW - 12.5 kWh</v>
      </c>
      <c r="D178" s="352" t="s">
        <v>41</v>
      </c>
      <c r="E178" s="352" t="s">
        <v>176</v>
      </c>
      <c r="F178" s="341">
        <f>F175</f>
        <v>93.660152825328879</v>
      </c>
      <c r="G178" s="341">
        <f t="shared" ref="G178:BR178" si="298">G175</f>
        <v>87.909514267412931</v>
      </c>
      <c r="H178" s="341">
        <f t="shared" si="298"/>
        <v>81.662226845568284</v>
      </c>
      <c r="I178" s="341">
        <f t="shared" si="298"/>
        <v>75.869041122940857</v>
      </c>
      <c r="J178" s="341">
        <f t="shared" si="298"/>
        <v>70.43115856971211</v>
      </c>
      <c r="K178" s="341">
        <f t="shared" si="298"/>
        <v>65.271063006774284</v>
      </c>
      <c r="L178" s="341">
        <f t="shared" si="298"/>
        <v>62.631423357593178</v>
      </c>
      <c r="M178" s="341">
        <f t="shared" si="298"/>
        <v>60.288747677082426</v>
      </c>
      <c r="N178" s="341">
        <f t="shared" si="298"/>
        <v>58.277402425614731</v>
      </c>
      <c r="O178" s="341">
        <f t="shared" si="298"/>
        <v>56.352897470882432</v>
      </c>
      <c r="P178" s="341">
        <f t="shared" si="298"/>
        <v>54.61091962282233</v>
      </c>
      <c r="Q178" s="341">
        <f t="shared" si="298"/>
        <v>53.94304109545476</v>
      </c>
      <c r="R178" s="341">
        <f t="shared" si="298"/>
        <v>53.260412604010781</v>
      </c>
      <c r="S178" s="341">
        <f t="shared" si="298"/>
        <v>52.577784112566761</v>
      </c>
      <c r="T178" s="341">
        <f t="shared" si="298"/>
        <v>51.895155621122846</v>
      </c>
      <c r="U178" s="341">
        <f t="shared" si="298"/>
        <v>51.212527129678783</v>
      </c>
      <c r="V178" s="341">
        <f t="shared" si="298"/>
        <v>50.529898638234883</v>
      </c>
      <c r="W178" s="341">
        <f t="shared" si="298"/>
        <v>49.847270146790834</v>
      </c>
      <c r="X178" s="341">
        <f t="shared" si="298"/>
        <v>49.164641655346863</v>
      </c>
      <c r="Y178" s="341">
        <f t="shared" si="298"/>
        <v>48.482013163902835</v>
      </c>
      <c r="Z178" s="341">
        <f t="shared" si="298"/>
        <v>47.799384672458871</v>
      </c>
      <c r="AA178" s="341">
        <f t="shared" si="298"/>
        <v>47.116756181014793</v>
      </c>
      <c r="AB178" s="341">
        <f t="shared" si="298"/>
        <v>46.434127689570886</v>
      </c>
      <c r="AC178" s="341">
        <f t="shared" si="298"/>
        <v>45.751499198126808</v>
      </c>
      <c r="AD178" s="341">
        <f t="shared" si="298"/>
        <v>45.068870706682844</v>
      </c>
      <c r="AE178" s="341">
        <f t="shared" si="298"/>
        <v>44.386242215238802</v>
      </c>
      <c r="AF178" s="341">
        <f t="shared" si="298"/>
        <v>43.703613723794859</v>
      </c>
      <c r="AG178" s="341">
        <f t="shared" si="298"/>
        <v>43.020985232350817</v>
      </c>
      <c r="AH178" s="341">
        <f t="shared" si="298"/>
        <v>42.33835674090686</v>
      </c>
      <c r="AI178" s="341">
        <f t="shared" si="298"/>
        <v>41.655728249462911</v>
      </c>
      <c r="AJ178" s="341">
        <f t="shared" si="298"/>
        <v>40.95818971711676</v>
      </c>
      <c r="AK178" s="341">
        <f t="shared" si="298"/>
        <v>0</v>
      </c>
      <c r="AL178" s="341">
        <f t="shared" si="298"/>
        <v>0</v>
      </c>
      <c r="AM178" s="341">
        <f t="shared" si="298"/>
        <v>0</v>
      </c>
      <c r="AN178" s="341">
        <f t="shared" si="298"/>
        <v>0</v>
      </c>
      <c r="AO178" s="341">
        <f t="shared" si="298"/>
        <v>0</v>
      </c>
      <c r="AP178" s="341">
        <f t="shared" si="298"/>
        <v>0</v>
      </c>
      <c r="AQ178" s="341">
        <f t="shared" si="298"/>
        <v>0</v>
      </c>
      <c r="AR178" s="341">
        <f t="shared" si="298"/>
        <v>0</v>
      </c>
      <c r="AS178" s="341">
        <f t="shared" si="298"/>
        <v>0</v>
      </c>
      <c r="AT178" s="341">
        <f t="shared" si="298"/>
        <v>0</v>
      </c>
      <c r="AU178" s="341">
        <f t="shared" si="298"/>
        <v>0</v>
      </c>
      <c r="AV178" s="341">
        <f t="shared" si="298"/>
        <v>0</v>
      </c>
      <c r="AW178" s="341">
        <f t="shared" si="298"/>
        <v>0</v>
      </c>
      <c r="AX178" s="341">
        <f t="shared" si="298"/>
        <v>0</v>
      </c>
      <c r="AY178" s="341">
        <f t="shared" si="298"/>
        <v>0</v>
      </c>
      <c r="AZ178" s="341">
        <f t="shared" si="298"/>
        <v>0</v>
      </c>
      <c r="BA178" s="341">
        <f t="shared" si="298"/>
        <v>0</v>
      </c>
      <c r="BB178" s="341">
        <f t="shared" si="298"/>
        <v>0</v>
      </c>
      <c r="BC178" s="341">
        <f t="shared" si="298"/>
        <v>0</v>
      </c>
      <c r="BD178" s="341">
        <f t="shared" si="298"/>
        <v>0</v>
      </c>
      <c r="BE178" s="341">
        <f t="shared" si="298"/>
        <v>0</v>
      </c>
      <c r="BF178" s="341">
        <f t="shared" si="298"/>
        <v>0</v>
      </c>
      <c r="BG178" s="341">
        <f t="shared" si="298"/>
        <v>0</v>
      </c>
      <c r="BH178" s="341">
        <f t="shared" si="298"/>
        <v>0</v>
      </c>
      <c r="BI178" s="341">
        <f t="shared" si="298"/>
        <v>0</v>
      </c>
      <c r="BJ178" s="341">
        <f t="shared" si="298"/>
        <v>0</v>
      </c>
      <c r="BK178" s="341">
        <f t="shared" si="298"/>
        <v>0</v>
      </c>
      <c r="BL178" s="341">
        <f t="shared" si="298"/>
        <v>0</v>
      </c>
      <c r="BM178" s="341">
        <f t="shared" si="298"/>
        <v>0</v>
      </c>
      <c r="BN178" s="341">
        <f t="shared" si="298"/>
        <v>0</v>
      </c>
      <c r="BO178" s="341">
        <f t="shared" si="298"/>
        <v>0</v>
      </c>
      <c r="BP178" s="341">
        <f t="shared" si="298"/>
        <v>0</v>
      </c>
      <c r="BQ178" s="341">
        <f t="shared" si="298"/>
        <v>0</v>
      </c>
      <c r="BR178" s="341">
        <f t="shared" si="298"/>
        <v>0</v>
      </c>
      <c r="BS178" s="341">
        <f t="shared" ref="BS178:BX178" si="299">BS175</f>
        <v>0</v>
      </c>
      <c r="BT178" s="341">
        <f t="shared" si="299"/>
        <v>0</v>
      </c>
      <c r="BU178" s="341">
        <f t="shared" si="299"/>
        <v>0</v>
      </c>
      <c r="BV178" s="341">
        <f t="shared" si="299"/>
        <v>0</v>
      </c>
      <c r="BW178" s="341">
        <f t="shared" si="299"/>
        <v>0</v>
      </c>
      <c r="BX178" s="341">
        <f t="shared" si="299"/>
        <v>0</v>
      </c>
    </row>
    <row r="179" spans="1:76" hidden="1" outlineLevel="1">
      <c r="A179" s="38" t="s">
        <v>358</v>
      </c>
      <c r="B179" s="352">
        <v>2020</v>
      </c>
      <c r="C179" s="352" t="s">
        <v>189</v>
      </c>
      <c r="D179" s="352" t="s">
        <v>41</v>
      </c>
      <c r="E179" s="352" t="s">
        <v>133</v>
      </c>
      <c r="F179" s="383">
        <v>18.778165000000001</v>
      </c>
      <c r="G179" s="383">
        <v>17.920008677361601</v>
      </c>
      <c r="H179" s="383">
        <v>17.219560951223354</v>
      </c>
      <c r="I179" s="383">
        <v>16.519113225085107</v>
      </c>
      <c r="J179" s="383">
        <v>15.81866549894686</v>
      </c>
      <c r="K179" s="383">
        <v>15.118217772808613</v>
      </c>
      <c r="L179" s="383">
        <v>14.417770046670366</v>
      </c>
      <c r="M179" s="383">
        <v>13.717322320532119</v>
      </c>
      <c r="N179" s="383">
        <v>13.016874594393872</v>
      </c>
      <c r="O179" s="383">
        <v>12.316426868255625</v>
      </c>
      <c r="P179" s="383">
        <v>11.615979142117382</v>
      </c>
      <c r="Q179" s="383">
        <v>11.515744268085129</v>
      </c>
      <c r="R179" s="383">
        <v>11.415509394052879</v>
      </c>
      <c r="S179" s="383">
        <v>11.31527452002063</v>
      </c>
      <c r="T179" s="383">
        <v>11.21503964598838</v>
      </c>
      <c r="U179" s="383">
        <v>11.11480477195613</v>
      </c>
      <c r="V179" s="383">
        <v>11.014569897923881</v>
      </c>
      <c r="W179" s="383">
        <v>10.914335023891631</v>
      </c>
      <c r="X179" s="383">
        <v>10.814100149859382</v>
      </c>
      <c r="Y179" s="383">
        <v>10.71386527582713</v>
      </c>
      <c r="Z179" s="383">
        <v>10.613630401794881</v>
      </c>
      <c r="AA179" s="383">
        <v>10.513395527762629</v>
      </c>
      <c r="AB179" s="383">
        <v>10.41316065373038</v>
      </c>
      <c r="AC179" s="383">
        <v>10.31292577969813</v>
      </c>
      <c r="AD179" s="383">
        <v>10.21269090566588</v>
      </c>
      <c r="AE179" s="383">
        <v>10.112456031633631</v>
      </c>
      <c r="AF179" s="383">
        <v>10.012221157601381</v>
      </c>
      <c r="AG179" s="383">
        <v>9.9119862835691315</v>
      </c>
      <c r="AH179" s="383">
        <v>9.8117514095368801</v>
      </c>
      <c r="AI179" s="383">
        <v>9.7115165355046305</v>
      </c>
      <c r="AJ179" s="383">
        <v>9.611281661472372</v>
      </c>
      <c r="AK179" s="340"/>
      <c r="AL179" s="340"/>
      <c r="AM179" s="340"/>
      <c r="AN179" s="340"/>
      <c r="AO179" s="340"/>
      <c r="AP179" s="340"/>
      <c r="AQ179" s="340"/>
      <c r="AR179" s="340"/>
      <c r="AS179" s="340"/>
      <c r="AT179" s="340"/>
      <c r="AU179" s="340"/>
      <c r="AV179" s="340"/>
      <c r="AW179" s="340"/>
      <c r="AX179" s="340"/>
      <c r="AY179" s="340"/>
      <c r="AZ179" s="340"/>
      <c r="BA179" s="340"/>
      <c r="BB179" s="340"/>
      <c r="BC179" s="340"/>
      <c r="BD179" s="340"/>
      <c r="BE179" s="340"/>
      <c r="BF179" s="340"/>
      <c r="BG179" s="340"/>
      <c r="BH179" s="340"/>
      <c r="BI179" s="340"/>
      <c r="BJ179" s="340"/>
      <c r="BK179" s="340"/>
      <c r="BL179" s="340"/>
      <c r="BM179" s="340"/>
      <c r="BN179" s="340"/>
      <c r="BO179" s="340"/>
      <c r="BP179" s="340"/>
      <c r="BQ179" s="340"/>
      <c r="BR179" s="340"/>
      <c r="BS179" s="340"/>
      <c r="BT179" s="340"/>
      <c r="BU179" s="340"/>
      <c r="BV179" s="340"/>
      <c r="BW179" s="340"/>
      <c r="BX179" s="340"/>
    </row>
    <row r="180" spans="1:76" hidden="1" outlineLevel="1">
      <c r="B180" s="352">
        <v>2020</v>
      </c>
      <c r="C180" s="352" t="str">
        <f>C179</f>
        <v>NREL Commercial PV - Class 8</v>
      </c>
      <c r="D180" s="352" t="s">
        <v>41</v>
      </c>
      <c r="E180" s="352" t="s">
        <v>174</v>
      </c>
      <c r="F180" s="341">
        <f>F179</f>
        <v>18.778165000000001</v>
      </c>
      <c r="G180" s="341">
        <f t="shared" ref="G180:BR180" si="300">G179</f>
        <v>17.920008677361601</v>
      </c>
      <c r="H180" s="341">
        <f t="shared" si="300"/>
        <v>17.219560951223354</v>
      </c>
      <c r="I180" s="341">
        <f t="shared" si="300"/>
        <v>16.519113225085107</v>
      </c>
      <c r="J180" s="341">
        <f t="shared" si="300"/>
        <v>15.81866549894686</v>
      </c>
      <c r="K180" s="341">
        <f t="shared" si="300"/>
        <v>15.118217772808613</v>
      </c>
      <c r="L180" s="341">
        <f t="shared" si="300"/>
        <v>14.417770046670366</v>
      </c>
      <c r="M180" s="341">
        <f t="shared" si="300"/>
        <v>13.717322320532119</v>
      </c>
      <c r="N180" s="341">
        <f t="shared" si="300"/>
        <v>13.016874594393872</v>
      </c>
      <c r="O180" s="341">
        <f t="shared" si="300"/>
        <v>12.316426868255625</v>
      </c>
      <c r="P180" s="341">
        <f t="shared" si="300"/>
        <v>11.615979142117382</v>
      </c>
      <c r="Q180" s="341">
        <f t="shared" si="300"/>
        <v>11.515744268085129</v>
      </c>
      <c r="R180" s="341">
        <f t="shared" si="300"/>
        <v>11.415509394052879</v>
      </c>
      <c r="S180" s="341">
        <f t="shared" si="300"/>
        <v>11.31527452002063</v>
      </c>
      <c r="T180" s="341">
        <f t="shared" si="300"/>
        <v>11.21503964598838</v>
      </c>
      <c r="U180" s="341">
        <f t="shared" si="300"/>
        <v>11.11480477195613</v>
      </c>
      <c r="V180" s="341">
        <f t="shared" si="300"/>
        <v>11.014569897923881</v>
      </c>
      <c r="W180" s="341">
        <f t="shared" si="300"/>
        <v>10.914335023891631</v>
      </c>
      <c r="X180" s="341">
        <f t="shared" si="300"/>
        <v>10.814100149859382</v>
      </c>
      <c r="Y180" s="341">
        <f t="shared" si="300"/>
        <v>10.71386527582713</v>
      </c>
      <c r="Z180" s="341">
        <f t="shared" si="300"/>
        <v>10.613630401794881</v>
      </c>
      <c r="AA180" s="341">
        <f t="shared" si="300"/>
        <v>10.513395527762629</v>
      </c>
      <c r="AB180" s="341">
        <f t="shared" si="300"/>
        <v>10.41316065373038</v>
      </c>
      <c r="AC180" s="341">
        <f t="shared" si="300"/>
        <v>10.31292577969813</v>
      </c>
      <c r="AD180" s="341">
        <f t="shared" si="300"/>
        <v>10.21269090566588</v>
      </c>
      <c r="AE180" s="341">
        <f t="shared" si="300"/>
        <v>10.112456031633631</v>
      </c>
      <c r="AF180" s="341">
        <f t="shared" si="300"/>
        <v>10.012221157601381</v>
      </c>
      <c r="AG180" s="341">
        <f t="shared" si="300"/>
        <v>9.9119862835691315</v>
      </c>
      <c r="AH180" s="341">
        <f t="shared" si="300"/>
        <v>9.8117514095368801</v>
      </c>
      <c r="AI180" s="341">
        <f t="shared" si="300"/>
        <v>9.7115165355046305</v>
      </c>
      <c r="AJ180" s="341">
        <f t="shared" si="300"/>
        <v>9.611281661472372</v>
      </c>
      <c r="AK180" s="341">
        <f t="shared" si="300"/>
        <v>0</v>
      </c>
      <c r="AL180" s="341">
        <f t="shared" si="300"/>
        <v>0</v>
      </c>
      <c r="AM180" s="341">
        <f t="shared" si="300"/>
        <v>0</v>
      </c>
      <c r="AN180" s="341">
        <f t="shared" si="300"/>
        <v>0</v>
      </c>
      <c r="AO180" s="341">
        <f t="shared" si="300"/>
        <v>0</v>
      </c>
      <c r="AP180" s="341">
        <f t="shared" si="300"/>
        <v>0</v>
      </c>
      <c r="AQ180" s="341">
        <f t="shared" si="300"/>
        <v>0</v>
      </c>
      <c r="AR180" s="341">
        <f t="shared" si="300"/>
        <v>0</v>
      </c>
      <c r="AS180" s="341">
        <f t="shared" si="300"/>
        <v>0</v>
      </c>
      <c r="AT180" s="341">
        <f t="shared" si="300"/>
        <v>0</v>
      </c>
      <c r="AU180" s="341">
        <f t="shared" si="300"/>
        <v>0</v>
      </c>
      <c r="AV180" s="341">
        <f t="shared" si="300"/>
        <v>0</v>
      </c>
      <c r="AW180" s="341">
        <f t="shared" si="300"/>
        <v>0</v>
      </c>
      <c r="AX180" s="341">
        <f t="shared" si="300"/>
        <v>0</v>
      </c>
      <c r="AY180" s="341">
        <f t="shared" si="300"/>
        <v>0</v>
      </c>
      <c r="AZ180" s="341">
        <f t="shared" si="300"/>
        <v>0</v>
      </c>
      <c r="BA180" s="341">
        <f t="shared" si="300"/>
        <v>0</v>
      </c>
      <c r="BB180" s="341">
        <f t="shared" si="300"/>
        <v>0</v>
      </c>
      <c r="BC180" s="341">
        <f t="shared" si="300"/>
        <v>0</v>
      </c>
      <c r="BD180" s="341">
        <f t="shared" si="300"/>
        <v>0</v>
      </c>
      <c r="BE180" s="341">
        <f t="shared" si="300"/>
        <v>0</v>
      </c>
      <c r="BF180" s="341">
        <f t="shared" si="300"/>
        <v>0</v>
      </c>
      <c r="BG180" s="341">
        <f t="shared" si="300"/>
        <v>0</v>
      </c>
      <c r="BH180" s="341">
        <f t="shared" si="300"/>
        <v>0</v>
      </c>
      <c r="BI180" s="341">
        <f t="shared" si="300"/>
        <v>0</v>
      </c>
      <c r="BJ180" s="341">
        <f t="shared" si="300"/>
        <v>0</v>
      </c>
      <c r="BK180" s="341">
        <f t="shared" si="300"/>
        <v>0</v>
      </c>
      <c r="BL180" s="341">
        <f t="shared" si="300"/>
        <v>0</v>
      </c>
      <c r="BM180" s="341">
        <f t="shared" si="300"/>
        <v>0</v>
      </c>
      <c r="BN180" s="341">
        <f t="shared" si="300"/>
        <v>0</v>
      </c>
      <c r="BO180" s="341">
        <f t="shared" si="300"/>
        <v>0</v>
      </c>
      <c r="BP180" s="341">
        <f t="shared" si="300"/>
        <v>0</v>
      </c>
      <c r="BQ180" s="341">
        <f t="shared" si="300"/>
        <v>0</v>
      </c>
      <c r="BR180" s="341">
        <f t="shared" si="300"/>
        <v>0</v>
      </c>
      <c r="BS180" s="341">
        <f t="shared" ref="BS180:BX180" si="301">BS179</f>
        <v>0</v>
      </c>
      <c r="BT180" s="341">
        <f t="shared" si="301"/>
        <v>0</v>
      </c>
      <c r="BU180" s="341">
        <f t="shared" si="301"/>
        <v>0</v>
      </c>
      <c r="BV180" s="341">
        <f t="shared" si="301"/>
        <v>0</v>
      </c>
      <c r="BW180" s="341">
        <f t="shared" si="301"/>
        <v>0</v>
      </c>
      <c r="BX180" s="341">
        <f t="shared" si="301"/>
        <v>0</v>
      </c>
    </row>
    <row r="181" spans="1:76" hidden="1" outlineLevel="1">
      <c r="A181" s="447" t="s">
        <v>361</v>
      </c>
      <c r="B181" s="352">
        <v>2020</v>
      </c>
      <c r="C181" s="352" t="s">
        <v>192</v>
      </c>
      <c r="D181" s="352" t="s">
        <v>41</v>
      </c>
      <c r="E181" s="352" t="s">
        <v>177</v>
      </c>
      <c r="F181" s="384">
        <v>55.556214031186578</v>
      </c>
      <c r="G181" s="384">
        <v>46.06831787548154</v>
      </c>
      <c r="H181" s="384">
        <v>42.713336827069469</v>
      </c>
      <c r="I181" s="384">
        <v>39.526474218326513</v>
      </c>
      <c r="J181" s="384">
        <v>36.472840095749824</v>
      </c>
      <c r="K181" s="384">
        <v>33.52445504807028</v>
      </c>
      <c r="L181" s="384">
        <v>32.120294050935939</v>
      </c>
      <c r="M181" s="384">
        <v>30.877408646578456</v>
      </c>
      <c r="N181" s="384">
        <v>29.821674770955028</v>
      </c>
      <c r="O181" s="384">
        <v>28.823799839843176</v>
      </c>
      <c r="P181" s="384">
        <v>27.920325420914629</v>
      </c>
      <c r="Q181" s="384">
        <v>27.573088182046476</v>
      </c>
      <c r="R181" s="384">
        <v>27.224087481148207</v>
      </c>
      <c r="S181" s="384">
        <v>26.87508678024993</v>
      </c>
      <c r="T181" s="384">
        <v>26.526086079351714</v>
      </c>
      <c r="U181" s="384">
        <v>26.177085378453377</v>
      </c>
      <c r="V181" s="384">
        <v>25.828084677555154</v>
      </c>
      <c r="W181" s="384">
        <v>25.479083976656838</v>
      </c>
      <c r="X181" s="384">
        <v>25.130083275758604</v>
      </c>
      <c r="Y181" s="384">
        <v>24.781082574860292</v>
      </c>
      <c r="Z181" s="384">
        <v>24.432081873962055</v>
      </c>
      <c r="AA181" s="384">
        <v>24.083081173063732</v>
      </c>
      <c r="AB181" s="384">
        <v>23.734080472165505</v>
      </c>
      <c r="AC181" s="384">
        <v>23.385079771267172</v>
      </c>
      <c r="AD181" s="384">
        <v>23.036079070368942</v>
      </c>
      <c r="AE181" s="384">
        <v>22.687078369470637</v>
      </c>
      <c r="AF181" s="384">
        <v>22.338077668572399</v>
      </c>
      <c r="AG181" s="384">
        <v>21.989076967674084</v>
      </c>
      <c r="AH181" s="384">
        <v>21.64007626677585</v>
      </c>
      <c r="AI181" s="384">
        <v>21.291075565877613</v>
      </c>
      <c r="AJ181" s="384">
        <v>20.940244065685967</v>
      </c>
      <c r="AK181" s="340"/>
      <c r="AL181" s="340"/>
      <c r="AM181" s="340"/>
      <c r="AN181" s="340"/>
      <c r="AO181" s="340"/>
      <c r="AP181" s="340"/>
      <c r="AQ181" s="340"/>
      <c r="AR181" s="340"/>
      <c r="AS181" s="340"/>
      <c r="AT181" s="340"/>
      <c r="AU181" s="340"/>
      <c r="AV181" s="340"/>
      <c r="AW181" s="340"/>
      <c r="AX181" s="340"/>
      <c r="AY181" s="340"/>
      <c r="AZ181" s="340"/>
      <c r="BA181" s="340"/>
      <c r="BB181" s="340"/>
      <c r="BC181" s="340"/>
      <c r="BD181" s="340"/>
      <c r="BE181" s="340"/>
      <c r="BF181" s="340"/>
      <c r="BG181" s="340"/>
      <c r="BH181" s="340"/>
      <c r="BI181" s="340"/>
      <c r="BJ181" s="340"/>
      <c r="BK181" s="340"/>
      <c r="BL181" s="340"/>
      <c r="BM181" s="340"/>
      <c r="BN181" s="340"/>
      <c r="BO181" s="340"/>
      <c r="BP181" s="340"/>
      <c r="BQ181" s="340"/>
      <c r="BR181" s="340"/>
      <c r="BS181" s="340"/>
      <c r="BT181" s="340"/>
      <c r="BU181" s="340"/>
      <c r="BV181" s="340"/>
      <c r="BW181" s="340"/>
      <c r="BX181" s="340"/>
    </row>
    <row r="182" spans="1:76" hidden="1" outlineLevel="1">
      <c r="B182" s="352">
        <v>2020</v>
      </c>
      <c r="C182" s="352" t="s">
        <v>239</v>
      </c>
      <c r="D182" s="352" t="s">
        <v>41</v>
      </c>
      <c r="E182" s="352" t="s">
        <v>8</v>
      </c>
      <c r="F182" s="292">
        <f>F185/((13+9.5)/2)*((12+16)/2)</f>
        <v>28.153925631999996</v>
      </c>
      <c r="G182" s="292">
        <f t="shared" ref="G182:BR182" si="302">G185/((13+9.5)/2)*((12+16)/2)</f>
        <v>25.581795555555555</v>
      </c>
      <c r="H182" s="292">
        <f t="shared" si="302"/>
        <v>24.828820745625194</v>
      </c>
      <c r="I182" s="292">
        <f t="shared" si="302"/>
        <v>24.085512715445834</v>
      </c>
      <c r="J182" s="292">
        <f t="shared" si="302"/>
        <v>23.344528098034356</v>
      </c>
      <c r="K182" s="292">
        <f t="shared" si="302"/>
        <v>22.605771259514295</v>
      </c>
      <c r="L182" s="292">
        <f t="shared" si="302"/>
        <v>21.869151743480892</v>
      </c>
      <c r="M182" s="292">
        <f t="shared" si="302"/>
        <v>21.13458392530449</v>
      </c>
      <c r="N182" s="292">
        <f t="shared" si="302"/>
        <v>20.401986693767217</v>
      </c>
      <c r="O182" s="292">
        <f t="shared" si="302"/>
        <v>19.671283157544494</v>
      </c>
      <c r="P182" s="292">
        <f t="shared" si="302"/>
        <v>18.942400374298266</v>
      </c>
      <c r="Q182" s="292">
        <f t="shared" si="302"/>
        <v>18.817081876551693</v>
      </c>
      <c r="R182" s="292">
        <f t="shared" si="302"/>
        <v>18.692085852466892</v>
      </c>
      <c r="S182" s="292">
        <f t="shared" si="302"/>
        <v>18.567407015590405</v>
      </c>
      <c r="T182" s="292">
        <f t="shared" si="302"/>
        <v>18.443040194391653</v>
      </c>
      <c r="U182" s="292">
        <f t="shared" si="302"/>
        <v>18.318980329156947</v>
      </c>
      <c r="V182" s="292">
        <f t="shared" si="302"/>
        <v>18.195222468983637</v>
      </c>
      <c r="W182" s="292">
        <f t="shared" si="302"/>
        <v>18.071761768870743</v>
      </c>
      <c r="X182" s="292">
        <f t="shared" si="302"/>
        <v>17.948593486902407</v>
      </c>
      <c r="Y182" s="292">
        <f t="shared" si="302"/>
        <v>17.825712981520777</v>
      </c>
      <c r="Z182" s="292">
        <f t="shared" si="302"/>
        <v>17.703115708885008</v>
      </c>
      <c r="AA182" s="292">
        <f t="shared" si="302"/>
        <v>17.580797220313229</v>
      </c>
      <c r="AB182" s="292">
        <f t="shared" si="302"/>
        <v>17.458753159804445</v>
      </c>
      <c r="AC182" s="292">
        <f t="shared" si="302"/>
        <v>17.336979261637467</v>
      </c>
      <c r="AD182" s="292">
        <f t="shared" si="302"/>
        <v>17.215471348044119</v>
      </c>
      <c r="AE182" s="292">
        <f t="shared" si="302"/>
        <v>17.094225326954039</v>
      </c>
      <c r="AF182" s="292">
        <f t="shared" si="302"/>
        <v>16.973237189808508</v>
      </c>
      <c r="AG182" s="292">
        <f t="shared" si="302"/>
        <v>16.852503009440852</v>
      </c>
      <c r="AH182" s="292">
        <f t="shared" si="302"/>
        <v>16.732018938021106</v>
      </c>
      <c r="AI182" s="292">
        <f t="shared" si="302"/>
        <v>16.61178120506262</v>
      </c>
      <c r="AJ182" s="292">
        <f t="shared" si="302"/>
        <v>16.491786115488473</v>
      </c>
      <c r="AK182" s="292">
        <f t="shared" si="302"/>
        <v>0</v>
      </c>
      <c r="AL182" s="292">
        <f t="shared" si="302"/>
        <v>0</v>
      </c>
      <c r="AM182" s="292">
        <f t="shared" si="302"/>
        <v>0</v>
      </c>
      <c r="AN182" s="292">
        <f t="shared" si="302"/>
        <v>0</v>
      </c>
      <c r="AO182" s="292">
        <f t="shared" si="302"/>
        <v>0</v>
      </c>
      <c r="AP182" s="292">
        <f t="shared" si="302"/>
        <v>0</v>
      </c>
      <c r="AQ182" s="292">
        <f t="shared" si="302"/>
        <v>0</v>
      </c>
      <c r="AR182" s="292">
        <f t="shared" si="302"/>
        <v>0</v>
      </c>
      <c r="AS182" s="292">
        <f t="shared" si="302"/>
        <v>0</v>
      </c>
      <c r="AT182" s="292">
        <f t="shared" si="302"/>
        <v>0</v>
      </c>
      <c r="AU182" s="292">
        <f t="shared" si="302"/>
        <v>0</v>
      </c>
      <c r="AV182" s="292">
        <f t="shared" si="302"/>
        <v>0</v>
      </c>
      <c r="AW182" s="292">
        <f t="shared" si="302"/>
        <v>0</v>
      </c>
      <c r="AX182" s="292">
        <f t="shared" si="302"/>
        <v>0</v>
      </c>
      <c r="AY182" s="292">
        <f t="shared" si="302"/>
        <v>0</v>
      </c>
      <c r="AZ182" s="292">
        <f t="shared" si="302"/>
        <v>0</v>
      </c>
      <c r="BA182" s="292">
        <f t="shared" si="302"/>
        <v>0</v>
      </c>
      <c r="BB182" s="292">
        <f t="shared" si="302"/>
        <v>0</v>
      </c>
      <c r="BC182" s="292">
        <f t="shared" si="302"/>
        <v>0</v>
      </c>
      <c r="BD182" s="292">
        <f t="shared" si="302"/>
        <v>0</v>
      </c>
      <c r="BE182" s="292">
        <f t="shared" si="302"/>
        <v>0</v>
      </c>
      <c r="BF182" s="292">
        <f t="shared" si="302"/>
        <v>0</v>
      </c>
      <c r="BG182" s="292">
        <f t="shared" si="302"/>
        <v>0</v>
      </c>
      <c r="BH182" s="292">
        <f t="shared" si="302"/>
        <v>0</v>
      </c>
      <c r="BI182" s="292">
        <f t="shared" si="302"/>
        <v>0</v>
      </c>
      <c r="BJ182" s="292">
        <f t="shared" si="302"/>
        <v>0</v>
      </c>
      <c r="BK182" s="292">
        <f t="shared" si="302"/>
        <v>0</v>
      </c>
      <c r="BL182" s="292">
        <f t="shared" si="302"/>
        <v>0</v>
      </c>
      <c r="BM182" s="292">
        <f t="shared" si="302"/>
        <v>0</v>
      </c>
      <c r="BN182" s="292">
        <f t="shared" si="302"/>
        <v>0</v>
      </c>
      <c r="BO182" s="292">
        <f t="shared" si="302"/>
        <v>0</v>
      </c>
      <c r="BP182" s="292">
        <f t="shared" si="302"/>
        <v>0</v>
      </c>
      <c r="BQ182" s="292">
        <f t="shared" si="302"/>
        <v>0</v>
      </c>
      <c r="BR182" s="292">
        <f t="shared" si="302"/>
        <v>0</v>
      </c>
      <c r="BS182" s="292">
        <f t="shared" ref="BS182:BX182" si="303">BS185/((13+9.5)/2)*((12+16)/2)</f>
        <v>0</v>
      </c>
      <c r="BT182" s="292">
        <f t="shared" si="303"/>
        <v>0</v>
      </c>
      <c r="BU182" s="292">
        <f t="shared" si="303"/>
        <v>0</v>
      </c>
      <c r="BV182" s="292">
        <f t="shared" si="303"/>
        <v>0</v>
      </c>
      <c r="BW182" s="292">
        <f t="shared" si="303"/>
        <v>0</v>
      </c>
      <c r="BX182" s="292">
        <f t="shared" si="303"/>
        <v>0</v>
      </c>
    </row>
    <row r="183" spans="1:76" hidden="1" outlineLevel="1">
      <c r="B183" s="352">
        <v>2020</v>
      </c>
      <c r="C183" s="352" t="str">
        <f>C182</f>
        <v>NREL Utility PV - Class 4/LAZARD’S LEVELIZED COST OF ENERGY ANALYSIS—VERSION 15.0</v>
      </c>
      <c r="D183" s="352" t="s">
        <v>41</v>
      </c>
      <c r="E183" s="352" t="s">
        <v>171</v>
      </c>
      <c r="F183" s="341">
        <f>F182</f>
        <v>28.153925631999996</v>
      </c>
      <c r="G183" s="341">
        <f t="shared" ref="G183:BR183" si="304">G182</f>
        <v>25.581795555555555</v>
      </c>
      <c r="H183" s="341">
        <f t="shared" si="304"/>
        <v>24.828820745625194</v>
      </c>
      <c r="I183" s="341">
        <f t="shared" si="304"/>
        <v>24.085512715445834</v>
      </c>
      <c r="J183" s="341">
        <f t="shared" si="304"/>
        <v>23.344528098034356</v>
      </c>
      <c r="K183" s="341">
        <f t="shared" si="304"/>
        <v>22.605771259514295</v>
      </c>
      <c r="L183" s="341">
        <f t="shared" si="304"/>
        <v>21.869151743480892</v>
      </c>
      <c r="M183" s="341">
        <f t="shared" si="304"/>
        <v>21.13458392530449</v>
      </c>
      <c r="N183" s="341">
        <f t="shared" si="304"/>
        <v>20.401986693767217</v>
      </c>
      <c r="O183" s="341">
        <f t="shared" si="304"/>
        <v>19.671283157544494</v>
      </c>
      <c r="P183" s="341">
        <f t="shared" si="304"/>
        <v>18.942400374298266</v>
      </c>
      <c r="Q183" s="341">
        <f t="shared" si="304"/>
        <v>18.817081876551693</v>
      </c>
      <c r="R183" s="341">
        <f t="shared" si="304"/>
        <v>18.692085852466892</v>
      </c>
      <c r="S183" s="341">
        <f t="shared" si="304"/>
        <v>18.567407015590405</v>
      </c>
      <c r="T183" s="341">
        <f t="shared" si="304"/>
        <v>18.443040194391653</v>
      </c>
      <c r="U183" s="341">
        <f t="shared" si="304"/>
        <v>18.318980329156947</v>
      </c>
      <c r="V183" s="341">
        <f t="shared" si="304"/>
        <v>18.195222468983637</v>
      </c>
      <c r="W183" s="341">
        <f t="shared" si="304"/>
        <v>18.071761768870743</v>
      </c>
      <c r="X183" s="341">
        <f t="shared" si="304"/>
        <v>17.948593486902407</v>
      </c>
      <c r="Y183" s="341">
        <f t="shared" si="304"/>
        <v>17.825712981520777</v>
      </c>
      <c r="Z183" s="341">
        <f t="shared" si="304"/>
        <v>17.703115708885008</v>
      </c>
      <c r="AA183" s="341">
        <f t="shared" si="304"/>
        <v>17.580797220313229</v>
      </c>
      <c r="AB183" s="341">
        <f t="shared" si="304"/>
        <v>17.458753159804445</v>
      </c>
      <c r="AC183" s="341">
        <f t="shared" si="304"/>
        <v>17.336979261637467</v>
      </c>
      <c r="AD183" s="341">
        <f t="shared" si="304"/>
        <v>17.215471348044119</v>
      </c>
      <c r="AE183" s="341">
        <f t="shared" si="304"/>
        <v>17.094225326954039</v>
      </c>
      <c r="AF183" s="341">
        <f t="shared" si="304"/>
        <v>16.973237189808508</v>
      </c>
      <c r="AG183" s="341">
        <f t="shared" si="304"/>
        <v>16.852503009440852</v>
      </c>
      <c r="AH183" s="341">
        <f t="shared" si="304"/>
        <v>16.732018938021106</v>
      </c>
      <c r="AI183" s="341">
        <f t="shared" si="304"/>
        <v>16.61178120506262</v>
      </c>
      <c r="AJ183" s="341">
        <f t="shared" si="304"/>
        <v>16.491786115488473</v>
      </c>
      <c r="AK183" s="341">
        <f t="shared" si="304"/>
        <v>0</v>
      </c>
      <c r="AL183" s="341">
        <f t="shared" si="304"/>
        <v>0</v>
      </c>
      <c r="AM183" s="341">
        <f t="shared" si="304"/>
        <v>0</v>
      </c>
      <c r="AN183" s="341">
        <f t="shared" si="304"/>
        <v>0</v>
      </c>
      <c r="AO183" s="341">
        <f t="shared" si="304"/>
        <v>0</v>
      </c>
      <c r="AP183" s="341">
        <f t="shared" si="304"/>
        <v>0</v>
      </c>
      <c r="AQ183" s="341">
        <f t="shared" si="304"/>
        <v>0</v>
      </c>
      <c r="AR183" s="341">
        <f t="shared" si="304"/>
        <v>0</v>
      </c>
      <c r="AS183" s="341">
        <f t="shared" si="304"/>
        <v>0</v>
      </c>
      <c r="AT183" s="341">
        <f t="shared" si="304"/>
        <v>0</v>
      </c>
      <c r="AU183" s="341">
        <f t="shared" si="304"/>
        <v>0</v>
      </c>
      <c r="AV183" s="341">
        <f t="shared" si="304"/>
        <v>0</v>
      </c>
      <c r="AW183" s="341">
        <f t="shared" si="304"/>
        <v>0</v>
      </c>
      <c r="AX183" s="341">
        <f t="shared" si="304"/>
        <v>0</v>
      </c>
      <c r="AY183" s="341">
        <f t="shared" si="304"/>
        <v>0</v>
      </c>
      <c r="AZ183" s="341">
        <f t="shared" si="304"/>
        <v>0</v>
      </c>
      <c r="BA183" s="341">
        <f t="shared" si="304"/>
        <v>0</v>
      </c>
      <c r="BB183" s="341">
        <f t="shared" si="304"/>
        <v>0</v>
      </c>
      <c r="BC183" s="341">
        <f t="shared" si="304"/>
        <v>0</v>
      </c>
      <c r="BD183" s="341">
        <f t="shared" si="304"/>
        <v>0</v>
      </c>
      <c r="BE183" s="341">
        <f t="shared" si="304"/>
        <v>0</v>
      </c>
      <c r="BF183" s="341">
        <f t="shared" si="304"/>
        <v>0</v>
      </c>
      <c r="BG183" s="341">
        <f t="shared" si="304"/>
        <v>0</v>
      </c>
      <c r="BH183" s="341">
        <f t="shared" si="304"/>
        <v>0</v>
      </c>
      <c r="BI183" s="341">
        <f t="shared" si="304"/>
        <v>0</v>
      </c>
      <c r="BJ183" s="341">
        <f t="shared" si="304"/>
        <v>0</v>
      </c>
      <c r="BK183" s="341">
        <f t="shared" si="304"/>
        <v>0</v>
      </c>
      <c r="BL183" s="341">
        <f t="shared" si="304"/>
        <v>0</v>
      </c>
      <c r="BM183" s="341">
        <f t="shared" si="304"/>
        <v>0</v>
      </c>
      <c r="BN183" s="341">
        <f t="shared" si="304"/>
        <v>0</v>
      </c>
      <c r="BO183" s="341">
        <f t="shared" si="304"/>
        <v>0</v>
      </c>
      <c r="BP183" s="341">
        <f t="shared" si="304"/>
        <v>0</v>
      </c>
      <c r="BQ183" s="341">
        <f t="shared" si="304"/>
        <v>0</v>
      </c>
      <c r="BR183" s="341">
        <f t="shared" si="304"/>
        <v>0</v>
      </c>
      <c r="BS183" s="341">
        <f t="shared" ref="BS183:BX183" si="305">BS182</f>
        <v>0</v>
      </c>
      <c r="BT183" s="341">
        <f t="shared" si="305"/>
        <v>0</v>
      </c>
      <c r="BU183" s="341">
        <f t="shared" si="305"/>
        <v>0</v>
      </c>
      <c r="BV183" s="341">
        <f t="shared" si="305"/>
        <v>0</v>
      </c>
      <c r="BW183" s="341">
        <f t="shared" si="305"/>
        <v>0</v>
      </c>
      <c r="BX183" s="341">
        <f t="shared" si="305"/>
        <v>0</v>
      </c>
    </row>
    <row r="184" spans="1:76" hidden="1" outlineLevel="1">
      <c r="B184" s="352">
        <v>2020</v>
      </c>
      <c r="C184" s="352" t="s">
        <v>236</v>
      </c>
      <c r="D184" s="352" t="s">
        <v>41</v>
      </c>
      <c r="E184" s="352" t="s">
        <v>170</v>
      </c>
      <c r="F184" s="292">
        <f>F188*1.3/2.5</f>
        <v>22.454047782524334</v>
      </c>
      <c r="G184" s="292">
        <f t="shared" ref="G184:BR184" si="306">G188*1.3/2.5</f>
        <v>19.180943270852815</v>
      </c>
      <c r="H184" s="292">
        <f t="shared" si="306"/>
        <v>17.820592684267506</v>
      </c>
      <c r="I184" s="292">
        <f t="shared" si="306"/>
        <v>16.324207039023673</v>
      </c>
      <c r="J184" s="292">
        <f t="shared" si="306"/>
        <v>15.167909040426162</v>
      </c>
      <c r="K184" s="292">
        <f t="shared" si="306"/>
        <v>14.351698688474979</v>
      </c>
      <c r="L184" s="292">
        <f t="shared" si="306"/>
        <v>13.739540924511591</v>
      </c>
      <c r="M184" s="292">
        <f t="shared" si="306"/>
        <v>13.195400689877468</v>
      </c>
      <c r="N184" s="292">
        <f t="shared" si="306"/>
        <v>12.583242925914082</v>
      </c>
      <c r="O184" s="292">
        <f t="shared" si="306"/>
        <v>12.107120220609223</v>
      </c>
      <c r="P184" s="292">
        <f t="shared" si="306"/>
        <v>11.630997515304369</v>
      </c>
      <c r="Q184" s="292">
        <f t="shared" si="306"/>
        <v>11.491391536356058</v>
      </c>
      <c r="R184" s="292">
        <f t="shared" si="306"/>
        <v>11.346004067414732</v>
      </c>
      <c r="S184" s="292">
        <f t="shared" si="306"/>
        <v>11.200616598473447</v>
      </c>
      <c r="T184" s="292">
        <f t="shared" si="306"/>
        <v>11.05522912953216</v>
      </c>
      <c r="U184" s="292">
        <f t="shared" si="306"/>
        <v>10.909841660590834</v>
      </c>
      <c r="V184" s="292">
        <f t="shared" si="306"/>
        <v>10.764454191649532</v>
      </c>
      <c r="W184" s="292">
        <f t="shared" si="306"/>
        <v>10.619066722708208</v>
      </c>
      <c r="X184" s="292">
        <f t="shared" si="306"/>
        <v>10.473679253766923</v>
      </c>
      <c r="Y184" s="292">
        <f t="shared" si="306"/>
        <v>10.328291784825634</v>
      </c>
      <c r="Z184" s="292">
        <f t="shared" si="306"/>
        <v>10.182904315884311</v>
      </c>
      <c r="AA184" s="292">
        <f t="shared" si="306"/>
        <v>10.03751684694301</v>
      </c>
      <c r="AB184" s="292">
        <f t="shared" si="306"/>
        <v>9.8921293780016875</v>
      </c>
      <c r="AC184" s="292">
        <f t="shared" si="306"/>
        <v>9.7467419090603986</v>
      </c>
      <c r="AD184" s="292">
        <f t="shared" si="306"/>
        <v>9.6013544401191115</v>
      </c>
      <c r="AE184" s="292">
        <f t="shared" si="306"/>
        <v>9.4559669711777854</v>
      </c>
      <c r="AF184" s="292">
        <f t="shared" si="306"/>
        <v>9.3105795022364877</v>
      </c>
      <c r="AG184" s="292">
        <f t="shared" si="306"/>
        <v>9.1651920332951633</v>
      </c>
      <c r="AH184" s="292">
        <f t="shared" si="306"/>
        <v>9.0198045643538762</v>
      </c>
      <c r="AI184" s="292">
        <f t="shared" si="306"/>
        <v>8.8744170954125892</v>
      </c>
      <c r="AJ184" s="292">
        <f t="shared" si="306"/>
        <v>8.729029626471263</v>
      </c>
      <c r="AK184" s="292">
        <f t="shared" si="306"/>
        <v>0</v>
      </c>
      <c r="AL184" s="292">
        <f t="shared" si="306"/>
        <v>0</v>
      </c>
      <c r="AM184" s="292">
        <f t="shared" si="306"/>
        <v>0</v>
      </c>
      <c r="AN184" s="292">
        <f t="shared" si="306"/>
        <v>0</v>
      </c>
      <c r="AO184" s="292">
        <f t="shared" si="306"/>
        <v>0</v>
      </c>
      <c r="AP184" s="292">
        <f t="shared" si="306"/>
        <v>0</v>
      </c>
      <c r="AQ184" s="292">
        <f t="shared" si="306"/>
        <v>0</v>
      </c>
      <c r="AR184" s="292">
        <f t="shared" si="306"/>
        <v>0</v>
      </c>
      <c r="AS184" s="292">
        <f t="shared" si="306"/>
        <v>0</v>
      </c>
      <c r="AT184" s="292">
        <f t="shared" si="306"/>
        <v>0</v>
      </c>
      <c r="AU184" s="292">
        <f t="shared" si="306"/>
        <v>0</v>
      </c>
      <c r="AV184" s="292">
        <f t="shared" si="306"/>
        <v>0</v>
      </c>
      <c r="AW184" s="292">
        <f t="shared" si="306"/>
        <v>0</v>
      </c>
      <c r="AX184" s="292">
        <f t="shared" si="306"/>
        <v>0</v>
      </c>
      <c r="AY184" s="292">
        <f t="shared" si="306"/>
        <v>0</v>
      </c>
      <c r="AZ184" s="292">
        <f t="shared" si="306"/>
        <v>0</v>
      </c>
      <c r="BA184" s="292">
        <f t="shared" si="306"/>
        <v>0</v>
      </c>
      <c r="BB184" s="292">
        <f t="shared" si="306"/>
        <v>0</v>
      </c>
      <c r="BC184" s="292">
        <f t="shared" si="306"/>
        <v>0</v>
      </c>
      <c r="BD184" s="292">
        <f t="shared" si="306"/>
        <v>0</v>
      </c>
      <c r="BE184" s="292">
        <f t="shared" si="306"/>
        <v>0</v>
      </c>
      <c r="BF184" s="292">
        <f t="shared" si="306"/>
        <v>0</v>
      </c>
      <c r="BG184" s="292">
        <f t="shared" si="306"/>
        <v>0</v>
      </c>
      <c r="BH184" s="292">
        <f t="shared" si="306"/>
        <v>0</v>
      </c>
      <c r="BI184" s="292">
        <f t="shared" si="306"/>
        <v>0</v>
      </c>
      <c r="BJ184" s="292">
        <f t="shared" si="306"/>
        <v>0</v>
      </c>
      <c r="BK184" s="292">
        <f t="shared" si="306"/>
        <v>0</v>
      </c>
      <c r="BL184" s="292">
        <f t="shared" si="306"/>
        <v>0</v>
      </c>
      <c r="BM184" s="292">
        <f t="shared" si="306"/>
        <v>0</v>
      </c>
      <c r="BN184" s="292">
        <f t="shared" si="306"/>
        <v>0</v>
      </c>
      <c r="BO184" s="292">
        <f t="shared" si="306"/>
        <v>0</v>
      </c>
      <c r="BP184" s="292">
        <f t="shared" si="306"/>
        <v>0</v>
      </c>
      <c r="BQ184" s="292">
        <f t="shared" si="306"/>
        <v>0</v>
      </c>
      <c r="BR184" s="292">
        <f t="shared" si="306"/>
        <v>0</v>
      </c>
      <c r="BS184" s="292">
        <f t="shared" ref="BS184:BX184" si="307">BS188*1.3/2.5</f>
        <v>0</v>
      </c>
      <c r="BT184" s="292">
        <f t="shared" si="307"/>
        <v>0</v>
      </c>
      <c r="BU184" s="292">
        <f t="shared" si="307"/>
        <v>0</v>
      </c>
      <c r="BV184" s="292">
        <f t="shared" si="307"/>
        <v>0</v>
      </c>
      <c r="BW184" s="292">
        <f t="shared" si="307"/>
        <v>0</v>
      </c>
      <c r="BX184" s="292">
        <f t="shared" si="307"/>
        <v>0</v>
      </c>
    </row>
    <row r="185" spans="1:76" hidden="1" outlineLevel="1">
      <c r="A185" s="38" t="s">
        <v>359</v>
      </c>
      <c r="B185" s="352">
        <v>2020</v>
      </c>
      <c r="C185" s="352" t="s">
        <v>187</v>
      </c>
      <c r="D185" s="352" t="s">
        <v>41</v>
      </c>
      <c r="E185" s="352" t="s">
        <v>138</v>
      </c>
      <c r="F185" s="383">
        <v>22.623690239999998</v>
      </c>
      <c r="G185" s="383">
        <v>20.556799999999999</v>
      </c>
      <c r="H185" s="383">
        <v>19.951730956305958</v>
      </c>
      <c r="I185" s="383">
        <v>19.354429860626116</v>
      </c>
      <c r="J185" s="383">
        <v>18.75899579306332</v>
      </c>
      <c r="K185" s="383">
        <v>18.165351904966844</v>
      </c>
      <c r="L185" s="383">
        <v>17.573425508154287</v>
      </c>
      <c r="M185" s="383">
        <v>16.983147797119678</v>
      </c>
      <c r="N185" s="383">
        <v>16.3944535932058</v>
      </c>
      <c r="O185" s="383">
        <v>15.80728110874111</v>
      </c>
      <c r="P185" s="383">
        <v>15.221571729346822</v>
      </c>
      <c r="Q185" s="383">
        <v>15.120869365086181</v>
      </c>
      <c r="R185" s="383">
        <v>15.020426131446611</v>
      </c>
      <c r="S185" s="383">
        <v>14.920237780385147</v>
      </c>
      <c r="T185" s="383">
        <v>14.820300156207578</v>
      </c>
      <c r="U185" s="383">
        <v>14.720609193072546</v>
      </c>
      <c r="V185" s="383">
        <v>14.621160912576137</v>
      </c>
      <c r="W185" s="383">
        <v>14.521951421413991</v>
      </c>
      <c r="X185" s="383">
        <v>14.422976909118004</v>
      </c>
      <c r="Y185" s="383">
        <v>14.32423364586491</v>
      </c>
      <c r="Z185" s="383">
        <v>14.225717980354025</v>
      </c>
      <c r="AA185" s="383">
        <v>14.127426337751704</v>
      </c>
      <c r="AB185" s="383">
        <v>14.029355217700001</v>
      </c>
      <c r="AC185" s="383">
        <v>13.93150119238725</v>
      </c>
      <c r="AD185" s="383">
        <v>13.833860904678309</v>
      </c>
      <c r="AE185" s="383">
        <v>13.736431066302353</v>
      </c>
      <c r="AF185" s="383">
        <v>13.639208456096123</v>
      </c>
      <c r="AG185" s="383">
        <v>13.542189918300684</v>
      </c>
      <c r="AH185" s="383">
        <v>13.445372360909818</v>
      </c>
      <c r="AI185" s="383">
        <v>13.348752754068176</v>
      </c>
      <c r="AJ185" s="383">
        <v>13.252328128517522</v>
      </c>
      <c r="AK185" s="340"/>
      <c r="AL185" s="340"/>
      <c r="AM185" s="340"/>
      <c r="AN185" s="340"/>
      <c r="AO185" s="340"/>
      <c r="AP185" s="340"/>
      <c r="AQ185" s="340"/>
      <c r="AR185" s="340"/>
      <c r="AS185" s="340"/>
      <c r="AT185" s="340"/>
      <c r="AU185" s="340"/>
      <c r="AV185" s="340"/>
      <c r="AW185" s="340"/>
      <c r="AX185" s="340"/>
      <c r="AY185" s="340"/>
      <c r="AZ185" s="340"/>
      <c r="BA185" s="340"/>
      <c r="BB185" s="340"/>
      <c r="BC185" s="340"/>
      <c r="BD185" s="340"/>
      <c r="BE185" s="340"/>
      <c r="BF185" s="340"/>
      <c r="BG185" s="340"/>
      <c r="BH185" s="340"/>
      <c r="BI185" s="340"/>
      <c r="BJ185" s="340"/>
      <c r="BK185" s="340"/>
      <c r="BL185" s="340"/>
      <c r="BM185" s="340"/>
      <c r="BN185" s="340"/>
      <c r="BO185" s="340"/>
      <c r="BP185" s="340"/>
      <c r="BQ185" s="340"/>
      <c r="BR185" s="340"/>
      <c r="BS185" s="340"/>
      <c r="BT185" s="340"/>
      <c r="BU185" s="340"/>
      <c r="BV185" s="340"/>
      <c r="BW185" s="340"/>
      <c r="BX185" s="340"/>
    </row>
    <row r="186" spans="1:76" hidden="1" outlineLevel="1">
      <c r="A186" s="38" t="s">
        <v>360</v>
      </c>
      <c r="B186" s="352">
        <v>2020</v>
      </c>
      <c r="C186" s="352" t="s">
        <v>188</v>
      </c>
      <c r="D186" s="352" t="s">
        <v>41</v>
      </c>
      <c r="E186" s="352" t="s">
        <v>10</v>
      </c>
      <c r="F186" s="383">
        <v>22.623690239999998</v>
      </c>
      <c r="G186" s="383">
        <v>20.556799999999999</v>
      </c>
      <c r="H186" s="383">
        <v>19.951730956305958</v>
      </c>
      <c r="I186" s="383">
        <v>19.354429860626116</v>
      </c>
      <c r="J186" s="383">
        <v>18.75899579306332</v>
      </c>
      <c r="K186" s="383">
        <v>18.165351904966844</v>
      </c>
      <c r="L186" s="383">
        <v>17.573425508154287</v>
      </c>
      <c r="M186" s="383">
        <v>16.983147797119678</v>
      </c>
      <c r="N186" s="383">
        <v>16.3944535932058</v>
      </c>
      <c r="O186" s="383">
        <v>15.80728110874111</v>
      </c>
      <c r="P186" s="383">
        <v>15.221571729346822</v>
      </c>
      <c r="Q186" s="383">
        <v>15.120869365086181</v>
      </c>
      <c r="R186" s="383">
        <v>15.020426131446611</v>
      </c>
      <c r="S186" s="383">
        <v>14.920237780385147</v>
      </c>
      <c r="T186" s="383">
        <v>14.820300156207578</v>
      </c>
      <c r="U186" s="383">
        <v>14.720609193072546</v>
      </c>
      <c r="V186" s="383">
        <v>14.621160912576137</v>
      </c>
      <c r="W186" s="383">
        <v>14.521951421413991</v>
      </c>
      <c r="X186" s="383">
        <v>14.422976909118004</v>
      </c>
      <c r="Y186" s="383">
        <v>14.32423364586491</v>
      </c>
      <c r="Z186" s="383">
        <v>14.225717980354025</v>
      </c>
      <c r="AA186" s="383">
        <v>14.127426337751704</v>
      </c>
      <c r="AB186" s="383">
        <v>14.029355217700001</v>
      </c>
      <c r="AC186" s="383">
        <v>13.93150119238725</v>
      </c>
      <c r="AD186" s="383">
        <v>13.833860904678309</v>
      </c>
      <c r="AE186" s="383">
        <v>13.736431066302353</v>
      </c>
      <c r="AF186" s="383">
        <v>13.639208456096123</v>
      </c>
      <c r="AG186" s="383">
        <v>13.542189918300684</v>
      </c>
      <c r="AH186" s="383">
        <v>13.445372360909818</v>
      </c>
      <c r="AI186" s="383">
        <v>13.348752754068176</v>
      </c>
      <c r="AJ186" s="383">
        <v>13.252328128517522</v>
      </c>
      <c r="AK186" s="340"/>
      <c r="AL186" s="340"/>
      <c r="AM186" s="340"/>
      <c r="AN186" s="340"/>
      <c r="AO186" s="340"/>
      <c r="AP186" s="340"/>
      <c r="AQ186" s="340"/>
      <c r="AR186" s="340"/>
      <c r="AS186" s="340"/>
      <c r="AT186" s="340"/>
      <c r="AU186" s="340"/>
      <c r="AV186" s="340"/>
      <c r="AW186" s="340"/>
      <c r="AX186" s="340"/>
      <c r="AY186" s="340"/>
      <c r="AZ186" s="340"/>
      <c r="BA186" s="340"/>
      <c r="BB186" s="340"/>
      <c r="BC186" s="340"/>
      <c r="BD186" s="340"/>
      <c r="BE186" s="340"/>
      <c r="BF186" s="340"/>
      <c r="BG186" s="340"/>
      <c r="BH186" s="340"/>
      <c r="BI186" s="340"/>
      <c r="BJ186" s="340"/>
      <c r="BK186" s="340"/>
      <c r="BL186" s="340"/>
      <c r="BM186" s="340"/>
      <c r="BN186" s="340"/>
      <c r="BO186" s="340"/>
      <c r="BP186" s="340"/>
      <c r="BQ186" s="340"/>
      <c r="BR186" s="340"/>
      <c r="BS186" s="340"/>
      <c r="BT186" s="340"/>
      <c r="BU186" s="340"/>
      <c r="BV186" s="340"/>
      <c r="BW186" s="340"/>
      <c r="BX186" s="340"/>
    </row>
    <row r="187" spans="1:76" hidden="1" outlineLevel="1">
      <c r="B187" s="352">
        <v>2020</v>
      </c>
      <c r="C187" s="352" t="str">
        <f>C185</f>
        <v>NREL Utility PV - Class 4</v>
      </c>
      <c r="D187" s="352" t="s">
        <v>41</v>
      </c>
      <c r="E187" s="352" t="s">
        <v>164</v>
      </c>
      <c r="F187" s="341">
        <f>F185</f>
        <v>22.623690239999998</v>
      </c>
      <c r="G187" s="341">
        <f t="shared" ref="G187:BR187" si="308">G185</f>
        <v>20.556799999999999</v>
      </c>
      <c r="H187" s="341">
        <f t="shared" si="308"/>
        <v>19.951730956305958</v>
      </c>
      <c r="I187" s="341">
        <f t="shared" si="308"/>
        <v>19.354429860626116</v>
      </c>
      <c r="J187" s="341">
        <f t="shared" si="308"/>
        <v>18.75899579306332</v>
      </c>
      <c r="K187" s="341">
        <f t="shared" si="308"/>
        <v>18.165351904966844</v>
      </c>
      <c r="L187" s="341">
        <f t="shared" si="308"/>
        <v>17.573425508154287</v>
      </c>
      <c r="M187" s="341">
        <f t="shared" si="308"/>
        <v>16.983147797119678</v>
      </c>
      <c r="N187" s="341">
        <f t="shared" si="308"/>
        <v>16.3944535932058</v>
      </c>
      <c r="O187" s="341">
        <f t="shared" si="308"/>
        <v>15.80728110874111</v>
      </c>
      <c r="P187" s="341">
        <f t="shared" si="308"/>
        <v>15.221571729346822</v>
      </c>
      <c r="Q187" s="341">
        <f t="shared" si="308"/>
        <v>15.120869365086181</v>
      </c>
      <c r="R187" s="341">
        <f t="shared" si="308"/>
        <v>15.020426131446611</v>
      </c>
      <c r="S187" s="341">
        <f t="shared" si="308"/>
        <v>14.920237780385147</v>
      </c>
      <c r="T187" s="341">
        <f t="shared" si="308"/>
        <v>14.820300156207578</v>
      </c>
      <c r="U187" s="341">
        <f t="shared" si="308"/>
        <v>14.720609193072546</v>
      </c>
      <c r="V187" s="341">
        <f t="shared" si="308"/>
        <v>14.621160912576137</v>
      </c>
      <c r="W187" s="341">
        <f t="shared" si="308"/>
        <v>14.521951421413991</v>
      </c>
      <c r="X187" s="341">
        <f t="shared" si="308"/>
        <v>14.422976909118004</v>
      </c>
      <c r="Y187" s="341">
        <f t="shared" si="308"/>
        <v>14.32423364586491</v>
      </c>
      <c r="Z187" s="341">
        <f t="shared" si="308"/>
        <v>14.225717980354025</v>
      </c>
      <c r="AA187" s="341">
        <f t="shared" si="308"/>
        <v>14.127426337751704</v>
      </c>
      <c r="AB187" s="341">
        <f t="shared" si="308"/>
        <v>14.029355217700001</v>
      </c>
      <c r="AC187" s="341">
        <f t="shared" si="308"/>
        <v>13.93150119238725</v>
      </c>
      <c r="AD187" s="341">
        <f t="shared" si="308"/>
        <v>13.833860904678309</v>
      </c>
      <c r="AE187" s="341">
        <f t="shared" si="308"/>
        <v>13.736431066302353</v>
      </c>
      <c r="AF187" s="341">
        <f t="shared" si="308"/>
        <v>13.639208456096123</v>
      </c>
      <c r="AG187" s="341">
        <f t="shared" si="308"/>
        <v>13.542189918300684</v>
      </c>
      <c r="AH187" s="341">
        <f t="shared" si="308"/>
        <v>13.445372360909818</v>
      </c>
      <c r="AI187" s="341">
        <f t="shared" si="308"/>
        <v>13.348752754068176</v>
      </c>
      <c r="AJ187" s="341">
        <f t="shared" si="308"/>
        <v>13.252328128517522</v>
      </c>
      <c r="AK187" s="341">
        <f t="shared" si="308"/>
        <v>0</v>
      </c>
      <c r="AL187" s="341">
        <f t="shared" si="308"/>
        <v>0</v>
      </c>
      <c r="AM187" s="341">
        <f t="shared" si="308"/>
        <v>0</v>
      </c>
      <c r="AN187" s="341">
        <f t="shared" si="308"/>
        <v>0</v>
      </c>
      <c r="AO187" s="341">
        <f t="shared" si="308"/>
        <v>0</v>
      </c>
      <c r="AP187" s="341">
        <f t="shared" si="308"/>
        <v>0</v>
      </c>
      <c r="AQ187" s="341">
        <f t="shared" si="308"/>
        <v>0</v>
      </c>
      <c r="AR187" s="341">
        <f t="shared" si="308"/>
        <v>0</v>
      </c>
      <c r="AS187" s="341">
        <f t="shared" si="308"/>
        <v>0</v>
      </c>
      <c r="AT187" s="341">
        <f t="shared" si="308"/>
        <v>0</v>
      </c>
      <c r="AU187" s="341">
        <f t="shared" si="308"/>
        <v>0</v>
      </c>
      <c r="AV187" s="341">
        <f t="shared" si="308"/>
        <v>0</v>
      </c>
      <c r="AW187" s="341">
        <f t="shared" si="308"/>
        <v>0</v>
      </c>
      <c r="AX187" s="341">
        <f t="shared" si="308"/>
        <v>0</v>
      </c>
      <c r="AY187" s="341">
        <f t="shared" si="308"/>
        <v>0</v>
      </c>
      <c r="AZ187" s="341">
        <f t="shared" si="308"/>
        <v>0</v>
      </c>
      <c r="BA187" s="341">
        <f t="shared" si="308"/>
        <v>0</v>
      </c>
      <c r="BB187" s="341">
        <f t="shared" si="308"/>
        <v>0</v>
      </c>
      <c r="BC187" s="341">
        <f t="shared" si="308"/>
        <v>0</v>
      </c>
      <c r="BD187" s="341">
        <f t="shared" si="308"/>
        <v>0</v>
      </c>
      <c r="BE187" s="341">
        <f t="shared" si="308"/>
        <v>0</v>
      </c>
      <c r="BF187" s="341">
        <f t="shared" si="308"/>
        <v>0</v>
      </c>
      <c r="BG187" s="341">
        <f t="shared" si="308"/>
        <v>0</v>
      </c>
      <c r="BH187" s="341">
        <f t="shared" si="308"/>
        <v>0</v>
      </c>
      <c r="BI187" s="341">
        <f t="shared" si="308"/>
        <v>0</v>
      </c>
      <c r="BJ187" s="341">
        <f t="shared" si="308"/>
        <v>0</v>
      </c>
      <c r="BK187" s="341">
        <f t="shared" si="308"/>
        <v>0</v>
      </c>
      <c r="BL187" s="341">
        <f t="shared" si="308"/>
        <v>0</v>
      </c>
      <c r="BM187" s="341">
        <f t="shared" si="308"/>
        <v>0</v>
      </c>
      <c r="BN187" s="341">
        <f t="shared" si="308"/>
        <v>0</v>
      </c>
      <c r="BO187" s="341">
        <f t="shared" si="308"/>
        <v>0</v>
      </c>
      <c r="BP187" s="341">
        <f t="shared" si="308"/>
        <v>0</v>
      </c>
      <c r="BQ187" s="341">
        <f t="shared" si="308"/>
        <v>0</v>
      </c>
      <c r="BR187" s="341">
        <f t="shared" si="308"/>
        <v>0</v>
      </c>
      <c r="BS187" s="341">
        <f t="shared" ref="BS187:BX187" si="309">BS185</f>
        <v>0</v>
      </c>
      <c r="BT187" s="341">
        <f t="shared" si="309"/>
        <v>0</v>
      </c>
      <c r="BU187" s="341">
        <f t="shared" si="309"/>
        <v>0</v>
      </c>
      <c r="BV187" s="341">
        <f t="shared" si="309"/>
        <v>0</v>
      </c>
      <c r="BW187" s="341">
        <f t="shared" si="309"/>
        <v>0</v>
      </c>
      <c r="BX187" s="341">
        <f t="shared" si="309"/>
        <v>0</v>
      </c>
    </row>
    <row r="188" spans="1:76" hidden="1" outlineLevel="1">
      <c r="B188" s="352">
        <v>2020</v>
      </c>
      <c r="C188" s="352" t="s">
        <v>154</v>
      </c>
      <c r="D188" s="352" t="s">
        <v>41</v>
      </c>
      <c r="E188" s="352" t="s">
        <v>165</v>
      </c>
      <c r="F188" s="341">
        <f>F160</f>
        <v>43.180861120239101</v>
      </c>
      <c r="G188" s="341">
        <f t="shared" ref="G188:AJ188" si="310">G160</f>
        <v>36.88642936702464</v>
      </c>
      <c r="H188" s="341">
        <f t="shared" si="310"/>
        <v>34.270370546668282</v>
      </c>
      <c r="I188" s="341">
        <f t="shared" si="310"/>
        <v>31.392705844276293</v>
      </c>
      <c r="J188" s="341">
        <f t="shared" si="310"/>
        <v>29.169055846973386</v>
      </c>
      <c r="K188" s="341">
        <f t="shared" si="310"/>
        <v>27.599420554759575</v>
      </c>
      <c r="L188" s="341">
        <f t="shared" si="310"/>
        <v>26.422194085599212</v>
      </c>
      <c r="M188" s="341">
        <f t="shared" si="310"/>
        <v>25.375770557456669</v>
      </c>
      <c r="N188" s="341">
        <f t="shared" si="310"/>
        <v>24.198544088296309</v>
      </c>
      <c r="O188" s="341">
        <f t="shared" si="310"/>
        <v>23.282923501171584</v>
      </c>
      <c r="P188" s="341">
        <f t="shared" si="310"/>
        <v>22.36730291404686</v>
      </c>
      <c r="Q188" s="341">
        <f t="shared" si="310"/>
        <v>22.098829877607802</v>
      </c>
      <c r="R188" s="341">
        <f t="shared" si="310"/>
        <v>21.819238591182177</v>
      </c>
      <c r="S188" s="341">
        <f t="shared" si="310"/>
        <v>21.539647304756627</v>
      </c>
      <c r="T188" s="341">
        <f t="shared" si="310"/>
        <v>21.260056018331074</v>
      </c>
      <c r="U188" s="341">
        <f t="shared" si="310"/>
        <v>20.98046473190545</v>
      </c>
      <c r="V188" s="341">
        <f t="shared" si="310"/>
        <v>20.700873445479871</v>
      </c>
      <c r="W188" s="341">
        <f t="shared" si="310"/>
        <v>20.421282159054247</v>
      </c>
      <c r="X188" s="341">
        <f t="shared" si="310"/>
        <v>20.141690872628697</v>
      </c>
      <c r="Y188" s="341">
        <f t="shared" si="310"/>
        <v>19.862099586203144</v>
      </c>
      <c r="Z188" s="341">
        <f t="shared" si="310"/>
        <v>19.582508299777519</v>
      </c>
      <c r="AA188" s="341">
        <f t="shared" si="310"/>
        <v>19.302917013351944</v>
      </c>
      <c r="AB188" s="341">
        <f t="shared" si="310"/>
        <v>19.02332572692632</v>
      </c>
      <c r="AC188" s="341">
        <f t="shared" si="310"/>
        <v>18.743734440500766</v>
      </c>
      <c r="AD188" s="341">
        <f t="shared" si="310"/>
        <v>18.464143154075213</v>
      </c>
      <c r="AE188" s="341">
        <f t="shared" si="310"/>
        <v>18.184551867649589</v>
      </c>
      <c r="AF188" s="341">
        <f t="shared" si="310"/>
        <v>17.904960581224014</v>
      </c>
      <c r="AG188" s="341">
        <f t="shared" si="310"/>
        <v>17.625369294798389</v>
      </c>
      <c r="AH188" s="341">
        <f t="shared" si="310"/>
        <v>17.345778008372839</v>
      </c>
      <c r="AI188" s="341">
        <f t="shared" si="310"/>
        <v>17.066186721947286</v>
      </c>
      <c r="AJ188" s="341">
        <f t="shared" si="310"/>
        <v>16.786595435521662</v>
      </c>
      <c r="AK188" s="340"/>
      <c r="AL188" s="340"/>
      <c r="AM188" s="340"/>
      <c r="AN188" s="340"/>
      <c r="AO188" s="340"/>
      <c r="AP188" s="340"/>
      <c r="AQ188" s="340"/>
      <c r="AR188" s="340"/>
      <c r="AS188" s="340"/>
      <c r="AT188" s="340"/>
      <c r="AU188" s="340"/>
      <c r="AV188" s="340"/>
      <c r="AW188" s="340"/>
      <c r="AX188" s="340"/>
      <c r="AY188" s="340"/>
      <c r="AZ188" s="340"/>
      <c r="BA188" s="340"/>
      <c r="BB188" s="340"/>
      <c r="BC188" s="340"/>
      <c r="BD188" s="340"/>
      <c r="BE188" s="340"/>
      <c r="BF188" s="340"/>
      <c r="BG188" s="340"/>
      <c r="BH188" s="340"/>
      <c r="BI188" s="340"/>
      <c r="BJ188" s="340"/>
      <c r="BK188" s="340"/>
      <c r="BL188" s="340"/>
      <c r="BM188" s="340"/>
      <c r="BN188" s="340"/>
      <c r="BO188" s="340"/>
      <c r="BP188" s="340"/>
      <c r="BQ188" s="340"/>
      <c r="BR188" s="340"/>
      <c r="BS188" s="340"/>
      <c r="BT188" s="340"/>
      <c r="BU188" s="340"/>
      <c r="BV188" s="340"/>
      <c r="BW188" s="340"/>
      <c r="BX188" s="340"/>
    </row>
    <row r="189" spans="1:76" hidden="1" outlineLevel="1">
      <c r="B189" s="352">
        <v>2020</v>
      </c>
      <c r="C189" s="352" t="str">
        <f>C185</f>
        <v>NREL Utility PV - Class 4</v>
      </c>
      <c r="D189" s="352" t="s">
        <v>41</v>
      </c>
      <c r="E189" s="352" t="s">
        <v>168</v>
      </c>
      <c r="F189" s="341">
        <f>F185</f>
        <v>22.623690239999998</v>
      </c>
      <c r="G189" s="341">
        <f t="shared" ref="G189:BR189" si="311">G185</f>
        <v>20.556799999999999</v>
      </c>
      <c r="H189" s="341">
        <f t="shared" si="311"/>
        <v>19.951730956305958</v>
      </c>
      <c r="I189" s="341">
        <f t="shared" si="311"/>
        <v>19.354429860626116</v>
      </c>
      <c r="J189" s="341">
        <f t="shared" si="311"/>
        <v>18.75899579306332</v>
      </c>
      <c r="K189" s="341">
        <f t="shared" si="311"/>
        <v>18.165351904966844</v>
      </c>
      <c r="L189" s="341">
        <f t="shared" si="311"/>
        <v>17.573425508154287</v>
      </c>
      <c r="M189" s="341">
        <f t="shared" si="311"/>
        <v>16.983147797119678</v>
      </c>
      <c r="N189" s="341">
        <f t="shared" si="311"/>
        <v>16.3944535932058</v>
      </c>
      <c r="O189" s="341">
        <f t="shared" si="311"/>
        <v>15.80728110874111</v>
      </c>
      <c r="P189" s="341">
        <f t="shared" si="311"/>
        <v>15.221571729346822</v>
      </c>
      <c r="Q189" s="341">
        <f t="shared" si="311"/>
        <v>15.120869365086181</v>
      </c>
      <c r="R189" s="341">
        <f t="shared" si="311"/>
        <v>15.020426131446611</v>
      </c>
      <c r="S189" s="341">
        <f t="shared" si="311"/>
        <v>14.920237780385147</v>
      </c>
      <c r="T189" s="341">
        <f t="shared" si="311"/>
        <v>14.820300156207578</v>
      </c>
      <c r="U189" s="341">
        <f t="shared" si="311"/>
        <v>14.720609193072546</v>
      </c>
      <c r="V189" s="341">
        <f t="shared" si="311"/>
        <v>14.621160912576137</v>
      </c>
      <c r="W189" s="341">
        <f t="shared" si="311"/>
        <v>14.521951421413991</v>
      </c>
      <c r="X189" s="341">
        <f t="shared" si="311"/>
        <v>14.422976909118004</v>
      </c>
      <c r="Y189" s="341">
        <f t="shared" si="311"/>
        <v>14.32423364586491</v>
      </c>
      <c r="Z189" s="341">
        <f t="shared" si="311"/>
        <v>14.225717980354025</v>
      </c>
      <c r="AA189" s="341">
        <f t="shared" si="311"/>
        <v>14.127426337751704</v>
      </c>
      <c r="AB189" s="341">
        <f t="shared" si="311"/>
        <v>14.029355217700001</v>
      </c>
      <c r="AC189" s="341">
        <f t="shared" si="311"/>
        <v>13.93150119238725</v>
      </c>
      <c r="AD189" s="341">
        <f t="shared" si="311"/>
        <v>13.833860904678309</v>
      </c>
      <c r="AE189" s="341">
        <f t="shared" si="311"/>
        <v>13.736431066302353</v>
      </c>
      <c r="AF189" s="341">
        <f t="shared" si="311"/>
        <v>13.639208456096123</v>
      </c>
      <c r="AG189" s="341">
        <f t="shared" si="311"/>
        <v>13.542189918300684</v>
      </c>
      <c r="AH189" s="341">
        <f t="shared" si="311"/>
        <v>13.445372360909818</v>
      </c>
      <c r="AI189" s="341">
        <f t="shared" si="311"/>
        <v>13.348752754068176</v>
      </c>
      <c r="AJ189" s="341">
        <f t="shared" si="311"/>
        <v>13.252328128517522</v>
      </c>
      <c r="AK189" s="341">
        <f t="shared" si="311"/>
        <v>0</v>
      </c>
      <c r="AL189" s="341">
        <f t="shared" si="311"/>
        <v>0</v>
      </c>
      <c r="AM189" s="341">
        <f t="shared" si="311"/>
        <v>0</v>
      </c>
      <c r="AN189" s="341">
        <f t="shared" si="311"/>
        <v>0</v>
      </c>
      <c r="AO189" s="341">
        <f t="shared" si="311"/>
        <v>0</v>
      </c>
      <c r="AP189" s="341">
        <f t="shared" si="311"/>
        <v>0</v>
      </c>
      <c r="AQ189" s="341">
        <f t="shared" si="311"/>
        <v>0</v>
      </c>
      <c r="AR189" s="341">
        <f t="shared" si="311"/>
        <v>0</v>
      </c>
      <c r="AS189" s="341">
        <f t="shared" si="311"/>
        <v>0</v>
      </c>
      <c r="AT189" s="341">
        <f t="shared" si="311"/>
        <v>0</v>
      </c>
      <c r="AU189" s="341">
        <f t="shared" si="311"/>
        <v>0</v>
      </c>
      <c r="AV189" s="341">
        <f t="shared" si="311"/>
        <v>0</v>
      </c>
      <c r="AW189" s="341">
        <f t="shared" si="311"/>
        <v>0</v>
      </c>
      <c r="AX189" s="341">
        <f t="shared" si="311"/>
        <v>0</v>
      </c>
      <c r="AY189" s="341">
        <f t="shared" si="311"/>
        <v>0</v>
      </c>
      <c r="AZ189" s="341">
        <f t="shared" si="311"/>
        <v>0</v>
      </c>
      <c r="BA189" s="341">
        <f t="shared" si="311"/>
        <v>0</v>
      </c>
      <c r="BB189" s="341">
        <f t="shared" si="311"/>
        <v>0</v>
      </c>
      <c r="BC189" s="341">
        <f t="shared" si="311"/>
        <v>0</v>
      </c>
      <c r="BD189" s="341">
        <f t="shared" si="311"/>
        <v>0</v>
      </c>
      <c r="BE189" s="341">
        <f t="shared" si="311"/>
        <v>0</v>
      </c>
      <c r="BF189" s="341">
        <f t="shared" si="311"/>
        <v>0</v>
      </c>
      <c r="BG189" s="341">
        <f t="shared" si="311"/>
        <v>0</v>
      </c>
      <c r="BH189" s="341">
        <f t="shared" si="311"/>
        <v>0</v>
      </c>
      <c r="BI189" s="341">
        <f t="shared" si="311"/>
        <v>0</v>
      </c>
      <c r="BJ189" s="341">
        <f t="shared" si="311"/>
        <v>0</v>
      </c>
      <c r="BK189" s="341">
        <f t="shared" si="311"/>
        <v>0</v>
      </c>
      <c r="BL189" s="341">
        <f t="shared" si="311"/>
        <v>0</v>
      </c>
      <c r="BM189" s="341">
        <f t="shared" si="311"/>
        <v>0</v>
      </c>
      <c r="BN189" s="341">
        <f t="shared" si="311"/>
        <v>0</v>
      </c>
      <c r="BO189" s="341">
        <f t="shared" si="311"/>
        <v>0</v>
      </c>
      <c r="BP189" s="341">
        <f t="shared" si="311"/>
        <v>0</v>
      </c>
      <c r="BQ189" s="341">
        <f t="shared" si="311"/>
        <v>0</v>
      </c>
      <c r="BR189" s="341">
        <f t="shared" si="311"/>
        <v>0</v>
      </c>
      <c r="BS189" s="341">
        <f t="shared" ref="BS189:BX189" si="312">BS185</f>
        <v>0</v>
      </c>
      <c r="BT189" s="341">
        <f t="shared" si="312"/>
        <v>0</v>
      </c>
      <c r="BU189" s="341">
        <f t="shared" si="312"/>
        <v>0</v>
      </c>
      <c r="BV189" s="341">
        <f t="shared" si="312"/>
        <v>0</v>
      </c>
      <c r="BW189" s="341">
        <f t="shared" si="312"/>
        <v>0</v>
      </c>
      <c r="BX189" s="341">
        <f t="shared" si="312"/>
        <v>0</v>
      </c>
    </row>
    <row r="190" spans="1:76" hidden="1" outlineLevel="1">
      <c r="A190" s="355" t="s">
        <v>392</v>
      </c>
      <c r="B190" s="352">
        <v>2020</v>
      </c>
      <c r="C190" s="352" t="s">
        <v>186</v>
      </c>
      <c r="D190" s="352" t="s">
        <v>41</v>
      </c>
      <c r="E190" s="352" t="s">
        <v>166</v>
      </c>
      <c r="F190" s="384">
        <v>24.708042503923892</v>
      </c>
      <c r="G190" s="384">
        <v>21.421204376413385</v>
      </c>
      <c r="H190" s="384">
        <v>20.166863479758646</v>
      </c>
      <c r="I190" s="384">
        <v>18.650916701068276</v>
      </c>
      <c r="J190" s="384">
        <v>17.6917190614883</v>
      </c>
      <c r="K190" s="384">
        <v>16.802942731125302</v>
      </c>
      <c r="L190" s="384">
        <v>16.306575223815749</v>
      </c>
      <c r="M190" s="384">
        <v>15.843745091545328</v>
      </c>
      <c r="N190" s="384">
        <v>15.250112018257092</v>
      </c>
      <c r="O190" s="384">
        <v>14.918084827004487</v>
      </c>
      <c r="P190" s="384">
        <v>14.488792069773197</v>
      </c>
      <c r="Q190" s="384">
        <v>14.31636877973807</v>
      </c>
      <c r="R190" s="384">
        <v>14.135258878865892</v>
      </c>
      <c r="S190" s="384">
        <v>13.954148977993743</v>
      </c>
      <c r="T190" s="384">
        <v>13.773039077121593</v>
      </c>
      <c r="U190" s="384">
        <v>13.591929176249417</v>
      </c>
      <c r="V190" s="384">
        <v>13.410819275377243</v>
      </c>
      <c r="W190" s="384">
        <v>13.229709374505063</v>
      </c>
      <c r="X190" s="384">
        <v>13.048599473632917</v>
      </c>
      <c r="Y190" s="384">
        <v>12.867489572760769</v>
      </c>
      <c r="Z190" s="384">
        <v>12.68637967188859</v>
      </c>
      <c r="AA190" s="384">
        <v>12.505269771016417</v>
      </c>
      <c r="AB190" s="384">
        <v>12.324159870144243</v>
      </c>
      <c r="AC190" s="384">
        <v>12.143049969272091</v>
      </c>
      <c r="AD190" s="384">
        <v>11.961940068399942</v>
      </c>
      <c r="AE190" s="384">
        <v>11.780830167527764</v>
      </c>
      <c r="AF190" s="384">
        <v>11.599720266655593</v>
      </c>
      <c r="AG190" s="384">
        <v>11.418610365783415</v>
      </c>
      <c r="AH190" s="384">
        <v>11.237500464911268</v>
      </c>
      <c r="AI190" s="384">
        <v>11.056390564039118</v>
      </c>
      <c r="AJ190" s="384">
        <v>10.877712302316418</v>
      </c>
      <c r="AK190" s="340"/>
      <c r="AL190" s="340"/>
      <c r="AM190" s="340"/>
      <c r="AN190" s="340"/>
      <c r="AO190" s="340"/>
      <c r="AP190" s="340"/>
      <c r="AQ190" s="340"/>
      <c r="AR190" s="340"/>
      <c r="AS190" s="340"/>
      <c r="AT190" s="340"/>
      <c r="AU190" s="340"/>
      <c r="AV190" s="340"/>
      <c r="AW190" s="340"/>
      <c r="AX190" s="340"/>
      <c r="AY190" s="340"/>
      <c r="AZ190" s="340"/>
      <c r="BA190" s="340"/>
      <c r="BB190" s="340"/>
      <c r="BC190" s="340"/>
      <c r="BD190" s="340"/>
      <c r="BE190" s="340"/>
      <c r="BF190" s="340"/>
      <c r="BG190" s="340"/>
      <c r="BH190" s="340"/>
      <c r="BI190" s="340"/>
      <c r="BJ190" s="340"/>
      <c r="BK190" s="340"/>
      <c r="BL190" s="340"/>
      <c r="BM190" s="340"/>
      <c r="BN190" s="340"/>
      <c r="BO190" s="340"/>
      <c r="BP190" s="340"/>
      <c r="BQ190" s="340"/>
      <c r="BR190" s="340"/>
      <c r="BS190" s="340"/>
      <c r="BT190" s="340"/>
      <c r="BU190" s="340"/>
      <c r="BV190" s="340"/>
      <c r="BW190" s="340"/>
      <c r="BX190" s="340"/>
    </row>
    <row r="191" spans="1:76" hidden="1" outlineLevel="1">
      <c r="B191" s="352">
        <v>2020</v>
      </c>
      <c r="C191" s="352" t="str">
        <f>C185</f>
        <v>NREL Utility PV - Class 4</v>
      </c>
      <c r="D191" s="352" t="s">
        <v>41</v>
      </c>
      <c r="E191" s="352" t="s">
        <v>169</v>
      </c>
      <c r="F191" s="341">
        <f>F185</f>
        <v>22.623690239999998</v>
      </c>
      <c r="G191" s="341">
        <f t="shared" ref="G191:BR191" si="313">G185</f>
        <v>20.556799999999999</v>
      </c>
      <c r="H191" s="341">
        <f t="shared" si="313"/>
        <v>19.951730956305958</v>
      </c>
      <c r="I191" s="341">
        <f t="shared" si="313"/>
        <v>19.354429860626116</v>
      </c>
      <c r="J191" s="341">
        <f t="shared" si="313"/>
        <v>18.75899579306332</v>
      </c>
      <c r="K191" s="341">
        <f t="shared" si="313"/>
        <v>18.165351904966844</v>
      </c>
      <c r="L191" s="341">
        <f t="shared" si="313"/>
        <v>17.573425508154287</v>
      </c>
      <c r="M191" s="341">
        <f t="shared" si="313"/>
        <v>16.983147797119678</v>
      </c>
      <c r="N191" s="341">
        <f t="shared" si="313"/>
        <v>16.3944535932058</v>
      </c>
      <c r="O191" s="341">
        <f t="shared" si="313"/>
        <v>15.80728110874111</v>
      </c>
      <c r="P191" s="341">
        <f t="shared" si="313"/>
        <v>15.221571729346822</v>
      </c>
      <c r="Q191" s="341">
        <f t="shared" si="313"/>
        <v>15.120869365086181</v>
      </c>
      <c r="R191" s="341">
        <f t="shared" si="313"/>
        <v>15.020426131446611</v>
      </c>
      <c r="S191" s="341">
        <f t="shared" si="313"/>
        <v>14.920237780385147</v>
      </c>
      <c r="T191" s="341">
        <f t="shared" si="313"/>
        <v>14.820300156207578</v>
      </c>
      <c r="U191" s="341">
        <f t="shared" si="313"/>
        <v>14.720609193072546</v>
      </c>
      <c r="V191" s="341">
        <f t="shared" si="313"/>
        <v>14.621160912576137</v>
      </c>
      <c r="W191" s="341">
        <f t="shared" si="313"/>
        <v>14.521951421413991</v>
      </c>
      <c r="X191" s="341">
        <f t="shared" si="313"/>
        <v>14.422976909118004</v>
      </c>
      <c r="Y191" s="341">
        <f t="shared" si="313"/>
        <v>14.32423364586491</v>
      </c>
      <c r="Z191" s="341">
        <f t="shared" si="313"/>
        <v>14.225717980354025</v>
      </c>
      <c r="AA191" s="341">
        <f t="shared" si="313"/>
        <v>14.127426337751704</v>
      </c>
      <c r="AB191" s="341">
        <f t="shared" si="313"/>
        <v>14.029355217700001</v>
      </c>
      <c r="AC191" s="341">
        <f t="shared" si="313"/>
        <v>13.93150119238725</v>
      </c>
      <c r="AD191" s="341">
        <f t="shared" si="313"/>
        <v>13.833860904678309</v>
      </c>
      <c r="AE191" s="341">
        <f t="shared" si="313"/>
        <v>13.736431066302353</v>
      </c>
      <c r="AF191" s="341">
        <f t="shared" si="313"/>
        <v>13.639208456096123</v>
      </c>
      <c r="AG191" s="341">
        <f t="shared" si="313"/>
        <v>13.542189918300684</v>
      </c>
      <c r="AH191" s="341">
        <f t="shared" si="313"/>
        <v>13.445372360909818</v>
      </c>
      <c r="AI191" s="341">
        <f t="shared" si="313"/>
        <v>13.348752754068176</v>
      </c>
      <c r="AJ191" s="341">
        <f t="shared" si="313"/>
        <v>13.252328128517522</v>
      </c>
      <c r="AK191" s="341">
        <f t="shared" si="313"/>
        <v>0</v>
      </c>
      <c r="AL191" s="341">
        <f t="shared" si="313"/>
        <v>0</v>
      </c>
      <c r="AM191" s="341">
        <f t="shared" si="313"/>
        <v>0</v>
      </c>
      <c r="AN191" s="341">
        <f t="shared" si="313"/>
        <v>0</v>
      </c>
      <c r="AO191" s="341">
        <f t="shared" si="313"/>
        <v>0</v>
      </c>
      <c r="AP191" s="341">
        <f t="shared" si="313"/>
        <v>0</v>
      </c>
      <c r="AQ191" s="341">
        <f t="shared" si="313"/>
        <v>0</v>
      </c>
      <c r="AR191" s="341">
        <f t="shared" si="313"/>
        <v>0</v>
      </c>
      <c r="AS191" s="341">
        <f t="shared" si="313"/>
        <v>0</v>
      </c>
      <c r="AT191" s="341">
        <f t="shared" si="313"/>
        <v>0</v>
      </c>
      <c r="AU191" s="341">
        <f t="shared" si="313"/>
        <v>0</v>
      </c>
      <c r="AV191" s="341">
        <f t="shared" si="313"/>
        <v>0</v>
      </c>
      <c r="AW191" s="341">
        <f t="shared" si="313"/>
        <v>0</v>
      </c>
      <c r="AX191" s="341">
        <f t="shared" si="313"/>
        <v>0</v>
      </c>
      <c r="AY191" s="341">
        <f t="shared" si="313"/>
        <v>0</v>
      </c>
      <c r="AZ191" s="341">
        <f t="shared" si="313"/>
        <v>0</v>
      </c>
      <c r="BA191" s="341">
        <f t="shared" si="313"/>
        <v>0</v>
      </c>
      <c r="BB191" s="341">
        <f t="shared" si="313"/>
        <v>0</v>
      </c>
      <c r="BC191" s="341">
        <f t="shared" si="313"/>
        <v>0</v>
      </c>
      <c r="BD191" s="341">
        <f t="shared" si="313"/>
        <v>0</v>
      </c>
      <c r="BE191" s="341">
        <f t="shared" si="313"/>
        <v>0</v>
      </c>
      <c r="BF191" s="341">
        <f t="shared" si="313"/>
        <v>0</v>
      </c>
      <c r="BG191" s="341">
        <f t="shared" si="313"/>
        <v>0</v>
      </c>
      <c r="BH191" s="341">
        <f t="shared" si="313"/>
        <v>0</v>
      </c>
      <c r="BI191" s="341">
        <f t="shared" si="313"/>
        <v>0</v>
      </c>
      <c r="BJ191" s="341">
        <f t="shared" si="313"/>
        <v>0</v>
      </c>
      <c r="BK191" s="341">
        <f t="shared" si="313"/>
        <v>0</v>
      </c>
      <c r="BL191" s="341">
        <f t="shared" si="313"/>
        <v>0</v>
      </c>
      <c r="BM191" s="341">
        <f t="shared" si="313"/>
        <v>0</v>
      </c>
      <c r="BN191" s="341">
        <f t="shared" si="313"/>
        <v>0</v>
      </c>
      <c r="BO191" s="341">
        <f t="shared" si="313"/>
        <v>0</v>
      </c>
      <c r="BP191" s="341">
        <f t="shared" si="313"/>
        <v>0</v>
      </c>
      <c r="BQ191" s="341">
        <f t="shared" si="313"/>
        <v>0</v>
      </c>
      <c r="BR191" s="341">
        <f t="shared" si="313"/>
        <v>0</v>
      </c>
      <c r="BS191" s="341">
        <f t="shared" ref="BS191:BX191" si="314">BS185</f>
        <v>0</v>
      </c>
      <c r="BT191" s="341">
        <f t="shared" si="314"/>
        <v>0</v>
      </c>
      <c r="BU191" s="341">
        <f t="shared" si="314"/>
        <v>0</v>
      </c>
      <c r="BV191" s="341">
        <f t="shared" si="314"/>
        <v>0</v>
      </c>
      <c r="BW191" s="341">
        <f t="shared" si="314"/>
        <v>0</v>
      </c>
      <c r="BX191" s="341">
        <f t="shared" si="314"/>
        <v>0</v>
      </c>
    </row>
    <row r="192" spans="1:76" hidden="1" outlineLevel="1">
      <c r="B192" s="352">
        <v>2020</v>
      </c>
      <c r="C192" s="352" t="str">
        <f>C190</f>
        <v>NREL Utility-Scale Battery Storage - 2Hr</v>
      </c>
      <c r="D192" s="352" t="s">
        <v>41</v>
      </c>
      <c r="E192" s="352" t="s">
        <v>167</v>
      </c>
      <c r="F192" s="341">
        <f>F190</f>
        <v>24.708042503923892</v>
      </c>
      <c r="G192" s="341">
        <f t="shared" ref="G192:BR192" si="315">G190</f>
        <v>21.421204376413385</v>
      </c>
      <c r="H192" s="341">
        <f t="shared" si="315"/>
        <v>20.166863479758646</v>
      </c>
      <c r="I192" s="341">
        <f t="shared" si="315"/>
        <v>18.650916701068276</v>
      </c>
      <c r="J192" s="341">
        <f t="shared" si="315"/>
        <v>17.6917190614883</v>
      </c>
      <c r="K192" s="341">
        <f t="shared" si="315"/>
        <v>16.802942731125302</v>
      </c>
      <c r="L192" s="341">
        <f t="shared" si="315"/>
        <v>16.306575223815749</v>
      </c>
      <c r="M192" s="341">
        <f t="shared" si="315"/>
        <v>15.843745091545328</v>
      </c>
      <c r="N192" s="341">
        <f t="shared" si="315"/>
        <v>15.250112018257092</v>
      </c>
      <c r="O192" s="341">
        <f t="shared" si="315"/>
        <v>14.918084827004487</v>
      </c>
      <c r="P192" s="341">
        <f t="shared" si="315"/>
        <v>14.488792069773197</v>
      </c>
      <c r="Q192" s="341">
        <f t="shared" si="315"/>
        <v>14.31636877973807</v>
      </c>
      <c r="R192" s="341">
        <f t="shared" si="315"/>
        <v>14.135258878865892</v>
      </c>
      <c r="S192" s="341">
        <f t="shared" si="315"/>
        <v>13.954148977993743</v>
      </c>
      <c r="T192" s="341">
        <f t="shared" si="315"/>
        <v>13.773039077121593</v>
      </c>
      <c r="U192" s="341">
        <f t="shared" si="315"/>
        <v>13.591929176249417</v>
      </c>
      <c r="V192" s="341">
        <f t="shared" si="315"/>
        <v>13.410819275377243</v>
      </c>
      <c r="W192" s="341">
        <f t="shared" si="315"/>
        <v>13.229709374505063</v>
      </c>
      <c r="X192" s="341">
        <f t="shared" si="315"/>
        <v>13.048599473632917</v>
      </c>
      <c r="Y192" s="341">
        <f t="shared" si="315"/>
        <v>12.867489572760769</v>
      </c>
      <c r="Z192" s="341">
        <f t="shared" si="315"/>
        <v>12.68637967188859</v>
      </c>
      <c r="AA192" s="341">
        <f t="shared" si="315"/>
        <v>12.505269771016417</v>
      </c>
      <c r="AB192" s="341">
        <f t="shared" si="315"/>
        <v>12.324159870144243</v>
      </c>
      <c r="AC192" s="341">
        <f t="shared" si="315"/>
        <v>12.143049969272091</v>
      </c>
      <c r="AD192" s="341">
        <f t="shared" si="315"/>
        <v>11.961940068399942</v>
      </c>
      <c r="AE192" s="341">
        <f t="shared" si="315"/>
        <v>11.780830167527764</v>
      </c>
      <c r="AF192" s="341">
        <f t="shared" si="315"/>
        <v>11.599720266655593</v>
      </c>
      <c r="AG192" s="341">
        <f t="shared" si="315"/>
        <v>11.418610365783415</v>
      </c>
      <c r="AH192" s="341">
        <f t="shared" si="315"/>
        <v>11.237500464911268</v>
      </c>
      <c r="AI192" s="341">
        <f t="shared" si="315"/>
        <v>11.056390564039118</v>
      </c>
      <c r="AJ192" s="341">
        <f t="shared" si="315"/>
        <v>10.877712302316418</v>
      </c>
      <c r="AK192" s="341">
        <f t="shared" si="315"/>
        <v>0</v>
      </c>
      <c r="AL192" s="341">
        <f t="shared" si="315"/>
        <v>0</v>
      </c>
      <c r="AM192" s="341">
        <f t="shared" si="315"/>
        <v>0</v>
      </c>
      <c r="AN192" s="341">
        <f t="shared" si="315"/>
        <v>0</v>
      </c>
      <c r="AO192" s="341">
        <f t="shared" si="315"/>
        <v>0</v>
      </c>
      <c r="AP192" s="341">
        <f t="shared" si="315"/>
        <v>0</v>
      </c>
      <c r="AQ192" s="341">
        <f t="shared" si="315"/>
        <v>0</v>
      </c>
      <c r="AR192" s="341">
        <f t="shared" si="315"/>
        <v>0</v>
      </c>
      <c r="AS192" s="341">
        <f t="shared" si="315"/>
        <v>0</v>
      </c>
      <c r="AT192" s="341">
        <f t="shared" si="315"/>
        <v>0</v>
      </c>
      <c r="AU192" s="341">
        <f t="shared" si="315"/>
        <v>0</v>
      </c>
      <c r="AV192" s="341">
        <f t="shared" si="315"/>
        <v>0</v>
      </c>
      <c r="AW192" s="341">
        <f t="shared" si="315"/>
        <v>0</v>
      </c>
      <c r="AX192" s="341">
        <f t="shared" si="315"/>
        <v>0</v>
      </c>
      <c r="AY192" s="341">
        <f t="shared" si="315"/>
        <v>0</v>
      </c>
      <c r="AZ192" s="341">
        <f t="shared" si="315"/>
        <v>0</v>
      </c>
      <c r="BA192" s="341">
        <f t="shared" si="315"/>
        <v>0</v>
      </c>
      <c r="BB192" s="341">
        <f t="shared" si="315"/>
        <v>0</v>
      </c>
      <c r="BC192" s="341">
        <f t="shared" si="315"/>
        <v>0</v>
      </c>
      <c r="BD192" s="341">
        <f t="shared" si="315"/>
        <v>0</v>
      </c>
      <c r="BE192" s="341">
        <f t="shared" si="315"/>
        <v>0</v>
      </c>
      <c r="BF192" s="341">
        <f t="shared" si="315"/>
        <v>0</v>
      </c>
      <c r="BG192" s="341">
        <f t="shared" si="315"/>
        <v>0</v>
      </c>
      <c r="BH192" s="341">
        <f t="shared" si="315"/>
        <v>0</v>
      </c>
      <c r="BI192" s="341">
        <f t="shared" si="315"/>
        <v>0</v>
      </c>
      <c r="BJ192" s="341">
        <f t="shared" si="315"/>
        <v>0</v>
      </c>
      <c r="BK192" s="341">
        <f t="shared" si="315"/>
        <v>0</v>
      </c>
      <c r="BL192" s="341">
        <f t="shared" si="315"/>
        <v>0</v>
      </c>
      <c r="BM192" s="341">
        <f t="shared" si="315"/>
        <v>0</v>
      </c>
      <c r="BN192" s="341">
        <f t="shared" si="315"/>
        <v>0</v>
      </c>
      <c r="BO192" s="341">
        <f t="shared" si="315"/>
        <v>0</v>
      </c>
      <c r="BP192" s="341">
        <f t="shared" si="315"/>
        <v>0</v>
      </c>
      <c r="BQ192" s="341">
        <f t="shared" si="315"/>
        <v>0</v>
      </c>
      <c r="BR192" s="341">
        <f t="shared" si="315"/>
        <v>0</v>
      </c>
      <c r="BS192" s="341">
        <f t="shared" ref="BS192:BX192" si="316">BS190</f>
        <v>0</v>
      </c>
      <c r="BT192" s="341">
        <f t="shared" si="316"/>
        <v>0</v>
      </c>
      <c r="BU192" s="341">
        <f t="shared" si="316"/>
        <v>0</v>
      </c>
      <c r="BV192" s="341">
        <f t="shared" si="316"/>
        <v>0</v>
      </c>
      <c r="BW192" s="341">
        <f t="shared" si="316"/>
        <v>0</v>
      </c>
      <c r="BX192" s="341">
        <f t="shared" si="316"/>
        <v>0</v>
      </c>
    </row>
    <row r="193" spans="1:76" hidden="1" outlineLevel="1">
      <c r="A193" s="38" t="s">
        <v>353</v>
      </c>
      <c r="B193" s="350">
        <v>2020</v>
      </c>
      <c r="C193" s="350" t="s">
        <v>148</v>
      </c>
      <c r="D193" s="350" t="s">
        <v>41</v>
      </c>
      <c r="E193" s="350" t="s">
        <v>4</v>
      </c>
      <c r="F193" s="383">
        <v>43</v>
      </c>
      <c r="G193" s="383">
        <v>42.594999999999999</v>
      </c>
      <c r="H193" s="383">
        <v>42.19</v>
      </c>
      <c r="I193" s="383">
        <v>41.785000000000004</v>
      </c>
      <c r="J193" s="383">
        <v>41.38</v>
      </c>
      <c r="K193" s="383">
        <v>40.975000000000001</v>
      </c>
      <c r="L193" s="383">
        <v>40.570000000000007</v>
      </c>
      <c r="M193" s="383">
        <v>40.165000000000006</v>
      </c>
      <c r="N193" s="383">
        <v>39.760000000000005</v>
      </c>
      <c r="O193" s="383">
        <v>39.355000000000004</v>
      </c>
      <c r="P193" s="383">
        <v>38.950000000000003</v>
      </c>
      <c r="Q193" s="383">
        <v>38.657875000000004</v>
      </c>
      <c r="R193" s="383">
        <v>38.365750000000006</v>
      </c>
      <c r="S193" s="383">
        <v>38.073625000000007</v>
      </c>
      <c r="T193" s="383">
        <v>37.781500000000008</v>
      </c>
      <c r="U193" s="383">
        <v>37.489375000000003</v>
      </c>
      <c r="V193" s="383">
        <v>37.197250000000004</v>
      </c>
      <c r="W193" s="383">
        <v>36.905124999999998</v>
      </c>
      <c r="X193" s="383">
        <v>36.613</v>
      </c>
      <c r="Y193" s="383">
        <v>36.320875000000001</v>
      </c>
      <c r="Z193" s="383">
        <v>36.028750000000002</v>
      </c>
      <c r="AA193" s="383">
        <v>35.736625000000004</v>
      </c>
      <c r="AB193" s="383">
        <v>35.444500000000005</v>
      </c>
      <c r="AC193" s="383">
        <v>35.152375000000006</v>
      </c>
      <c r="AD193" s="383">
        <v>34.860250000000001</v>
      </c>
      <c r="AE193" s="383">
        <v>34.568124999999995</v>
      </c>
      <c r="AF193" s="383">
        <v>34.275999999999996</v>
      </c>
      <c r="AG193" s="383">
        <v>33.983874999999998</v>
      </c>
      <c r="AH193" s="383">
        <v>33.691749999999999</v>
      </c>
      <c r="AI193" s="383">
        <v>33.399625</v>
      </c>
      <c r="AJ193" s="383">
        <v>33.107500000000002</v>
      </c>
      <c r="AK193" s="340"/>
      <c r="AL193" s="340"/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0"/>
      <c r="AX193" s="340"/>
      <c r="AY193" s="340"/>
      <c r="AZ193" s="340"/>
      <c r="BA193" s="340"/>
      <c r="BB193" s="340"/>
      <c r="BC193" s="340"/>
      <c r="BD193" s="340"/>
      <c r="BE193" s="340"/>
      <c r="BF193" s="340"/>
      <c r="BG193" s="340"/>
      <c r="BH193" s="340"/>
      <c r="BI193" s="340"/>
      <c r="BJ193" s="340"/>
      <c r="BK193" s="340"/>
      <c r="BL193" s="340"/>
      <c r="BM193" s="340"/>
      <c r="BN193" s="340"/>
      <c r="BO193" s="340"/>
      <c r="BP193" s="340"/>
      <c r="BQ193" s="340"/>
      <c r="BR193" s="340"/>
      <c r="BS193" s="340"/>
      <c r="BT193" s="340"/>
      <c r="BU193" s="340"/>
      <c r="BV193" s="340"/>
      <c r="BW193" s="340"/>
      <c r="BX193" s="340"/>
    </row>
    <row r="194" spans="1:76" hidden="1" outlineLevel="1">
      <c r="B194" s="350">
        <v>2020</v>
      </c>
      <c r="C194" s="350" t="str">
        <f>C193</f>
        <v>NREL Land-Based Wind - Class 8</v>
      </c>
      <c r="D194" s="350" t="s">
        <v>41</v>
      </c>
      <c r="E194" s="350" t="s">
        <v>5</v>
      </c>
      <c r="F194" s="341">
        <f>F193/1.025</f>
        <v>41.951219512195124</v>
      </c>
      <c r="G194" s="341">
        <f t="shared" ref="G194:BR194" si="317">G193/1.025</f>
        <v>41.556097560975616</v>
      </c>
      <c r="H194" s="341">
        <f t="shared" si="317"/>
        <v>41.1609756097561</v>
      </c>
      <c r="I194" s="341">
        <f t="shared" si="317"/>
        <v>40.765853658536592</v>
      </c>
      <c r="J194" s="341">
        <f t="shared" si="317"/>
        <v>40.370731707317077</v>
      </c>
      <c r="K194" s="341">
        <f t="shared" si="317"/>
        <v>39.975609756097569</v>
      </c>
      <c r="L194" s="341">
        <f t="shared" si="317"/>
        <v>39.580487804878061</v>
      </c>
      <c r="M194" s="341">
        <f t="shared" si="317"/>
        <v>39.185365853658546</v>
      </c>
      <c r="N194" s="341">
        <f t="shared" si="317"/>
        <v>38.79024390243903</v>
      </c>
      <c r="O194" s="341">
        <f t="shared" si="317"/>
        <v>38.395121951219522</v>
      </c>
      <c r="P194" s="341">
        <f t="shared" si="317"/>
        <v>38.000000000000007</v>
      </c>
      <c r="Q194" s="341">
        <f t="shared" si="317"/>
        <v>37.715000000000011</v>
      </c>
      <c r="R194" s="341">
        <f t="shared" si="317"/>
        <v>37.430000000000007</v>
      </c>
      <c r="S194" s="341">
        <f t="shared" si="317"/>
        <v>37.14500000000001</v>
      </c>
      <c r="T194" s="341">
        <f t="shared" si="317"/>
        <v>36.860000000000014</v>
      </c>
      <c r="U194" s="341">
        <f t="shared" si="317"/>
        <v>36.575000000000003</v>
      </c>
      <c r="V194" s="341">
        <f t="shared" si="317"/>
        <v>36.290000000000006</v>
      </c>
      <c r="W194" s="341">
        <f t="shared" si="317"/>
        <v>36.005000000000003</v>
      </c>
      <c r="X194" s="341">
        <f t="shared" si="317"/>
        <v>35.720000000000006</v>
      </c>
      <c r="Y194" s="341">
        <f t="shared" si="317"/>
        <v>35.435000000000002</v>
      </c>
      <c r="Z194" s="341">
        <f t="shared" si="317"/>
        <v>35.150000000000006</v>
      </c>
      <c r="AA194" s="341">
        <f t="shared" si="317"/>
        <v>34.865000000000009</v>
      </c>
      <c r="AB194" s="341">
        <f t="shared" si="317"/>
        <v>34.580000000000005</v>
      </c>
      <c r="AC194" s="341">
        <f t="shared" si="317"/>
        <v>34.295000000000009</v>
      </c>
      <c r="AD194" s="341">
        <f t="shared" si="317"/>
        <v>34.010000000000005</v>
      </c>
      <c r="AE194" s="341">
        <f t="shared" si="317"/>
        <v>33.725000000000001</v>
      </c>
      <c r="AF194" s="341">
        <f t="shared" si="317"/>
        <v>33.44</v>
      </c>
      <c r="AG194" s="341">
        <f t="shared" si="317"/>
        <v>33.155000000000001</v>
      </c>
      <c r="AH194" s="341">
        <f t="shared" si="317"/>
        <v>32.870000000000005</v>
      </c>
      <c r="AI194" s="341">
        <f t="shared" si="317"/>
        <v>32.585000000000001</v>
      </c>
      <c r="AJ194" s="341">
        <f t="shared" si="317"/>
        <v>32.300000000000004</v>
      </c>
      <c r="AK194" s="341">
        <f t="shared" si="317"/>
        <v>0</v>
      </c>
      <c r="AL194" s="341">
        <f t="shared" si="317"/>
        <v>0</v>
      </c>
      <c r="AM194" s="341">
        <f t="shared" si="317"/>
        <v>0</v>
      </c>
      <c r="AN194" s="341">
        <f t="shared" si="317"/>
        <v>0</v>
      </c>
      <c r="AO194" s="341">
        <f t="shared" si="317"/>
        <v>0</v>
      </c>
      <c r="AP194" s="341">
        <f t="shared" si="317"/>
        <v>0</v>
      </c>
      <c r="AQ194" s="341">
        <f t="shared" si="317"/>
        <v>0</v>
      </c>
      <c r="AR194" s="341">
        <f t="shared" si="317"/>
        <v>0</v>
      </c>
      <c r="AS194" s="341">
        <f t="shared" si="317"/>
        <v>0</v>
      </c>
      <c r="AT194" s="341">
        <f t="shared" si="317"/>
        <v>0</v>
      </c>
      <c r="AU194" s="341">
        <f t="shared" si="317"/>
        <v>0</v>
      </c>
      <c r="AV194" s="341">
        <f t="shared" si="317"/>
        <v>0</v>
      </c>
      <c r="AW194" s="341">
        <f t="shared" si="317"/>
        <v>0</v>
      </c>
      <c r="AX194" s="341">
        <f t="shared" si="317"/>
        <v>0</v>
      </c>
      <c r="AY194" s="341">
        <f t="shared" si="317"/>
        <v>0</v>
      </c>
      <c r="AZ194" s="341">
        <f t="shared" si="317"/>
        <v>0</v>
      </c>
      <c r="BA194" s="341">
        <f t="shared" si="317"/>
        <v>0</v>
      </c>
      <c r="BB194" s="341">
        <f t="shared" si="317"/>
        <v>0</v>
      </c>
      <c r="BC194" s="341">
        <f t="shared" si="317"/>
        <v>0</v>
      </c>
      <c r="BD194" s="341">
        <f t="shared" si="317"/>
        <v>0</v>
      </c>
      <c r="BE194" s="341">
        <f t="shared" si="317"/>
        <v>0</v>
      </c>
      <c r="BF194" s="341">
        <f t="shared" si="317"/>
        <v>0</v>
      </c>
      <c r="BG194" s="341">
        <f t="shared" si="317"/>
        <v>0</v>
      </c>
      <c r="BH194" s="341">
        <f t="shared" si="317"/>
        <v>0</v>
      </c>
      <c r="BI194" s="341">
        <f t="shared" si="317"/>
        <v>0</v>
      </c>
      <c r="BJ194" s="341">
        <f t="shared" si="317"/>
        <v>0</v>
      </c>
      <c r="BK194" s="341">
        <f t="shared" si="317"/>
        <v>0</v>
      </c>
      <c r="BL194" s="341">
        <f t="shared" si="317"/>
        <v>0</v>
      </c>
      <c r="BM194" s="341">
        <f t="shared" si="317"/>
        <v>0</v>
      </c>
      <c r="BN194" s="341">
        <f t="shared" si="317"/>
        <v>0</v>
      </c>
      <c r="BO194" s="341">
        <f t="shared" si="317"/>
        <v>0</v>
      </c>
      <c r="BP194" s="341">
        <f t="shared" si="317"/>
        <v>0</v>
      </c>
      <c r="BQ194" s="341">
        <f t="shared" si="317"/>
        <v>0</v>
      </c>
      <c r="BR194" s="341">
        <f t="shared" si="317"/>
        <v>0</v>
      </c>
      <c r="BS194" s="341">
        <f t="shared" ref="BS194:BX194" si="318">BS193/1.025</f>
        <v>0</v>
      </c>
      <c r="BT194" s="341">
        <f t="shared" si="318"/>
        <v>0</v>
      </c>
      <c r="BU194" s="341">
        <f t="shared" si="318"/>
        <v>0</v>
      </c>
      <c r="BV194" s="341">
        <f t="shared" si="318"/>
        <v>0</v>
      </c>
      <c r="BW194" s="341">
        <f t="shared" si="318"/>
        <v>0</v>
      </c>
      <c r="BX194" s="341">
        <f t="shared" si="318"/>
        <v>0</v>
      </c>
    </row>
    <row r="195" spans="1:76" hidden="1" outlineLevel="1">
      <c r="A195" s="38" t="s">
        <v>354</v>
      </c>
      <c r="B195" s="350">
        <v>2020</v>
      </c>
      <c r="C195" s="350" t="s">
        <v>149</v>
      </c>
      <c r="D195" s="350" t="s">
        <v>41</v>
      </c>
      <c r="E195" s="350" t="s">
        <v>6</v>
      </c>
      <c r="F195" s="383">
        <v>43</v>
      </c>
      <c r="G195" s="383">
        <v>42.594999999999999</v>
      </c>
      <c r="H195" s="383">
        <v>42.19</v>
      </c>
      <c r="I195" s="383">
        <v>41.785000000000004</v>
      </c>
      <c r="J195" s="383">
        <v>41.38</v>
      </c>
      <c r="K195" s="383">
        <v>40.975000000000001</v>
      </c>
      <c r="L195" s="383">
        <v>40.570000000000007</v>
      </c>
      <c r="M195" s="383">
        <v>40.165000000000006</v>
      </c>
      <c r="N195" s="383">
        <v>39.760000000000005</v>
      </c>
      <c r="O195" s="383">
        <v>39.355000000000004</v>
      </c>
      <c r="P195" s="383">
        <v>38.950000000000003</v>
      </c>
      <c r="Q195" s="383">
        <v>38.657875000000004</v>
      </c>
      <c r="R195" s="383">
        <v>38.365750000000006</v>
      </c>
      <c r="S195" s="383">
        <v>38.073625000000007</v>
      </c>
      <c r="T195" s="383">
        <v>37.781500000000008</v>
      </c>
      <c r="U195" s="383">
        <v>37.489375000000003</v>
      </c>
      <c r="V195" s="383">
        <v>37.197250000000004</v>
      </c>
      <c r="W195" s="383">
        <v>36.905124999999998</v>
      </c>
      <c r="X195" s="383">
        <v>36.613</v>
      </c>
      <c r="Y195" s="383">
        <v>36.320875000000001</v>
      </c>
      <c r="Z195" s="383">
        <v>36.028750000000002</v>
      </c>
      <c r="AA195" s="383">
        <v>35.736625000000004</v>
      </c>
      <c r="AB195" s="383">
        <v>35.444500000000005</v>
      </c>
      <c r="AC195" s="383">
        <v>35.152375000000006</v>
      </c>
      <c r="AD195" s="383">
        <v>34.860250000000001</v>
      </c>
      <c r="AE195" s="383">
        <v>34.568124999999995</v>
      </c>
      <c r="AF195" s="383">
        <v>34.275999999999996</v>
      </c>
      <c r="AG195" s="383">
        <v>33.983874999999998</v>
      </c>
      <c r="AH195" s="383">
        <v>33.691749999999999</v>
      </c>
      <c r="AI195" s="383">
        <v>33.399625</v>
      </c>
      <c r="AJ195" s="383">
        <v>33.107500000000002</v>
      </c>
      <c r="AK195" s="340"/>
      <c r="AL195" s="340"/>
      <c r="AM195" s="340"/>
      <c r="AN195" s="340"/>
      <c r="AO195" s="340"/>
      <c r="AP195" s="340"/>
      <c r="AQ195" s="340"/>
      <c r="AR195" s="340"/>
      <c r="AS195" s="340"/>
      <c r="AT195" s="340"/>
      <c r="AU195" s="340"/>
      <c r="AV195" s="340"/>
      <c r="AW195" s="340"/>
      <c r="AX195" s="340"/>
      <c r="AY195" s="340"/>
      <c r="AZ195" s="340"/>
      <c r="BA195" s="340"/>
      <c r="BB195" s="340"/>
      <c r="BC195" s="340"/>
      <c r="BD195" s="340"/>
      <c r="BE195" s="340"/>
      <c r="BF195" s="340"/>
      <c r="BG195" s="340"/>
      <c r="BH195" s="340"/>
      <c r="BI195" s="340"/>
      <c r="BJ195" s="340"/>
      <c r="BK195" s="340"/>
      <c r="BL195" s="340"/>
      <c r="BM195" s="340"/>
      <c r="BN195" s="340"/>
      <c r="BO195" s="340"/>
      <c r="BP195" s="340"/>
      <c r="BQ195" s="340"/>
      <c r="BR195" s="340"/>
      <c r="BS195" s="340"/>
      <c r="BT195" s="340"/>
      <c r="BU195" s="340"/>
      <c r="BV195" s="340"/>
      <c r="BW195" s="340"/>
      <c r="BX195" s="340"/>
    </row>
    <row r="196" spans="1:76" hidden="1" outlineLevel="1">
      <c r="A196" s="38" t="s">
        <v>355</v>
      </c>
      <c r="B196" s="350">
        <v>2020</v>
      </c>
      <c r="C196" s="350" t="s">
        <v>193</v>
      </c>
      <c r="D196" s="350" t="s">
        <v>41</v>
      </c>
      <c r="E196" s="350" t="s">
        <v>7</v>
      </c>
      <c r="F196" s="383">
        <v>95.264231605586971</v>
      </c>
      <c r="G196" s="383">
        <v>91.311157045023947</v>
      </c>
      <c r="H196" s="383">
        <v>88.244914200844832</v>
      </c>
      <c r="I196" s="383">
        <v>85.739611378663483</v>
      </c>
      <c r="J196" s="383">
        <v>83.621408024087856</v>
      </c>
      <c r="K196" s="383">
        <v>81.786536818100458</v>
      </c>
      <c r="L196" s="383">
        <v>80.168065712303019</v>
      </c>
      <c r="M196" s="383">
        <v>78.720293973921343</v>
      </c>
      <c r="N196" s="383">
        <v>77.410625130339469</v>
      </c>
      <c r="O196" s="383">
        <v>76.214991151739994</v>
      </c>
      <c r="P196" s="383">
        <v>75.115114510953234</v>
      </c>
      <c r="Q196" s="383">
        <v>74.096787797164382</v>
      </c>
      <c r="R196" s="383">
        <v>73.148748307560894</v>
      </c>
      <c r="S196" s="383">
        <v>72.261916591176984</v>
      </c>
      <c r="T196" s="383">
        <v>71.428866244299812</v>
      </c>
      <c r="U196" s="383">
        <v>70.64344548537953</v>
      </c>
      <c r="V196" s="383">
        <v>69.900501181821369</v>
      </c>
      <c r="W196" s="383">
        <v>69.195673746997883</v>
      </c>
      <c r="X196" s="383">
        <v>68.525242130803917</v>
      </c>
      <c r="Y196" s="383">
        <v>67.88600490341598</v>
      </c>
      <c r="Z196" s="383">
        <v>67.275187794468735</v>
      </c>
      <c r="AA196" s="383">
        <v>66.69037092481652</v>
      </c>
      <c r="AB196" s="383">
        <v>66.129430902818768</v>
      </c>
      <c r="AC196" s="383">
        <v>65.590494284029759</v>
      </c>
      <c r="AD196" s="383">
        <v>65.071899819019066</v>
      </c>
      <c r="AE196" s="383">
        <v>64.572167570240893</v>
      </c>
      <c r="AF196" s="383">
        <v>64.089973450668978</v>
      </c>
      <c r="AG196" s="383">
        <v>63.624128080637405</v>
      </c>
      <c r="AH196" s="383">
        <v>63.173559112810402</v>
      </c>
      <c r="AI196" s="383">
        <v>62.737296364253496</v>
      </c>
      <c r="AJ196" s="383">
        <v>62.314459237055523</v>
      </c>
      <c r="AK196" s="340"/>
      <c r="AL196" s="340"/>
      <c r="AM196" s="340"/>
      <c r="AN196" s="340"/>
      <c r="AO196" s="340"/>
      <c r="AP196" s="340"/>
      <c r="AQ196" s="340"/>
      <c r="AR196" s="340"/>
      <c r="AS196" s="340"/>
      <c r="AT196" s="340"/>
      <c r="AU196" s="340"/>
      <c r="AV196" s="340"/>
      <c r="AW196" s="340"/>
      <c r="AX196" s="340"/>
      <c r="AY196" s="340"/>
      <c r="AZ196" s="340"/>
      <c r="BA196" s="340"/>
      <c r="BB196" s="340"/>
      <c r="BC196" s="340"/>
      <c r="BD196" s="340"/>
      <c r="BE196" s="340"/>
      <c r="BF196" s="340"/>
      <c r="BG196" s="340"/>
      <c r="BH196" s="340"/>
      <c r="BI196" s="340"/>
      <c r="BJ196" s="340"/>
      <c r="BK196" s="340"/>
      <c r="BL196" s="340"/>
      <c r="BM196" s="340"/>
      <c r="BN196" s="340"/>
      <c r="BO196" s="340"/>
      <c r="BP196" s="340"/>
      <c r="BQ196" s="340"/>
      <c r="BR196" s="340"/>
      <c r="BS196" s="340"/>
      <c r="BT196" s="340"/>
      <c r="BU196" s="340"/>
      <c r="BV196" s="340"/>
      <c r="BW196" s="340"/>
      <c r="BX196" s="340"/>
    </row>
    <row r="197" spans="1:76" hidden="1" outlineLevel="1">
      <c r="A197" s="38" t="s">
        <v>370</v>
      </c>
      <c r="B197" s="351">
        <v>2020</v>
      </c>
      <c r="C197" s="351" t="s">
        <v>151</v>
      </c>
      <c r="D197" s="351" t="s">
        <v>41</v>
      </c>
      <c r="E197" s="351" t="s">
        <v>3</v>
      </c>
      <c r="F197" s="383">
        <v>114</v>
      </c>
      <c r="G197" s="383">
        <v>114</v>
      </c>
      <c r="H197" s="383">
        <v>114</v>
      </c>
      <c r="I197" s="383">
        <v>114</v>
      </c>
      <c r="J197" s="383">
        <v>114</v>
      </c>
      <c r="K197" s="383">
        <v>114</v>
      </c>
      <c r="L197" s="383">
        <v>114</v>
      </c>
      <c r="M197" s="383">
        <v>114</v>
      </c>
      <c r="N197" s="383">
        <v>114</v>
      </c>
      <c r="O197" s="383">
        <v>114</v>
      </c>
      <c r="P197" s="383">
        <v>114</v>
      </c>
      <c r="Q197" s="383">
        <v>114</v>
      </c>
      <c r="R197" s="383">
        <v>114</v>
      </c>
      <c r="S197" s="383">
        <v>114</v>
      </c>
      <c r="T197" s="383">
        <v>114</v>
      </c>
      <c r="U197" s="383">
        <v>114</v>
      </c>
      <c r="V197" s="383">
        <v>114</v>
      </c>
      <c r="W197" s="383">
        <v>114</v>
      </c>
      <c r="X197" s="383">
        <v>114</v>
      </c>
      <c r="Y197" s="383">
        <v>114</v>
      </c>
      <c r="Z197" s="383">
        <v>114</v>
      </c>
      <c r="AA197" s="383">
        <v>114</v>
      </c>
      <c r="AB197" s="383">
        <v>114</v>
      </c>
      <c r="AC197" s="383">
        <v>114</v>
      </c>
      <c r="AD197" s="383">
        <v>114</v>
      </c>
      <c r="AE197" s="383">
        <v>114</v>
      </c>
      <c r="AF197" s="383">
        <v>114</v>
      </c>
      <c r="AG197" s="383">
        <v>114</v>
      </c>
      <c r="AH197" s="383">
        <v>114</v>
      </c>
      <c r="AI197" s="383">
        <v>114</v>
      </c>
      <c r="AJ197" s="383">
        <v>114</v>
      </c>
      <c r="AK197" s="340">
        <v>114</v>
      </c>
      <c r="AL197" s="340">
        <v>114</v>
      </c>
      <c r="AM197" s="340">
        <v>114</v>
      </c>
      <c r="AN197" s="340">
        <v>114</v>
      </c>
      <c r="AO197" s="340">
        <v>114</v>
      </c>
      <c r="AP197" s="340">
        <v>114</v>
      </c>
      <c r="AQ197" s="340">
        <v>114</v>
      </c>
      <c r="AR197" s="340">
        <v>114</v>
      </c>
      <c r="AS197" s="340">
        <v>114</v>
      </c>
      <c r="AT197" s="340">
        <v>114</v>
      </c>
      <c r="AU197" s="340">
        <v>114</v>
      </c>
      <c r="AV197" s="340">
        <v>114</v>
      </c>
      <c r="AW197" s="340">
        <v>114</v>
      </c>
      <c r="AX197" s="340">
        <v>114</v>
      </c>
      <c r="AY197" s="340">
        <v>114</v>
      </c>
      <c r="AZ197" s="340">
        <v>114</v>
      </c>
      <c r="BA197" s="340">
        <v>114</v>
      </c>
      <c r="BB197" s="340">
        <v>114</v>
      </c>
      <c r="BC197" s="340">
        <v>114</v>
      </c>
      <c r="BD197" s="340">
        <v>114</v>
      </c>
      <c r="BE197" s="340">
        <v>114</v>
      </c>
      <c r="BF197" s="340">
        <v>114</v>
      </c>
      <c r="BG197" s="340">
        <v>114</v>
      </c>
      <c r="BH197" s="340">
        <v>114</v>
      </c>
      <c r="BI197" s="340">
        <v>114</v>
      </c>
      <c r="BJ197" s="340">
        <v>114</v>
      </c>
      <c r="BK197" s="340">
        <v>114</v>
      </c>
      <c r="BL197" s="340">
        <v>114</v>
      </c>
      <c r="BM197" s="340">
        <v>114</v>
      </c>
      <c r="BN197" s="340">
        <v>114</v>
      </c>
      <c r="BO197" s="340">
        <v>114</v>
      </c>
      <c r="BP197" s="340">
        <v>114</v>
      </c>
      <c r="BQ197" s="340">
        <v>114</v>
      </c>
      <c r="BR197" s="340">
        <v>114</v>
      </c>
      <c r="BS197" s="340">
        <v>114</v>
      </c>
      <c r="BT197" s="340">
        <v>114</v>
      </c>
      <c r="BU197" s="340">
        <v>114</v>
      </c>
      <c r="BV197" s="340">
        <v>114</v>
      </c>
      <c r="BW197" s="340">
        <v>114</v>
      </c>
      <c r="BX197" s="340">
        <v>114</v>
      </c>
    </row>
    <row r="198" spans="1:76" hidden="1" outlineLevel="1">
      <c r="A198" s="38" t="s">
        <v>371</v>
      </c>
      <c r="B198" s="351">
        <v>2020</v>
      </c>
      <c r="C198" s="351" t="s">
        <v>197</v>
      </c>
      <c r="D198" s="351" t="s">
        <v>41</v>
      </c>
      <c r="E198" s="351" t="s">
        <v>19</v>
      </c>
      <c r="F198" s="383">
        <v>107.38936857780548</v>
      </c>
      <c r="G198" s="383">
        <v>106.58285429810317</v>
      </c>
      <c r="H198" s="383">
        <v>105.77634001840086</v>
      </c>
      <c r="I198" s="383">
        <v>104.96982573869855</v>
      </c>
      <c r="J198" s="383">
        <v>104.16331145899623</v>
      </c>
      <c r="K198" s="383">
        <v>103.35679717929392</v>
      </c>
      <c r="L198" s="383">
        <v>102.55028289959161</v>
      </c>
      <c r="M198" s="383">
        <v>101.74376861988929</v>
      </c>
      <c r="N198" s="383">
        <v>100.93725434018698</v>
      </c>
      <c r="O198" s="383">
        <v>100.13074006048467</v>
      </c>
      <c r="P198" s="383">
        <v>99.324225780782413</v>
      </c>
      <c r="Q198" s="383">
        <v>99.324225780782413</v>
      </c>
      <c r="R198" s="383">
        <v>99.324225780782413</v>
      </c>
      <c r="S198" s="383">
        <v>99.324225780782413</v>
      </c>
      <c r="T198" s="383">
        <v>99.324225780782413</v>
      </c>
      <c r="U198" s="383">
        <v>99.324225780782413</v>
      </c>
      <c r="V198" s="383">
        <v>99.324225780782413</v>
      </c>
      <c r="W198" s="383">
        <v>99.324225780782413</v>
      </c>
      <c r="X198" s="383">
        <v>99.324225780782413</v>
      </c>
      <c r="Y198" s="383">
        <v>99.324225780782413</v>
      </c>
      <c r="Z198" s="383">
        <v>99.324225780782413</v>
      </c>
      <c r="AA198" s="383">
        <v>99.324225780782413</v>
      </c>
      <c r="AB198" s="383">
        <v>99.324225780782413</v>
      </c>
      <c r="AC198" s="383">
        <v>99.324225780782413</v>
      </c>
      <c r="AD198" s="383">
        <v>99.324225780782413</v>
      </c>
      <c r="AE198" s="383">
        <v>99.324225780782413</v>
      </c>
      <c r="AF198" s="383">
        <v>99.324225780782413</v>
      </c>
      <c r="AG198" s="383">
        <v>99.324225780782413</v>
      </c>
      <c r="AH198" s="383">
        <v>99.324225780782413</v>
      </c>
      <c r="AI198" s="383">
        <v>99.324225780782413</v>
      </c>
      <c r="AJ198" s="383">
        <v>99.324225780782413</v>
      </c>
      <c r="AK198" s="340">
        <v>99.324225780782413</v>
      </c>
      <c r="AL198" s="340">
        <v>99.324225780782413</v>
      </c>
      <c r="AM198" s="340">
        <v>99.324225780782413</v>
      </c>
      <c r="AN198" s="340">
        <v>99.324225780782413</v>
      </c>
      <c r="AO198" s="340">
        <v>99.324225780782413</v>
      </c>
      <c r="AP198" s="340">
        <v>99.324225780782413</v>
      </c>
      <c r="AQ198" s="340">
        <v>99.324225780782413</v>
      </c>
      <c r="AR198" s="340">
        <v>99.324225780782413</v>
      </c>
      <c r="AS198" s="340">
        <v>99.324225780782413</v>
      </c>
      <c r="AT198" s="340">
        <v>99.324225780782413</v>
      </c>
      <c r="AU198" s="340">
        <v>99.324225780782413</v>
      </c>
      <c r="AV198" s="340">
        <v>99.324225780782413</v>
      </c>
      <c r="AW198" s="340">
        <v>99.324225780782413</v>
      </c>
      <c r="AX198" s="340">
        <v>99.324225780782413</v>
      </c>
      <c r="AY198" s="340">
        <v>99.324225780782413</v>
      </c>
      <c r="AZ198" s="340">
        <v>99.324225780782413</v>
      </c>
      <c r="BA198" s="340">
        <v>99.324225780782413</v>
      </c>
      <c r="BB198" s="340">
        <v>99.324225780782413</v>
      </c>
      <c r="BC198" s="340">
        <v>99.324225780782413</v>
      </c>
      <c r="BD198" s="340">
        <v>99.324225780782413</v>
      </c>
      <c r="BE198" s="340">
        <v>99.324225780782413</v>
      </c>
      <c r="BF198" s="340">
        <v>99.324225780782413</v>
      </c>
      <c r="BG198" s="340">
        <v>99.324225780782413</v>
      </c>
      <c r="BH198" s="340">
        <v>99.324225780782413</v>
      </c>
      <c r="BI198" s="340">
        <v>99.324225780782413</v>
      </c>
      <c r="BJ198" s="340">
        <v>99.324225780782413</v>
      </c>
      <c r="BK198" s="340">
        <v>99.324225780782413</v>
      </c>
      <c r="BL198" s="340">
        <v>99.324225780782413</v>
      </c>
      <c r="BM198" s="340">
        <v>99.324225780782413</v>
      </c>
      <c r="BN198" s="340">
        <v>99.324225780782413</v>
      </c>
      <c r="BO198" s="340">
        <v>99.324225780782413</v>
      </c>
      <c r="BP198" s="340">
        <v>99.324225780782413</v>
      </c>
      <c r="BQ198" s="340">
        <v>99.324225780782413</v>
      </c>
      <c r="BR198" s="340">
        <v>99.324225780782413</v>
      </c>
      <c r="BS198" s="340">
        <v>99.324225780782413</v>
      </c>
      <c r="BT198" s="340">
        <v>99.324225780782413</v>
      </c>
      <c r="BU198" s="340">
        <v>99.324225780782413</v>
      </c>
      <c r="BV198" s="340">
        <v>99.324225780782413</v>
      </c>
      <c r="BW198" s="340">
        <v>99.324225780782413</v>
      </c>
      <c r="BX198" s="340">
        <v>99.324225780782413</v>
      </c>
    </row>
    <row r="199" spans="1:76" hidden="1" outlineLevel="1">
      <c r="B199" s="353">
        <v>2022</v>
      </c>
      <c r="C199" s="353" t="s">
        <v>231</v>
      </c>
      <c r="D199" s="353" t="s">
        <v>41</v>
      </c>
      <c r="E199" s="353" t="s">
        <v>0</v>
      </c>
      <c r="F199" s="335"/>
      <c r="G199" s="335"/>
      <c r="H199" s="335">
        <v>5.0266500000000001</v>
      </c>
      <c r="I199" s="335">
        <v>5.0266500000000001</v>
      </c>
      <c r="J199" s="335">
        <v>5.0266500000000001</v>
      </c>
      <c r="K199" s="335">
        <v>5.0266500000000001</v>
      </c>
      <c r="L199" s="335">
        <v>5.0266500000000001</v>
      </c>
      <c r="M199" s="335">
        <v>5.0266500000000001</v>
      </c>
      <c r="N199" s="335">
        <v>5.0266500000000001</v>
      </c>
      <c r="O199" s="335">
        <v>5.0266500000000001</v>
      </c>
      <c r="P199" s="335">
        <v>5.0266500000000001</v>
      </c>
      <c r="Q199" s="335">
        <v>5.0266500000000001</v>
      </c>
      <c r="R199" s="335">
        <v>5.0266500000000001</v>
      </c>
      <c r="S199" s="335">
        <v>5.0266500000000001</v>
      </c>
      <c r="T199" s="335">
        <v>5.0266500000000001</v>
      </c>
      <c r="U199" s="335">
        <v>5.0266500000000001</v>
      </c>
      <c r="V199" s="335">
        <v>5.0266500000000001</v>
      </c>
      <c r="W199" s="335">
        <v>5.0266500000000001</v>
      </c>
      <c r="X199" s="335">
        <v>5.0266500000000001</v>
      </c>
      <c r="Y199" s="335">
        <v>5.0266500000000001</v>
      </c>
      <c r="Z199" s="335">
        <v>5.0266500000000001</v>
      </c>
      <c r="AA199" s="335">
        <v>5.0266500000000001</v>
      </c>
      <c r="AB199" s="335">
        <v>5.0266500000000001</v>
      </c>
      <c r="AC199" s="335">
        <v>5.0266500000000001</v>
      </c>
      <c r="AD199" s="335">
        <v>5.0266500000000001</v>
      </c>
      <c r="AE199" s="335">
        <v>5.0266500000000001</v>
      </c>
      <c r="AF199" s="335">
        <v>5.0266500000000001</v>
      </c>
      <c r="AG199" s="335">
        <v>5.0266500000000001</v>
      </c>
      <c r="AH199" s="335">
        <v>5.0266500000000001</v>
      </c>
      <c r="AI199" s="335">
        <v>5.0266500000000001</v>
      </c>
      <c r="AJ199" s="335">
        <v>5.0266500000000001</v>
      </c>
      <c r="AK199" s="335">
        <v>5.0266500000000001</v>
      </c>
      <c r="AL199" s="335">
        <v>5.0266500000000001</v>
      </c>
      <c r="AM199" s="335">
        <v>5.0266500000000001</v>
      </c>
      <c r="AN199" s="335">
        <v>5.0266500000000001</v>
      </c>
      <c r="AO199" s="335">
        <v>5.0266500000000001</v>
      </c>
      <c r="AP199" s="335">
        <v>5.0266500000000001</v>
      </c>
      <c r="AQ199" s="335">
        <v>5.0266500000000001</v>
      </c>
      <c r="AR199" s="335">
        <v>5.0266500000000001</v>
      </c>
      <c r="AS199" s="335">
        <v>5.0266500000000001</v>
      </c>
      <c r="AT199" s="335">
        <v>5.0266500000000001</v>
      </c>
      <c r="AU199" s="335">
        <v>5.0266500000000001</v>
      </c>
      <c r="AV199" s="335">
        <v>5.0266500000000001</v>
      </c>
      <c r="AW199" s="335">
        <v>5.0266500000000001</v>
      </c>
      <c r="AX199" s="335">
        <v>5.0266500000000001</v>
      </c>
      <c r="AY199" s="335">
        <v>5.0266500000000001</v>
      </c>
      <c r="AZ199" s="335">
        <v>5.0266500000000001</v>
      </c>
      <c r="BA199" s="335">
        <v>5.0266500000000001</v>
      </c>
      <c r="BB199" s="335">
        <v>5.0266500000000001</v>
      </c>
      <c r="BC199" s="335">
        <v>5.0266500000000001</v>
      </c>
      <c r="BD199" s="335">
        <v>5.0266500000000001</v>
      </c>
      <c r="BE199" s="335">
        <v>5.0266500000000001</v>
      </c>
      <c r="BF199" s="335">
        <v>5.0266500000000001</v>
      </c>
      <c r="BG199" s="335">
        <v>5.0266500000000001</v>
      </c>
      <c r="BH199" s="335">
        <v>5.0266500000000001</v>
      </c>
      <c r="BI199" s="335">
        <v>5.0266500000000001</v>
      </c>
      <c r="BJ199" s="335">
        <v>5.0266500000000001</v>
      </c>
      <c r="BK199" s="335">
        <v>5.0266500000000001</v>
      </c>
      <c r="BL199" s="335">
        <v>5.0266500000000001</v>
      </c>
      <c r="BM199" s="335">
        <v>5.0266500000000001</v>
      </c>
      <c r="BN199" s="335">
        <v>5.0266500000000001</v>
      </c>
      <c r="BO199" s="335">
        <v>5.0266500000000001</v>
      </c>
      <c r="BP199" s="335">
        <v>5.0266500000000001</v>
      </c>
      <c r="BQ199" s="335">
        <v>5.0266500000000001</v>
      </c>
      <c r="BR199" s="335">
        <v>5.0266500000000001</v>
      </c>
      <c r="BS199" s="335">
        <v>5.0266500000000001</v>
      </c>
      <c r="BT199" s="335">
        <v>5.0266500000000001</v>
      </c>
      <c r="BU199" s="335">
        <v>5.0266500000000001</v>
      </c>
      <c r="BV199" s="335">
        <v>5.0266500000000001</v>
      </c>
      <c r="BW199" s="335">
        <v>5.0266500000000001</v>
      </c>
      <c r="BX199" s="335">
        <v>5.0266500000000001</v>
      </c>
    </row>
    <row r="200" spans="1:76" hidden="1" outlineLevel="1">
      <c r="B200" s="353">
        <v>2022</v>
      </c>
      <c r="C200" s="353" t="s">
        <v>231</v>
      </c>
      <c r="D200" s="353" t="s">
        <v>41</v>
      </c>
      <c r="E200" s="353" t="s">
        <v>1</v>
      </c>
      <c r="F200" s="335"/>
      <c r="G200" s="335"/>
      <c r="H200" s="335">
        <v>4.9909999999999997</v>
      </c>
      <c r="I200" s="335">
        <v>4.9909999999999997</v>
      </c>
      <c r="J200" s="335">
        <v>4.9909999999999997</v>
      </c>
      <c r="K200" s="335">
        <v>4.9909999999999997</v>
      </c>
      <c r="L200" s="335">
        <v>4.9909999999999997</v>
      </c>
      <c r="M200" s="335">
        <v>4.9909999999999997</v>
      </c>
      <c r="N200" s="335">
        <v>4.9909999999999997</v>
      </c>
      <c r="O200" s="335">
        <v>4.9909999999999997</v>
      </c>
      <c r="P200" s="335">
        <v>4.9909999999999997</v>
      </c>
      <c r="Q200" s="335">
        <v>4.9909999999999997</v>
      </c>
      <c r="R200" s="335">
        <v>4.9909999999999997</v>
      </c>
      <c r="S200" s="335">
        <v>4.9909999999999997</v>
      </c>
      <c r="T200" s="335">
        <v>4.9909999999999997</v>
      </c>
      <c r="U200" s="335">
        <v>4.9909999999999997</v>
      </c>
      <c r="V200" s="335">
        <v>4.9909999999999997</v>
      </c>
      <c r="W200" s="335">
        <v>4.9909999999999997</v>
      </c>
      <c r="X200" s="335">
        <v>4.9909999999999997</v>
      </c>
      <c r="Y200" s="335">
        <v>4.9909999999999997</v>
      </c>
      <c r="Z200" s="335">
        <v>4.9909999999999997</v>
      </c>
      <c r="AA200" s="335">
        <v>4.9909999999999997</v>
      </c>
      <c r="AB200" s="335">
        <v>4.9909999999999997</v>
      </c>
      <c r="AC200" s="335">
        <v>4.9909999999999997</v>
      </c>
      <c r="AD200" s="335">
        <v>4.9909999999999997</v>
      </c>
      <c r="AE200" s="335">
        <v>4.9909999999999997</v>
      </c>
      <c r="AF200" s="335">
        <v>4.9909999999999997</v>
      </c>
      <c r="AG200" s="335">
        <v>4.9909999999999997</v>
      </c>
      <c r="AH200" s="335">
        <v>4.9909999999999997</v>
      </c>
      <c r="AI200" s="335">
        <v>4.9909999999999997</v>
      </c>
      <c r="AJ200" s="335">
        <v>4.9909999999999997</v>
      </c>
      <c r="AK200" s="335">
        <v>4.9909999999999997</v>
      </c>
      <c r="AL200" s="335">
        <v>4.9909999999999997</v>
      </c>
      <c r="AM200" s="335">
        <v>4.9909999999999997</v>
      </c>
      <c r="AN200" s="335">
        <v>4.9909999999999997</v>
      </c>
      <c r="AO200" s="335">
        <v>4.9909999999999997</v>
      </c>
      <c r="AP200" s="335">
        <v>4.9909999999999997</v>
      </c>
      <c r="AQ200" s="335">
        <v>4.9909999999999997</v>
      </c>
      <c r="AR200" s="335">
        <v>4.9909999999999997</v>
      </c>
      <c r="AS200" s="335">
        <v>4.9909999999999997</v>
      </c>
      <c r="AT200" s="335">
        <v>4.9909999999999997</v>
      </c>
      <c r="AU200" s="335">
        <v>4.9909999999999997</v>
      </c>
      <c r="AV200" s="335">
        <v>4.9909999999999997</v>
      </c>
      <c r="AW200" s="335">
        <v>4.9909999999999997</v>
      </c>
      <c r="AX200" s="335">
        <v>4.9909999999999997</v>
      </c>
      <c r="AY200" s="335">
        <v>4.9909999999999997</v>
      </c>
      <c r="AZ200" s="335">
        <v>4.9909999999999997</v>
      </c>
      <c r="BA200" s="335">
        <v>4.9909999999999997</v>
      </c>
      <c r="BB200" s="335">
        <v>4.9909999999999997</v>
      </c>
      <c r="BC200" s="335">
        <v>4.9909999999999997</v>
      </c>
      <c r="BD200" s="335">
        <v>4.9909999999999997</v>
      </c>
      <c r="BE200" s="335">
        <v>4.9909999999999997</v>
      </c>
      <c r="BF200" s="335">
        <v>4.9909999999999997</v>
      </c>
      <c r="BG200" s="335">
        <v>4.9909999999999997</v>
      </c>
      <c r="BH200" s="335">
        <v>4.9909999999999997</v>
      </c>
      <c r="BI200" s="335">
        <v>4.9909999999999997</v>
      </c>
      <c r="BJ200" s="335">
        <v>4.9909999999999997</v>
      </c>
      <c r="BK200" s="335">
        <v>4.9909999999999997</v>
      </c>
      <c r="BL200" s="335">
        <v>4.9909999999999997</v>
      </c>
      <c r="BM200" s="335">
        <v>4.9909999999999997</v>
      </c>
      <c r="BN200" s="335">
        <v>4.9909999999999997</v>
      </c>
      <c r="BO200" s="335">
        <v>4.9909999999999997</v>
      </c>
      <c r="BP200" s="335">
        <v>4.9909999999999997</v>
      </c>
      <c r="BQ200" s="335">
        <v>4.9909999999999997</v>
      </c>
      <c r="BR200" s="335">
        <v>4.9909999999999997</v>
      </c>
      <c r="BS200" s="335">
        <v>4.9909999999999997</v>
      </c>
      <c r="BT200" s="335">
        <v>4.9909999999999997</v>
      </c>
      <c r="BU200" s="335">
        <v>4.9909999999999997</v>
      </c>
      <c r="BV200" s="335">
        <v>4.9909999999999997</v>
      </c>
      <c r="BW200" s="335">
        <v>4.9909999999999997</v>
      </c>
      <c r="BX200" s="335">
        <v>4.9909999999999997</v>
      </c>
    </row>
    <row r="201" spans="1:76" hidden="1" outlineLevel="1">
      <c r="B201" s="353">
        <v>2022</v>
      </c>
      <c r="C201" s="353" t="s">
        <v>231</v>
      </c>
      <c r="D201" s="353" t="s">
        <v>41</v>
      </c>
      <c r="E201" s="353" t="s">
        <v>2</v>
      </c>
      <c r="F201" s="335"/>
      <c r="G201" s="335"/>
      <c r="H201" s="335">
        <v>29.554999999999996</v>
      </c>
      <c r="I201" s="335">
        <v>29.554999999999996</v>
      </c>
      <c r="J201" s="335">
        <v>29.554999999999996</v>
      </c>
      <c r="K201" s="335">
        <v>29.554999999999996</v>
      </c>
      <c r="L201" s="335">
        <v>29.554999999999996</v>
      </c>
      <c r="M201" s="335">
        <v>29.554999999999996</v>
      </c>
      <c r="N201" s="335">
        <v>29.554999999999996</v>
      </c>
      <c r="O201" s="335">
        <v>29.554999999999996</v>
      </c>
      <c r="P201" s="335">
        <v>29.554999999999996</v>
      </c>
      <c r="Q201" s="335">
        <v>29.554999999999996</v>
      </c>
      <c r="R201" s="335">
        <v>29.554999999999996</v>
      </c>
      <c r="S201" s="335">
        <v>29.554999999999996</v>
      </c>
      <c r="T201" s="335">
        <v>29.554999999999996</v>
      </c>
      <c r="U201" s="335">
        <v>29.554999999999996</v>
      </c>
      <c r="V201" s="335">
        <v>29.554999999999996</v>
      </c>
      <c r="W201" s="335">
        <v>29.554999999999996</v>
      </c>
      <c r="X201" s="335">
        <v>29.554999999999996</v>
      </c>
      <c r="Y201" s="335">
        <v>29.554999999999996</v>
      </c>
      <c r="Z201" s="335">
        <v>29.554999999999996</v>
      </c>
      <c r="AA201" s="335">
        <v>29.554999999999996</v>
      </c>
      <c r="AB201" s="335">
        <v>29.554999999999996</v>
      </c>
      <c r="AC201" s="335">
        <v>29.554999999999996</v>
      </c>
      <c r="AD201" s="335">
        <v>29.554999999999996</v>
      </c>
      <c r="AE201" s="335">
        <v>29.554999999999996</v>
      </c>
      <c r="AF201" s="335">
        <v>29.554999999999996</v>
      </c>
      <c r="AG201" s="335">
        <v>29.554999999999996</v>
      </c>
      <c r="AH201" s="335">
        <v>29.554999999999996</v>
      </c>
      <c r="AI201" s="335">
        <v>29.554999999999996</v>
      </c>
      <c r="AJ201" s="335">
        <v>29.554999999999996</v>
      </c>
      <c r="AK201" s="335">
        <v>29.554999999999996</v>
      </c>
      <c r="AL201" s="335">
        <v>29.554999999999996</v>
      </c>
      <c r="AM201" s="335">
        <v>29.554999999999996</v>
      </c>
      <c r="AN201" s="335">
        <v>29.554999999999996</v>
      </c>
      <c r="AO201" s="335">
        <v>29.554999999999996</v>
      </c>
      <c r="AP201" s="335">
        <v>29.554999999999996</v>
      </c>
      <c r="AQ201" s="335">
        <v>29.554999999999996</v>
      </c>
      <c r="AR201" s="335">
        <v>29.554999999999996</v>
      </c>
      <c r="AS201" s="335">
        <v>29.554999999999996</v>
      </c>
      <c r="AT201" s="335">
        <v>29.554999999999996</v>
      </c>
      <c r="AU201" s="335">
        <v>29.554999999999996</v>
      </c>
      <c r="AV201" s="335">
        <v>29.554999999999996</v>
      </c>
      <c r="AW201" s="335">
        <v>29.554999999999996</v>
      </c>
      <c r="AX201" s="335">
        <v>29.554999999999996</v>
      </c>
      <c r="AY201" s="335">
        <v>29.554999999999996</v>
      </c>
      <c r="AZ201" s="335">
        <v>29.554999999999996</v>
      </c>
      <c r="BA201" s="335">
        <v>29.554999999999996</v>
      </c>
      <c r="BB201" s="335">
        <v>29.554999999999996</v>
      </c>
      <c r="BC201" s="335">
        <v>29.554999999999996</v>
      </c>
      <c r="BD201" s="335">
        <v>29.554999999999996</v>
      </c>
      <c r="BE201" s="335">
        <v>29.554999999999996</v>
      </c>
      <c r="BF201" s="335">
        <v>29.554999999999996</v>
      </c>
      <c r="BG201" s="335">
        <v>29.554999999999996</v>
      </c>
      <c r="BH201" s="335">
        <v>29.554999999999996</v>
      </c>
      <c r="BI201" s="335">
        <v>29.554999999999996</v>
      </c>
      <c r="BJ201" s="335">
        <v>29.554999999999996</v>
      </c>
      <c r="BK201" s="335">
        <v>29.554999999999996</v>
      </c>
      <c r="BL201" s="335">
        <v>29.554999999999996</v>
      </c>
      <c r="BM201" s="335">
        <v>29.554999999999996</v>
      </c>
      <c r="BN201" s="335">
        <v>29.554999999999996</v>
      </c>
      <c r="BO201" s="335">
        <v>29.554999999999996</v>
      </c>
      <c r="BP201" s="335">
        <v>29.554999999999996</v>
      </c>
      <c r="BQ201" s="335">
        <v>29.554999999999996</v>
      </c>
      <c r="BR201" s="335">
        <v>29.554999999999996</v>
      </c>
      <c r="BS201" s="335">
        <v>29.554999999999996</v>
      </c>
      <c r="BT201" s="335">
        <v>29.554999999999996</v>
      </c>
      <c r="BU201" s="335">
        <v>29.554999999999996</v>
      </c>
      <c r="BV201" s="335">
        <v>29.554999999999996</v>
      </c>
      <c r="BW201" s="335">
        <v>29.554999999999996</v>
      </c>
      <c r="BX201" s="335">
        <v>29.554999999999996</v>
      </c>
    </row>
    <row r="202" spans="1:76" hidden="1" outlineLevel="1">
      <c r="B202" s="353">
        <v>2020</v>
      </c>
      <c r="C202" s="353" t="s">
        <v>231</v>
      </c>
      <c r="D202" s="353" t="s">
        <v>41</v>
      </c>
      <c r="E202" s="353" t="s">
        <v>20</v>
      </c>
      <c r="F202" s="335">
        <v>159.81843400447426</v>
      </c>
      <c r="G202" s="335">
        <v>159.81843400447426</v>
      </c>
      <c r="H202" s="335">
        <v>159.81843400447426</v>
      </c>
      <c r="I202" s="335">
        <v>159.81843400447426</v>
      </c>
      <c r="J202" s="335">
        <v>159.81843400447426</v>
      </c>
      <c r="K202" s="335">
        <v>159.81843400447426</v>
      </c>
      <c r="L202" s="335">
        <v>159.81843400447426</v>
      </c>
      <c r="M202" s="335">
        <v>159.81843400447426</v>
      </c>
      <c r="N202" s="335">
        <v>159.81843400447426</v>
      </c>
      <c r="O202" s="335">
        <v>159.81843400447426</v>
      </c>
      <c r="P202" s="335">
        <v>159.81843400447426</v>
      </c>
      <c r="Q202" s="335">
        <v>159.81843400447426</v>
      </c>
      <c r="R202" s="335">
        <v>159.81843400447426</v>
      </c>
      <c r="S202" s="335">
        <v>159.81843400447426</v>
      </c>
      <c r="T202" s="335">
        <v>159.81843400447426</v>
      </c>
      <c r="U202" s="335">
        <v>159.81843400447426</v>
      </c>
      <c r="V202" s="335">
        <v>159.81843400447426</v>
      </c>
      <c r="W202" s="335">
        <v>159.81843400447426</v>
      </c>
      <c r="X202" s="335">
        <v>159.81843400447426</v>
      </c>
      <c r="Y202" s="335">
        <v>159.81843400447426</v>
      </c>
      <c r="Z202" s="335">
        <v>159.81843400447426</v>
      </c>
      <c r="AA202" s="335">
        <v>159.81843400447426</v>
      </c>
      <c r="AB202" s="335">
        <v>159.81843400447426</v>
      </c>
      <c r="AC202" s="335">
        <v>159.81843400447426</v>
      </c>
      <c r="AD202" s="335">
        <v>159.81843400447426</v>
      </c>
      <c r="AE202" s="335">
        <v>159.81843400447426</v>
      </c>
      <c r="AF202" s="335">
        <v>159.81843400447426</v>
      </c>
      <c r="AG202" s="335">
        <v>159.81843400447426</v>
      </c>
      <c r="AH202" s="335">
        <v>159.81843400447426</v>
      </c>
      <c r="AI202" s="335">
        <v>159.81843400447426</v>
      </c>
      <c r="AJ202" s="335">
        <v>159.81843400447426</v>
      </c>
      <c r="AK202" s="335">
        <v>159.81843400447426</v>
      </c>
      <c r="AL202" s="335">
        <v>159.81843400447426</v>
      </c>
      <c r="AM202" s="335">
        <v>159.81843400447426</v>
      </c>
      <c r="AN202" s="335">
        <v>159.81843400447426</v>
      </c>
      <c r="AO202" s="335">
        <v>159.81843400447426</v>
      </c>
      <c r="AP202" s="335">
        <v>159.81843400447426</v>
      </c>
      <c r="AQ202" s="335">
        <v>159.81843400447426</v>
      </c>
      <c r="AR202" s="335">
        <v>159.81843400447426</v>
      </c>
      <c r="AS202" s="335">
        <v>159.81843400447426</v>
      </c>
      <c r="AT202" s="335">
        <v>159.81843400447426</v>
      </c>
      <c r="AU202" s="335">
        <v>159.81843400447426</v>
      </c>
      <c r="AV202" s="335">
        <v>159.81843400447426</v>
      </c>
      <c r="AW202" s="335">
        <v>159.81843400447426</v>
      </c>
      <c r="AX202" s="335">
        <v>159.81843400447426</v>
      </c>
      <c r="AY202" s="335">
        <v>159.81843400447426</v>
      </c>
      <c r="AZ202" s="335">
        <v>159.81843400447426</v>
      </c>
      <c r="BA202" s="335">
        <v>159.81843400447426</v>
      </c>
      <c r="BB202" s="335">
        <v>159.81843400447426</v>
      </c>
      <c r="BC202" s="335">
        <v>159.81843400447426</v>
      </c>
      <c r="BD202" s="335">
        <v>159.81843400447426</v>
      </c>
      <c r="BE202" s="335">
        <v>159.81843400447426</v>
      </c>
      <c r="BF202" s="335">
        <v>159.81843400447426</v>
      </c>
      <c r="BG202" s="335">
        <v>159.81843400447426</v>
      </c>
      <c r="BH202" s="335">
        <v>159.81843400447426</v>
      </c>
      <c r="BI202" s="335">
        <v>159.81843400447426</v>
      </c>
      <c r="BJ202" s="335">
        <v>159.81843400447426</v>
      </c>
      <c r="BK202" s="335">
        <v>159.81843400447426</v>
      </c>
      <c r="BL202" s="335">
        <v>159.81843400447426</v>
      </c>
      <c r="BM202" s="335">
        <v>159.81843400447426</v>
      </c>
      <c r="BN202" s="335">
        <v>159.81843400447426</v>
      </c>
      <c r="BO202" s="335">
        <v>159.81843400447426</v>
      </c>
      <c r="BP202" s="335">
        <v>159.81843400447426</v>
      </c>
      <c r="BQ202" s="335">
        <v>159.81843400447426</v>
      </c>
      <c r="BR202" s="335">
        <v>159.81843400447426</v>
      </c>
      <c r="BS202" s="335">
        <v>159.81843400447426</v>
      </c>
      <c r="BT202" s="335">
        <v>159.81843400447426</v>
      </c>
      <c r="BU202" s="335">
        <v>159.81843400447426</v>
      </c>
      <c r="BV202" s="335">
        <v>159.81843400447426</v>
      </c>
      <c r="BW202" s="335">
        <v>159.81843400447426</v>
      </c>
      <c r="BX202" s="335">
        <v>159.81843400447426</v>
      </c>
    </row>
    <row r="203" spans="1:76" hidden="1" outlineLevel="1">
      <c r="B203" s="353">
        <v>2022</v>
      </c>
      <c r="C203" s="353" t="s">
        <v>231</v>
      </c>
      <c r="D203" s="353" t="s">
        <v>41</v>
      </c>
      <c r="E203" s="353" t="s">
        <v>21</v>
      </c>
      <c r="F203" s="335"/>
      <c r="G203" s="335"/>
      <c r="H203" s="335">
        <v>15</v>
      </c>
      <c r="I203" s="335">
        <v>15</v>
      </c>
      <c r="J203" s="335">
        <v>15</v>
      </c>
      <c r="K203" s="335">
        <v>15</v>
      </c>
      <c r="L203" s="335">
        <v>15</v>
      </c>
      <c r="M203" s="335">
        <v>15</v>
      </c>
      <c r="N203" s="335">
        <v>15</v>
      </c>
      <c r="O203" s="335">
        <v>15</v>
      </c>
      <c r="P203" s="335">
        <v>15</v>
      </c>
      <c r="Q203" s="335">
        <v>15</v>
      </c>
      <c r="R203" s="335">
        <v>15</v>
      </c>
      <c r="S203" s="335">
        <v>15</v>
      </c>
      <c r="T203" s="335">
        <v>15</v>
      </c>
      <c r="U203" s="335">
        <v>15</v>
      </c>
      <c r="V203" s="335">
        <v>15</v>
      </c>
      <c r="W203" s="335">
        <v>15</v>
      </c>
      <c r="X203" s="335">
        <v>15</v>
      </c>
      <c r="Y203" s="335">
        <v>15</v>
      </c>
      <c r="Z203" s="335">
        <v>15</v>
      </c>
      <c r="AA203" s="335">
        <v>15</v>
      </c>
      <c r="AB203" s="335">
        <v>15</v>
      </c>
      <c r="AC203" s="335">
        <v>15</v>
      </c>
      <c r="AD203" s="335">
        <v>15</v>
      </c>
      <c r="AE203" s="335">
        <v>15</v>
      </c>
      <c r="AF203" s="335">
        <v>15</v>
      </c>
      <c r="AG203" s="335">
        <v>15</v>
      </c>
      <c r="AH203" s="335">
        <v>15</v>
      </c>
      <c r="AI203" s="335">
        <v>15</v>
      </c>
      <c r="AJ203" s="335">
        <v>15</v>
      </c>
      <c r="AK203" s="335">
        <v>15</v>
      </c>
      <c r="AL203" s="335">
        <v>15</v>
      </c>
      <c r="AM203" s="335">
        <v>15</v>
      </c>
      <c r="AN203" s="335">
        <v>15</v>
      </c>
      <c r="AO203" s="335">
        <v>15</v>
      </c>
      <c r="AP203" s="335">
        <v>15</v>
      </c>
      <c r="AQ203" s="335">
        <v>15</v>
      </c>
      <c r="AR203" s="335">
        <v>15</v>
      </c>
      <c r="AS203" s="335">
        <v>15</v>
      </c>
      <c r="AT203" s="335">
        <v>15</v>
      </c>
      <c r="AU203" s="335">
        <v>15</v>
      </c>
      <c r="AV203" s="335">
        <v>15</v>
      </c>
      <c r="AW203" s="335">
        <v>15</v>
      </c>
      <c r="AX203" s="335">
        <v>15</v>
      </c>
      <c r="AY203" s="335">
        <v>15</v>
      </c>
      <c r="AZ203" s="335">
        <v>15</v>
      </c>
      <c r="BA203" s="335">
        <v>15</v>
      </c>
      <c r="BB203" s="335">
        <v>15</v>
      </c>
      <c r="BC203" s="335">
        <v>15</v>
      </c>
      <c r="BD203" s="335">
        <v>15</v>
      </c>
      <c r="BE203" s="335">
        <v>15</v>
      </c>
      <c r="BF203" s="335">
        <v>15</v>
      </c>
      <c r="BG203" s="335">
        <v>15</v>
      </c>
      <c r="BH203" s="335">
        <v>15</v>
      </c>
      <c r="BI203" s="335">
        <v>15</v>
      </c>
      <c r="BJ203" s="335">
        <v>15</v>
      </c>
      <c r="BK203" s="335">
        <v>15</v>
      </c>
      <c r="BL203" s="335">
        <v>15</v>
      </c>
      <c r="BM203" s="335">
        <v>15</v>
      </c>
      <c r="BN203" s="335">
        <v>15</v>
      </c>
      <c r="BO203" s="335">
        <v>15</v>
      </c>
      <c r="BP203" s="335">
        <v>15</v>
      </c>
      <c r="BQ203" s="335">
        <v>15</v>
      </c>
      <c r="BR203" s="335">
        <v>15</v>
      </c>
      <c r="BS203" s="335">
        <v>15</v>
      </c>
      <c r="BT203" s="335">
        <v>15</v>
      </c>
      <c r="BU203" s="335">
        <v>15</v>
      </c>
      <c r="BV203" s="335">
        <v>15</v>
      </c>
      <c r="BW203" s="335">
        <v>15</v>
      </c>
      <c r="BX203" s="335">
        <v>15</v>
      </c>
    </row>
    <row r="204" spans="1:76" collapsed="1">
      <c r="F204" s="337"/>
      <c r="G204" s="337"/>
      <c r="H204" s="337"/>
      <c r="I204" s="337"/>
      <c r="J204" s="337"/>
      <c r="K204" s="337"/>
      <c r="L204" s="337"/>
      <c r="M204" s="337"/>
      <c r="N204" s="337"/>
      <c r="O204" s="337"/>
      <c r="P204" s="337"/>
      <c r="Q204" s="337"/>
      <c r="R204" s="337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8"/>
      <c r="AL204" s="338"/>
      <c r="AM204" s="338"/>
      <c r="AN204" s="338"/>
      <c r="AO204" s="338"/>
      <c r="AP204" s="338"/>
      <c r="AQ204" s="338"/>
      <c r="AR204" s="338"/>
      <c r="AS204" s="338"/>
      <c r="AT204" s="338"/>
      <c r="AU204" s="338"/>
      <c r="AV204" s="338"/>
      <c r="AW204" s="338"/>
      <c r="AX204" s="338"/>
      <c r="AY204" s="338"/>
      <c r="AZ204" s="338"/>
      <c r="BA204" s="338"/>
      <c r="BB204" s="338"/>
      <c r="BC204" s="338"/>
      <c r="BD204" s="338"/>
      <c r="BE204" s="338"/>
      <c r="BF204" s="338"/>
      <c r="BG204" s="338"/>
      <c r="BH204" s="338"/>
      <c r="BI204" s="338"/>
      <c r="BJ204" s="338"/>
      <c r="BK204" s="338"/>
      <c r="BL204" s="338"/>
      <c r="BM204" s="338"/>
      <c r="BN204" s="338"/>
      <c r="BO204" s="338"/>
      <c r="BP204" s="338"/>
      <c r="BQ204" s="338"/>
      <c r="BR204" s="338"/>
      <c r="BS204" s="338"/>
      <c r="BT204" s="338"/>
      <c r="BU204" s="338"/>
      <c r="BV204" s="338"/>
      <c r="BW204" s="338"/>
      <c r="BX204" s="338"/>
    </row>
    <row r="205" spans="1:76">
      <c r="B205" s="259" t="str">
        <f>D205</f>
        <v>Round-Trip Efficiency</v>
      </c>
      <c r="D205" s="259" t="s">
        <v>42</v>
      </c>
      <c r="F205" s="259"/>
      <c r="G205" s="259"/>
      <c r="H205" s="259"/>
      <c r="I205" s="259"/>
      <c r="J205" s="259"/>
      <c r="K205" s="259"/>
      <c r="L205" s="259"/>
      <c r="M205" s="259"/>
      <c r="N205" s="259"/>
      <c r="O205" s="259"/>
      <c r="P205" s="259"/>
      <c r="Q205" s="259"/>
      <c r="R205" s="259"/>
      <c r="S205" s="259"/>
      <c r="T205" s="259"/>
      <c r="U205" s="259"/>
      <c r="V205" s="259"/>
      <c r="W205" s="259"/>
      <c r="X205" s="259"/>
      <c r="Y205" s="259"/>
      <c r="Z205" s="259"/>
      <c r="AA205" s="259"/>
      <c r="AB205" s="259"/>
      <c r="AC205" s="259"/>
      <c r="AD205" s="259"/>
      <c r="AE205" s="259"/>
      <c r="AF205" s="259"/>
      <c r="AG205" s="259"/>
      <c r="AH205" s="259"/>
      <c r="AI205" s="259"/>
      <c r="AJ205" s="259"/>
      <c r="AK205" s="259"/>
      <c r="AL205" s="259"/>
      <c r="AM205" s="259"/>
      <c r="AN205" s="259"/>
      <c r="AO205" s="259"/>
      <c r="AP205" s="259"/>
      <c r="AQ205" s="259"/>
      <c r="AR205" s="259"/>
      <c r="AS205" s="259"/>
      <c r="AT205" s="259"/>
      <c r="AU205" s="259"/>
      <c r="AV205" s="259"/>
      <c r="AW205" s="259"/>
      <c r="AX205" s="259"/>
      <c r="AY205" s="259"/>
      <c r="AZ205" s="259"/>
      <c r="BA205" s="259"/>
      <c r="BB205" s="259"/>
      <c r="BC205" s="259"/>
      <c r="BD205" s="259"/>
      <c r="BE205" s="259"/>
      <c r="BF205" s="259"/>
      <c r="BG205" s="259"/>
      <c r="BH205" s="259"/>
      <c r="BI205" s="259"/>
      <c r="BJ205" s="259"/>
      <c r="BK205" s="259"/>
      <c r="BL205" s="259"/>
      <c r="BM205" s="259"/>
      <c r="BN205" s="259"/>
      <c r="BO205" s="259"/>
      <c r="BP205" s="259"/>
      <c r="BQ205" s="259"/>
      <c r="BR205" s="259"/>
      <c r="BS205" s="259"/>
      <c r="BT205" s="259"/>
      <c r="BU205" s="259"/>
      <c r="BV205" s="259"/>
      <c r="BW205" s="259"/>
      <c r="BX205" s="259"/>
    </row>
    <row r="206" spans="1:76" hidden="1" outlineLevel="1">
      <c r="B206" s="348"/>
      <c r="C206" s="348" t="s">
        <v>231</v>
      </c>
      <c r="D206" s="348" t="s">
        <v>42</v>
      </c>
      <c r="E206" s="348" t="s">
        <v>11</v>
      </c>
      <c r="F206" s="326">
        <f>F208</f>
        <v>0.86</v>
      </c>
      <c r="G206" s="326">
        <f t="shared" ref="G206:BR206" si="319">G208</f>
        <v>0.86</v>
      </c>
      <c r="H206" s="326">
        <f t="shared" si="319"/>
        <v>0.86</v>
      </c>
      <c r="I206" s="326">
        <f t="shared" si="319"/>
        <v>0.86</v>
      </c>
      <c r="J206" s="326">
        <f t="shared" si="319"/>
        <v>0.86</v>
      </c>
      <c r="K206" s="326">
        <f t="shared" si="319"/>
        <v>0.86</v>
      </c>
      <c r="L206" s="326">
        <f t="shared" si="319"/>
        <v>0.86</v>
      </c>
      <c r="M206" s="326">
        <f t="shared" si="319"/>
        <v>0.86</v>
      </c>
      <c r="N206" s="326">
        <f t="shared" si="319"/>
        <v>0.86</v>
      </c>
      <c r="O206" s="326">
        <f t="shared" si="319"/>
        <v>0.86</v>
      </c>
      <c r="P206" s="326">
        <f t="shared" si="319"/>
        <v>0.86</v>
      </c>
      <c r="Q206" s="326">
        <f t="shared" si="319"/>
        <v>0.86</v>
      </c>
      <c r="R206" s="326">
        <f t="shared" si="319"/>
        <v>0.86</v>
      </c>
      <c r="S206" s="326">
        <f t="shared" si="319"/>
        <v>0.86</v>
      </c>
      <c r="T206" s="326">
        <f t="shared" si="319"/>
        <v>0.86</v>
      </c>
      <c r="U206" s="326">
        <f t="shared" si="319"/>
        <v>0.86</v>
      </c>
      <c r="V206" s="326">
        <f t="shared" si="319"/>
        <v>0.86</v>
      </c>
      <c r="W206" s="326">
        <f t="shared" si="319"/>
        <v>0.86</v>
      </c>
      <c r="X206" s="326">
        <f t="shared" si="319"/>
        <v>0.86</v>
      </c>
      <c r="Y206" s="326">
        <f t="shared" si="319"/>
        <v>0.86</v>
      </c>
      <c r="Z206" s="326">
        <f t="shared" si="319"/>
        <v>0.86</v>
      </c>
      <c r="AA206" s="326">
        <f t="shared" si="319"/>
        <v>0.86</v>
      </c>
      <c r="AB206" s="326">
        <f t="shared" si="319"/>
        <v>0.86</v>
      </c>
      <c r="AC206" s="326">
        <f t="shared" si="319"/>
        <v>0.86</v>
      </c>
      <c r="AD206" s="326">
        <f t="shared" si="319"/>
        <v>0.86</v>
      </c>
      <c r="AE206" s="326">
        <f t="shared" si="319"/>
        <v>0.86</v>
      </c>
      <c r="AF206" s="326">
        <f t="shared" si="319"/>
        <v>0.86</v>
      </c>
      <c r="AG206" s="326">
        <f t="shared" si="319"/>
        <v>0.86</v>
      </c>
      <c r="AH206" s="326">
        <f t="shared" si="319"/>
        <v>0.86</v>
      </c>
      <c r="AI206" s="326">
        <f t="shared" si="319"/>
        <v>0.86</v>
      </c>
      <c r="AJ206" s="326">
        <f t="shared" si="319"/>
        <v>0.86</v>
      </c>
      <c r="AK206" s="326">
        <f t="shared" si="319"/>
        <v>0.86</v>
      </c>
      <c r="AL206" s="326">
        <f t="shared" si="319"/>
        <v>0.86</v>
      </c>
      <c r="AM206" s="326">
        <f t="shared" si="319"/>
        <v>0.86</v>
      </c>
      <c r="AN206" s="326">
        <f t="shared" si="319"/>
        <v>0.86</v>
      </c>
      <c r="AO206" s="326">
        <f t="shared" si="319"/>
        <v>0.86</v>
      </c>
      <c r="AP206" s="326">
        <f t="shared" si="319"/>
        <v>0.86</v>
      </c>
      <c r="AQ206" s="326">
        <f t="shared" si="319"/>
        <v>0.86</v>
      </c>
      <c r="AR206" s="326">
        <f t="shared" si="319"/>
        <v>0.86</v>
      </c>
      <c r="AS206" s="326">
        <f t="shared" si="319"/>
        <v>0.86</v>
      </c>
      <c r="AT206" s="326">
        <f t="shared" si="319"/>
        <v>0.86</v>
      </c>
      <c r="AU206" s="326">
        <f t="shared" si="319"/>
        <v>0.86</v>
      </c>
      <c r="AV206" s="326">
        <f t="shared" si="319"/>
        <v>0.86</v>
      </c>
      <c r="AW206" s="326">
        <f t="shared" si="319"/>
        <v>0.86</v>
      </c>
      <c r="AX206" s="326">
        <f t="shared" si="319"/>
        <v>0.86</v>
      </c>
      <c r="AY206" s="326">
        <f t="shared" si="319"/>
        <v>0.86</v>
      </c>
      <c r="AZ206" s="326">
        <f t="shared" si="319"/>
        <v>0.86</v>
      </c>
      <c r="BA206" s="326">
        <f t="shared" si="319"/>
        <v>0.86</v>
      </c>
      <c r="BB206" s="326">
        <f t="shared" si="319"/>
        <v>0.86</v>
      </c>
      <c r="BC206" s="326">
        <f t="shared" si="319"/>
        <v>0.86</v>
      </c>
      <c r="BD206" s="326">
        <f t="shared" si="319"/>
        <v>0.86</v>
      </c>
      <c r="BE206" s="326">
        <f t="shared" si="319"/>
        <v>0.86</v>
      </c>
      <c r="BF206" s="326">
        <f t="shared" si="319"/>
        <v>0.86</v>
      </c>
      <c r="BG206" s="326">
        <f t="shared" si="319"/>
        <v>0.86</v>
      </c>
      <c r="BH206" s="326">
        <f t="shared" si="319"/>
        <v>0.86</v>
      </c>
      <c r="BI206" s="326">
        <f t="shared" si="319"/>
        <v>0.86</v>
      </c>
      <c r="BJ206" s="326">
        <f t="shared" si="319"/>
        <v>0.86</v>
      </c>
      <c r="BK206" s="326">
        <f t="shared" si="319"/>
        <v>0.86</v>
      </c>
      <c r="BL206" s="326">
        <f t="shared" si="319"/>
        <v>0.86</v>
      </c>
      <c r="BM206" s="326">
        <f t="shared" si="319"/>
        <v>0.86</v>
      </c>
      <c r="BN206" s="326">
        <f t="shared" si="319"/>
        <v>0.86</v>
      </c>
      <c r="BO206" s="326">
        <f t="shared" si="319"/>
        <v>0.86</v>
      </c>
      <c r="BP206" s="326">
        <f t="shared" si="319"/>
        <v>0.86</v>
      </c>
      <c r="BQ206" s="326">
        <f t="shared" si="319"/>
        <v>0.86</v>
      </c>
      <c r="BR206" s="326">
        <f t="shared" si="319"/>
        <v>0.86</v>
      </c>
      <c r="BS206" s="326">
        <f t="shared" ref="BS206:BX206" si="320">BS208</f>
        <v>0.86</v>
      </c>
      <c r="BT206" s="326">
        <f t="shared" si="320"/>
        <v>0.86</v>
      </c>
      <c r="BU206" s="326">
        <f t="shared" si="320"/>
        <v>0.86</v>
      </c>
      <c r="BV206" s="326">
        <f t="shared" si="320"/>
        <v>0.86</v>
      </c>
      <c r="BW206" s="326">
        <f t="shared" si="320"/>
        <v>0.86</v>
      </c>
      <c r="BX206" s="326">
        <f t="shared" si="320"/>
        <v>0.86</v>
      </c>
    </row>
    <row r="207" spans="1:76" hidden="1" outlineLevel="1">
      <c r="B207" s="348"/>
      <c r="C207" s="348" t="s">
        <v>231</v>
      </c>
      <c r="D207" s="348" t="s">
        <v>42</v>
      </c>
      <c r="E207" s="348" t="s">
        <v>12</v>
      </c>
      <c r="F207" s="326">
        <f>F209</f>
        <v>0.86</v>
      </c>
      <c r="G207" s="326">
        <f t="shared" ref="G207:BR207" si="321">G209</f>
        <v>0.86</v>
      </c>
      <c r="H207" s="326">
        <f t="shared" si="321"/>
        <v>0.86</v>
      </c>
      <c r="I207" s="326">
        <f t="shared" si="321"/>
        <v>0.86</v>
      </c>
      <c r="J207" s="326">
        <f t="shared" si="321"/>
        <v>0.86</v>
      </c>
      <c r="K207" s="326">
        <f t="shared" si="321"/>
        <v>0.86</v>
      </c>
      <c r="L207" s="326">
        <f t="shared" si="321"/>
        <v>0.86</v>
      </c>
      <c r="M207" s="326">
        <f t="shared" si="321"/>
        <v>0.86</v>
      </c>
      <c r="N207" s="326">
        <f t="shared" si="321"/>
        <v>0.86</v>
      </c>
      <c r="O207" s="326">
        <f t="shared" si="321"/>
        <v>0.86</v>
      </c>
      <c r="P207" s="326">
        <f t="shared" si="321"/>
        <v>0.86</v>
      </c>
      <c r="Q207" s="326">
        <f t="shared" si="321"/>
        <v>0.86</v>
      </c>
      <c r="R207" s="326">
        <f t="shared" si="321"/>
        <v>0.86</v>
      </c>
      <c r="S207" s="326">
        <f t="shared" si="321"/>
        <v>0.86</v>
      </c>
      <c r="T207" s="326">
        <f t="shared" si="321"/>
        <v>0.86</v>
      </c>
      <c r="U207" s="326">
        <f t="shared" si="321"/>
        <v>0.86</v>
      </c>
      <c r="V207" s="326">
        <f t="shared" si="321"/>
        <v>0.86</v>
      </c>
      <c r="W207" s="326">
        <f t="shared" si="321"/>
        <v>0.86</v>
      </c>
      <c r="X207" s="326">
        <f t="shared" si="321"/>
        <v>0.86</v>
      </c>
      <c r="Y207" s="326">
        <f t="shared" si="321"/>
        <v>0.86</v>
      </c>
      <c r="Z207" s="326">
        <f t="shared" si="321"/>
        <v>0.86</v>
      </c>
      <c r="AA207" s="326">
        <f t="shared" si="321"/>
        <v>0.86</v>
      </c>
      <c r="AB207" s="326">
        <f t="shared" si="321"/>
        <v>0.86</v>
      </c>
      <c r="AC207" s="326">
        <f t="shared" si="321"/>
        <v>0.86</v>
      </c>
      <c r="AD207" s="326">
        <f t="shared" si="321"/>
        <v>0.86</v>
      </c>
      <c r="AE207" s="326">
        <f t="shared" si="321"/>
        <v>0.86</v>
      </c>
      <c r="AF207" s="326">
        <f t="shared" si="321"/>
        <v>0.86</v>
      </c>
      <c r="AG207" s="326">
        <f t="shared" si="321"/>
        <v>0.86</v>
      </c>
      <c r="AH207" s="326">
        <f t="shared" si="321"/>
        <v>0.86</v>
      </c>
      <c r="AI207" s="326">
        <f t="shared" si="321"/>
        <v>0.86</v>
      </c>
      <c r="AJ207" s="326">
        <f t="shared" si="321"/>
        <v>0.86</v>
      </c>
      <c r="AK207" s="326">
        <f t="shared" si="321"/>
        <v>0.86</v>
      </c>
      <c r="AL207" s="326">
        <f t="shared" si="321"/>
        <v>0.86</v>
      </c>
      <c r="AM207" s="326">
        <f t="shared" si="321"/>
        <v>0.86</v>
      </c>
      <c r="AN207" s="326">
        <f t="shared" si="321"/>
        <v>0.86</v>
      </c>
      <c r="AO207" s="326">
        <f t="shared" si="321"/>
        <v>0.86</v>
      </c>
      <c r="AP207" s="326">
        <f t="shared" si="321"/>
        <v>0.86</v>
      </c>
      <c r="AQ207" s="326">
        <f t="shared" si="321"/>
        <v>0.86</v>
      </c>
      <c r="AR207" s="326">
        <f t="shared" si="321"/>
        <v>0.86</v>
      </c>
      <c r="AS207" s="326">
        <f t="shared" si="321"/>
        <v>0.86</v>
      </c>
      <c r="AT207" s="326">
        <f t="shared" si="321"/>
        <v>0.86</v>
      </c>
      <c r="AU207" s="326">
        <f t="shared" si="321"/>
        <v>0.86</v>
      </c>
      <c r="AV207" s="326">
        <f t="shared" si="321"/>
        <v>0.86</v>
      </c>
      <c r="AW207" s="326">
        <f t="shared" si="321"/>
        <v>0.86</v>
      </c>
      <c r="AX207" s="326">
        <f t="shared" si="321"/>
        <v>0.86</v>
      </c>
      <c r="AY207" s="326">
        <f t="shared" si="321"/>
        <v>0.86</v>
      </c>
      <c r="AZ207" s="326">
        <f t="shared" si="321"/>
        <v>0.86</v>
      </c>
      <c r="BA207" s="326">
        <f t="shared" si="321"/>
        <v>0.86</v>
      </c>
      <c r="BB207" s="326">
        <f t="shared" si="321"/>
        <v>0.86</v>
      </c>
      <c r="BC207" s="326">
        <f t="shared" si="321"/>
        <v>0.86</v>
      </c>
      <c r="BD207" s="326">
        <f t="shared" si="321"/>
        <v>0.86</v>
      </c>
      <c r="BE207" s="326">
        <f t="shared" si="321"/>
        <v>0.86</v>
      </c>
      <c r="BF207" s="326">
        <f t="shared" si="321"/>
        <v>0.86</v>
      </c>
      <c r="BG207" s="326">
        <f t="shared" si="321"/>
        <v>0.86</v>
      </c>
      <c r="BH207" s="326">
        <f t="shared" si="321"/>
        <v>0.86</v>
      </c>
      <c r="BI207" s="326">
        <f t="shared" si="321"/>
        <v>0.86</v>
      </c>
      <c r="BJ207" s="326">
        <f t="shared" si="321"/>
        <v>0.86</v>
      </c>
      <c r="BK207" s="326">
        <f t="shared" si="321"/>
        <v>0.86</v>
      </c>
      <c r="BL207" s="326">
        <f t="shared" si="321"/>
        <v>0.86</v>
      </c>
      <c r="BM207" s="326">
        <f t="shared" si="321"/>
        <v>0.86</v>
      </c>
      <c r="BN207" s="326">
        <f t="shared" si="321"/>
        <v>0.86</v>
      </c>
      <c r="BO207" s="326">
        <f t="shared" si="321"/>
        <v>0.86</v>
      </c>
      <c r="BP207" s="326">
        <f t="shared" si="321"/>
        <v>0.86</v>
      </c>
      <c r="BQ207" s="326">
        <f t="shared" si="321"/>
        <v>0.86</v>
      </c>
      <c r="BR207" s="326">
        <f t="shared" si="321"/>
        <v>0.86</v>
      </c>
      <c r="BS207" s="326">
        <f t="shared" ref="BS207:BX207" si="322">BS209</f>
        <v>0.86</v>
      </c>
      <c r="BT207" s="326">
        <f t="shared" si="322"/>
        <v>0.86</v>
      </c>
      <c r="BU207" s="326">
        <f t="shared" si="322"/>
        <v>0.86</v>
      </c>
      <c r="BV207" s="326">
        <f t="shared" si="322"/>
        <v>0.86</v>
      </c>
      <c r="BW207" s="326">
        <f t="shared" si="322"/>
        <v>0.86</v>
      </c>
      <c r="BX207" s="326">
        <f t="shared" si="322"/>
        <v>0.86</v>
      </c>
    </row>
    <row r="208" spans="1:76" hidden="1" outlineLevel="1">
      <c r="B208" s="348"/>
      <c r="C208" s="348" t="s">
        <v>231</v>
      </c>
      <c r="D208" s="348" t="s">
        <v>42</v>
      </c>
      <c r="E208" s="348" t="s">
        <v>13</v>
      </c>
      <c r="F208" s="207">
        <v>0.86</v>
      </c>
      <c r="G208" s="207">
        <v>0.86</v>
      </c>
      <c r="H208" s="207">
        <v>0.86</v>
      </c>
      <c r="I208" s="207">
        <v>0.86</v>
      </c>
      <c r="J208" s="207">
        <v>0.86</v>
      </c>
      <c r="K208" s="207">
        <v>0.86</v>
      </c>
      <c r="L208" s="207">
        <v>0.86</v>
      </c>
      <c r="M208" s="207">
        <v>0.86</v>
      </c>
      <c r="N208" s="207">
        <v>0.86</v>
      </c>
      <c r="O208" s="207">
        <v>0.86</v>
      </c>
      <c r="P208" s="207">
        <v>0.86</v>
      </c>
      <c r="Q208" s="207">
        <v>0.86</v>
      </c>
      <c r="R208" s="207">
        <v>0.86</v>
      </c>
      <c r="S208" s="207">
        <v>0.86</v>
      </c>
      <c r="T208" s="207">
        <v>0.86</v>
      </c>
      <c r="U208" s="207">
        <v>0.86</v>
      </c>
      <c r="V208" s="207">
        <v>0.86</v>
      </c>
      <c r="W208" s="207">
        <v>0.86</v>
      </c>
      <c r="X208" s="207">
        <v>0.86</v>
      </c>
      <c r="Y208" s="207">
        <v>0.86</v>
      </c>
      <c r="Z208" s="207">
        <v>0.86</v>
      </c>
      <c r="AA208" s="207">
        <v>0.86</v>
      </c>
      <c r="AB208" s="207">
        <v>0.86</v>
      </c>
      <c r="AC208" s="207">
        <v>0.86</v>
      </c>
      <c r="AD208" s="207">
        <v>0.86</v>
      </c>
      <c r="AE208" s="207">
        <v>0.86</v>
      </c>
      <c r="AF208" s="207">
        <v>0.86</v>
      </c>
      <c r="AG208" s="207">
        <v>0.86</v>
      </c>
      <c r="AH208" s="207">
        <v>0.86</v>
      </c>
      <c r="AI208" s="207">
        <v>0.86</v>
      </c>
      <c r="AJ208" s="207">
        <v>0.86</v>
      </c>
      <c r="AK208" s="207">
        <v>0.86</v>
      </c>
      <c r="AL208" s="207">
        <v>0.86</v>
      </c>
      <c r="AM208" s="207">
        <v>0.86</v>
      </c>
      <c r="AN208" s="207">
        <v>0.86</v>
      </c>
      <c r="AO208" s="207">
        <v>0.86</v>
      </c>
      <c r="AP208" s="207">
        <v>0.86</v>
      </c>
      <c r="AQ208" s="207">
        <v>0.86</v>
      </c>
      <c r="AR208" s="207">
        <v>0.86</v>
      </c>
      <c r="AS208" s="207">
        <v>0.86</v>
      </c>
      <c r="AT208" s="207">
        <v>0.86</v>
      </c>
      <c r="AU208" s="207">
        <v>0.86</v>
      </c>
      <c r="AV208" s="207">
        <v>0.86</v>
      </c>
      <c r="AW208" s="207">
        <v>0.86</v>
      </c>
      <c r="AX208" s="207">
        <v>0.86</v>
      </c>
      <c r="AY208" s="207">
        <v>0.86</v>
      </c>
      <c r="AZ208" s="207">
        <v>0.86</v>
      </c>
      <c r="BA208" s="207">
        <v>0.86</v>
      </c>
      <c r="BB208" s="207">
        <v>0.86</v>
      </c>
      <c r="BC208" s="207">
        <v>0.86</v>
      </c>
      <c r="BD208" s="207">
        <v>0.86</v>
      </c>
      <c r="BE208" s="207">
        <v>0.86</v>
      </c>
      <c r="BF208" s="207">
        <v>0.86</v>
      </c>
      <c r="BG208" s="207">
        <v>0.86</v>
      </c>
      <c r="BH208" s="207">
        <v>0.86</v>
      </c>
      <c r="BI208" s="207">
        <v>0.86</v>
      </c>
      <c r="BJ208" s="207">
        <v>0.86</v>
      </c>
      <c r="BK208" s="207">
        <v>0.86</v>
      </c>
      <c r="BL208" s="207">
        <v>0.86</v>
      </c>
      <c r="BM208" s="207">
        <v>0.86</v>
      </c>
      <c r="BN208" s="207">
        <v>0.86</v>
      </c>
      <c r="BO208" s="207">
        <v>0.86</v>
      </c>
      <c r="BP208" s="207">
        <v>0.86</v>
      </c>
      <c r="BQ208" s="207">
        <v>0.86</v>
      </c>
      <c r="BR208" s="207">
        <v>0.86</v>
      </c>
      <c r="BS208" s="207">
        <v>0.86</v>
      </c>
      <c r="BT208" s="207">
        <v>0.86</v>
      </c>
      <c r="BU208" s="207">
        <v>0.86</v>
      </c>
      <c r="BV208" s="207">
        <v>0.86</v>
      </c>
      <c r="BW208" s="207">
        <v>0.86</v>
      </c>
      <c r="BX208" s="207">
        <v>0.86</v>
      </c>
    </row>
    <row r="209" spans="2:76" hidden="1" outlineLevel="1">
      <c r="B209" s="348"/>
      <c r="C209" s="348" t="s">
        <v>231</v>
      </c>
      <c r="D209" s="348" t="s">
        <v>42</v>
      </c>
      <c r="E209" s="348" t="s">
        <v>14</v>
      </c>
      <c r="F209" s="207">
        <v>0.86</v>
      </c>
      <c r="G209" s="207">
        <v>0.86</v>
      </c>
      <c r="H209" s="207">
        <v>0.86</v>
      </c>
      <c r="I209" s="207">
        <v>0.86</v>
      </c>
      <c r="J209" s="207">
        <v>0.86</v>
      </c>
      <c r="K209" s="207">
        <v>0.86</v>
      </c>
      <c r="L209" s="207">
        <v>0.86</v>
      </c>
      <c r="M209" s="207">
        <v>0.86</v>
      </c>
      <c r="N209" s="207">
        <v>0.86</v>
      </c>
      <c r="O209" s="207">
        <v>0.86</v>
      </c>
      <c r="P209" s="207">
        <v>0.86</v>
      </c>
      <c r="Q209" s="207">
        <v>0.86</v>
      </c>
      <c r="R209" s="207">
        <v>0.86</v>
      </c>
      <c r="S209" s="207">
        <v>0.86</v>
      </c>
      <c r="T209" s="207">
        <v>0.86</v>
      </c>
      <c r="U209" s="207">
        <v>0.86</v>
      </c>
      <c r="V209" s="207">
        <v>0.86</v>
      </c>
      <c r="W209" s="207">
        <v>0.86</v>
      </c>
      <c r="X209" s="207">
        <v>0.86</v>
      </c>
      <c r="Y209" s="207">
        <v>0.86</v>
      </c>
      <c r="Z209" s="207">
        <v>0.86</v>
      </c>
      <c r="AA209" s="207">
        <v>0.86</v>
      </c>
      <c r="AB209" s="207">
        <v>0.86</v>
      </c>
      <c r="AC209" s="207">
        <v>0.86</v>
      </c>
      <c r="AD209" s="207">
        <v>0.86</v>
      </c>
      <c r="AE209" s="207">
        <v>0.86</v>
      </c>
      <c r="AF209" s="207">
        <v>0.86</v>
      </c>
      <c r="AG209" s="207">
        <v>0.86</v>
      </c>
      <c r="AH209" s="207">
        <v>0.86</v>
      </c>
      <c r="AI209" s="207">
        <v>0.86</v>
      </c>
      <c r="AJ209" s="207">
        <v>0.86</v>
      </c>
      <c r="AK209" s="207">
        <v>0.86</v>
      </c>
      <c r="AL209" s="207">
        <v>0.86</v>
      </c>
      <c r="AM209" s="207">
        <v>0.86</v>
      </c>
      <c r="AN209" s="207">
        <v>0.86</v>
      </c>
      <c r="AO209" s="207">
        <v>0.86</v>
      </c>
      <c r="AP209" s="207">
        <v>0.86</v>
      </c>
      <c r="AQ209" s="207">
        <v>0.86</v>
      </c>
      <c r="AR209" s="207">
        <v>0.86</v>
      </c>
      <c r="AS209" s="207">
        <v>0.86</v>
      </c>
      <c r="AT209" s="207">
        <v>0.86</v>
      </c>
      <c r="AU209" s="207">
        <v>0.86</v>
      </c>
      <c r="AV209" s="207">
        <v>0.86</v>
      </c>
      <c r="AW209" s="207">
        <v>0.86</v>
      </c>
      <c r="AX209" s="207">
        <v>0.86</v>
      </c>
      <c r="AY209" s="207">
        <v>0.86</v>
      </c>
      <c r="AZ209" s="207">
        <v>0.86</v>
      </c>
      <c r="BA209" s="207">
        <v>0.86</v>
      </c>
      <c r="BB209" s="207">
        <v>0.86</v>
      </c>
      <c r="BC209" s="207">
        <v>0.86</v>
      </c>
      <c r="BD209" s="207">
        <v>0.86</v>
      </c>
      <c r="BE209" s="207">
        <v>0.86</v>
      </c>
      <c r="BF209" s="207">
        <v>0.86</v>
      </c>
      <c r="BG209" s="207">
        <v>0.86</v>
      </c>
      <c r="BH209" s="207">
        <v>0.86</v>
      </c>
      <c r="BI209" s="207">
        <v>0.86</v>
      </c>
      <c r="BJ209" s="207">
        <v>0.86</v>
      </c>
      <c r="BK209" s="207">
        <v>0.86</v>
      </c>
      <c r="BL209" s="207">
        <v>0.86</v>
      </c>
      <c r="BM209" s="207">
        <v>0.86</v>
      </c>
      <c r="BN209" s="207">
        <v>0.86</v>
      </c>
      <c r="BO209" s="207">
        <v>0.86</v>
      </c>
      <c r="BP209" s="207">
        <v>0.86</v>
      </c>
      <c r="BQ209" s="207">
        <v>0.86</v>
      </c>
      <c r="BR209" s="207">
        <v>0.86</v>
      </c>
      <c r="BS209" s="207">
        <v>0.86</v>
      </c>
      <c r="BT209" s="207">
        <v>0.86</v>
      </c>
      <c r="BU209" s="207">
        <v>0.86</v>
      </c>
      <c r="BV209" s="207">
        <v>0.86</v>
      </c>
      <c r="BW209" s="207">
        <v>0.86</v>
      </c>
      <c r="BX209" s="207">
        <v>0.86</v>
      </c>
    </row>
    <row r="210" spans="2:76" hidden="1" outlineLevel="1">
      <c r="B210" s="348"/>
      <c r="C210" s="348" t="s">
        <v>231</v>
      </c>
      <c r="D210" s="348" t="s">
        <v>42</v>
      </c>
      <c r="E210" s="348" t="s">
        <v>15</v>
      </c>
      <c r="F210" s="207">
        <v>0.86</v>
      </c>
      <c r="G210" s="207">
        <v>0.86</v>
      </c>
      <c r="H210" s="207">
        <v>0.86</v>
      </c>
      <c r="I210" s="207">
        <v>0.86</v>
      </c>
      <c r="J210" s="207">
        <v>0.86</v>
      </c>
      <c r="K210" s="207">
        <v>0.86</v>
      </c>
      <c r="L210" s="207">
        <v>0.86</v>
      </c>
      <c r="M210" s="207">
        <v>0.86</v>
      </c>
      <c r="N210" s="207">
        <v>0.86</v>
      </c>
      <c r="O210" s="207">
        <v>0.86</v>
      </c>
      <c r="P210" s="207">
        <v>0.86</v>
      </c>
      <c r="Q210" s="207">
        <v>0.86</v>
      </c>
      <c r="R210" s="207">
        <v>0.86</v>
      </c>
      <c r="S210" s="207">
        <v>0.86</v>
      </c>
      <c r="T210" s="207">
        <v>0.86</v>
      </c>
      <c r="U210" s="207">
        <v>0.86</v>
      </c>
      <c r="V210" s="207">
        <v>0.86</v>
      </c>
      <c r="W210" s="207">
        <v>0.86</v>
      </c>
      <c r="X210" s="207">
        <v>0.86</v>
      </c>
      <c r="Y210" s="207">
        <v>0.86</v>
      </c>
      <c r="Z210" s="207">
        <v>0.86</v>
      </c>
      <c r="AA210" s="207">
        <v>0.86</v>
      </c>
      <c r="AB210" s="207">
        <v>0.86</v>
      </c>
      <c r="AC210" s="207">
        <v>0.86</v>
      </c>
      <c r="AD210" s="207">
        <v>0.86</v>
      </c>
      <c r="AE210" s="207">
        <v>0.86</v>
      </c>
      <c r="AF210" s="207">
        <v>0.86</v>
      </c>
      <c r="AG210" s="207">
        <v>0.86</v>
      </c>
      <c r="AH210" s="207">
        <v>0.86</v>
      </c>
      <c r="AI210" s="207">
        <v>0.86</v>
      </c>
      <c r="AJ210" s="207">
        <v>0.86</v>
      </c>
      <c r="AK210" s="207">
        <v>0.86</v>
      </c>
      <c r="AL210" s="207">
        <v>0.86</v>
      </c>
      <c r="AM210" s="207">
        <v>0.86</v>
      </c>
      <c r="AN210" s="207">
        <v>0.86</v>
      </c>
      <c r="AO210" s="207">
        <v>0.86</v>
      </c>
      <c r="AP210" s="207">
        <v>0.86</v>
      </c>
      <c r="AQ210" s="207">
        <v>0.86</v>
      </c>
      <c r="AR210" s="207">
        <v>0.86</v>
      </c>
      <c r="AS210" s="207">
        <v>0.86</v>
      </c>
      <c r="AT210" s="207">
        <v>0.86</v>
      </c>
      <c r="AU210" s="207">
        <v>0.86</v>
      </c>
      <c r="AV210" s="207">
        <v>0.86</v>
      </c>
      <c r="AW210" s="207">
        <v>0.86</v>
      </c>
      <c r="AX210" s="207">
        <v>0.86</v>
      </c>
      <c r="AY210" s="207">
        <v>0.86</v>
      </c>
      <c r="AZ210" s="207">
        <v>0.86</v>
      </c>
      <c r="BA210" s="207">
        <v>0.86</v>
      </c>
      <c r="BB210" s="207">
        <v>0.86</v>
      </c>
      <c r="BC210" s="207">
        <v>0.86</v>
      </c>
      <c r="BD210" s="207">
        <v>0.86</v>
      </c>
      <c r="BE210" s="207">
        <v>0.86</v>
      </c>
      <c r="BF210" s="207">
        <v>0.86</v>
      </c>
      <c r="BG210" s="207">
        <v>0.86</v>
      </c>
      <c r="BH210" s="207">
        <v>0.86</v>
      </c>
      <c r="BI210" s="207">
        <v>0.86</v>
      </c>
      <c r="BJ210" s="207">
        <v>0.86</v>
      </c>
      <c r="BK210" s="207">
        <v>0.86</v>
      </c>
      <c r="BL210" s="207">
        <v>0.86</v>
      </c>
      <c r="BM210" s="207">
        <v>0.86</v>
      </c>
      <c r="BN210" s="207">
        <v>0.86</v>
      </c>
      <c r="BO210" s="207">
        <v>0.86</v>
      </c>
      <c r="BP210" s="207">
        <v>0.86</v>
      </c>
      <c r="BQ210" s="207">
        <v>0.86</v>
      </c>
      <c r="BR210" s="207">
        <v>0.86</v>
      </c>
      <c r="BS210" s="207">
        <v>0.86</v>
      </c>
      <c r="BT210" s="207">
        <v>0.86</v>
      </c>
      <c r="BU210" s="207">
        <v>0.86</v>
      </c>
      <c r="BV210" s="207">
        <v>0.86</v>
      </c>
      <c r="BW210" s="207">
        <v>0.86</v>
      </c>
      <c r="BX210" s="207">
        <v>0.86</v>
      </c>
    </row>
    <row r="211" spans="2:76" hidden="1" outlineLevel="1">
      <c r="B211" s="348"/>
      <c r="C211" s="348" t="s">
        <v>231</v>
      </c>
      <c r="D211" s="348" t="s">
        <v>42</v>
      </c>
      <c r="E211" s="348" t="s">
        <v>16</v>
      </c>
      <c r="F211" s="339">
        <v>0.7</v>
      </c>
      <c r="G211" s="339">
        <v>0.7</v>
      </c>
      <c r="H211" s="339">
        <v>0.7</v>
      </c>
      <c r="I211" s="339">
        <v>0.7</v>
      </c>
      <c r="J211" s="339">
        <v>0.7</v>
      </c>
      <c r="K211" s="339">
        <v>0.7</v>
      </c>
      <c r="L211" s="339">
        <v>0.7</v>
      </c>
      <c r="M211" s="339">
        <v>0.7</v>
      </c>
      <c r="N211" s="339">
        <v>0.7</v>
      </c>
      <c r="O211" s="339">
        <v>0.7</v>
      </c>
      <c r="P211" s="339">
        <v>0.7</v>
      </c>
      <c r="Q211" s="339">
        <v>0.7</v>
      </c>
      <c r="R211" s="339">
        <v>0.7</v>
      </c>
      <c r="S211" s="339">
        <v>0.7</v>
      </c>
      <c r="T211" s="339">
        <v>0.7</v>
      </c>
      <c r="U211" s="339">
        <v>0.7</v>
      </c>
      <c r="V211" s="339">
        <v>0.7</v>
      </c>
      <c r="W211" s="339">
        <v>0.7</v>
      </c>
      <c r="X211" s="339">
        <v>0.7</v>
      </c>
      <c r="Y211" s="339">
        <v>0.7</v>
      </c>
      <c r="Z211" s="339">
        <v>0.7</v>
      </c>
      <c r="AA211" s="339">
        <v>0.7</v>
      </c>
      <c r="AB211" s="339">
        <v>0.7</v>
      </c>
      <c r="AC211" s="339">
        <v>0.7</v>
      </c>
      <c r="AD211" s="339">
        <v>0.7</v>
      </c>
      <c r="AE211" s="339">
        <v>0.7</v>
      </c>
      <c r="AF211" s="339">
        <v>0.7</v>
      </c>
      <c r="AG211" s="339">
        <v>0.7</v>
      </c>
      <c r="AH211" s="339">
        <v>0.7</v>
      </c>
      <c r="AI211" s="339">
        <v>0.7</v>
      </c>
      <c r="AJ211" s="339">
        <v>0.7</v>
      </c>
      <c r="AK211" s="339">
        <v>0.7</v>
      </c>
      <c r="AL211" s="339">
        <v>0.7</v>
      </c>
      <c r="AM211" s="339">
        <v>0.7</v>
      </c>
      <c r="AN211" s="339">
        <v>0.7</v>
      </c>
      <c r="AO211" s="339">
        <v>0.7</v>
      </c>
      <c r="AP211" s="339">
        <v>0.7</v>
      </c>
      <c r="AQ211" s="339">
        <v>0.7</v>
      </c>
      <c r="AR211" s="339">
        <v>0.7</v>
      </c>
      <c r="AS211" s="339">
        <v>0.7</v>
      </c>
      <c r="AT211" s="339">
        <v>0.7</v>
      </c>
      <c r="AU211" s="339">
        <v>0.7</v>
      </c>
      <c r="AV211" s="339">
        <v>0.7</v>
      </c>
      <c r="AW211" s="339">
        <v>0.7</v>
      </c>
      <c r="AX211" s="339">
        <v>0.7</v>
      </c>
      <c r="AY211" s="339">
        <v>0.7</v>
      </c>
      <c r="AZ211" s="339">
        <v>0.7</v>
      </c>
      <c r="BA211" s="339">
        <v>0.7</v>
      </c>
      <c r="BB211" s="339">
        <v>0.7</v>
      </c>
      <c r="BC211" s="339">
        <v>0.7</v>
      </c>
      <c r="BD211" s="339">
        <v>0.7</v>
      </c>
      <c r="BE211" s="339">
        <v>0.7</v>
      </c>
      <c r="BF211" s="339">
        <v>0.7</v>
      </c>
      <c r="BG211" s="339">
        <v>0.7</v>
      </c>
      <c r="BH211" s="339">
        <v>0.7</v>
      </c>
      <c r="BI211" s="339">
        <v>0.7</v>
      </c>
      <c r="BJ211" s="339">
        <v>0.7</v>
      </c>
      <c r="BK211" s="339">
        <v>0.7</v>
      </c>
      <c r="BL211" s="339">
        <v>0.7</v>
      </c>
      <c r="BM211" s="339">
        <v>0.7</v>
      </c>
      <c r="BN211" s="339">
        <v>0.7</v>
      </c>
      <c r="BO211" s="339">
        <v>0.7</v>
      </c>
      <c r="BP211" s="339">
        <v>0.7</v>
      </c>
      <c r="BQ211" s="339">
        <v>0.7</v>
      </c>
      <c r="BR211" s="339">
        <v>0.7</v>
      </c>
      <c r="BS211" s="339">
        <v>0.7</v>
      </c>
      <c r="BT211" s="339">
        <v>0.7</v>
      </c>
      <c r="BU211" s="339">
        <v>0.7</v>
      </c>
      <c r="BV211" s="339">
        <v>0.7</v>
      </c>
      <c r="BW211" s="339">
        <v>0.7</v>
      </c>
      <c r="BX211" s="339">
        <v>0.7</v>
      </c>
    </row>
    <row r="212" spans="2:76" hidden="1" outlineLevel="1">
      <c r="B212" s="348"/>
      <c r="C212" s="348" t="s">
        <v>231</v>
      </c>
      <c r="D212" s="348" t="s">
        <v>42</v>
      </c>
      <c r="E212" s="348" t="s">
        <v>17</v>
      </c>
      <c r="F212" s="339">
        <v>0.67</v>
      </c>
      <c r="G212" s="339">
        <v>0.67</v>
      </c>
      <c r="H212" s="339">
        <v>0.67</v>
      </c>
      <c r="I212" s="339">
        <v>0.67</v>
      </c>
      <c r="J212" s="339">
        <v>0.67</v>
      </c>
      <c r="K212" s="339">
        <v>0.67</v>
      </c>
      <c r="L212" s="339">
        <v>0.67</v>
      </c>
      <c r="M212" s="339">
        <v>0.67</v>
      </c>
      <c r="N212" s="339">
        <v>0.67</v>
      </c>
      <c r="O212" s="339">
        <v>0.67</v>
      </c>
      <c r="P212" s="339">
        <v>0.67</v>
      </c>
      <c r="Q212" s="339">
        <v>0.67</v>
      </c>
      <c r="R212" s="339">
        <v>0.67</v>
      </c>
      <c r="S212" s="339">
        <v>0.67</v>
      </c>
      <c r="T212" s="339">
        <v>0.67</v>
      </c>
      <c r="U212" s="339">
        <v>0.67</v>
      </c>
      <c r="V212" s="339">
        <v>0.67</v>
      </c>
      <c r="W212" s="339">
        <v>0.67</v>
      </c>
      <c r="X212" s="339">
        <v>0.67</v>
      </c>
      <c r="Y212" s="339">
        <v>0.67</v>
      </c>
      <c r="Z212" s="339">
        <v>0.67</v>
      </c>
      <c r="AA212" s="339">
        <v>0.67</v>
      </c>
      <c r="AB212" s="339">
        <v>0.67</v>
      </c>
      <c r="AC212" s="339">
        <v>0.67</v>
      </c>
      <c r="AD212" s="339">
        <v>0.67</v>
      </c>
      <c r="AE212" s="339">
        <v>0.67</v>
      </c>
      <c r="AF212" s="339">
        <v>0.67</v>
      </c>
      <c r="AG212" s="339">
        <v>0.67</v>
      </c>
      <c r="AH212" s="339">
        <v>0.67</v>
      </c>
      <c r="AI212" s="339">
        <v>0.67</v>
      </c>
      <c r="AJ212" s="339">
        <v>0.67</v>
      </c>
      <c r="AK212" s="339">
        <v>0.67</v>
      </c>
      <c r="AL212" s="339">
        <v>0.67</v>
      </c>
      <c r="AM212" s="339">
        <v>0.67</v>
      </c>
      <c r="AN212" s="339">
        <v>0.67</v>
      </c>
      <c r="AO212" s="339">
        <v>0.67</v>
      </c>
      <c r="AP212" s="339">
        <v>0.67</v>
      </c>
      <c r="AQ212" s="339">
        <v>0.67</v>
      </c>
      <c r="AR212" s="339">
        <v>0.67</v>
      </c>
      <c r="AS212" s="339">
        <v>0.67</v>
      </c>
      <c r="AT212" s="339">
        <v>0.67</v>
      </c>
      <c r="AU212" s="339">
        <v>0.67</v>
      </c>
      <c r="AV212" s="339">
        <v>0.67</v>
      </c>
      <c r="AW212" s="339">
        <v>0.67</v>
      </c>
      <c r="AX212" s="339">
        <v>0.67</v>
      </c>
      <c r="AY212" s="339">
        <v>0.67</v>
      </c>
      <c r="AZ212" s="339">
        <v>0.67</v>
      </c>
      <c r="BA212" s="339">
        <v>0.67</v>
      </c>
      <c r="BB212" s="339">
        <v>0.67</v>
      </c>
      <c r="BC212" s="339">
        <v>0.67</v>
      </c>
      <c r="BD212" s="339">
        <v>0.67</v>
      </c>
      <c r="BE212" s="339">
        <v>0.67</v>
      </c>
      <c r="BF212" s="339">
        <v>0.67</v>
      </c>
      <c r="BG212" s="339">
        <v>0.67</v>
      </c>
      <c r="BH212" s="339">
        <v>0.67</v>
      </c>
      <c r="BI212" s="339">
        <v>0.67</v>
      </c>
      <c r="BJ212" s="339">
        <v>0.67</v>
      </c>
      <c r="BK212" s="339">
        <v>0.67</v>
      </c>
      <c r="BL212" s="339">
        <v>0.67</v>
      </c>
      <c r="BM212" s="339">
        <v>0.67</v>
      </c>
      <c r="BN212" s="339">
        <v>0.67</v>
      </c>
      <c r="BO212" s="339">
        <v>0.67</v>
      </c>
      <c r="BP212" s="339">
        <v>0.67</v>
      </c>
      <c r="BQ212" s="339">
        <v>0.67</v>
      </c>
      <c r="BR212" s="339">
        <v>0.67</v>
      </c>
      <c r="BS212" s="339">
        <v>0.67</v>
      </c>
      <c r="BT212" s="339">
        <v>0.67</v>
      </c>
      <c r="BU212" s="339">
        <v>0.67</v>
      </c>
      <c r="BV212" s="339">
        <v>0.67</v>
      </c>
      <c r="BW212" s="339">
        <v>0.67</v>
      </c>
      <c r="BX212" s="339">
        <v>0.67</v>
      </c>
    </row>
    <row r="213" spans="2:76" hidden="1" outlineLevel="1">
      <c r="B213" s="348"/>
      <c r="C213" s="348" t="s">
        <v>231</v>
      </c>
      <c r="D213" s="348" t="s">
        <v>42</v>
      </c>
      <c r="E213" s="348" t="s">
        <v>18</v>
      </c>
      <c r="F213" s="339">
        <v>0.36499999999999999</v>
      </c>
      <c r="G213" s="339">
        <v>0.36499999999999999</v>
      </c>
      <c r="H213" s="339">
        <v>0.36499999999999999</v>
      </c>
      <c r="I213" s="339">
        <v>0.36499999999999999</v>
      </c>
      <c r="J213" s="339">
        <v>0.36499999999999999</v>
      </c>
      <c r="K213" s="339">
        <v>0.36499999999999999</v>
      </c>
      <c r="L213" s="339">
        <v>0.36499999999999999</v>
      </c>
      <c r="M213" s="339">
        <v>0.36499999999999999</v>
      </c>
      <c r="N213" s="339">
        <v>0.36499999999999999</v>
      </c>
      <c r="O213" s="339">
        <v>0.36499999999999999</v>
      </c>
      <c r="P213" s="339">
        <v>0.36499999999999999</v>
      </c>
      <c r="Q213" s="339">
        <v>0.36499999999999999</v>
      </c>
      <c r="R213" s="339">
        <v>0.36499999999999999</v>
      </c>
      <c r="S213" s="339">
        <v>0.36499999999999999</v>
      </c>
      <c r="T213" s="339">
        <v>0.36499999999999999</v>
      </c>
      <c r="U213" s="339">
        <v>0.36499999999999999</v>
      </c>
      <c r="V213" s="339">
        <v>0.36499999999999999</v>
      </c>
      <c r="W213" s="339">
        <v>0.36499999999999999</v>
      </c>
      <c r="X213" s="339">
        <v>0.36499999999999999</v>
      </c>
      <c r="Y213" s="339">
        <v>0.36499999999999999</v>
      </c>
      <c r="Z213" s="339">
        <v>0.36499999999999999</v>
      </c>
      <c r="AA213" s="339">
        <v>0.36499999999999999</v>
      </c>
      <c r="AB213" s="339">
        <v>0.36499999999999999</v>
      </c>
      <c r="AC213" s="339">
        <v>0.36499999999999999</v>
      </c>
      <c r="AD213" s="339">
        <v>0.36499999999999999</v>
      </c>
      <c r="AE213" s="339">
        <v>0.36499999999999999</v>
      </c>
      <c r="AF213" s="339">
        <v>0.36499999999999999</v>
      </c>
      <c r="AG213" s="339">
        <v>0.36499999999999999</v>
      </c>
      <c r="AH213" s="339">
        <v>0.36499999999999999</v>
      </c>
      <c r="AI213" s="339">
        <v>0.36499999999999999</v>
      </c>
      <c r="AJ213" s="339">
        <v>0.36499999999999999</v>
      </c>
      <c r="AK213" s="339">
        <v>0.36499999999999999</v>
      </c>
      <c r="AL213" s="339">
        <v>0.36499999999999999</v>
      </c>
      <c r="AM213" s="339">
        <v>0.36499999999999999</v>
      </c>
      <c r="AN213" s="339">
        <v>0.36499999999999999</v>
      </c>
      <c r="AO213" s="339">
        <v>0.36499999999999999</v>
      </c>
      <c r="AP213" s="339">
        <v>0.36499999999999999</v>
      </c>
      <c r="AQ213" s="339">
        <v>0.36499999999999999</v>
      </c>
      <c r="AR213" s="339">
        <v>0.36499999999999999</v>
      </c>
      <c r="AS213" s="339">
        <v>0.36499999999999999</v>
      </c>
      <c r="AT213" s="339">
        <v>0.36499999999999999</v>
      </c>
      <c r="AU213" s="339">
        <v>0.36499999999999999</v>
      </c>
      <c r="AV213" s="339">
        <v>0.36499999999999999</v>
      </c>
      <c r="AW213" s="339">
        <v>0.36499999999999999</v>
      </c>
      <c r="AX213" s="339">
        <v>0.36499999999999999</v>
      </c>
      <c r="AY213" s="339">
        <v>0.36499999999999999</v>
      </c>
      <c r="AZ213" s="339">
        <v>0.36499999999999999</v>
      </c>
      <c r="BA213" s="339">
        <v>0.36499999999999999</v>
      </c>
      <c r="BB213" s="339">
        <v>0.36499999999999999</v>
      </c>
      <c r="BC213" s="339">
        <v>0.36499999999999999</v>
      </c>
      <c r="BD213" s="339">
        <v>0.36499999999999999</v>
      </c>
      <c r="BE213" s="339">
        <v>0.36499999999999999</v>
      </c>
      <c r="BF213" s="339">
        <v>0.36499999999999999</v>
      </c>
      <c r="BG213" s="339">
        <v>0.36499999999999999</v>
      </c>
      <c r="BH213" s="339">
        <v>0.36499999999999999</v>
      </c>
      <c r="BI213" s="339">
        <v>0.36499999999999999</v>
      </c>
      <c r="BJ213" s="339">
        <v>0.36499999999999999</v>
      </c>
      <c r="BK213" s="339">
        <v>0.36499999999999999</v>
      </c>
      <c r="BL213" s="339">
        <v>0.36499999999999999</v>
      </c>
      <c r="BM213" s="339">
        <v>0.36499999999999999</v>
      </c>
      <c r="BN213" s="339">
        <v>0.36499999999999999</v>
      </c>
      <c r="BO213" s="339">
        <v>0.36499999999999999</v>
      </c>
      <c r="BP213" s="339">
        <v>0.36499999999999999</v>
      </c>
      <c r="BQ213" s="339">
        <v>0.36499999999999999</v>
      </c>
      <c r="BR213" s="339">
        <v>0.36499999999999999</v>
      </c>
      <c r="BS213" s="339">
        <v>0.36499999999999999</v>
      </c>
      <c r="BT213" s="339">
        <v>0.36499999999999999</v>
      </c>
      <c r="BU213" s="339">
        <v>0.36499999999999999</v>
      </c>
      <c r="BV213" s="339">
        <v>0.36499999999999999</v>
      </c>
      <c r="BW213" s="339">
        <v>0.36499999999999999</v>
      </c>
      <c r="BX213" s="339">
        <v>0.36499999999999999</v>
      </c>
    </row>
    <row r="214" spans="2:76" hidden="1" outlineLevel="1">
      <c r="B214" s="348"/>
      <c r="C214" s="348" t="s">
        <v>231</v>
      </c>
      <c r="D214" s="348" t="s">
        <v>42</v>
      </c>
      <c r="E214" s="348" t="s">
        <v>22</v>
      </c>
      <c r="F214" s="207">
        <v>0.65</v>
      </c>
      <c r="G214" s="207">
        <v>0.65</v>
      </c>
      <c r="H214" s="207">
        <v>0.65</v>
      </c>
      <c r="I214" s="207">
        <v>0.65</v>
      </c>
      <c r="J214" s="207">
        <v>0.65</v>
      </c>
      <c r="K214" s="207">
        <v>0.65</v>
      </c>
      <c r="L214" s="207">
        <v>0.65</v>
      </c>
      <c r="M214" s="207">
        <v>0.65</v>
      </c>
      <c r="N214" s="207">
        <v>0.65</v>
      </c>
      <c r="O214" s="207">
        <v>0.65</v>
      </c>
      <c r="P214" s="207">
        <v>0.65</v>
      </c>
      <c r="Q214" s="207">
        <v>0.65</v>
      </c>
      <c r="R214" s="207">
        <v>0.65</v>
      </c>
      <c r="S214" s="207">
        <v>0.65</v>
      </c>
      <c r="T214" s="207">
        <v>0.65</v>
      </c>
      <c r="U214" s="207">
        <v>0.65</v>
      </c>
      <c r="V214" s="207">
        <v>0.65</v>
      </c>
      <c r="W214" s="207">
        <v>0.65</v>
      </c>
      <c r="X214" s="207">
        <v>0.65</v>
      </c>
      <c r="Y214" s="207">
        <v>0.65</v>
      </c>
      <c r="Z214" s="207">
        <v>0.65</v>
      </c>
      <c r="AA214" s="207">
        <v>0.65</v>
      </c>
      <c r="AB214" s="207">
        <v>0.65</v>
      </c>
      <c r="AC214" s="207">
        <v>0.65</v>
      </c>
      <c r="AD214" s="207">
        <v>0.65</v>
      </c>
      <c r="AE214" s="207">
        <v>0.65</v>
      </c>
      <c r="AF214" s="207">
        <v>0.65</v>
      </c>
      <c r="AG214" s="207">
        <v>0.65</v>
      </c>
      <c r="AH214" s="207">
        <v>0.65</v>
      </c>
      <c r="AI214" s="207">
        <v>0.65</v>
      </c>
      <c r="AJ214" s="207">
        <v>0.65</v>
      </c>
      <c r="AK214" s="207">
        <v>0.65</v>
      </c>
      <c r="AL214" s="207">
        <v>0.65</v>
      </c>
      <c r="AM214" s="207">
        <v>0.65</v>
      </c>
      <c r="AN214" s="207">
        <v>0.65</v>
      </c>
      <c r="AO214" s="207">
        <v>0.65</v>
      </c>
      <c r="AP214" s="207">
        <v>0.65</v>
      </c>
      <c r="AQ214" s="207">
        <v>0.65</v>
      </c>
      <c r="AR214" s="207">
        <v>0.65</v>
      </c>
      <c r="AS214" s="207">
        <v>0.65</v>
      </c>
      <c r="AT214" s="207">
        <v>0.65</v>
      </c>
      <c r="AU214" s="207">
        <v>0.65</v>
      </c>
      <c r="AV214" s="207">
        <v>0.65</v>
      </c>
      <c r="AW214" s="207">
        <v>0.65</v>
      </c>
      <c r="AX214" s="207">
        <v>0.65</v>
      </c>
      <c r="AY214" s="207">
        <v>0.65</v>
      </c>
      <c r="AZ214" s="207">
        <v>0.65</v>
      </c>
      <c r="BA214" s="207">
        <v>0.65</v>
      </c>
      <c r="BB214" s="207">
        <v>0.65</v>
      </c>
      <c r="BC214" s="207">
        <v>0.65</v>
      </c>
      <c r="BD214" s="207">
        <v>0.65</v>
      </c>
      <c r="BE214" s="207">
        <v>0.65</v>
      </c>
      <c r="BF214" s="207">
        <v>0.65</v>
      </c>
      <c r="BG214" s="207">
        <v>0.65</v>
      </c>
      <c r="BH214" s="207">
        <v>0.65</v>
      </c>
      <c r="BI214" s="207">
        <v>0.65</v>
      </c>
      <c r="BJ214" s="207">
        <v>0.65</v>
      </c>
      <c r="BK214" s="207">
        <v>0.65</v>
      </c>
      <c r="BL214" s="207">
        <v>0.65</v>
      </c>
      <c r="BM214" s="207">
        <v>0.65</v>
      </c>
      <c r="BN214" s="207">
        <v>0.65</v>
      </c>
      <c r="BO214" s="207">
        <v>0.65</v>
      </c>
      <c r="BP214" s="207">
        <v>0.65</v>
      </c>
      <c r="BQ214" s="207">
        <v>0.65</v>
      </c>
      <c r="BR214" s="207">
        <v>0.65</v>
      </c>
      <c r="BS214" s="207">
        <v>0.65</v>
      </c>
      <c r="BT214" s="207">
        <v>0.65</v>
      </c>
      <c r="BU214" s="207">
        <v>0.65</v>
      </c>
      <c r="BV214" s="207">
        <v>0.65</v>
      </c>
      <c r="BW214" s="207">
        <v>0.65</v>
      </c>
      <c r="BX214" s="207">
        <v>0.65</v>
      </c>
    </row>
    <row r="215" spans="2:76" hidden="1" outlineLevel="1">
      <c r="B215" s="348"/>
      <c r="C215" s="348" t="s">
        <v>231</v>
      </c>
      <c r="D215" s="348" t="s">
        <v>42</v>
      </c>
      <c r="E215" s="348" t="s">
        <v>23</v>
      </c>
      <c r="F215" s="207">
        <v>0.8</v>
      </c>
      <c r="G215" s="207">
        <v>0.8</v>
      </c>
      <c r="H215" s="207">
        <v>0.8</v>
      </c>
      <c r="I215" s="207">
        <v>0.8</v>
      </c>
      <c r="J215" s="207">
        <v>0.8</v>
      </c>
      <c r="K215" s="207">
        <v>0.8</v>
      </c>
      <c r="L215" s="207">
        <v>0.8</v>
      </c>
      <c r="M215" s="207">
        <v>0.8</v>
      </c>
      <c r="N215" s="207">
        <v>0.8</v>
      </c>
      <c r="O215" s="207">
        <v>0.8</v>
      </c>
      <c r="P215" s="207">
        <v>0.8</v>
      </c>
      <c r="Q215" s="207">
        <v>0.8</v>
      </c>
      <c r="R215" s="207">
        <v>0.8</v>
      </c>
      <c r="S215" s="207">
        <v>0.8</v>
      </c>
      <c r="T215" s="207">
        <v>0.8</v>
      </c>
      <c r="U215" s="207">
        <v>0.8</v>
      </c>
      <c r="V215" s="207">
        <v>0.8</v>
      </c>
      <c r="W215" s="207">
        <v>0.8</v>
      </c>
      <c r="X215" s="207">
        <v>0.8</v>
      </c>
      <c r="Y215" s="207">
        <v>0.8</v>
      </c>
      <c r="Z215" s="207">
        <v>0.8</v>
      </c>
      <c r="AA215" s="207">
        <v>0.8</v>
      </c>
      <c r="AB215" s="207">
        <v>0.8</v>
      </c>
      <c r="AC215" s="207">
        <v>0.8</v>
      </c>
      <c r="AD215" s="207">
        <v>0.8</v>
      </c>
      <c r="AE215" s="207">
        <v>0.8</v>
      </c>
      <c r="AF215" s="207">
        <v>0.8</v>
      </c>
      <c r="AG215" s="207">
        <v>0.8</v>
      </c>
      <c r="AH215" s="207">
        <v>0.8</v>
      </c>
      <c r="AI215" s="207">
        <v>0.8</v>
      </c>
      <c r="AJ215" s="207">
        <v>0.8</v>
      </c>
      <c r="AK215" s="207">
        <v>0.8</v>
      </c>
      <c r="AL215" s="207">
        <v>0.8</v>
      </c>
      <c r="AM215" s="207">
        <v>0.8</v>
      </c>
      <c r="AN215" s="207">
        <v>0.8</v>
      </c>
      <c r="AO215" s="207">
        <v>0.8</v>
      </c>
      <c r="AP215" s="207">
        <v>0.8</v>
      </c>
      <c r="AQ215" s="207">
        <v>0.8</v>
      </c>
      <c r="AR215" s="207">
        <v>0.8</v>
      </c>
      <c r="AS215" s="207">
        <v>0.8</v>
      </c>
      <c r="AT215" s="207">
        <v>0.8</v>
      </c>
      <c r="AU215" s="207">
        <v>0.8</v>
      </c>
      <c r="AV215" s="207">
        <v>0.8</v>
      </c>
      <c r="AW215" s="207">
        <v>0.8</v>
      </c>
      <c r="AX215" s="207">
        <v>0.8</v>
      </c>
      <c r="AY215" s="207">
        <v>0.8</v>
      </c>
      <c r="AZ215" s="207">
        <v>0.8</v>
      </c>
      <c r="BA215" s="207">
        <v>0.8</v>
      </c>
      <c r="BB215" s="207">
        <v>0.8</v>
      </c>
      <c r="BC215" s="207">
        <v>0.8</v>
      </c>
      <c r="BD215" s="207">
        <v>0.8</v>
      </c>
      <c r="BE215" s="207">
        <v>0.8</v>
      </c>
      <c r="BF215" s="207">
        <v>0.8</v>
      </c>
      <c r="BG215" s="207">
        <v>0.8</v>
      </c>
      <c r="BH215" s="207">
        <v>0.8</v>
      </c>
      <c r="BI215" s="207">
        <v>0.8</v>
      </c>
      <c r="BJ215" s="207">
        <v>0.8</v>
      </c>
      <c r="BK215" s="207">
        <v>0.8</v>
      </c>
      <c r="BL215" s="207">
        <v>0.8</v>
      </c>
      <c r="BM215" s="207">
        <v>0.8</v>
      </c>
      <c r="BN215" s="207">
        <v>0.8</v>
      </c>
      <c r="BO215" s="207">
        <v>0.8</v>
      </c>
      <c r="BP215" s="207">
        <v>0.8</v>
      </c>
      <c r="BQ215" s="207">
        <v>0.8</v>
      </c>
      <c r="BR215" s="207">
        <v>0.8</v>
      </c>
      <c r="BS215" s="207">
        <v>0.8</v>
      </c>
      <c r="BT215" s="207">
        <v>0.8</v>
      </c>
      <c r="BU215" s="207">
        <v>0.8</v>
      </c>
      <c r="BV215" s="207">
        <v>0.8</v>
      </c>
      <c r="BW215" s="207">
        <v>0.8</v>
      </c>
      <c r="BX215" s="207">
        <v>0.8</v>
      </c>
    </row>
    <row r="216" spans="2:76" hidden="1" outlineLevel="1">
      <c r="B216" s="348"/>
      <c r="C216" s="348" t="s">
        <v>231</v>
      </c>
      <c r="D216" s="348" t="s">
        <v>42</v>
      </c>
      <c r="E216" s="348" t="s">
        <v>24</v>
      </c>
      <c r="F216" s="207">
        <v>0.8</v>
      </c>
      <c r="G216" s="207">
        <v>0.8</v>
      </c>
      <c r="H216" s="207">
        <v>0.8</v>
      </c>
      <c r="I216" s="207">
        <v>0.8</v>
      </c>
      <c r="J216" s="207">
        <v>0.8</v>
      </c>
      <c r="K216" s="207">
        <v>0.8</v>
      </c>
      <c r="L216" s="207">
        <v>0.8</v>
      </c>
      <c r="M216" s="207">
        <v>0.8</v>
      </c>
      <c r="N216" s="207">
        <v>0.8</v>
      </c>
      <c r="O216" s="207">
        <v>0.8</v>
      </c>
      <c r="P216" s="207">
        <v>0.8</v>
      </c>
      <c r="Q216" s="207">
        <v>0.8</v>
      </c>
      <c r="R216" s="207">
        <v>0.8</v>
      </c>
      <c r="S216" s="207">
        <v>0.8</v>
      </c>
      <c r="T216" s="207">
        <v>0.8</v>
      </c>
      <c r="U216" s="207">
        <v>0.8</v>
      </c>
      <c r="V216" s="207">
        <v>0.8</v>
      </c>
      <c r="W216" s="207">
        <v>0.8</v>
      </c>
      <c r="X216" s="207">
        <v>0.8</v>
      </c>
      <c r="Y216" s="207">
        <v>0.8</v>
      </c>
      <c r="Z216" s="207">
        <v>0.8</v>
      </c>
      <c r="AA216" s="207">
        <v>0.8</v>
      </c>
      <c r="AB216" s="207">
        <v>0.8</v>
      </c>
      <c r="AC216" s="207">
        <v>0.8</v>
      </c>
      <c r="AD216" s="207">
        <v>0.8</v>
      </c>
      <c r="AE216" s="207">
        <v>0.8</v>
      </c>
      <c r="AF216" s="207">
        <v>0.8</v>
      </c>
      <c r="AG216" s="207">
        <v>0.8</v>
      </c>
      <c r="AH216" s="207">
        <v>0.8</v>
      </c>
      <c r="AI216" s="207">
        <v>0.8</v>
      </c>
      <c r="AJ216" s="207">
        <v>0.8</v>
      </c>
      <c r="AK216" s="207">
        <v>0.8</v>
      </c>
      <c r="AL216" s="207">
        <v>0.8</v>
      </c>
      <c r="AM216" s="207">
        <v>0.8</v>
      </c>
      <c r="AN216" s="207">
        <v>0.8</v>
      </c>
      <c r="AO216" s="207">
        <v>0.8</v>
      </c>
      <c r="AP216" s="207">
        <v>0.8</v>
      </c>
      <c r="AQ216" s="207">
        <v>0.8</v>
      </c>
      <c r="AR216" s="207">
        <v>0.8</v>
      </c>
      <c r="AS216" s="207">
        <v>0.8</v>
      </c>
      <c r="AT216" s="207">
        <v>0.8</v>
      </c>
      <c r="AU216" s="207">
        <v>0.8</v>
      </c>
      <c r="AV216" s="207">
        <v>0.8</v>
      </c>
      <c r="AW216" s="207">
        <v>0.8</v>
      </c>
      <c r="AX216" s="207">
        <v>0.8</v>
      </c>
      <c r="AY216" s="207">
        <v>0.8</v>
      </c>
      <c r="AZ216" s="207">
        <v>0.8</v>
      </c>
      <c r="BA216" s="207">
        <v>0.8</v>
      </c>
      <c r="BB216" s="207">
        <v>0.8</v>
      </c>
      <c r="BC216" s="207">
        <v>0.8</v>
      </c>
      <c r="BD216" s="207">
        <v>0.8</v>
      </c>
      <c r="BE216" s="207">
        <v>0.8</v>
      </c>
      <c r="BF216" s="207">
        <v>0.8</v>
      </c>
      <c r="BG216" s="207">
        <v>0.8</v>
      </c>
      <c r="BH216" s="207">
        <v>0.8</v>
      </c>
      <c r="BI216" s="207">
        <v>0.8</v>
      </c>
      <c r="BJ216" s="207">
        <v>0.8</v>
      </c>
      <c r="BK216" s="207">
        <v>0.8</v>
      </c>
      <c r="BL216" s="207">
        <v>0.8</v>
      </c>
      <c r="BM216" s="207">
        <v>0.8</v>
      </c>
      <c r="BN216" s="207">
        <v>0.8</v>
      </c>
      <c r="BO216" s="207">
        <v>0.8</v>
      </c>
      <c r="BP216" s="207">
        <v>0.8</v>
      </c>
      <c r="BQ216" s="207">
        <v>0.8</v>
      </c>
      <c r="BR216" s="207">
        <v>0.8</v>
      </c>
      <c r="BS216" s="207">
        <v>0.8</v>
      </c>
      <c r="BT216" s="207">
        <v>0.8</v>
      </c>
      <c r="BU216" s="207">
        <v>0.8</v>
      </c>
      <c r="BV216" s="207">
        <v>0.8</v>
      </c>
      <c r="BW216" s="207">
        <v>0.8</v>
      </c>
      <c r="BX216" s="207">
        <v>0.8</v>
      </c>
    </row>
    <row r="217" spans="2:76" hidden="1" outlineLevel="1">
      <c r="B217" s="348"/>
      <c r="C217" s="348" t="s">
        <v>231</v>
      </c>
      <c r="D217" s="348" t="s">
        <v>42</v>
      </c>
      <c r="E217" s="348" t="s">
        <v>25</v>
      </c>
      <c r="F217" s="207">
        <v>0.8</v>
      </c>
      <c r="G217" s="207">
        <v>0.8</v>
      </c>
      <c r="H217" s="207">
        <v>0.8</v>
      </c>
      <c r="I217" s="207">
        <v>0.8</v>
      </c>
      <c r="J217" s="207">
        <v>0.8</v>
      </c>
      <c r="K217" s="207">
        <v>0.8</v>
      </c>
      <c r="L217" s="207">
        <v>0.8</v>
      </c>
      <c r="M217" s="207">
        <v>0.8</v>
      </c>
      <c r="N217" s="207">
        <v>0.8</v>
      </c>
      <c r="O217" s="207">
        <v>0.8</v>
      </c>
      <c r="P217" s="207">
        <v>0.8</v>
      </c>
      <c r="Q217" s="207">
        <v>0.8</v>
      </c>
      <c r="R217" s="207">
        <v>0.8</v>
      </c>
      <c r="S217" s="207">
        <v>0.8</v>
      </c>
      <c r="T217" s="207">
        <v>0.8</v>
      </c>
      <c r="U217" s="207">
        <v>0.8</v>
      </c>
      <c r="V217" s="207">
        <v>0.8</v>
      </c>
      <c r="W217" s="207">
        <v>0.8</v>
      </c>
      <c r="X217" s="207">
        <v>0.8</v>
      </c>
      <c r="Y217" s="207">
        <v>0.8</v>
      </c>
      <c r="Z217" s="207">
        <v>0.8</v>
      </c>
      <c r="AA217" s="207">
        <v>0.8</v>
      </c>
      <c r="AB217" s="207">
        <v>0.8</v>
      </c>
      <c r="AC217" s="207">
        <v>0.8</v>
      </c>
      <c r="AD217" s="207">
        <v>0.8</v>
      </c>
      <c r="AE217" s="207">
        <v>0.8</v>
      </c>
      <c r="AF217" s="207">
        <v>0.8</v>
      </c>
      <c r="AG217" s="207">
        <v>0.8</v>
      </c>
      <c r="AH217" s="207">
        <v>0.8</v>
      </c>
      <c r="AI217" s="207">
        <v>0.8</v>
      </c>
      <c r="AJ217" s="207">
        <v>0.8</v>
      </c>
      <c r="AK217" s="207">
        <v>0.8</v>
      </c>
      <c r="AL217" s="207">
        <v>0.8</v>
      </c>
      <c r="AM217" s="207">
        <v>0.8</v>
      </c>
      <c r="AN217" s="207">
        <v>0.8</v>
      </c>
      <c r="AO217" s="207">
        <v>0.8</v>
      </c>
      <c r="AP217" s="207">
        <v>0.8</v>
      </c>
      <c r="AQ217" s="207">
        <v>0.8</v>
      </c>
      <c r="AR217" s="207">
        <v>0.8</v>
      </c>
      <c r="AS217" s="207">
        <v>0.8</v>
      </c>
      <c r="AT217" s="207">
        <v>0.8</v>
      </c>
      <c r="AU217" s="207">
        <v>0.8</v>
      </c>
      <c r="AV217" s="207">
        <v>0.8</v>
      </c>
      <c r="AW217" s="207">
        <v>0.8</v>
      </c>
      <c r="AX217" s="207">
        <v>0.8</v>
      </c>
      <c r="AY217" s="207">
        <v>0.8</v>
      </c>
      <c r="AZ217" s="207">
        <v>0.8</v>
      </c>
      <c r="BA217" s="207">
        <v>0.8</v>
      </c>
      <c r="BB217" s="207">
        <v>0.8</v>
      </c>
      <c r="BC217" s="207">
        <v>0.8</v>
      </c>
      <c r="BD217" s="207">
        <v>0.8</v>
      </c>
      <c r="BE217" s="207">
        <v>0.8</v>
      </c>
      <c r="BF217" s="207">
        <v>0.8</v>
      </c>
      <c r="BG217" s="207">
        <v>0.8</v>
      </c>
      <c r="BH217" s="207">
        <v>0.8</v>
      </c>
      <c r="BI217" s="207">
        <v>0.8</v>
      </c>
      <c r="BJ217" s="207">
        <v>0.8</v>
      </c>
      <c r="BK217" s="207">
        <v>0.8</v>
      </c>
      <c r="BL217" s="207">
        <v>0.8</v>
      </c>
      <c r="BM217" s="207">
        <v>0.8</v>
      </c>
      <c r="BN217" s="207">
        <v>0.8</v>
      </c>
      <c r="BO217" s="207">
        <v>0.8</v>
      </c>
      <c r="BP217" s="207">
        <v>0.8</v>
      </c>
      <c r="BQ217" s="207">
        <v>0.8</v>
      </c>
      <c r="BR217" s="207">
        <v>0.8</v>
      </c>
      <c r="BS217" s="207">
        <v>0.8</v>
      </c>
      <c r="BT217" s="207">
        <v>0.8</v>
      </c>
      <c r="BU217" s="207">
        <v>0.8</v>
      </c>
      <c r="BV217" s="207">
        <v>0.8</v>
      </c>
      <c r="BW217" s="207">
        <v>0.8</v>
      </c>
      <c r="BX217" s="207">
        <v>0.8</v>
      </c>
    </row>
    <row r="218" spans="2:76" collapsed="1">
      <c r="F218" s="330"/>
      <c r="G218" s="330"/>
      <c r="H218" s="330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  <c r="S218" s="330"/>
      <c r="T218" s="330"/>
      <c r="U218" s="330"/>
      <c r="V218" s="330"/>
      <c r="W218" s="330"/>
      <c r="X218" s="330"/>
      <c r="Y218" s="330"/>
      <c r="Z218" s="330"/>
      <c r="AA218" s="330"/>
      <c r="AB218" s="330"/>
      <c r="AC218" s="330"/>
      <c r="AD218" s="330"/>
      <c r="AE218" s="330"/>
      <c r="AF218" s="330"/>
      <c r="AG218" s="330"/>
      <c r="AH218" s="330"/>
      <c r="AI218" s="330"/>
      <c r="AJ218" s="330"/>
    </row>
    <row r="219" spans="2:76">
      <c r="B219" s="259" t="str">
        <f>D219</f>
        <v>ITC/PTC Schedules</v>
      </c>
      <c r="D219" s="259" t="s">
        <v>249</v>
      </c>
      <c r="F219" s="259"/>
      <c r="G219" s="259"/>
      <c r="H219" s="259"/>
      <c r="I219" s="259"/>
      <c r="J219" s="259"/>
      <c r="K219" s="259"/>
      <c r="L219" s="259"/>
      <c r="M219" s="259"/>
      <c r="N219" s="259"/>
      <c r="O219" s="259"/>
      <c r="P219" s="259"/>
      <c r="Q219" s="259"/>
      <c r="R219" s="259"/>
      <c r="S219" s="259"/>
      <c r="T219" s="259"/>
      <c r="U219" s="259"/>
      <c r="V219" s="259"/>
      <c r="W219" s="259"/>
      <c r="X219" s="259"/>
      <c r="Y219" s="259"/>
      <c r="Z219" s="259"/>
      <c r="AA219" s="259"/>
      <c r="AB219" s="259"/>
      <c r="AC219" s="259"/>
      <c r="AD219" s="259"/>
      <c r="AE219" s="259"/>
      <c r="AF219" s="259"/>
      <c r="AG219" s="259"/>
      <c r="AH219" s="259"/>
      <c r="AI219" s="259"/>
      <c r="AJ219" s="259"/>
      <c r="AK219" s="259"/>
      <c r="AL219" s="259"/>
      <c r="AM219" s="259"/>
      <c r="AN219" s="259"/>
      <c r="AO219" s="259"/>
      <c r="AP219" s="259"/>
      <c r="AQ219" s="259"/>
      <c r="AR219" s="259"/>
      <c r="AS219" s="259"/>
      <c r="AT219" s="259"/>
      <c r="AU219" s="259"/>
      <c r="AV219" s="259"/>
      <c r="AW219" s="259"/>
      <c r="AX219" s="259"/>
      <c r="AY219" s="259"/>
      <c r="AZ219" s="259"/>
      <c r="BA219" s="259"/>
      <c r="BB219" s="259"/>
      <c r="BC219" s="259"/>
      <c r="BD219" s="259"/>
      <c r="BE219" s="259"/>
      <c r="BF219" s="259"/>
      <c r="BG219" s="259"/>
      <c r="BH219" s="259"/>
      <c r="BI219" s="259"/>
      <c r="BJ219" s="259"/>
      <c r="BK219" s="259"/>
      <c r="BL219" s="259"/>
      <c r="BM219" s="259"/>
      <c r="BN219" s="259"/>
      <c r="BO219" s="259"/>
      <c r="BP219" s="259"/>
      <c r="BQ219" s="259"/>
      <c r="BR219" s="259"/>
      <c r="BS219" s="259"/>
      <c r="BT219" s="259"/>
      <c r="BU219" s="259"/>
      <c r="BV219" s="259"/>
      <c r="BW219" s="259"/>
      <c r="BX219" s="259"/>
    </row>
    <row r="220" spans="2:76" hidden="1" outlineLevel="1">
      <c r="B220" s="348"/>
      <c r="C220" s="348" t="s">
        <v>241</v>
      </c>
      <c r="D220" s="348" t="s">
        <v>140</v>
      </c>
      <c r="E220" s="348" t="s">
        <v>11</v>
      </c>
      <c r="F220" s="339">
        <v>0.3</v>
      </c>
      <c r="G220" s="339">
        <v>0.3</v>
      </c>
      <c r="H220" s="339">
        <v>0.3</v>
      </c>
      <c r="I220" s="339">
        <v>0.3</v>
      </c>
      <c r="J220" s="339">
        <v>0.3</v>
      </c>
      <c r="K220" s="339">
        <v>0.3</v>
      </c>
      <c r="L220" s="339">
        <v>0.3</v>
      </c>
      <c r="M220" s="339">
        <v>0.3</v>
      </c>
      <c r="N220" s="339">
        <v>0.3</v>
      </c>
      <c r="O220" s="339">
        <v>0.3</v>
      </c>
      <c r="P220" s="339">
        <v>0.3</v>
      </c>
      <c r="Q220" s="339">
        <v>0.3</v>
      </c>
      <c r="R220" s="339">
        <v>0.3</v>
      </c>
      <c r="S220" s="339">
        <v>0</v>
      </c>
      <c r="T220" s="339">
        <v>0</v>
      </c>
      <c r="U220" s="339">
        <v>0</v>
      </c>
      <c r="V220" s="339">
        <v>0</v>
      </c>
      <c r="W220" s="339">
        <v>0</v>
      </c>
      <c r="X220" s="339">
        <v>0</v>
      </c>
      <c r="Y220" s="339">
        <v>0</v>
      </c>
      <c r="Z220" s="339">
        <v>0</v>
      </c>
      <c r="AA220" s="339">
        <v>0</v>
      </c>
      <c r="AB220" s="339">
        <v>0</v>
      </c>
      <c r="AC220" s="339">
        <v>0</v>
      </c>
      <c r="AD220" s="339">
        <v>0</v>
      </c>
      <c r="AE220" s="339">
        <v>0</v>
      </c>
      <c r="AF220" s="339">
        <v>0</v>
      </c>
      <c r="AG220" s="339">
        <v>0</v>
      </c>
      <c r="AH220" s="339">
        <v>0</v>
      </c>
      <c r="AI220" s="339">
        <v>0</v>
      </c>
      <c r="AJ220" s="339">
        <v>0</v>
      </c>
      <c r="AK220" s="339">
        <v>0</v>
      </c>
      <c r="AL220" s="339">
        <v>0</v>
      </c>
      <c r="AM220" s="339">
        <v>0</v>
      </c>
      <c r="AN220" s="339">
        <v>0</v>
      </c>
      <c r="AO220" s="339">
        <v>0</v>
      </c>
      <c r="AP220" s="339">
        <v>0</v>
      </c>
      <c r="AQ220" s="339">
        <v>0</v>
      </c>
      <c r="AR220" s="339">
        <v>0</v>
      </c>
      <c r="AS220" s="339">
        <v>0</v>
      </c>
      <c r="AT220" s="339">
        <v>0</v>
      </c>
      <c r="AU220" s="339">
        <v>0</v>
      </c>
      <c r="AV220" s="339">
        <v>0</v>
      </c>
      <c r="AW220" s="339">
        <v>0</v>
      </c>
      <c r="AX220" s="339">
        <v>0</v>
      </c>
      <c r="AY220" s="339">
        <v>0</v>
      </c>
      <c r="AZ220" s="339">
        <v>0</v>
      </c>
      <c r="BA220" s="339">
        <v>0</v>
      </c>
      <c r="BB220" s="339">
        <v>0</v>
      </c>
      <c r="BC220" s="339">
        <v>0</v>
      </c>
      <c r="BD220" s="339">
        <v>0</v>
      </c>
      <c r="BE220" s="339">
        <v>0</v>
      </c>
      <c r="BF220" s="339">
        <v>0</v>
      </c>
      <c r="BG220" s="339">
        <v>0</v>
      </c>
      <c r="BH220" s="339">
        <v>0</v>
      </c>
      <c r="BI220" s="339">
        <v>0</v>
      </c>
      <c r="BJ220" s="339">
        <v>0</v>
      </c>
      <c r="BK220" s="339">
        <v>0</v>
      </c>
      <c r="BL220" s="339">
        <v>0</v>
      </c>
      <c r="BM220" s="339">
        <v>0</v>
      </c>
      <c r="BN220" s="339">
        <v>0</v>
      </c>
      <c r="BO220" s="339">
        <v>0</v>
      </c>
      <c r="BP220" s="339">
        <v>0</v>
      </c>
      <c r="BQ220" s="339">
        <v>0</v>
      </c>
      <c r="BR220" s="339">
        <v>0</v>
      </c>
      <c r="BS220" s="339">
        <v>0</v>
      </c>
      <c r="BT220" s="339">
        <v>0</v>
      </c>
      <c r="BU220" s="339">
        <v>0</v>
      </c>
      <c r="BV220" s="339">
        <v>0</v>
      </c>
      <c r="BW220" s="339">
        <v>0</v>
      </c>
      <c r="BX220" s="339">
        <v>0</v>
      </c>
    </row>
    <row r="221" spans="2:76" hidden="1" outlineLevel="1">
      <c r="B221" s="348"/>
      <c r="C221" s="348" t="s">
        <v>241</v>
      </c>
      <c r="D221" s="348" t="s">
        <v>140</v>
      </c>
      <c r="E221" s="348" t="s">
        <v>12</v>
      </c>
      <c r="F221" s="339">
        <v>0.3</v>
      </c>
      <c r="G221" s="339">
        <v>0.3</v>
      </c>
      <c r="H221" s="339">
        <v>0.3</v>
      </c>
      <c r="I221" s="339">
        <v>0.3</v>
      </c>
      <c r="J221" s="339">
        <v>0.3</v>
      </c>
      <c r="K221" s="339">
        <v>0.3</v>
      </c>
      <c r="L221" s="339">
        <v>0.3</v>
      </c>
      <c r="M221" s="339">
        <v>0.3</v>
      </c>
      <c r="N221" s="339">
        <v>0.3</v>
      </c>
      <c r="O221" s="339">
        <v>0.3</v>
      </c>
      <c r="P221" s="339">
        <v>0.3</v>
      </c>
      <c r="Q221" s="339">
        <v>0.3</v>
      </c>
      <c r="R221" s="339">
        <v>0.3</v>
      </c>
      <c r="S221" s="339">
        <v>0</v>
      </c>
      <c r="T221" s="339">
        <v>0</v>
      </c>
      <c r="U221" s="339">
        <v>0</v>
      </c>
      <c r="V221" s="339">
        <v>0</v>
      </c>
      <c r="W221" s="339">
        <v>0</v>
      </c>
      <c r="X221" s="339">
        <v>0</v>
      </c>
      <c r="Y221" s="339">
        <v>0</v>
      </c>
      <c r="Z221" s="339">
        <v>0</v>
      </c>
      <c r="AA221" s="339">
        <v>0</v>
      </c>
      <c r="AB221" s="339">
        <v>0</v>
      </c>
      <c r="AC221" s="339">
        <v>0</v>
      </c>
      <c r="AD221" s="339">
        <v>0</v>
      </c>
      <c r="AE221" s="339">
        <v>0</v>
      </c>
      <c r="AF221" s="339">
        <v>0</v>
      </c>
      <c r="AG221" s="339">
        <v>0</v>
      </c>
      <c r="AH221" s="339">
        <v>0</v>
      </c>
      <c r="AI221" s="339">
        <v>0</v>
      </c>
      <c r="AJ221" s="339">
        <v>0</v>
      </c>
      <c r="AK221" s="339">
        <v>0</v>
      </c>
      <c r="AL221" s="339">
        <v>0</v>
      </c>
      <c r="AM221" s="339">
        <v>0</v>
      </c>
      <c r="AN221" s="339">
        <v>0</v>
      </c>
      <c r="AO221" s="339">
        <v>0</v>
      </c>
      <c r="AP221" s="339">
        <v>0</v>
      </c>
      <c r="AQ221" s="339">
        <v>0</v>
      </c>
      <c r="AR221" s="339">
        <v>0</v>
      </c>
      <c r="AS221" s="339">
        <v>0</v>
      </c>
      <c r="AT221" s="339">
        <v>0</v>
      </c>
      <c r="AU221" s="339">
        <v>0</v>
      </c>
      <c r="AV221" s="339">
        <v>0</v>
      </c>
      <c r="AW221" s="339">
        <v>0</v>
      </c>
      <c r="AX221" s="339">
        <v>0</v>
      </c>
      <c r="AY221" s="339">
        <v>0</v>
      </c>
      <c r="AZ221" s="339">
        <v>0</v>
      </c>
      <c r="BA221" s="339">
        <v>0</v>
      </c>
      <c r="BB221" s="339">
        <v>0</v>
      </c>
      <c r="BC221" s="339">
        <v>0</v>
      </c>
      <c r="BD221" s="339">
        <v>0</v>
      </c>
      <c r="BE221" s="339">
        <v>0</v>
      </c>
      <c r="BF221" s="339">
        <v>0</v>
      </c>
      <c r="BG221" s="339">
        <v>0</v>
      </c>
      <c r="BH221" s="339">
        <v>0</v>
      </c>
      <c r="BI221" s="339">
        <v>0</v>
      </c>
      <c r="BJ221" s="339">
        <v>0</v>
      </c>
      <c r="BK221" s="339">
        <v>0</v>
      </c>
      <c r="BL221" s="339">
        <v>0</v>
      </c>
      <c r="BM221" s="339">
        <v>0</v>
      </c>
      <c r="BN221" s="339">
        <v>0</v>
      </c>
      <c r="BO221" s="339">
        <v>0</v>
      </c>
      <c r="BP221" s="339">
        <v>0</v>
      </c>
      <c r="BQ221" s="339">
        <v>0</v>
      </c>
      <c r="BR221" s="339">
        <v>0</v>
      </c>
      <c r="BS221" s="339">
        <v>0</v>
      </c>
      <c r="BT221" s="339">
        <v>0</v>
      </c>
      <c r="BU221" s="339">
        <v>0</v>
      </c>
      <c r="BV221" s="339">
        <v>0</v>
      </c>
      <c r="BW221" s="339">
        <v>0</v>
      </c>
      <c r="BX221" s="339">
        <v>0</v>
      </c>
    </row>
    <row r="222" spans="2:76" hidden="1" outlineLevel="1">
      <c r="B222" s="348"/>
      <c r="C222" s="348" t="s">
        <v>241</v>
      </c>
      <c r="D222" s="348" t="s">
        <v>140</v>
      </c>
      <c r="E222" s="348" t="s">
        <v>13</v>
      </c>
      <c r="F222" s="339">
        <v>0.3</v>
      </c>
      <c r="G222" s="339">
        <v>0.3</v>
      </c>
      <c r="H222" s="339">
        <v>0.3</v>
      </c>
      <c r="I222" s="339">
        <v>0.3</v>
      </c>
      <c r="J222" s="339">
        <v>0.3</v>
      </c>
      <c r="K222" s="339">
        <v>0.3</v>
      </c>
      <c r="L222" s="339">
        <v>0.3</v>
      </c>
      <c r="M222" s="339">
        <v>0.3</v>
      </c>
      <c r="N222" s="339">
        <v>0.3</v>
      </c>
      <c r="O222" s="339">
        <v>0.3</v>
      </c>
      <c r="P222" s="339">
        <v>0.3</v>
      </c>
      <c r="Q222" s="339">
        <v>0.3</v>
      </c>
      <c r="R222" s="339">
        <v>0.3</v>
      </c>
      <c r="S222" s="339">
        <v>0</v>
      </c>
      <c r="T222" s="339">
        <v>0</v>
      </c>
      <c r="U222" s="339">
        <v>0</v>
      </c>
      <c r="V222" s="339">
        <v>0</v>
      </c>
      <c r="W222" s="339">
        <v>0</v>
      </c>
      <c r="X222" s="339">
        <v>0</v>
      </c>
      <c r="Y222" s="339">
        <v>0</v>
      </c>
      <c r="Z222" s="339">
        <v>0</v>
      </c>
      <c r="AA222" s="339">
        <v>0</v>
      </c>
      <c r="AB222" s="339">
        <v>0</v>
      </c>
      <c r="AC222" s="339">
        <v>0</v>
      </c>
      <c r="AD222" s="339">
        <v>0</v>
      </c>
      <c r="AE222" s="339">
        <v>0</v>
      </c>
      <c r="AF222" s="339">
        <v>0</v>
      </c>
      <c r="AG222" s="339">
        <v>0</v>
      </c>
      <c r="AH222" s="339">
        <v>0</v>
      </c>
      <c r="AI222" s="339">
        <v>0</v>
      </c>
      <c r="AJ222" s="339">
        <v>0</v>
      </c>
      <c r="AK222" s="339">
        <v>0</v>
      </c>
      <c r="AL222" s="339">
        <v>0</v>
      </c>
      <c r="AM222" s="339">
        <v>0</v>
      </c>
      <c r="AN222" s="339">
        <v>0</v>
      </c>
      <c r="AO222" s="339">
        <v>0</v>
      </c>
      <c r="AP222" s="339">
        <v>0</v>
      </c>
      <c r="AQ222" s="339">
        <v>0</v>
      </c>
      <c r="AR222" s="339">
        <v>0</v>
      </c>
      <c r="AS222" s="339">
        <v>0</v>
      </c>
      <c r="AT222" s="339">
        <v>0</v>
      </c>
      <c r="AU222" s="339">
        <v>0</v>
      </c>
      <c r="AV222" s="339">
        <v>0</v>
      </c>
      <c r="AW222" s="339">
        <v>0</v>
      </c>
      <c r="AX222" s="339">
        <v>0</v>
      </c>
      <c r="AY222" s="339">
        <v>0</v>
      </c>
      <c r="AZ222" s="339">
        <v>0</v>
      </c>
      <c r="BA222" s="339">
        <v>0</v>
      </c>
      <c r="BB222" s="339">
        <v>0</v>
      </c>
      <c r="BC222" s="339">
        <v>0</v>
      </c>
      <c r="BD222" s="339">
        <v>0</v>
      </c>
      <c r="BE222" s="339">
        <v>0</v>
      </c>
      <c r="BF222" s="339">
        <v>0</v>
      </c>
      <c r="BG222" s="339">
        <v>0</v>
      </c>
      <c r="BH222" s="339">
        <v>0</v>
      </c>
      <c r="BI222" s="339">
        <v>0</v>
      </c>
      <c r="BJ222" s="339">
        <v>0</v>
      </c>
      <c r="BK222" s="339">
        <v>0</v>
      </c>
      <c r="BL222" s="339">
        <v>0</v>
      </c>
      <c r="BM222" s="339">
        <v>0</v>
      </c>
      <c r="BN222" s="339">
        <v>0</v>
      </c>
      <c r="BO222" s="339">
        <v>0</v>
      </c>
      <c r="BP222" s="339">
        <v>0</v>
      </c>
      <c r="BQ222" s="339">
        <v>0</v>
      </c>
      <c r="BR222" s="339">
        <v>0</v>
      </c>
      <c r="BS222" s="339">
        <v>0</v>
      </c>
      <c r="BT222" s="339">
        <v>0</v>
      </c>
      <c r="BU222" s="339">
        <v>0</v>
      </c>
      <c r="BV222" s="339">
        <v>0</v>
      </c>
      <c r="BW222" s="339">
        <v>0</v>
      </c>
      <c r="BX222" s="339">
        <v>0</v>
      </c>
    </row>
    <row r="223" spans="2:76" hidden="1" outlineLevel="1">
      <c r="B223" s="348"/>
      <c r="C223" s="348" t="s">
        <v>241</v>
      </c>
      <c r="D223" s="348" t="s">
        <v>140</v>
      </c>
      <c r="E223" s="348" t="s">
        <v>14</v>
      </c>
      <c r="F223" s="339">
        <v>0.3</v>
      </c>
      <c r="G223" s="339">
        <v>0.3</v>
      </c>
      <c r="H223" s="339">
        <v>0.3</v>
      </c>
      <c r="I223" s="339">
        <v>0.3</v>
      </c>
      <c r="J223" s="339">
        <v>0.3</v>
      </c>
      <c r="K223" s="339">
        <v>0.3</v>
      </c>
      <c r="L223" s="339">
        <v>0.3</v>
      </c>
      <c r="M223" s="339">
        <v>0.3</v>
      </c>
      <c r="N223" s="339">
        <v>0.3</v>
      </c>
      <c r="O223" s="339">
        <v>0.3</v>
      </c>
      <c r="P223" s="339">
        <v>0.3</v>
      </c>
      <c r="Q223" s="339">
        <v>0.3</v>
      </c>
      <c r="R223" s="339">
        <v>0.3</v>
      </c>
      <c r="S223" s="339">
        <v>0</v>
      </c>
      <c r="T223" s="339">
        <v>0</v>
      </c>
      <c r="U223" s="339">
        <v>0</v>
      </c>
      <c r="V223" s="339">
        <v>0</v>
      </c>
      <c r="W223" s="339">
        <v>0</v>
      </c>
      <c r="X223" s="339">
        <v>0</v>
      </c>
      <c r="Y223" s="339">
        <v>0</v>
      </c>
      <c r="Z223" s="339">
        <v>0</v>
      </c>
      <c r="AA223" s="339">
        <v>0</v>
      </c>
      <c r="AB223" s="339">
        <v>0</v>
      </c>
      <c r="AC223" s="339">
        <v>0</v>
      </c>
      <c r="AD223" s="339">
        <v>0</v>
      </c>
      <c r="AE223" s="339">
        <v>0</v>
      </c>
      <c r="AF223" s="339">
        <v>0</v>
      </c>
      <c r="AG223" s="339">
        <v>0</v>
      </c>
      <c r="AH223" s="339">
        <v>0</v>
      </c>
      <c r="AI223" s="339">
        <v>0</v>
      </c>
      <c r="AJ223" s="339">
        <v>0</v>
      </c>
      <c r="AK223" s="339">
        <v>0</v>
      </c>
      <c r="AL223" s="339">
        <v>0</v>
      </c>
      <c r="AM223" s="339">
        <v>0</v>
      </c>
      <c r="AN223" s="339">
        <v>0</v>
      </c>
      <c r="AO223" s="339">
        <v>0</v>
      </c>
      <c r="AP223" s="339">
        <v>0</v>
      </c>
      <c r="AQ223" s="339">
        <v>0</v>
      </c>
      <c r="AR223" s="339">
        <v>0</v>
      </c>
      <c r="AS223" s="339">
        <v>0</v>
      </c>
      <c r="AT223" s="339">
        <v>0</v>
      </c>
      <c r="AU223" s="339">
        <v>0</v>
      </c>
      <c r="AV223" s="339">
        <v>0</v>
      </c>
      <c r="AW223" s="339">
        <v>0</v>
      </c>
      <c r="AX223" s="339">
        <v>0</v>
      </c>
      <c r="AY223" s="339">
        <v>0</v>
      </c>
      <c r="AZ223" s="339">
        <v>0</v>
      </c>
      <c r="BA223" s="339">
        <v>0</v>
      </c>
      <c r="BB223" s="339">
        <v>0</v>
      </c>
      <c r="BC223" s="339">
        <v>0</v>
      </c>
      <c r="BD223" s="339">
        <v>0</v>
      </c>
      <c r="BE223" s="339">
        <v>0</v>
      </c>
      <c r="BF223" s="339">
        <v>0</v>
      </c>
      <c r="BG223" s="339">
        <v>0</v>
      </c>
      <c r="BH223" s="339">
        <v>0</v>
      </c>
      <c r="BI223" s="339">
        <v>0</v>
      </c>
      <c r="BJ223" s="339">
        <v>0</v>
      </c>
      <c r="BK223" s="339">
        <v>0</v>
      </c>
      <c r="BL223" s="339">
        <v>0</v>
      </c>
      <c r="BM223" s="339">
        <v>0</v>
      </c>
      <c r="BN223" s="339">
        <v>0</v>
      </c>
      <c r="BO223" s="339">
        <v>0</v>
      </c>
      <c r="BP223" s="339">
        <v>0</v>
      </c>
      <c r="BQ223" s="339">
        <v>0</v>
      </c>
      <c r="BR223" s="339">
        <v>0</v>
      </c>
      <c r="BS223" s="339">
        <v>0</v>
      </c>
      <c r="BT223" s="339">
        <v>0</v>
      </c>
      <c r="BU223" s="339">
        <v>0</v>
      </c>
      <c r="BV223" s="339">
        <v>0</v>
      </c>
      <c r="BW223" s="339">
        <v>0</v>
      </c>
      <c r="BX223" s="339">
        <v>0</v>
      </c>
    </row>
    <row r="224" spans="2:76" hidden="1" outlineLevel="1">
      <c r="B224" s="348"/>
      <c r="C224" s="348" t="s">
        <v>241</v>
      </c>
      <c r="D224" s="348" t="s">
        <v>140</v>
      </c>
      <c r="E224" s="348" t="s">
        <v>15</v>
      </c>
      <c r="F224" s="339">
        <v>0.3</v>
      </c>
      <c r="G224" s="339">
        <v>0.3</v>
      </c>
      <c r="H224" s="339">
        <v>0.3</v>
      </c>
      <c r="I224" s="339">
        <v>0.3</v>
      </c>
      <c r="J224" s="339">
        <v>0.3</v>
      </c>
      <c r="K224" s="339">
        <v>0.3</v>
      </c>
      <c r="L224" s="339">
        <v>0.3</v>
      </c>
      <c r="M224" s="339">
        <v>0.3</v>
      </c>
      <c r="N224" s="339">
        <v>0.3</v>
      </c>
      <c r="O224" s="339">
        <v>0.3</v>
      </c>
      <c r="P224" s="339">
        <v>0.3</v>
      </c>
      <c r="Q224" s="339">
        <v>0.3</v>
      </c>
      <c r="R224" s="339">
        <v>0.3</v>
      </c>
      <c r="S224" s="339">
        <v>0</v>
      </c>
      <c r="T224" s="339">
        <v>0</v>
      </c>
      <c r="U224" s="339">
        <v>0</v>
      </c>
      <c r="V224" s="339">
        <v>0</v>
      </c>
      <c r="W224" s="339">
        <v>0</v>
      </c>
      <c r="X224" s="339">
        <v>0</v>
      </c>
      <c r="Y224" s="339">
        <v>0</v>
      </c>
      <c r="Z224" s="339">
        <v>0</v>
      </c>
      <c r="AA224" s="339">
        <v>0</v>
      </c>
      <c r="AB224" s="339">
        <v>0</v>
      </c>
      <c r="AC224" s="339">
        <v>0</v>
      </c>
      <c r="AD224" s="339">
        <v>0</v>
      </c>
      <c r="AE224" s="339">
        <v>0</v>
      </c>
      <c r="AF224" s="339">
        <v>0</v>
      </c>
      <c r="AG224" s="339">
        <v>0</v>
      </c>
      <c r="AH224" s="339">
        <v>0</v>
      </c>
      <c r="AI224" s="339">
        <v>0</v>
      </c>
      <c r="AJ224" s="339">
        <v>0</v>
      </c>
      <c r="AK224" s="339">
        <v>0</v>
      </c>
      <c r="AL224" s="339">
        <v>0</v>
      </c>
      <c r="AM224" s="339">
        <v>0</v>
      </c>
      <c r="AN224" s="339">
        <v>0</v>
      </c>
      <c r="AO224" s="339">
        <v>0</v>
      </c>
      <c r="AP224" s="339">
        <v>0</v>
      </c>
      <c r="AQ224" s="339">
        <v>0</v>
      </c>
      <c r="AR224" s="339">
        <v>0</v>
      </c>
      <c r="AS224" s="339">
        <v>0</v>
      </c>
      <c r="AT224" s="339">
        <v>0</v>
      </c>
      <c r="AU224" s="339">
        <v>0</v>
      </c>
      <c r="AV224" s="339">
        <v>0</v>
      </c>
      <c r="AW224" s="339">
        <v>0</v>
      </c>
      <c r="AX224" s="339">
        <v>0</v>
      </c>
      <c r="AY224" s="339">
        <v>0</v>
      </c>
      <c r="AZ224" s="339">
        <v>0</v>
      </c>
      <c r="BA224" s="339">
        <v>0</v>
      </c>
      <c r="BB224" s="339">
        <v>0</v>
      </c>
      <c r="BC224" s="339">
        <v>0</v>
      </c>
      <c r="BD224" s="339">
        <v>0</v>
      </c>
      <c r="BE224" s="339">
        <v>0</v>
      </c>
      <c r="BF224" s="339">
        <v>0</v>
      </c>
      <c r="BG224" s="339">
        <v>0</v>
      </c>
      <c r="BH224" s="339">
        <v>0</v>
      </c>
      <c r="BI224" s="339">
        <v>0</v>
      </c>
      <c r="BJ224" s="339">
        <v>0</v>
      </c>
      <c r="BK224" s="339">
        <v>0</v>
      </c>
      <c r="BL224" s="339">
        <v>0</v>
      </c>
      <c r="BM224" s="339">
        <v>0</v>
      </c>
      <c r="BN224" s="339">
        <v>0</v>
      </c>
      <c r="BO224" s="339">
        <v>0</v>
      </c>
      <c r="BP224" s="339">
        <v>0</v>
      </c>
      <c r="BQ224" s="339">
        <v>0</v>
      </c>
      <c r="BR224" s="339">
        <v>0</v>
      </c>
      <c r="BS224" s="339">
        <v>0</v>
      </c>
      <c r="BT224" s="339">
        <v>0</v>
      </c>
      <c r="BU224" s="339">
        <v>0</v>
      </c>
      <c r="BV224" s="339">
        <v>0</v>
      </c>
      <c r="BW224" s="339">
        <v>0</v>
      </c>
      <c r="BX224" s="339">
        <v>0</v>
      </c>
    </row>
    <row r="225" spans="2:76" hidden="1" outlineLevel="1">
      <c r="B225" s="348"/>
      <c r="C225" s="348" t="s">
        <v>241</v>
      </c>
      <c r="D225" s="348" t="s">
        <v>140</v>
      </c>
      <c r="E225" s="348" t="s">
        <v>16</v>
      </c>
      <c r="F225" s="339">
        <v>0.3</v>
      </c>
      <c r="G225" s="339">
        <v>0.3</v>
      </c>
      <c r="H225" s="339">
        <v>0.3</v>
      </c>
      <c r="I225" s="339">
        <v>0.3</v>
      </c>
      <c r="J225" s="339">
        <v>0.3</v>
      </c>
      <c r="K225" s="339">
        <v>0.3</v>
      </c>
      <c r="L225" s="339">
        <v>0.3</v>
      </c>
      <c r="M225" s="339">
        <v>0.3</v>
      </c>
      <c r="N225" s="339">
        <v>0.3</v>
      </c>
      <c r="O225" s="339">
        <v>0.3</v>
      </c>
      <c r="P225" s="339">
        <v>0.3</v>
      </c>
      <c r="Q225" s="339">
        <v>0.3</v>
      </c>
      <c r="R225" s="339">
        <v>0.3</v>
      </c>
      <c r="S225" s="339">
        <v>0</v>
      </c>
      <c r="T225" s="339">
        <v>0</v>
      </c>
      <c r="U225" s="339">
        <v>0</v>
      </c>
      <c r="V225" s="339">
        <v>0</v>
      </c>
      <c r="W225" s="339">
        <v>0</v>
      </c>
      <c r="X225" s="339">
        <v>0</v>
      </c>
      <c r="Y225" s="339">
        <v>0</v>
      </c>
      <c r="Z225" s="339">
        <v>0</v>
      </c>
      <c r="AA225" s="339">
        <v>0</v>
      </c>
      <c r="AB225" s="339">
        <v>0</v>
      </c>
      <c r="AC225" s="339">
        <v>0</v>
      </c>
      <c r="AD225" s="339">
        <v>0</v>
      </c>
      <c r="AE225" s="339">
        <v>0</v>
      </c>
      <c r="AF225" s="339">
        <v>0</v>
      </c>
      <c r="AG225" s="339">
        <v>0</v>
      </c>
      <c r="AH225" s="339">
        <v>0</v>
      </c>
      <c r="AI225" s="339">
        <v>0</v>
      </c>
      <c r="AJ225" s="339">
        <v>0</v>
      </c>
      <c r="AK225" s="339">
        <v>0</v>
      </c>
      <c r="AL225" s="339">
        <v>0</v>
      </c>
      <c r="AM225" s="339">
        <v>0</v>
      </c>
      <c r="AN225" s="339">
        <v>0</v>
      </c>
      <c r="AO225" s="339">
        <v>0</v>
      </c>
      <c r="AP225" s="339">
        <v>0</v>
      </c>
      <c r="AQ225" s="339">
        <v>0</v>
      </c>
      <c r="AR225" s="339">
        <v>0</v>
      </c>
      <c r="AS225" s="339">
        <v>0</v>
      </c>
      <c r="AT225" s="339">
        <v>0</v>
      </c>
      <c r="AU225" s="339">
        <v>0</v>
      </c>
      <c r="AV225" s="339">
        <v>0</v>
      </c>
      <c r="AW225" s="339">
        <v>0</v>
      </c>
      <c r="AX225" s="339">
        <v>0</v>
      </c>
      <c r="AY225" s="339">
        <v>0</v>
      </c>
      <c r="AZ225" s="339">
        <v>0</v>
      </c>
      <c r="BA225" s="339">
        <v>0</v>
      </c>
      <c r="BB225" s="339">
        <v>0</v>
      </c>
      <c r="BC225" s="339">
        <v>0</v>
      </c>
      <c r="BD225" s="339">
        <v>0</v>
      </c>
      <c r="BE225" s="339">
        <v>0</v>
      </c>
      <c r="BF225" s="339">
        <v>0</v>
      </c>
      <c r="BG225" s="339">
        <v>0</v>
      </c>
      <c r="BH225" s="339">
        <v>0</v>
      </c>
      <c r="BI225" s="339">
        <v>0</v>
      </c>
      <c r="BJ225" s="339">
        <v>0</v>
      </c>
      <c r="BK225" s="339">
        <v>0</v>
      </c>
      <c r="BL225" s="339">
        <v>0</v>
      </c>
      <c r="BM225" s="339">
        <v>0</v>
      </c>
      <c r="BN225" s="339">
        <v>0</v>
      </c>
      <c r="BO225" s="339">
        <v>0</v>
      </c>
      <c r="BP225" s="339">
        <v>0</v>
      </c>
      <c r="BQ225" s="339">
        <v>0</v>
      </c>
      <c r="BR225" s="339">
        <v>0</v>
      </c>
      <c r="BS225" s="339">
        <v>0</v>
      </c>
      <c r="BT225" s="339">
        <v>0</v>
      </c>
      <c r="BU225" s="339">
        <v>0</v>
      </c>
      <c r="BV225" s="339">
        <v>0</v>
      </c>
      <c r="BW225" s="339">
        <v>0</v>
      </c>
      <c r="BX225" s="339">
        <v>0</v>
      </c>
    </row>
    <row r="226" spans="2:76" hidden="1" outlineLevel="1">
      <c r="B226" s="348"/>
      <c r="C226" s="348" t="s">
        <v>241</v>
      </c>
      <c r="D226" s="348" t="s">
        <v>140</v>
      </c>
      <c r="E226" s="348" t="s">
        <v>17</v>
      </c>
      <c r="F226" s="339">
        <v>0.3</v>
      </c>
      <c r="G226" s="339">
        <v>0.3</v>
      </c>
      <c r="H226" s="339">
        <v>0.3</v>
      </c>
      <c r="I226" s="339">
        <v>0.3</v>
      </c>
      <c r="J226" s="339">
        <v>0.3</v>
      </c>
      <c r="K226" s="339">
        <v>0.3</v>
      </c>
      <c r="L226" s="339">
        <v>0.3</v>
      </c>
      <c r="M226" s="339">
        <v>0.3</v>
      </c>
      <c r="N226" s="339">
        <v>0.3</v>
      </c>
      <c r="O226" s="339">
        <v>0.3</v>
      </c>
      <c r="P226" s="339">
        <v>0.3</v>
      </c>
      <c r="Q226" s="339">
        <v>0.3</v>
      </c>
      <c r="R226" s="339">
        <v>0.3</v>
      </c>
      <c r="S226" s="339">
        <v>0</v>
      </c>
      <c r="T226" s="339">
        <v>0</v>
      </c>
      <c r="U226" s="339">
        <v>0</v>
      </c>
      <c r="V226" s="339">
        <v>0</v>
      </c>
      <c r="W226" s="339">
        <v>0</v>
      </c>
      <c r="X226" s="339">
        <v>0</v>
      </c>
      <c r="Y226" s="339">
        <v>0</v>
      </c>
      <c r="Z226" s="339">
        <v>0</v>
      </c>
      <c r="AA226" s="339">
        <v>0</v>
      </c>
      <c r="AB226" s="339">
        <v>0</v>
      </c>
      <c r="AC226" s="339">
        <v>0</v>
      </c>
      <c r="AD226" s="339">
        <v>0</v>
      </c>
      <c r="AE226" s="339">
        <v>0</v>
      </c>
      <c r="AF226" s="339">
        <v>0</v>
      </c>
      <c r="AG226" s="339">
        <v>0</v>
      </c>
      <c r="AH226" s="339">
        <v>0</v>
      </c>
      <c r="AI226" s="339">
        <v>0</v>
      </c>
      <c r="AJ226" s="339">
        <v>0</v>
      </c>
      <c r="AK226" s="339">
        <v>0</v>
      </c>
      <c r="AL226" s="339">
        <v>0</v>
      </c>
      <c r="AM226" s="339">
        <v>0</v>
      </c>
      <c r="AN226" s="339">
        <v>0</v>
      </c>
      <c r="AO226" s="339">
        <v>0</v>
      </c>
      <c r="AP226" s="339">
        <v>0</v>
      </c>
      <c r="AQ226" s="339">
        <v>0</v>
      </c>
      <c r="AR226" s="339">
        <v>0</v>
      </c>
      <c r="AS226" s="339">
        <v>0</v>
      </c>
      <c r="AT226" s="339">
        <v>0</v>
      </c>
      <c r="AU226" s="339">
        <v>0</v>
      </c>
      <c r="AV226" s="339">
        <v>0</v>
      </c>
      <c r="AW226" s="339">
        <v>0</v>
      </c>
      <c r="AX226" s="339">
        <v>0</v>
      </c>
      <c r="AY226" s="339">
        <v>0</v>
      </c>
      <c r="AZ226" s="339">
        <v>0</v>
      </c>
      <c r="BA226" s="339">
        <v>0</v>
      </c>
      <c r="BB226" s="339">
        <v>0</v>
      </c>
      <c r="BC226" s="339">
        <v>0</v>
      </c>
      <c r="BD226" s="339">
        <v>0</v>
      </c>
      <c r="BE226" s="339">
        <v>0</v>
      </c>
      <c r="BF226" s="339">
        <v>0</v>
      </c>
      <c r="BG226" s="339">
        <v>0</v>
      </c>
      <c r="BH226" s="339">
        <v>0</v>
      </c>
      <c r="BI226" s="339">
        <v>0</v>
      </c>
      <c r="BJ226" s="339">
        <v>0</v>
      </c>
      <c r="BK226" s="339">
        <v>0</v>
      </c>
      <c r="BL226" s="339">
        <v>0</v>
      </c>
      <c r="BM226" s="339">
        <v>0</v>
      </c>
      <c r="BN226" s="339">
        <v>0</v>
      </c>
      <c r="BO226" s="339">
        <v>0</v>
      </c>
      <c r="BP226" s="339">
        <v>0</v>
      </c>
      <c r="BQ226" s="339">
        <v>0</v>
      </c>
      <c r="BR226" s="339">
        <v>0</v>
      </c>
      <c r="BS226" s="339">
        <v>0</v>
      </c>
      <c r="BT226" s="339">
        <v>0</v>
      </c>
      <c r="BU226" s="339">
        <v>0</v>
      </c>
      <c r="BV226" s="339">
        <v>0</v>
      </c>
      <c r="BW226" s="339">
        <v>0</v>
      </c>
      <c r="BX226" s="339">
        <v>0</v>
      </c>
    </row>
    <row r="227" spans="2:76" hidden="1" outlineLevel="1">
      <c r="B227" s="348"/>
      <c r="C227" s="348" t="s">
        <v>241</v>
      </c>
      <c r="D227" s="348" t="s">
        <v>140</v>
      </c>
      <c r="E227" s="348" t="s">
        <v>18</v>
      </c>
      <c r="F227" s="339">
        <v>0.3</v>
      </c>
      <c r="G227" s="339">
        <v>0.3</v>
      </c>
      <c r="H227" s="339">
        <v>0.3</v>
      </c>
      <c r="I227" s="339">
        <v>0.3</v>
      </c>
      <c r="J227" s="339">
        <v>0.3</v>
      </c>
      <c r="K227" s="339">
        <v>0.3</v>
      </c>
      <c r="L227" s="339">
        <v>0.3</v>
      </c>
      <c r="M227" s="339">
        <v>0.3</v>
      </c>
      <c r="N227" s="339">
        <v>0.3</v>
      </c>
      <c r="O227" s="339">
        <v>0.3</v>
      </c>
      <c r="P227" s="339">
        <v>0.3</v>
      </c>
      <c r="Q227" s="339">
        <v>0.3</v>
      </c>
      <c r="R227" s="339">
        <v>0.3</v>
      </c>
      <c r="S227" s="339">
        <v>0</v>
      </c>
      <c r="T227" s="339">
        <v>0</v>
      </c>
      <c r="U227" s="339">
        <v>0</v>
      </c>
      <c r="V227" s="339">
        <v>0</v>
      </c>
      <c r="W227" s="339">
        <v>0</v>
      </c>
      <c r="X227" s="339">
        <v>0</v>
      </c>
      <c r="Y227" s="339">
        <v>0</v>
      </c>
      <c r="Z227" s="339">
        <v>0</v>
      </c>
      <c r="AA227" s="339">
        <v>0</v>
      </c>
      <c r="AB227" s="339">
        <v>0</v>
      </c>
      <c r="AC227" s="339">
        <v>0</v>
      </c>
      <c r="AD227" s="339">
        <v>0</v>
      </c>
      <c r="AE227" s="339">
        <v>0</v>
      </c>
      <c r="AF227" s="339">
        <v>0</v>
      </c>
      <c r="AG227" s="339">
        <v>0</v>
      </c>
      <c r="AH227" s="339">
        <v>0</v>
      </c>
      <c r="AI227" s="339">
        <v>0</v>
      </c>
      <c r="AJ227" s="339">
        <v>0</v>
      </c>
      <c r="AK227" s="339">
        <v>0</v>
      </c>
      <c r="AL227" s="339">
        <v>0</v>
      </c>
      <c r="AM227" s="339">
        <v>0</v>
      </c>
      <c r="AN227" s="339">
        <v>0</v>
      </c>
      <c r="AO227" s="339">
        <v>0</v>
      </c>
      <c r="AP227" s="339">
        <v>0</v>
      </c>
      <c r="AQ227" s="339">
        <v>0</v>
      </c>
      <c r="AR227" s="339">
        <v>0</v>
      </c>
      <c r="AS227" s="339">
        <v>0</v>
      </c>
      <c r="AT227" s="339">
        <v>0</v>
      </c>
      <c r="AU227" s="339">
        <v>0</v>
      </c>
      <c r="AV227" s="339">
        <v>0</v>
      </c>
      <c r="AW227" s="339">
        <v>0</v>
      </c>
      <c r="AX227" s="339">
        <v>0</v>
      </c>
      <c r="AY227" s="339">
        <v>0</v>
      </c>
      <c r="AZ227" s="339">
        <v>0</v>
      </c>
      <c r="BA227" s="339">
        <v>0</v>
      </c>
      <c r="BB227" s="339">
        <v>0</v>
      </c>
      <c r="BC227" s="339">
        <v>0</v>
      </c>
      <c r="BD227" s="339">
        <v>0</v>
      </c>
      <c r="BE227" s="339">
        <v>0</v>
      </c>
      <c r="BF227" s="339">
        <v>0</v>
      </c>
      <c r="BG227" s="339">
        <v>0</v>
      </c>
      <c r="BH227" s="339">
        <v>0</v>
      </c>
      <c r="BI227" s="339">
        <v>0</v>
      </c>
      <c r="BJ227" s="339">
        <v>0</v>
      </c>
      <c r="BK227" s="339">
        <v>0</v>
      </c>
      <c r="BL227" s="339">
        <v>0</v>
      </c>
      <c r="BM227" s="339">
        <v>0</v>
      </c>
      <c r="BN227" s="339">
        <v>0</v>
      </c>
      <c r="BO227" s="339">
        <v>0</v>
      </c>
      <c r="BP227" s="339">
        <v>0</v>
      </c>
      <c r="BQ227" s="339">
        <v>0</v>
      </c>
      <c r="BR227" s="339">
        <v>0</v>
      </c>
      <c r="BS227" s="339">
        <v>0</v>
      </c>
      <c r="BT227" s="339">
        <v>0</v>
      </c>
      <c r="BU227" s="339">
        <v>0</v>
      </c>
      <c r="BV227" s="339">
        <v>0</v>
      </c>
      <c r="BW227" s="339">
        <v>0</v>
      </c>
      <c r="BX227" s="339">
        <v>0</v>
      </c>
    </row>
    <row r="228" spans="2:76" hidden="1" outlineLevel="1">
      <c r="B228" s="348"/>
      <c r="C228" s="348" t="s">
        <v>241</v>
      </c>
      <c r="D228" s="348" t="s">
        <v>140</v>
      </c>
      <c r="E228" s="348" t="s">
        <v>22</v>
      </c>
      <c r="F228" s="339">
        <v>0.3</v>
      </c>
      <c r="G228" s="339">
        <v>0.3</v>
      </c>
      <c r="H228" s="339">
        <v>0.3</v>
      </c>
      <c r="I228" s="339">
        <v>0.3</v>
      </c>
      <c r="J228" s="339">
        <v>0.3</v>
      </c>
      <c r="K228" s="339">
        <v>0.3</v>
      </c>
      <c r="L228" s="339">
        <v>0.3</v>
      </c>
      <c r="M228" s="339">
        <v>0.3</v>
      </c>
      <c r="N228" s="339">
        <v>0.3</v>
      </c>
      <c r="O228" s="339">
        <v>0.3</v>
      </c>
      <c r="P228" s="339">
        <v>0.3</v>
      </c>
      <c r="Q228" s="339">
        <v>0.3</v>
      </c>
      <c r="R228" s="339">
        <v>0.3</v>
      </c>
      <c r="S228" s="339">
        <v>0</v>
      </c>
      <c r="T228" s="339">
        <v>0</v>
      </c>
      <c r="U228" s="339">
        <v>0</v>
      </c>
      <c r="V228" s="339">
        <v>0</v>
      </c>
      <c r="W228" s="339">
        <v>0</v>
      </c>
      <c r="X228" s="339">
        <v>0</v>
      </c>
      <c r="Y228" s="339">
        <v>0</v>
      </c>
      <c r="Z228" s="339">
        <v>0</v>
      </c>
      <c r="AA228" s="339">
        <v>0</v>
      </c>
      <c r="AB228" s="339">
        <v>0</v>
      </c>
      <c r="AC228" s="339">
        <v>0</v>
      </c>
      <c r="AD228" s="339">
        <v>0</v>
      </c>
      <c r="AE228" s="339">
        <v>0</v>
      </c>
      <c r="AF228" s="339">
        <v>0</v>
      </c>
      <c r="AG228" s="339">
        <v>0</v>
      </c>
      <c r="AH228" s="339">
        <v>0</v>
      </c>
      <c r="AI228" s="339">
        <v>0</v>
      </c>
      <c r="AJ228" s="339">
        <v>0</v>
      </c>
      <c r="AK228" s="339">
        <v>0</v>
      </c>
      <c r="AL228" s="339">
        <v>0</v>
      </c>
      <c r="AM228" s="339">
        <v>0</v>
      </c>
      <c r="AN228" s="339">
        <v>0</v>
      </c>
      <c r="AO228" s="339">
        <v>0</v>
      </c>
      <c r="AP228" s="339">
        <v>0</v>
      </c>
      <c r="AQ228" s="339">
        <v>0</v>
      </c>
      <c r="AR228" s="339">
        <v>0</v>
      </c>
      <c r="AS228" s="339">
        <v>0</v>
      </c>
      <c r="AT228" s="339">
        <v>0</v>
      </c>
      <c r="AU228" s="339">
        <v>0</v>
      </c>
      <c r="AV228" s="339">
        <v>0</v>
      </c>
      <c r="AW228" s="339">
        <v>0</v>
      </c>
      <c r="AX228" s="339">
        <v>0</v>
      </c>
      <c r="AY228" s="339">
        <v>0</v>
      </c>
      <c r="AZ228" s="339">
        <v>0</v>
      </c>
      <c r="BA228" s="339">
        <v>0</v>
      </c>
      <c r="BB228" s="339">
        <v>0</v>
      </c>
      <c r="BC228" s="339">
        <v>0</v>
      </c>
      <c r="BD228" s="339">
        <v>0</v>
      </c>
      <c r="BE228" s="339">
        <v>0</v>
      </c>
      <c r="BF228" s="339">
        <v>0</v>
      </c>
      <c r="BG228" s="339">
        <v>0</v>
      </c>
      <c r="BH228" s="339">
        <v>0</v>
      </c>
      <c r="BI228" s="339">
        <v>0</v>
      </c>
      <c r="BJ228" s="339">
        <v>0</v>
      </c>
      <c r="BK228" s="339">
        <v>0</v>
      </c>
      <c r="BL228" s="339">
        <v>0</v>
      </c>
      <c r="BM228" s="339">
        <v>0</v>
      </c>
      <c r="BN228" s="339">
        <v>0</v>
      </c>
      <c r="BO228" s="339">
        <v>0</v>
      </c>
      <c r="BP228" s="339">
        <v>0</v>
      </c>
      <c r="BQ228" s="339">
        <v>0</v>
      </c>
      <c r="BR228" s="339">
        <v>0</v>
      </c>
      <c r="BS228" s="339">
        <v>0</v>
      </c>
      <c r="BT228" s="339">
        <v>0</v>
      </c>
      <c r="BU228" s="339">
        <v>0</v>
      </c>
      <c r="BV228" s="339">
        <v>0</v>
      </c>
      <c r="BW228" s="339">
        <v>0</v>
      </c>
      <c r="BX228" s="339">
        <v>0</v>
      </c>
    </row>
    <row r="229" spans="2:76" hidden="1" outlineLevel="1">
      <c r="B229" s="348"/>
      <c r="C229" s="348" t="s">
        <v>241</v>
      </c>
      <c r="D229" s="348" t="s">
        <v>140</v>
      </c>
      <c r="E229" s="348" t="s">
        <v>23</v>
      </c>
      <c r="F229" s="339">
        <v>0.3</v>
      </c>
      <c r="G229" s="339">
        <v>0.3</v>
      </c>
      <c r="H229" s="339">
        <v>0.3</v>
      </c>
      <c r="I229" s="339">
        <v>0.3</v>
      </c>
      <c r="J229" s="339">
        <v>0.3</v>
      </c>
      <c r="K229" s="339">
        <v>0.3</v>
      </c>
      <c r="L229" s="339">
        <v>0.3</v>
      </c>
      <c r="M229" s="339">
        <v>0.3</v>
      </c>
      <c r="N229" s="339">
        <v>0.3</v>
      </c>
      <c r="O229" s="339">
        <v>0.3</v>
      </c>
      <c r="P229" s="339">
        <v>0.3</v>
      </c>
      <c r="Q229" s="339">
        <v>0.3</v>
      </c>
      <c r="R229" s="339">
        <v>0.3</v>
      </c>
      <c r="S229" s="339">
        <v>0</v>
      </c>
      <c r="T229" s="339">
        <v>0</v>
      </c>
      <c r="U229" s="339">
        <v>0</v>
      </c>
      <c r="V229" s="339">
        <v>0</v>
      </c>
      <c r="W229" s="339">
        <v>0</v>
      </c>
      <c r="X229" s="339">
        <v>0</v>
      </c>
      <c r="Y229" s="339">
        <v>0</v>
      </c>
      <c r="Z229" s="339">
        <v>0</v>
      </c>
      <c r="AA229" s="339">
        <v>0</v>
      </c>
      <c r="AB229" s="339">
        <v>0</v>
      </c>
      <c r="AC229" s="339">
        <v>0</v>
      </c>
      <c r="AD229" s="339">
        <v>0</v>
      </c>
      <c r="AE229" s="339">
        <v>0</v>
      </c>
      <c r="AF229" s="339">
        <v>0</v>
      </c>
      <c r="AG229" s="339">
        <v>0</v>
      </c>
      <c r="AH229" s="339">
        <v>0</v>
      </c>
      <c r="AI229" s="339">
        <v>0</v>
      </c>
      <c r="AJ229" s="339">
        <v>0</v>
      </c>
      <c r="AK229" s="339">
        <v>0</v>
      </c>
      <c r="AL229" s="339">
        <v>0</v>
      </c>
      <c r="AM229" s="339">
        <v>0</v>
      </c>
      <c r="AN229" s="339">
        <v>0</v>
      </c>
      <c r="AO229" s="339">
        <v>0</v>
      </c>
      <c r="AP229" s="339">
        <v>0</v>
      </c>
      <c r="AQ229" s="339">
        <v>0</v>
      </c>
      <c r="AR229" s="339">
        <v>0</v>
      </c>
      <c r="AS229" s="339">
        <v>0</v>
      </c>
      <c r="AT229" s="339">
        <v>0</v>
      </c>
      <c r="AU229" s="339">
        <v>0</v>
      </c>
      <c r="AV229" s="339">
        <v>0</v>
      </c>
      <c r="AW229" s="339">
        <v>0</v>
      </c>
      <c r="AX229" s="339">
        <v>0</v>
      </c>
      <c r="AY229" s="339">
        <v>0</v>
      </c>
      <c r="AZ229" s="339">
        <v>0</v>
      </c>
      <c r="BA229" s="339">
        <v>0</v>
      </c>
      <c r="BB229" s="339">
        <v>0</v>
      </c>
      <c r="BC229" s="339">
        <v>0</v>
      </c>
      <c r="BD229" s="339">
        <v>0</v>
      </c>
      <c r="BE229" s="339">
        <v>0</v>
      </c>
      <c r="BF229" s="339">
        <v>0</v>
      </c>
      <c r="BG229" s="339">
        <v>0</v>
      </c>
      <c r="BH229" s="339">
        <v>0</v>
      </c>
      <c r="BI229" s="339">
        <v>0</v>
      </c>
      <c r="BJ229" s="339">
        <v>0</v>
      </c>
      <c r="BK229" s="339">
        <v>0</v>
      </c>
      <c r="BL229" s="339">
        <v>0</v>
      </c>
      <c r="BM229" s="339">
        <v>0</v>
      </c>
      <c r="BN229" s="339">
        <v>0</v>
      </c>
      <c r="BO229" s="339">
        <v>0</v>
      </c>
      <c r="BP229" s="339">
        <v>0</v>
      </c>
      <c r="BQ229" s="339">
        <v>0</v>
      </c>
      <c r="BR229" s="339">
        <v>0</v>
      </c>
      <c r="BS229" s="339">
        <v>0</v>
      </c>
      <c r="BT229" s="339">
        <v>0</v>
      </c>
      <c r="BU229" s="339">
        <v>0</v>
      </c>
      <c r="BV229" s="339">
        <v>0</v>
      </c>
      <c r="BW229" s="339">
        <v>0</v>
      </c>
      <c r="BX229" s="339">
        <v>0</v>
      </c>
    </row>
    <row r="230" spans="2:76" hidden="1" outlineLevel="1">
      <c r="B230" s="348"/>
      <c r="C230" s="348" t="s">
        <v>241</v>
      </c>
      <c r="D230" s="348" t="s">
        <v>140</v>
      </c>
      <c r="E230" s="348" t="s">
        <v>24</v>
      </c>
      <c r="F230" s="339">
        <v>0.3</v>
      </c>
      <c r="G230" s="339">
        <v>0.3</v>
      </c>
      <c r="H230" s="339">
        <v>0.3</v>
      </c>
      <c r="I230" s="339">
        <v>0.3</v>
      </c>
      <c r="J230" s="339">
        <v>0.3</v>
      </c>
      <c r="K230" s="339">
        <v>0.3</v>
      </c>
      <c r="L230" s="339">
        <v>0.3</v>
      </c>
      <c r="M230" s="339">
        <v>0.3</v>
      </c>
      <c r="N230" s="339">
        <v>0.3</v>
      </c>
      <c r="O230" s="339">
        <v>0.3</v>
      </c>
      <c r="P230" s="339">
        <v>0.3</v>
      </c>
      <c r="Q230" s="339">
        <v>0.3</v>
      </c>
      <c r="R230" s="339">
        <v>0.3</v>
      </c>
      <c r="S230" s="339">
        <v>0</v>
      </c>
      <c r="T230" s="339">
        <v>0</v>
      </c>
      <c r="U230" s="339">
        <v>0</v>
      </c>
      <c r="V230" s="339">
        <v>0</v>
      </c>
      <c r="W230" s="339">
        <v>0</v>
      </c>
      <c r="X230" s="339">
        <v>0</v>
      </c>
      <c r="Y230" s="339">
        <v>0</v>
      </c>
      <c r="Z230" s="339">
        <v>0</v>
      </c>
      <c r="AA230" s="339">
        <v>0</v>
      </c>
      <c r="AB230" s="339">
        <v>0</v>
      </c>
      <c r="AC230" s="339">
        <v>0</v>
      </c>
      <c r="AD230" s="339">
        <v>0</v>
      </c>
      <c r="AE230" s="339">
        <v>0</v>
      </c>
      <c r="AF230" s="339">
        <v>0</v>
      </c>
      <c r="AG230" s="339">
        <v>0</v>
      </c>
      <c r="AH230" s="339">
        <v>0</v>
      </c>
      <c r="AI230" s="339">
        <v>0</v>
      </c>
      <c r="AJ230" s="339">
        <v>0</v>
      </c>
      <c r="AK230" s="339">
        <v>0</v>
      </c>
      <c r="AL230" s="339">
        <v>0</v>
      </c>
      <c r="AM230" s="339">
        <v>0</v>
      </c>
      <c r="AN230" s="339">
        <v>0</v>
      </c>
      <c r="AO230" s="339">
        <v>0</v>
      </c>
      <c r="AP230" s="339">
        <v>0</v>
      </c>
      <c r="AQ230" s="339">
        <v>0</v>
      </c>
      <c r="AR230" s="339">
        <v>0</v>
      </c>
      <c r="AS230" s="339">
        <v>0</v>
      </c>
      <c r="AT230" s="339">
        <v>0</v>
      </c>
      <c r="AU230" s="339">
        <v>0</v>
      </c>
      <c r="AV230" s="339">
        <v>0</v>
      </c>
      <c r="AW230" s="339">
        <v>0</v>
      </c>
      <c r="AX230" s="339">
        <v>0</v>
      </c>
      <c r="AY230" s="339">
        <v>0</v>
      </c>
      <c r="AZ230" s="339">
        <v>0</v>
      </c>
      <c r="BA230" s="339">
        <v>0</v>
      </c>
      <c r="BB230" s="339">
        <v>0</v>
      </c>
      <c r="BC230" s="339">
        <v>0</v>
      </c>
      <c r="BD230" s="339">
        <v>0</v>
      </c>
      <c r="BE230" s="339">
        <v>0</v>
      </c>
      <c r="BF230" s="339">
        <v>0</v>
      </c>
      <c r="BG230" s="339">
        <v>0</v>
      </c>
      <c r="BH230" s="339">
        <v>0</v>
      </c>
      <c r="BI230" s="339">
        <v>0</v>
      </c>
      <c r="BJ230" s="339">
        <v>0</v>
      </c>
      <c r="BK230" s="339">
        <v>0</v>
      </c>
      <c r="BL230" s="339">
        <v>0</v>
      </c>
      <c r="BM230" s="339">
        <v>0</v>
      </c>
      <c r="BN230" s="339">
        <v>0</v>
      </c>
      <c r="BO230" s="339">
        <v>0</v>
      </c>
      <c r="BP230" s="339">
        <v>0</v>
      </c>
      <c r="BQ230" s="339">
        <v>0</v>
      </c>
      <c r="BR230" s="339">
        <v>0</v>
      </c>
      <c r="BS230" s="339">
        <v>0</v>
      </c>
      <c r="BT230" s="339">
        <v>0</v>
      </c>
      <c r="BU230" s="339">
        <v>0</v>
      </c>
      <c r="BV230" s="339">
        <v>0</v>
      </c>
      <c r="BW230" s="339">
        <v>0</v>
      </c>
      <c r="BX230" s="339">
        <v>0</v>
      </c>
    </row>
    <row r="231" spans="2:76" hidden="1" outlineLevel="1">
      <c r="B231" s="348"/>
      <c r="C231" s="348" t="s">
        <v>241</v>
      </c>
      <c r="D231" s="348" t="s">
        <v>140</v>
      </c>
      <c r="E231" s="348" t="s">
        <v>25</v>
      </c>
      <c r="F231" s="339">
        <v>0.3</v>
      </c>
      <c r="G231" s="339">
        <v>0.3</v>
      </c>
      <c r="H231" s="339">
        <v>0.3</v>
      </c>
      <c r="I231" s="339">
        <v>0.3</v>
      </c>
      <c r="J231" s="339">
        <v>0.3</v>
      </c>
      <c r="K231" s="339">
        <v>0.3</v>
      </c>
      <c r="L231" s="339">
        <v>0.3</v>
      </c>
      <c r="M231" s="339">
        <v>0.3</v>
      </c>
      <c r="N231" s="339">
        <v>0.3</v>
      </c>
      <c r="O231" s="339">
        <v>0.3</v>
      </c>
      <c r="P231" s="339">
        <v>0.3</v>
      </c>
      <c r="Q231" s="339">
        <v>0.3</v>
      </c>
      <c r="R231" s="339">
        <v>0.3</v>
      </c>
      <c r="S231" s="339">
        <v>0</v>
      </c>
      <c r="T231" s="339">
        <v>0</v>
      </c>
      <c r="U231" s="339">
        <v>0</v>
      </c>
      <c r="V231" s="339">
        <v>0</v>
      </c>
      <c r="W231" s="339">
        <v>0</v>
      </c>
      <c r="X231" s="339">
        <v>0</v>
      </c>
      <c r="Y231" s="339">
        <v>0</v>
      </c>
      <c r="Z231" s="339">
        <v>0</v>
      </c>
      <c r="AA231" s="339">
        <v>0</v>
      </c>
      <c r="AB231" s="339">
        <v>0</v>
      </c>
      <c r="AC231" s="339">
        <v>0</v>
      </c>
      <c r="AD231" s="339">
        <v>0</v>
      </c>
      <c r="AE231" s="339">
        <v>0</v>
      </c>
      <c r="AF231" s="339">
        <v>0</v>
      </c>
      <c r="AG231" s="339">
        <v>0</v>
      </c>
      <c r="AH231" s="339">
        <v>0</v>
      </c>
      <c r="AI231" s="339">
        <v>0</v>
      </c>
      <c r="AJ231" s="339">
        <v>0</v>
      </c>
      <c r="AK231" s="339">
        <v>0</v>
      </c>
      <c r="AL231" s="339">
        <v>0</v>
      </c>
      <c r="AM231" s="339">
        <v>0</v>
      </c>
      <c r="AN231" s="339">
        <v>0</v>
      </c>
      <c r="AO231" s="339">
        <v>0</v>
      </c>
      <c r="AP231" s="339">
        <v>0</v>
      </c>
      <c r="AQ231" s="339">
        <v>0</v>
      </c>
      <c r="AR231" s="339">
        <v>0</v>
      </c>
      <c r="AS231" s="339">
        <v>0</v>
      </c>
      <c r="AT231" s="339">
        <v>0</v>
      </c>
      <c r="AU231" s="339">
        <v>0</v>
      </c>
      <c r="AV231" s="339">
        <v>0</v>
      </c>
      <c r="AW231" s="339">
        <v>0</v>
      </c>
      <c r="AX231" s="339">
        <v>0</v>
      </c>
      <c r="AY231" s="339">
        <v>0</v>
      </c>
      <c r="AZ231" s="339">
        <v>0</v>
      </c>
      <c r="BA231" s="339">
        <v>0</v>
      </c>
      <c r="BB231" s="339">
        <v>0</v>
      </c>
      <c r="BC231" s="339">
        <v>0</v>
      </c>
      <c r="BD231" s="339">
        <v>0</v>
      </c>
      <c r="BE231" s="339">
        <v>0</v>
      </c>
      <c r="BF231" s="339">
        <v>0</v>
      </c>
      <c r="BG231" s="339">
        <v>0</v>
      </c>
      <c r="BH231" s="339">
        <v>0</v>
      </c>
      <c r="BI231" s="339">
        <v>0</v>
      </c>
      <c r="BJ231" s="339">
        <v>0</v>
      </c>
      <c r="BK231" s="339">
        <v>0</v>
      </c>
      <c r="BL231" s="339">
        <v>0</v>
      </c>
      <c r="BM231" s="339">
        <v>0</v>
      </c>
      <c r="BN231" s="339">
        <v>0</v>
      </c>
      <c r="BO231" s="339">
        <v>0</v>
      </c>
      <c r="BP231" s="339">
        <v>0</v>
      </c>
      <c r="BQ231" s="339">
        <v>0</v>
      </c>
      <c r="BR231" s="339">
        <v>0</v>
      </c>
      <c r="BS231" s="339">
        <v>0</v>
      </c>
      <c r="BT231" s="339">
        <v>0</v>
      </c>
      <c r="BU231" s="339">
        <v>0</v>
      </c>
      <c r="BV231" s="339">
        <v>0</v>
      </c>
      <c r="BW231" s="339">
        <v>0</v>
      </c>
      <c r="BX231" s="339">
        <v>0</v>
      </c>
    </row>
    <row r="232" spans="2:76" hidden="1" outlineLevel="1">
      <c r="B232" s="349"/>
      <c r="C232" s="349" t="s">
        <v>241</v>
      </c>
      <c r="D232" s="349" t="s">
        <v>80</v>
      </c>
      <c r="E232" s="349" t="s">
        <v>26</v>
      </c>
      <c r="F232" s="339">
        <v>1</v>
      </c>
      <c r="G232" s="339">
        <v>1</v>
      </c>
      <c r="H232" s="339">
        <v>1</v>
      </c>
      <c r="I232" s="339">
        <v>1</v>
      </c>
      <c r="J232" s="339">
        <v>1</v>
      </c>
      <c r="K232" s="339">
        <v>1</v>
      </c>
      <c r="L232" s="339">
        <v>1</v>
      </c>
      <c r="M232" s="339">
        <v>1</v>
      </c>
      <c r="N232" s="339">
        <v>1</v>
      </c>
      <c r="O232" s="339">
        <v>1</v>
      </c>
      <c r="P232" s="339">
        <v>1</v>
      </c>
      <c r="Q232" s="339">
        <v>1</v>
      </c>
      <c r="R232" s="339">
        <v>1</v>
      </c>
      <c r="S232" s="339">
        <v>0.6</v>
      </c>
      <c r="T232" s="339">
        <v>0.4</v>
      </c>
      <c r="U232" s="339">
        <v>0</v>
      </c>
      <c r="V232" s="339">
        <v>0</v>
      </c>
      <c r="W232" s="339">
        <v>0</v>
      </c>
      <c r="X232" s="339">
        <v>0</v>
      </c>
      <c r="Y232" s="339">
        <v>0</v>
      </c>
      <c r="Z232" s="339">
        <v>0</v>
      </c>
      <c r="AA232" s="339">
        <v>0</v>
      </c>
      <c r="AB232" s="339">
        <v>0</v>
      </c>
      <c r="AC232" s="339">
        <v>0</v>
      </c>
      <c r="AD232" s="339">
        <v>0</v>
      </c>
      <c r="AE232" s="339">
        <v>0</v>
      </c>
      <c r="AF232" s="339">
        <v>0</v>
      </c>
      <c r="AG232" s="339">
        <v>0</v>
      </c>
      <c r="AH232" s="339">
        <v>0</v>
      </c>
      <c r="AI232" s="339">
        <v>0</v>
      </c>
      <c r="AJ232" s="339">
        <v>0</v>
      </c>
      <c r="AK232" s="339">
        <v>0</v>
      </c>
      <c r="AL232" s="339">
        <v>0</v>
      </c>
      <c r="AM232" s="339">
        <v>0</v>
      </c>
      <c r="AN232" s="339">
        <v>0</v>
      </c>
      <c r="AO232" s="339">
        <v>0</v>
      </c>
      <c r="AP232" s="339">
        <v>0</v>
      </c>
      <c r="AQ232" s="339">
        <v>0</v>
      </c>
      <c r="AR232" s="339">
        <v>0</v>
      </c>
      <c r="AS232" s="339">
        <v>0</v>
      </c>
      <c r="AT232" s="339">
        <v>0</v>
      </c>
      <c r="AU232" s="339">
        <v>0</v>
      </c>
      <c r="AV232" s="339">
        <v>0</v>
      </c>
      <c r="AW232" s="339">
        <v>0</v>
      </c>
      <c r="AX232" s="339">
        <v>0</v>
      </c>
      <c r="AY232" s="339">
        <v>0</v>
      </c>
      <c r="AZ232" s="339">
        <v>0</v>
      </c>
      <c r="BA232" s="339">
        <v>0</v>
      </c>
      <c r="BB232" s="339">
        <v>0</v>
      </c>
      <c r="BC232" s="339">
        <v>0</v>
      </c>
      <c r="BD232" s="339">
        <v>0</v>
      </c>
      <c r="BE232" s="339">
        <v>0</v>
      </c>
      <c r="BF232" s="339">
        <v>0</v>
      </c>
      <c r="BG232" s="339">
        <v>0</v>
      </c>
      <c r="BH232" s="339">
        <v>0</v>
      </c>
      <c r="BI232" s="339">
        <v>0</v>
      </c>
      <c r="BJ232" s="339">
        <v>0</v>
      </c>
      <c r="BK232" s="339">
        <v>0</v>
      </c>
      <c r="BL232" s="339">
        <v>0</v>
      </c>
      <c r="BM232" s="339">
        <v>0</v>
      </c>
      <c r="BN232" s="339">
        <v>0</v>
      </c>
      <c r="BO232" s="339">
        <v>0</v>
      </c>
      <c r="BP232" s="339">
        <v>0</v>
      </c>
      <c r="BQ232" s="339">
        <v>0</v>
      </c>
      <c r="BR232" s="339">
        <v>0</v>
      </c>
      <c r="BS232" s="339">
        <v>0</v>
      </c>
      <c r="BT232" s="339">
        <v>0</v>
      </c>
      <c r="BU232" s="339">
        <v>0</v>
      </c>
      <c r="BV232" s="339">
        <v>0</v>
      </c>
      <c r="BW232" s="339">
        <v>0</v>
      </c>
      <c r="BX232" s="339">
        <v>0</v>
      </c>
    </row>
    <row r="233" spans="2:76" hidden="1" outlineLevel="1">
      <c r="B233" s="349"/>
      <c r="C233" s="349" t="s">
        <v>241</v>
      </c>
      <c r="D233" s="349"/>
      <c r="E233" s="349" t="s">
        <v>27</v>
      </c>
      <c r="F233" s="339">
        <v>0</v>
      </c>
      <c r="G233" s="339">
        <v>0</v>
      </c>
      <c r="H233" s="339">
        <v>0</v>
      </c>
      <c r="I233" s="339">
        <v>0</v>
      </c>
      <c r="J233" s="339">
        <v>0</v>
      </c>
      <c r="K233" s="339">
        <v>0</v>
      </c>
      <c r="L233" s="339">
        <v>0</v>
      </c>
      <c r="M233" s="339">
        <v>0</v>
      </c>
      <c r="N233" s="339">
        <v>0</v>
      </c>
      <c r="O233" s="339">
        <v>0</v>
      </c>
      <c r="P233" s="339">
        <v>0</v>
      </c>
      <c r="Q233" s="339">
        <v>0</v>
      </c>
      <c r="R233" s="339">
        <v>0</v>
      </c>
      <c r="S233" s="339">
        <v>0</v>
      </c>
      <c r="T233" s="339">
        <v>0</v>
      </c>
      <c r="U233" s="339">
        <v>0</v>
      </c>
      <c r="V233" s="339">
        <v>0</v>
      </c>
      <c r="W233" s="339">
        <v>0</v>
      </c>
      <c r="X233" s="339">
        <v>0</v>
      </c>
      <c r="Y233" s="339">
        <v>0</v>
      </c>
      <c r="Z233" s="339">
        <v>0</v>
      </c>
      <c r="AA233" s="339">
        <v>0</v>
      </c>
      <c r="AB233" s="339">
        <v>0</v>
      </c>
      <c r="AC233" s="339">
        <v>0</v>
      </c>
      <c r="AD233" s="339">
        <v>0</v>
      </c>
      <c r="AE233" s="339">
        <v>0</v>
      </c>
      <c r="AF233" s="339">
        <v>0</v>
      </c>
      <c r="AG233" s="339">
        <v>0</v>
      </c>
      <c r="AH233" s="339">
        <v>0</v>
      </c>
      <c r="AI233" s="339">
        <v>0</v>
      </c>
      <c r="AJ233" s="339">
        <v>0</v>
      </c>
      <c r="AK233" s="339">
        <v>0</v>
      </c>
      <c r="AL233" s="339">
        <v>0</v>
      </c>
      <c r="AM233" s="339">
        <v>0</v>
      </c>
      <c r="AN233" s="339">
        <v>0</v>
      </c>
      <c r="AO233" s="339">
        <v>0</v>
      </c>
      <c r="AP233" s="339">
        <v>0</v>
      </c>
      <c r="AQ233" s="339">
        <v>0</v>
      </c>
      <c r="AR233" s="339">
        <v>0</v>
      </c>
      <c r="AS233" s="339">
        <v>0</v>
      </c>
      <c r="AT233" s="339">
        <v>0</v>
      </c>
      <c r="AU233" s="339">
        <v>0</v>
      </c>
      <c r="AV233" s="339">
        <v>0</v>
      </c>
      <c r="AW233" s="339">
        <v>0</v>
      </c>
      <c r="AX233" s="339">
        <v>0</v>
      </c>
      <c r="AY233" s="339">
        <v>0</v>
      </c>
      <c r="AZ233" s="339">
        <v>0</v>
      </c>
      <c r="BA233" s="339">
        <v>0</v>
      </c>
      <c r="BB233" s="339">
        <v>0</v>
      </c>
      <c r="BC233" s="339">
        <v>0</v>
      </c>
      <c r="BD233" s="339">
        <v>0</v>
      </c>
      <c r="BE233" s="339">
        <v>0</v>
      </c>
      <c r="BF233" s="339">
        <v>0</v>
      </c>
      <c r="BG233" s="339">
        <v>0</v>
      </c>
      <c r="BH233" s="339">
        <v>0</v>
      </c>
      <c r="BI233" s="339">
        <v>0</v>
      </c>
      <c r="BJ233" s="339">
        <v>0</v>
      </c>
      <c r="BK233" s="339">
        <v>0</v>
      </c>
      <c r="BL233" s="339">
        <v>0</v>
      </c>
      <c r="BM233" s="339">
        <v>0</v>
      </c>
      <c r="BN233" s="339">
        <v>0</v>
      </c>
      <c r="BO233" s="339">
        <v>0</v>
      </c>
      <c r="BP233" s="339">
        <v>0</v>
      </c>
      <c r="BQ233" s="339">
        <v>0</v>
      </c>
      <c r="BR233" s="339">
        <v>0</v>
      </c>
      <c r="BS233" s="339">
        <v>0</v>
      </c>
      <c r="BT233" s="339">
        <v>0</v>
      </c>
      <c r="BU233" s="339">
        <v>0</v>
      </c>
      <c r="BV233" s="339">
        <v>0</v>
      </c>
      <c r="BW233" s="339">
        <v>0</v>
      </c>
      <c r="BX233" s="339">
        <v>0</v>
      </c>
    </row>
    <row r="234" spans="2:76" hidden="1" outlineLevel="1">
      <c r="B234" s="349"/>
      <c r="C234" s="349" t="s">
        <v>241</v>
      </c>
      <c r="D234" s="349"/>
      <c r="E234" s="349" t="s">
        <v>28</v>
      </c>
      <c r="F234" s="339">
        <v>0</v>
      </c>
      <c r="G234" s="339">
        <v>0</v>
      </c>
      <c r="H234" s="339">
        <v>0</v>
      </c>
      <c r="I234" s="339">
        <v>0</v>
      </c>
      <c r="J234" s="339">
        <v>0</v>
      </c>
      <c r="K234" s="339">
        <v>0</v>
      </c>
      <c r="L234" s="339">
        <v>0</v>
      </c>
      <c r="M234" s="339">
        <v>0</v>
      </c>
      <c r="N234" s="339">
        <v>0</v>
      </c>
      <c r="O234" s="339">
        <v>0</v>
      </c>
      <c r="P234" s="339">
        <v>0</v>
      </c>
      <c r="Q234" s="339">
        <v>0</v>
      </c>
      <c r="R234" s="339">
        <v>0</v>
      </c>
      <c r="S234" s="339">
        <v>0</v>
      </c>
      <c r="T234" s="339">
        <v>0</v>
      </c>
      <c r="U234" s="339">
        <v>0</v>
      </c>
      <c r="V234" s="339">
        <v>0</v>
      </c>
      <c r="W234" s="339">
        <v>0</v>
      </c>
      <c r="X234" s="339">
        <v>0</v>
      </c>
      <c r="Y234" s="339">
        <v>0</v>
      </c>
      <c r="Z234" s="339">
        <v>0</v>
      </c>
      <c r="AA234" s="339">
        <v>0</v>
      </c>
      <c r="AB234" s="339">
        <v>0</v>
      </c>
      <c r="AC234" s="339">
        <v>0</v>
      </c>
      <c r="AD234" s="339">
        <v>0</v>
      </c>
      <c r="AE234" s="339">
        <v>0</v>
      </c>
      <c r="AF234" s="339">
        <v>0</v>
      </c>
      <c r="AG234" s="339">
        <v>0</v>
      </c>
      <c r="AH234" s="339">
        <v>0</v>
      </c>
      <c r="AI234" s="339">
        <v>0</v>
      </c>
      <c r="AJ234" s="339">
        <v>0</v>
      </c>
      <c r="AK234" s="339">
        <v>0</v>
      </c>
      <c r="AL234" s="339">
        <v>0</v>
      </c>
      <c r="AM234" s="339">
        <v>0</v>
      </c>
      <c r="AN234" s="339">
        <v>0</v>
      </c>
      <c r="AO234" s="339">
        <v>0</v>
      </c>
      <c r="AP234" s="339">
        <v>0</v>
      </c>
      <c r="AQ234" s="339">
        <v>0</v>
      </c>
      <c r="AR234" s="339">
        <v>0</v>
      </c>
      <c r="AS234" s="339">
        <v>0</v>
      </c>
      <c r="AT234" s="339">
        <v>0</v>
      </c>
      <c r="AU234" s="339">
        <v>0</v>
      </c>
      <c r="AV234" s="339">
        <v>0</v>
      </c>
      <c r="AW234" s="339">
        <v>0</v>
      </c>
      <c r="AX234" s="339">
        <v>0</v>
      </c>
      <c r="AY234" s="339">
        <v>0</v>
      </c>
      <c r="AZ234" s="339">
        <v>0</v>
      </c>
      <c r="BA234" s="339">
        <v>0</v>
      </c>
      <c r="BB234" s="339">
        <v>0</v>
      </c>
      <c r="BC234" s="339">
        <v>0</v>
      </c>
      <c r="BD234" s="339">
        <v>0</v>
      </c>
      <c r="BE234" s="339">
        <v>0</v>
      </c>
      <c r="BF234" s="339">
        <v>0</v>
      </c>
      <c r="BG234" s="339">
        <v>0</v>
      </c>
      <c r="BH234" s="339">
        <v>0</v>
      </c>
      <c r="BI234" s="339">
        <v>0</v>
      </c>
      <c r="BJ234" s="339">
        <v>0</v>
      </c>
      <c r="BK234" s="339">
        <v>0</v>
      </c>
      <c r="BL234" s="339">
        <v>0</v>
      </c>
      <c r="BM234" s="339">
        <v>0</v>
      </c>
      <c r="BN234" s="339">
        <v>0</v>
      </c>
      <c r="BO234" s="339">
        <v>0</v>
      </c>
      <c r="BP234" s="339">
        <v>0</v>
      </c>
      <c r="BQ234" s="339">
        <v>0</v>
      </c>
      <c r="BR234" s="339">
        <v>0</v>
      </c>
      <c r="BS234" s="339">
        <v>0</v>
      </c>
      <c r="BT234" s="339">
        <v>0</v>
      </c>
      <c r="BU234" s="339">
        <v>0</v>
      </c>
      <c r="BV234" s="339">
        <v>0</v>
      </c>
      <c r="BW234" s="339">
        <v>0</v>
      </c>
      <c r="BX234" s="339">
        <v>0</v>
      </c>
    </row>
    <row r="235" spans="2:76" hidden="1" outlineLevel="1">
      <c r="B235" s="352"/>
      <c r="C235" s="352" t="s">
        <v>241</v>
      </c>
      <c r="D235" s="352" t="s">
        <v>140</v>
      </c>
      <c r="E235" s="352" t="s">
        <v>130</v>
      </c>
      <c r="F235" s="339">
        <v>0</v>
      </c>
      <c r="G235" s="339">
        <v>0</v>
      </c>
      <c r="H235" s="339">
        <v>0.4</v>
      </c>
      <c r="I235" s="339">
        <v>0.4</v>
      </c>
      <c r="J235" s="339">
        <v>0.4</v>
      </c>
      <c r="K235" s="339">
        <v>0.4</v>
      </c>
      <c r="L235" s="339">
        <v>0.4</v>
      </c>
      <c r="M235" s="339">
        <v>0.4</v>
      </c>
      <c r="N235" s="339">
        <v>0.4</v>
      </c>
      <c r="O235" s="339">
        <v>0.4</v>
      </c>
      <c r="P235" s="339">
        <v>0.4</v>
      </c>
      <c r="Q235" s="339">
        <v>0.4</v>
      </c>
      <c r="R235" s="339">
        <v>0.4</v>
      </c>
      <c r="S235" s="339">
        <v>0.36</v>
      </c>
      <c r="T235" s="339">
        <v>0.32</v>
      </c>
      <c r="U235" s="339">
        <v>0</v>
      </c>
      <c r="V235" s="339">
        <v>0</v>
      </c>
      <c r="W235" s="339">
        <v>0</v>
      </c>
      <c r="X235" s="339">
        <v>0</v>
      </c>
      <c r="Y235" s="339">
        <v>0</v>
      </c>
      <c r="Z235" s="339">
        <v>0</v>
      </c>
      <c r="AA235" s="339">
        <v>0</v>
      </c>
      <c r="AB235" s="339">
        <v>0</v>
      </c>
      <c r="AC235" s="339">
        <v>0</v>
      </c>
      <c r="AD235" s="339">
        <v>0</v>
      </c>
      <c r="AE235" s="339">
        <v>0</v>
      </c>
      <c r="AF235" s="339">
        <v>0</v>
      </c>
      <c r="AG235" s="339">
        <v>0</v>
      </c>
      <c r="AH235" s="339">
        <v>0</v>
      </c>
      <c r="AI235" s="339">
        <v>0</v>
      </c>
      <c r="AJ235" s="339">
        <v>0</v>
      </c>
      <c r="AK235" s="339">
        <v>0</v>
      </c>
      <c r="AL235" s="339">
        <v>0</v>
      </c>
      <c r="AM235" s="339">
        <v>0</v>
      </c>
      <c r="AN235" s="339">
        <v>0</v>
      </c>
      <c r="AO235" s="339">
        <v>0</v>
      </c>
      <c r="AP235" s="339">
        <v>0</v>
      </c>
      <c r="AQ235" s="339">
        <v>0</v>
      </c>
      <c r="AR235" s="339">
        <v>0</v>
      </c>
      <c r="AS235" s="339">
        <v>0</v>
      </c>
      <c r="AT235" s="339">
        <v>0</v>
      </c>
      <c r="AU235" s="339">
        <v>0</v>
      </c>
      <c r="AV235" s="339">
        <v>0</v>
      </c>
      <c r="AW235" s="339">
        <v>0</v>
      </c>
      <c r="AX235" s="339">
        <v>0</v>
      </c>
      <c r="AY235" s="339">
        <v>0</v>
      </c>
      <c r="AZ235" s="339">
        <v>0</v>
      </c>
      <c r="BA235" s="339">
        <v>0</v>
      </c>
      <c r="BB235" s="339">
        <v>0</v>
      </c>
      <c r="BC235" s="339">
        <v>0</v>
      </c>
      <c r="BD235" s="339">
        <v>0</v>
      </c>
      <c r="BE235" s="339">
        <v>0</v>
      </c>
      <c r="BF235" s="339">
        <v>0</v>
      </c>
      <c r="BG235" s="339">
        <v>0</v>
      </c>
      <c r="BH235" s="339">
        <v>0</v>
      </c>
      <c r="BI235" s="339">
        <v>0</v>
      </c>
      <c r="BJ235" s="339">
        <v>0</v>
      </c>
      <c r="BK235" s="339">
        <v>0</v>
      </c>
      <c r="BL235" s="339">
        <v>0</v>
      </c>
      <c r="BM235" s="339">
        <v>0</v>
      </c>
      <c r="BN235" s="339">
        <v>0</v>
      </c>
      <c r="BO235" s="339">
        <v>0</v>
      </c>
      <c r="BP235" s="339">
        <v>0</v>
      </c>
      <c r="BQ235" s="339">
        <v>0</v>
      </c>
      <c r="BR235" s="339">
        <v>0</v>
      </c>
      <c r="BS235" s="339">
        <v>0</v>
      </c>
      <c r="BT235" s="339">
        <v>0</v>
      </c>
      <c r="BU235" s="339">
        <v>0</v>
      </c>
      <c r="BV235" s="339">
        <v>0</v>
      </c>
      <c r="BW235" s="339">
        <v>0</v>
      </c>
      <c r="BX235" s="339">
        <v>0</v>
      </c>
    </row>
    <row r="236" spans="2:76" hidden="1" outlineLevel="1">
      <c r="B236" s="352"/>
      <c r="C236" s="352" t="s">
        <v>241</v>
      </c>
      <c r="D236" s="352" t="s">
        <v>140</v>
      </c>
      <c r="E236" s="352" t="s">
        <v>139</v>
      </c>
      <c r="F236" s="339">
        <v>0</v>
      </c>
      <c r="G236" s="339">
        <v>0</v>
      </c>
      <c r="H236" s="339">
        <v>0.4</v>
      </c>
      <c r="I236" s="339">
        <v>0.4</v>
      </c>
      <c r="J236" s="339">
        <v>0.4</v>
      </c>
      <c r="K236" s="339">
        <v>0.4</v>
      </c>
      <c r="L236" s="339">
        <v>0.4</v>
      </c>
      <c r="M236" s="339">
        <v>0.4</v>
      </c>
      <c r="N236" s="339">
        <v>0.4</v>
      </c>
      <c r="O236" s="339">
        <v>0.4</v>
      </c>
      <c r="P236" s="339">
        <v>0.4</v>
      </c>
      <c r="Q236" s="339">
        <v>0.4</v>
      </c>
      <c r="R236" s="339">
        <v>0.4</v>
      </c>
      <c r="S236" s="339">
        <v>0.36</v>
      </c>
      <c r="T236" s="339">
        <v>0.32</v>
      </c>
      <c r="U236" s="339">
        <v>0</v>
      </c>
      <c r="V236" s="339">
        <v>0</v>
      </c>
      <c r="W236" s="339">
        <v>0</v>
      </c>
      <c r="X236" s="339">
        <v>0</v>
      </c>
      <c r="Y236" s="339">
        <v>0</v>
      </c>
      <c r="Z236" s="339">
        <v>0</v>
      </c>
      <c r="AA236" s="339">
        <v>0</v>
      </c>
      <c r="AB236" s="339">
        <v>0</v>
      </c>
      <c r="AC236" s="339">
        <v>0</v>
      </c>
      <c r="AD236" s="339">
        <v>0</v>
      </c>
      <c r="AE236" s="339">
        <v>0</v>
      </c>
      <c r="AF236" s="339">
        <v>0</v>
      </c>
      <c r="AG236" s="339">
        <v>0</v>
      </c>
      <c r="AH236" s="339">
        <v>0</v>
      </c>
      <c r="AI236" s="339">
        <v>0</v>
      </c>
      <c r="AJ236" s="339">
        <v>0</v>
      </c>
      <c r="AK236" s="339">
        <v>0</v>
      </c>
      <c r="AL236" s="339">
        <v>0</v>
      </c>
      <c r="AM236" s="339">
        <v>0</v>
      </c>
      <c r="AN236" s="339">
        <v>0</v>
      </c>
      <c r="AO236" s="339">
        <v>0</v>
      </c>
      <c r="AP236" s="339">
        <v>0</v>
      </c>
      <c r="AQ236" s="339">
        <v>0</v>
      </c>
      <c r="AR236" s="339">
        <v>0</v>
      </c>
      <c r="AS236" s="339">
        <v>0</v>
      </c>
      <c r="AT236" s="339">
        <v>0</v>
      </c>
      <c r="AU236" s="339">
        <v>0</v>
      </c>
      <c r="AV236" s="339">
        <v>0</v>
      </c>
      <c r="AW236" s="339">
        <v>0</v>
      </c>
      <c r="AX236" s="339">
        <v>0</v>
      </c>
      <c r="AY236" s="339">
        <v>0</v>
      </c>
      <c r="AZ236" s="339">
        <v>0</v>
      </c>
      <c r="BA236" s="339">
        <v>0</v>
      </c>
      <c r="BB236" s="339">
        <v>0</v>
      </c>
      <c r="BC236" s="339">
        <v>0</v>
      </c>
      <c r="BD236" s="339">
        <v>0</v>
      </c>
      <c r="BE236" s="339">
        <v>0</v>
      </c>
      <c r="BF236" s="339">
        <v>0</v>
      </c>
      <c r="BG236" s="339">
        <v>0</v>
      </c>
      <c r="BH236" s="339">
        <v>0</v>
      </c>
      <c r="BI236" s="339">
        <v>0</v>
      </c>
      <c r="BJ236" s="339">
        <v>0</v>
      </c>
      <c r="BK236" s="339">
        <v>0</v>
      </c>
      <c r="BL236" s="339">
        <v>0</v>
      </c>
      <c r="BM236" s="339">
        <v>0</v>
      </c>
      <c r="BN236" s="339">
        <v>0</v>
      </c>
      <c r="BO236" s="339">
        <v>0</v>
      </c>
      <c r="BP236" s="339">
        <v>0</v>
      </c>
      <c r="BQ236" s="339">
        <v>0</v>
      </c>
      <c r="BR236" s="339">
        <v>0</v>
      </c>
      <c r="BS236" s="339">
        <v>0</v>
      </c>
      <c r="BT236" s="339">
        <v>0</v>
      </c>
      <c r="BU236" s="339">
        <v>0</v>
      </c>
      <c r="BV236" s="339">
        <v>0</v>
      </c>
      <c r="BW236" s="339">
        <v>0</v>
      </c>
      <c r="BX236" s="339">
        <v>0</v>
      </c>
    </row>
    <row r="237" spans="2:76" hidden="1" outlineLevel="1">
      <c r="B237" s="352"/>
      <c r="C237" s="352" t="s">
        <v>241</v>
      </c>
      <c r="D237" s="352" t="s">
        <v>140</v>
      </c>
      <c r="E237" s="352" t="s">
        <v>131</v>
      </c>
      <c r="F237" s="339">
        <v>0</v>
      </c>
      <c r="G237" s="339">
        <v>0</v>
      </c>
      <c r="H237" s="339">
        <v>0.4</v>
      </c>
      <c r="I237" s="339">
        <v>0.4</v>
      </c>
      <c r="J237" s="339">
        <v>0.4</v>
      </c>
      <c r="K237" s="339">
        <v>0.4</v>
      </c>
      <c r="L237" s="339">
        <v>0.4</v>
      </c>
      <c r="M237" s="339">
        <v>0.4</v>
      </c>
      <c r="N237" s="339">
        <v>0.4</v>
      </c>
      <c r="O237" s="339">
        <v>0.4</v>
      </c>
      <c r="P237" s="339">
        <v>0.4</v>
      </c>
      <c r="Q237" s="339">
        <v>0.4</v>
      </c>
      <c r="R237" s="339">
        <v>0.4</v>
      </c>
      <c r="S237" s="339">
        <v>0.36</v>
      </c>
      <c r="T237" s="339">
        <v>0.32</v>
      </c>
      <c r="U237" s="339">
        <v>0</v>
      </c>
      <c r="V237" s="339">
        <v>0</v>
      </c>
      <c r="W237" s="339">
        <v>0</v>
      </c>
      <c r="X237" s="339">
        <v>0</v>
      </c>
      <c r="Y237" s="339">
        <v>0</v>
      </c>
      <c r="Z237" s="339">
        <v>0</v>
      </c>
      <c r="AA237" s="339">
        <v>0</v>
      </c>
      <c r="AB237" s="339">
        <v>0</v>
      </c>
      <c r="AC237" s="339">
        <v>0</v>
      </c>
      <c r="AD237" s="339">
        <v>0</v>
      </c>
      <c r="AE237" s="339">
        <v>0</v>
      </c>
      <c r="AF237" s="339">
        <v>0</v>
      </c>
      <c r="AG237" s="339">
        <v>0</v>
      </c>
      <c r="AH237" s="339">
        <v>0</v>
      </c>
      <c r="AI237" s="339">
        <v>0</v>
      </c>
      <c r="AJ237" s="339">
        <v>0</v>
      </c>
      <c r="AK237" s="339">
        <v>0</v>
      </c>
      <c r="AL237" s="339">
        <v>0</v>
      </c>
      <c r="AM237" s="339">
        <v>0</v>
      </c>
      <c r="AN237" s="339">
        <v>0</v>
      </c>
      <c r="AO237" s="339">
        <v>0</v>
      </c>
      <c r="AP237" s="339">
        <v>0</v>
      </c>
      <c r="AQ237" s="339">
        <v>0</v>
      </c>
      <c r="AR237" s="339">
        <v>0</v>
      </c>
      <c r="AS237" s="339">
        <v>0</v>
      </c>
      <c r="AT237" s="339">
        <v>0</v>
      </c>
      <c r="AU237" s="339">
        <v>0</v>
      </c>
      <c r="AV237" s="339">
        <v>0</v>
      </c>
      <c r="AW237" s="339">
        <v>0</v>
      </c>
      <c r="AX237" s="339">
        <v>0</v>
      </c>
      <c r="AY237" s="339">
        <v>0</v>
      </c>
      <c r="AZ237" s="339">
        <v>0</v>
      </c>
      <c r="BA237" s="339">
        <v>0</v>
      </c>
      <c r="BB237" s="339">
        <v>0</v>
      </c>
      <c r="BC237" s="339">
        <v>0</v>
      </c>
      <c r="BD237" s="339">
        <v>0</v>
      </c>
      <c r="BE237" s="339">
        <v>0</v>
      </c>
      <c r="BF237" s="339">
        <v>0</v>
      </c>
      <c r="BG237" s="339">
        <v>0</v>
      </c>
      <c r="BH237" s="339">
        <v>0</v>
      </c>
      <c r="BI237" s="339">
        <v>0</v>
      </c>
      <c r="BJ237" s="339">
        <v>0</v>
      </c>
      <c r="BK237" s="339">
        <v>0</v>
      </c>
      <c r="BL237" s="339">
        <v>0</v>
      </c>
      <c r="BM237" s="339">
        <v>0</v>
      </c>
      <c r="BN237" s="339">
        <v>0</v>
      </c>
      <c r="BO237" s="339">
        <v>0</v>
      </c>
      <c r="BP237" s="339">
        <v>0</v>
      </c>
      <c r="BQ237" s="339">
        <v>0</v>
      </c>
      <c r="BR237" s="339">
        <v>0</v>
      </c>
      <c r="BS237" s="339">
        <v>0</v>
      </c>
      <c r="BT237" s="339">
        <v>0</v>
      </c>
      <c r="BU237" s="339">
        <v>0</v>
      </c>
      <c r="BV237" s="339">
        <v>0</v>
      </c>
      <c r="BW237" s="339">
        <v>0</v>
      </c>
      <c r="BX237" s="339">
        <v>0</v>
      </c>
    </row>
    <row r="238" spans="2:76" hidden="1" outlineLevel="1">
      <c r="B238" s="352"/>
      <c r="C238" s="352" t="s">
        <v>241</v>
      </c>
      <c r="D238" s="352" t="s">
        <v>140</v>
      </c>
      <c r="E238" s="352" t="s">
        <v>132</v>
      </c>
      <c r="F238" s="339">
        <v>0</v>
      </c>
      <c r="G238" s="339">
        <v>0</v>
      </c>
      <c r="H238" s="339">
        <v>0.4</v>
      </c>
      <c r="I238" s="339">
        <v>0.4</v>
      </c>
      <c r="J238" s="339">
        <v>0.4</v>
      </c>
      <c r="K238" s="339">
        <v>0.4</v>
      </c>
      <c r="L238" s="339">
        <v>0.4</v>
      </c>
      <c r="M238" s="339">
        <v>0.4</v>
      </c>
      <c r="N238" s="339">
        <v>0.4</v>
      </c>
      <c r="O238" s="339">
        <v>0.4</v>
      </c>
      <c r="P238" s="339">
        <v>0.4</v>
      </c>
      <c r="Q238" s="339">
        <v>0.4</v>
      </c>
      <c r="R238" s="339">
        <v>0.4</v>
      </c>
      <c r="S238" s="339">
        <v>0.36</v>
      </c>
      <c r="T238" s="339">
        <v>0.32</v>
      </c>
      <c r="U238" s="339">
        <v>0</v>
      </c>
      <c r="V238" s="339">
        <v>0</v>
      </c>
      <c r="W238" s="339">
        <v>0</v>
      </c>
      <c r="X238" s="339">
        <v>0</v>
      </c>
      <c r="Y238" s="339">
        <v>0</v>
      </c>
      <c r="Z238" s="339">
        <v>0</v>
      </c>
      <c r="AA238" s="339">
        <v>0</v>
      </c>
      <c r="AB238" s="339">
        <v>0</v>
      </c>
      <c r="AC238" s="339">
        <v>0</v>
      </c>
      <c r="AD238" s="339">
        <v>0</v>
      </c>
      <c r="AE238" s="339">
        <v>0</v>
      </c>
      <c r="AF238" s="339">
        <v>0</v>
      </c>
      <c r="AG238" s="339">
        <v>0</v>
      </c>
      <c r="AH238" s="339">
        <v>0</v>
      </c>
      <c r="AI238" s="339">
        <v>0</v>
      </c>
      <c r="AJ238" s="339">
        <v>0</v>
      </c>
      <c r="AK238" s="339">
        <v>0</v>
      </c>
      <c r="AL238" s="339">
        <v>0</v>
      </c>
      <c r="AM238" s="339">
        <v>0</v>
      </c>
      <c r="AN238" s="339">
        <v>0</v>
      </c>
      <c r="AO238" s="339">
        <v>0</v>
      </c>
      <c r="AP238" s="339">
        <v>0</v>
      </c>
      <c r="AQ238" s="339">
        <v>0</v>
      </c>
      <c r="AR238" s="339">
        <v>0</v>
      </c>
      <c r="AS238" s="339">
        <v>0</v>
      </c>
      <c r="AT238" s="339">
        <v>0</v>
      </c>
      <c r="AU238" s="339">
        <v>0</v>
      </c>
      <c r="AV238" s="339">
        <v>0</v>
      </c>
      <c r="AW238" s="339">
        <v>0</v>
      </c>
      <c r="AX238" s="339">
        <v>0</v>
      </c>
      <c r="AY238" s="339">
        <v>0</v>
      </c>
      <c r="AZ238" s="339">
        <v>0</v>
      </c>
      <c r="BA238" s="339">
        <v>0</v>
      </c>
      <c r="BB238" s="339">
        <v>0</v>
      </c>
      <c r="BC238" s="339">
        <v>0</v>
      </c>
      <c r="BD238" s="339">
        <v>0</v>
      </c>
      <c r="BE238" s="339">
        <v>0</v>
      </c>
      <c r="BF238" s="339">
        <v>0</v>
      </c>
      <c r="BG238" s="339">
        <v>0</v>
      </c>
      <c r="BH238" s="339">
        <v>0</v>
      </c>
      <c r="BI238" s="339">
        <v>0</v>
      </c>
      <c r="BJ238" s="339">
        <v>0</v>
      </c>
      <c r="BK238" s="339">
        <v>0</v>
      </c>
      <c r="BL238" s="339">
        <v>0</v>
      </c>
      <c r="BM238" s="339">
        <v>0</v>
      </c>
      <c r="BN238" s="339">
        <v>0</v>
      </c>
      <c r="BO238" s="339">
        <v>0</v>
      </c>
      <c r="BP238" s="339">
        <v>0</v>
      </c>
      <c r="BQ238" s="339">
        <v>0</v>
      </c>
      <c r="BR238" s="339">
        <v>0</v>
      </c>
      <c r="BS238" s="339">
        <v>0</v>
      </c>
      <c r="BT238" s="339">
        <v>0</v>
      </c>
      <c r="BU238" s="339">
        <v>0</v>
      </c>
      <c r="BV238" s="339">
        <v>0</v>
      </c>
      <c r="BW238" s="339">
        <v>0</v>
      </c>
      <c r="BX238" s="339">
        <v>0</v>
      </c>
    </row>
    <row r="239" spans="2:76" hidden="1" outlineLevel="1">
      <c r="B239" s="352"/>
      <c r="C239" s="352" t="s">
        <v>241</v>
      </c>
      <c r="D239" s="352" t="s">
        <v>140</v>
      </c>
      <c r="E239" s="352" t="s">
        <v>133</v>
      </c>
      <c r="F239" s="339">
        <v>0.3</v>
      </c>
      <c r="G239" s="339">
        <v>0.3</v>
      </c>
      <c r="H239" s="339">
        <v>0.3</v>
      </c>
      <c r="I239" s="339">
        <v>0.3</v>
      </c>
      <c r="J239" s="339">
        <v>0.3</v>
      </c>
      <c r="K239" s="339">
        <v>0.3</v>
      </c>
      <c r="L239" s="339">
        <v>0.3</v>
      </c>
      <c r="M239" s="339">
        <v>0.3</v>
      </c>
      <c r="N239" s="339">
        <v>0.3</v>
      </c>
      <c r="O239" s="339">
        <v>0.3</v>
      </c>
      <c r="P239" s="339">
        <v>0.3</v>
      </c>
      <c r="Q239" s="339">
        <v>0.3</v>
      </c>
      <c r="R239" s="339">
        <v>0.3</v>
      </c>
      <c r="S239" s="339">
        <v>0.26</v>
      </c>
      <c r="T239" s="339">
        <v>0.22</v>
      </c>
      <c r="U239" s="339">
        <v>0.1</v>
      </c>
      <c r="V239" s="339">
        <v>0.1</v>
      </c>
      <c r="W239" s="339">
        <v>0.1</v>
      </c>
      <c r="X239" s="339">
        <v>0.1</v>
      </c>
      <c r="Y239" s="339">
        <v>0.1</v>
      </c>
      <c r="Z239" s="339">
        <v>0.1</v>
      </c>
      <c r="AA239" s="339">
        <v>0.1</v>
      </c>
      <c r="AB239" s="339">
        <v>0.1</v>
      </c>
      <c r="AC239" s="339">
        <v>0.1</v>
      </c>
      <c r="AD239" s="339">
        <v>0.1</v>
      </c>
      <c r="AE239" s="339">
        <v>0.1</v>
      </c>
      <c r="AF239" s="339">
        <v>0.1</v>
      </c>
      <c r="AG239" s="339">
        <v>0.1</v>
      </c>
      <c r="AH239" s="339">
        <v>0.1</v>
      </c>
      <c r="AI239" s="339">
        <v>0.1</v>
      </c>
      <c r="AJ239" s="339">
        <v>0.1</v>
      </c>
      <c r="AK239" s="339">
        <v>0.1</v>
      </c>
      <c r="AL239" s="339">
        <v>0.1</v>
      </c>
      <c r="AM239" s="339">
        <v>0.1</v>
      </c>
      <c r="AN239" s="339">
        <v>0.1</v>
      </c>
      <c r="AO239" s="339">
        <v>0.1</v>
      </c>
      <c r="AP239" s="339">
        <v>0.1</v>
      </c>
      <c r="AQ239" s="339">
        <v>0.1</v>
      </c>
      <c r="AR239" s="339">
        <v>0.1</v>
      </c>
      <c r="AS239" s="339">
        <v>0.1</v>
      </c>
      <c r="AT239" s="339">
        <v>0.1</v>
      </c>
      <c r="AU239" s="339">
        <v>0.1</v>
      </c>
      <c r="AV239" s="339">
        <v>0.1</v>
      </c>
      <c r="AW239" s="339">
        <v>0.1</v>
      </c>
      <c r="AX239" s="339">
        <v>0.1</v>
      </c>
      <c r="AY239" s="339">
        <v>0.1</v>
      </c>
      <c r="AZ239" s="339">
        <v>0.1</v>
      </c>
      <c r="BA239" s="339">
        <v>0.1</v>
      </c>
      <c r="BB239" s="339">
        <v>0.1</v>
      </c>
      <c r="BC239" s="339">
        <v>0.1</v>
      </c>
      <c r="BD239" s="339">
        <v>0.1</v>
      </c>
      <c r="BE239" s="339">
        <v>0.1</v>
      </c>
      <c r="BF239" s="339">
        <v>0.1</v>
      </c>
      <c r="BG239" s="339">
        <v>0.1</v>
      </c>
      <c r="BH239" s="339">
        <v>0.1</v>
      </c>
      <c r="BI239" s="339">
        <v>0.1</v>
      </c>
      <c r="BJ239" s="339">
        <v>0.1</v>
      </c>
      <c r="BK239" s="339">
        <v>0.1</v>
      </c>
      <c r="BL239" s="339">
        <v>0.1</v>
      </c>
      <c r="BM239" s="339">
        <v>0.1</v>
      </c>
      <c r="BN239" s="339">
        <v>0.1</v>
      </c>
      <c r="BO239" s="339">
        <v>0.1</v>
      </c>
      <c r="BP239" s="339">
        <v>0.1</v>
      </c>
      <c r="BQ239" s="339">
        <v>0.1</v>
      </c>
      <c r="BR239" s="339">
        <v>0.1</v>
      </c>
      <c r="BS239" s="339">
        <v>0.1</v>
      </c>
      <c r="BT239" s="339">
        <v>0.1</v>
      </c>
      <c r="BU239" s="339">
        <v>0.1</v>
      </c>
      <c r="BV239" s="339">
        <v>0.1</v>
      </c>
      <c r="BW239" s="339">
        <v>0.1</v>
      </c>
      <c r="BX239" s="339">
        <v>0.1</v>
      </c>
    </row>
    <row r="240" spans="2:76" hidden="1" outlineLevel="1">
      <c r="B240" s="352"/>
      <c r="C240" s="352" t="s">
        <v>241</v>
      </c>
      <c r="D240" s="352" t="s">
        <v>140</v>
      </c>
      <c r="E240" s="352" t="s">
        <v>134</v>
      </c>
      <c r="F240" s="339">
        <v>0.3</v>
      </c>
      <c r="G240" s="339">
        <v>0.3</v>
      </c>
      <c r="H240" s="339">
        <v>0.3</v>
      </c>
      <c r="I240" s="339">
        <v>0.3</v>
      </c>
      <c r="J240" s="339">
        <v>0.3</v>
      </c>
      <c r="K240" s="339">
        <v>0.3</v>
      </c>
      <c r="L240" s="339">
        <v>0.3</v>
      </c>
      <c r="M240" s="339">
        <v>0.3</v>
      </c>
      <c r="N240" s="339">
        <v>0.3</v>
      </c>
      <c r="O240" s="339">
        <v>0.3</v>
      </c>
      <c r="P240" s="339">
        <v>0.3</v>
      </c>
      <c r="Q240" s="339">
        <v>0.3</v>
      </c>
      <c r="R240" s="339">
        <v>0.3</v>
      </c>
      <c r="S240" s="339">
        <v>0.26</v>
      </c>
      <c r="T240" s="339">
        <v>0.22</v>
      </c>
      <c r="U240" s="339">
        <v>0.1</v>
      </c>
      <c r="V240" s="339">
        <v>0.1</v>
      </c>
      <c r="W240" s="339">
        <v>0.1</v>
      </c>
      <c r="X240" s="339">
        <v>0.1</v>
      </c>
      <c r="Y240" s="339">
        <v>0.1</v>
      </c>
      <c r="Z240" s="339">
        <v>0.1</v>
      </c>
      <c r="AA240" s="339">
        <v>0.1</v>
      </c>
      <c r="AB240" s="339">
        <v>0.1</v>
      </c>
      <c r="AC240" s="339">
        <v>0.1</v>
      </c>
      <c r="AD240" s="339">
        <v>0.1</v>
      </c>
      <c r="AE240" s="339">
        <v>0.1</v>
      </c>
      <c r="AF240" s="339">
        <v>0.1</v>
      </c>
      <c r="AG240" s="339">
        <v>0.1</v>
      </c>
      <c r="AH240" s="339">
        <v>0.1</v>
      </c>
      <c r="AI240" s="339">
        <v>0.1</v>
      </c>
      <c r="AJ240" s="339">
        <v>0.1</v>
      </c>
      <c r="AK240" s="339">
        <v>0.1</v>
      </c>
      <c r="AL240" s="339">
        <v>0.1</v>
      </c>
      <c r="AM240" s="339">
        <v>0.1</v>
      </c>
      <c r="AN240" s="339">
        <v>0.1</v>
      </c>
      <c r="AO240" s="339">
        <v>0.1</v>
      </c>
      <c r="AP240" s="339">
        <v>0.1</v>
      </c>
      <c r="AQ240" s="339">
        <v>0.1</v>
      </c>
      <c r="AR240" s="339">
        <v>0.1</v>
      </c>
      <c r="AS240" s="339">
        <v>0.1</v>
      </c>
      <c r="AT240" s="339">
        <v>0.1</v>
      </c>
      <c r="AU240" s="339">
        <v>0.1</v>
      </c>
      <c r="AV240" s="339">
        <v>0.1</v>
      </c>
      <c r="AW240" s="339">
        <v>0.1</v>
      </c>
      <c r="AX240" s="339">
        <v>0.1</v>
      </c>
      <c r="AY240" s="339">
        <v>0.1</v>
      </c>
      <c r="AZ240" s="339">
        <v>0.1</v>
      </c>
      <c r="BA240" s="339">
        <v>0.1</v>
      </c>
      <c r="BB240" s="339">
        <v>0.1</v>
      </c>
      <c r="BC240" s="339">
        <v>0.1</v>
      </c>
      <c r="BD240" s="339">
        <v>0.1</v>
      </c>
      <c r="BE240" s="339">
        <v>0.1</v>
      </c>
      <c r="BF240" s="339">
        <v>0.1</v>
      </c>
      <c r="BG240" s="339">
        <v>0.1</v>
      </c>
      <c r="BH240" s="339">
        <v>0.1</v>
      </c>
      <c r="BI240" s="339">
        <v>0.1</v>
      </c>
      <c r="BJ240" s="339">
        <v>0.1</v>
      </c>
      <c r="BK240" s="339">
        <v>0.1</v>
      </c>
      <c r="BL240" s="339">
        <v>0.1</v>
      </c>
      <c r="BM240" s="339">
        <v>0.1</v>
      </c>
      <c r="BN240" s="339">
        <v>0.1</v>
      </c>
      <c r="BO240" s="339">
        <v>0.1</v>
      </c>
      <c r="BP240" s="339">
        <v>0.1</v>
      </c>
      <c r="BQ240" s="339">
        <v>0.1</v>
      </c>
      <c r="BR240" s="339">
        <v>0.1</v>
      </c>
      <c r="BS240" s="339">
        <v>0.1</v>
      </c>
      <c r="BT240" s="339">
        <v>0.1</v>
      </c>
      <c r="BU240" s="339">
        <v>0.1</v>
      </c>
      <c r="BV240" s="339">
        <v>0.1</v>
      </c>
      <c r="BW240" s="339">
        <v>0.1</v>
      </c>
      <c r="BX240" s="339">
        <v>0.1</v>
      </c>
    </row>
    <row r="241" spans="2:76" hidden="1" outlineLevel="1">
      <c r="B241" s="352"/>
      <c r="C241" s="352" t="s">
        <v>241</v>
      </c>
      <c r="D241" s="352" t="s">
        <v>140</v>
      </c>
      <c r="E241" s="352" t="s">
        <v>8</v>
      </c>
      <c r="F241" s="339">
        <v>0.3</v>
      </c>
      <c r="G241" s="339">
        <v>0.3</v>
      </c>
      <c r="H241" s="339">
        <v>0.3</v>
      </c>
      <c r="I241" s="339">
        <v>0.3</v>
      </c>
      <c r="J241" s="339">
        <v>0.3</v>
      </c>
      <c r="K241" s="339">
        <v>0.3</v>
      </c>
      <c r="L241" s="339">
        <v>0.3</v>
      </c>
      <c r="M241" s="339">
        <v>0.3</v>
      </c>
      <c r="N241" s="339">
        <v>0.3</v>
      </c>
      <c r="O241" s="339">
        <v>0.3</v>
      </c>
      <c r="P241" s="339">
        <v>0.3</v>
      </c>
      <c r="Q241" s="339">
        <v>0.3</v>
      </c>
      <c r="R241" s="339">
        <v>0.3</v>
      </c>
      <c r="S241" s="339">
        <v>0.26</v>
      </c>
      <c r="T241" s="339">
        <v>0.22</v>
      </c>
      <c r="U241" s="339">
        <v>0.1</v>
      </c>
      <c r="V241" s="339">
        <v>0.1</v>
      </c>
      <c r="W241" s="339">
        <v>0.1</v>
      </c>
      <c r="X241" s="339">
        <v>0.1</v>
      </c>
      <c r="Y241" s="339">
        <v>0.1</v>
      </c>
      <c r="Z241" s="339">
        <v>0.1</v>
      </c>
      <c r="AA241" s="339">
        <v>0.1</v>
      </c>
      <c r="AB241" s="339">
        <v>0.1</v>
      </c>
      <c r="AC241" s="339">
        <v>0.1</v>
      </c>
      <c r="AD241" s="339">
        <v>0.1</v>
      </c>
      <c r="AE241" s="339">
        <v>0.1</v>
      </c>
      <c r="AF241" s="339">
        <v>0.1</v>
      </c>
      <c r="AG241" s="339">
        <v>0.1</v>
      </c>
      <c r="AH241" s="339">
        <v>0.1</v>
      </c>
      <c r="AI241" s="339">
        <v>0.1</v>
      </c>
      <c r="AJ241" s="339">
        <v>0.1</v>
      </c>
      <c r="AK241" s="339">
        <v>0.1</v>
      </c>
      <c r="AL241" s="339">
        <v>0.1</v>
      </c>
      <c r="AM241" s="339">
        <v>0.1</v>
      </c>
      <c r="AN241" s="339">
        <v>0.1</v>
      </c>
      <c r="AO241" s="339">
        <v>0.1</v>
      </c>
      <c r="AP241" s="339">
        <v>0.1</v>
      </c>
      <c r="AQ241" s="339">
        <v>0.1</v>
      </c>
      <c r="AR241" s="339">
        <v>0.1</v>
      </c>
      <c r="AS241" s="339">
        <v>0.1</v>
      </c>
      <c r="AT241" s="339">
        <v>0.1</v>
      </c>
      <c r="AU241" s="339">
        <v>0.1</v>
      </c>
      <c r="AV241" s="339">
        <v>0.1</v>
      </c>
      <c r="AW241" s="339">
        <v>0.1</v>
      </c>
      <c r="AX241" s="339">
        <v>0.1</v>
      </c>
      <c r="AY241" s="339">
        <v>0.1</v>
      </c>
      <c r="AZ241" s="339">
        <v>0.1</v>
      </c>
      <c r="BA241" s="339">
        <v>0.1</v>
      </c>
      <c r="BB241" s="339">
        <v>0.1</v>
      </c>
      <c r="BC241" s="339">
        <v>0.1</v>
      </c>
      <c r="BD241" s="339">
        <v>0.1</v>
      </c>
      <c r="BE241" s="339">
        <v>0.1</v>
      </c>
      <c r="BF241" s="339">
        <v>0.1</v>
      </c>
      <c r="BG241" s="339">
        <v>0.1</v>
      </c>
      <c r="BH241" s="339">
        <v>0.1</v>
      </c>
      <c r="BI241" s="339">
        <v>0.1</v>
      </c>
      <c r="BJ241" s="339">
        <v>0.1</v>
      </c>
      <c r="BK241" s="339">
        <v>0.1</v>
      </c>
      <c r="BL241" s="339">
        <v>0.1</v>
      </c>
      <c r="BM241" s="339">
        <v>0.1</v>
      </c>
      <c r="BN241" s="339">
        <v>0.1</v>
      </c>
      <c r="BO241" s="339">
        <v>0.1</v>
      </c>
      <c r="BP241" s="339">
        <v>0.1</v>
      </c>
      <c r="BQ241" s="339">
        <v>0.1</v>
      </c>
      <c r="BR241" s="339">
        <v>0.1</v>
      </c>
      <c r="BS241" s="339">
        <v>0.1</v>
      </c>
      <c r="BT241" s="339">
        <v>0.1</v>
      </c>
      <c r="BU241" s="339">
        <v>0.1</v>
      </c>
      <c r="BV241" s="339">
        <v>0.1</v>
      </c>
      <c r="BW241" s="339">
        <v>0.1</v>
      </c>
      <c r="BX241" s="339">
        <v>0.1</v>
      </c>
    </row>
    <row r="242" spans="2:76" hidden="1" outlineLevel="1">
      <c r="B242" s="352"/>
      <c r="C242" s="352" t="s">
        <v>241</v>
      </c>
      <c r="D242" s="352" t="s">
        <v>140</v>
      </c>
      <c r="E242" s="352" t="s">
        <v>9</v>
      </c>
      <c r="F242" s="339">
        <v>0.3</v>
      </c>
      <c r="G242" s="339">
        <v>0.3</v>
      </c>
      <c r="H242" s="339">
        <v>0.3</v>
      </c>
      <c r="I242" s="339">
        <v>0.3</v>
      </c>
      <c r="J242" s="339">
        <v>0.3</v>
      </c>
      <c r="K242" s="339">
        <v>0.3</v>
      </c>
      <c r="L242" s="339">
        <v>0.3</v>
      </c>
      <c r="M242" s="339">
        <v>0.3</v>
      </c>
      <c r="N242" s="339">
        <v>0.3</v>
      </c>
      <c r="O242" s="339">
        <v>0.3</v>
      </c>
      <c r="P242" s="339">
        <v>0.3</v>
      </c>
      <c r="Q242" s="339">
        <v>0.3</v>
      </c>
      <c r="R242" s="339">
        <v>0.3</v>
      </c>
      <c r="S242" s="339">
        <v>0.26</v>
      </c>
      <c r="T242" s="339">
        <v>0.22</v>
      </c>
      <c r="U242" s="339">
        <v>0.1</v>
      </c>
      <c r="V242" s="339">
        <v>0.1</v>
      </c>
      <c r="W242" s="339">
        <v>0.1</v>
      </c>
      <c r="X242" s="339">
        <v>0.1</v>
      </c>
      <c r="Y242" s="339">
        <v>0.1</v>
      </c>
      <c r="Z242" s="339">
        <v>0.1</v>
      </c>
      <c r="AA242" s="339">
        <v>0.1</v>
      </c>
      <c r="AB242" s="339">
        <v>0.1</v>
      </c>
      <c r="AC242" s="339">
        <v>0.1</v>
      </c>
      <c r="AD242" s="339">
        <v>0.1</v>
      </c>
      <c r="AE242" s="339">
        <v>0.1</v>
      </c>
      <c r="AF242" s="339">
        <v>0.1</v>
      </c>
      <c r="AG242" s="339">
        <v>0.1</v>
      </c>
      <c r="AH242" s="339">
        <v>0.1</v>
      </c>
      <c r="AI242" s="339">
        <v>0.1</v>
      </c>
      <c r="AJ242" s="339">
        <v>0.1</v>
      </c>
      <c r="AK242" s="339">
        <v>0.1</v>
      </c>
      <c r="AL242" s="339">
        <v>0.1</v>
      </c>
      <c r="AM242" s="339">
        <v>0.1</v>
      </c>
      <c r="AN242" s="339">
        <v>0.1</v>
      </c>
      <c r="AO242" s="339">
        <v>0.1</v>
      </c>
      <c r="AP242" s="339">
        <v>0.1</v>
      </c>
      <c r="AQ242" s="339">
        <v>0.1</v>
      </c>
      <c r="AR242" s="339">
        <v>0.1</v>
      </c>
      <c r="AS242" s="339">
        <v>0.1</v>
      </c>
      <c r="AT242" s="339">
        <v>0.1</v>
      </c>
      <c r="AU242" s="339">
        <v>0.1</v>
      </c>
      <c r="AV242" s="339">
        <v>0.1</v>
      </c>
      <c r="AW242" s="339">
        <v>0.1</v>
      </c>
      <c r="AX242" s="339">
        <v>0.1</v>
      </c>
      <c r="AY242" s="339">
        <v>0.1</v>
      </c>
      <c r="AZ242" s="339">
        <v>0.1</v>
      </c>
      <c r="BA242" s="339">
        <v>0.1</v>
      </c>
      <c r="BB242" s="339">
        <v>0.1</v>
      </c>
      <c r="BC242" s="339">
        <v>0.1</v>
      </c>
      <c r="BD242" s="339">
        <v>0.1</v>
      </c>
      <c r="BE242" s="339">
        <v>0.1</v>
      </c>
      <c r="BF242" s="339">
        <v>0.1</v>
      </c>
      <c r="BG242" s="339">
        <v>0.1</v>
      </c>
      <c r="BH242" s="339">
        <v>0.1</v>
      </c>
      <c r="BI242" s="339">
        <v>0.1</v>
      </c>
      <c r="BJ242" s="339">
        <v>0.1</v>
      </c>
      <c r="BK242" s="339">
        <v>0.1</v>
      </c>
      <c r="BL242" s="339">
        <v>0.1</v>
      </c>
      <c r="BM242" s="339">
        <v>0.1</v>
      </c>
      <c r="BN242" s="339">
        <v>0.1</v>
      </c>
      <c r="BO242" s="339">
        <v>0.1</v>
      </c>
      <c r="BP242" s="339">
        <v>0.1</v>
      </c>
      <c r="BQ242" s="339">
        <v>0.1</v>
      </c>
      <c r="BR242" s="339">
        <v>0.1</v>
      </c>
      <c r="BS242" s="339">
        <v>0.1</v>
      </c>
      <c r="BT242" s="339">
        <v>0.1</v>
      </c>
      <c r="BU242" s="339">
        <v>0.1</v>
      </c>
      <c r="BV242" s="339">
        <v>0.1</v>
      </c>
      <c r="BW242" s="339">
        <v>0.1</v>
      </c>
      <c r="BX242" s="339">
        <v>0.1</v>
      </c>
    </row>
    <row r="243" spans="2:76" hidden="1" outlineLevel="1">
      <c r="B243" s="352"/>
      <c r="C243" s="352" t="s">
        <v>241</v>
      </c>
      <c r="D243" s="352" t="s">
        <v>140</v>
      </c>
      <c r="E243" s="352" t="s">
        <v>138</v>
      </c>
      <c r="F243" s="339">
        <v>0.3</v>
      </c>
      <c r="G243" s="339">
        <v>0.3</v>
      </c>
      <c r="H243" s="339">
        <v>0.3</v>
      </c>
      <c r="I243" s="339">
        <v>0.3</v>
      </c>
      <c r="J243" s="339">
        <v>0.3</v>
      </c>
      <c r="K243" s="339">
        <v>0.3</v>
      </c>
      <c r="L243" s="339">
        <v>0.3</v>
      </c>
      <c r="M243" s="339">
        <v>0.3</v>
      </c>
      <c r="N243" s="339">
        <v>0.3</v>
      </c>
      <c r="O243" s="339">
        <v>0.3</v>
      </c>
      <c r="P243" s="339">
        <v>0.3</v>
      </c>
      <c r="Q243" s="339">
        <v>0.3</v>
      </c>
      <c r="R243" s="339">
        <v>0.3</v>
      </c>
      <c r="S243" s="339">
        <v>0.26</v>
      </c>
      <c r="T243" s="339">
        <v>0.22</v>
      </c>
      <c r="U243" s="339">
        <v>0.1</v>
      </c>
      <c r="V243" s="339">
        <v>0.1</v>
      </c>
      <c r="W243" s="339">
        <v>0.1</v>
      </c>
      <c r="X243" s="339">
        <v>0.1</v>
      </c>
      <c r="Y243" s="339">
        <v>0.1</v>
      </c>
      <c r="Z243" s="339">
        <v>0.1</v>
      </c>
      <c r="AA243" s="339">
        <v>0.1</v>
      </c>
      <c r="AB243" s="339">
        <v>0.1</v>
      </c>
      <c r="AC243" s="339">
        <v>0.1</v>
      </c>
      <c r="AD243" s="339">
        <v>0.1</v>
      </c>
      <c r="AE243" s="339">
        <v>0.1</v>
      </c>
      <c r="AF243" s="339">
        <v>0.1</v>
      </c>
      <c r="AG243" s="339">
        <v>0.1</v>
      </c>
      <c r="AH243" s="339">
        <v>0.1</v>
      </c>
      <c r="AI243" s="339">
        <v>0.1</v>
      </c>
      <c r="AJ243" s="339">
        <v>0.1</v>
      </c>
      <c r="AK243" s="339">
        <v>0.1</v>
      </c>
      <c r="AL243" s="339">
        <v>0.1</v>
      </c>
      <c r="AM243" s="339">
        <v>0.1</v>
      </c>
      <c r="AN243" s="339">
        <v>0.1</v>
      </c>
      <c r="AO243" s="339">
        <v>0.1</v>
      </c>
      <c r="AP243" s="339">
        <v>0.1</v>
      </c>
      <c r="AQ243" s="339">
        <v>0.1</v>
      </c>
      <c r="AR243" s="339">
        <v>0.1</v>
      </c>
      <c r="AS243" s="339">
        <v>0.1</v>
      </c>
      <c r="AT243" s="339">
        <v>0.1</v>
      </c>
      <c r="AU243" s="339">
        <v>0.1</v>
      </c>
      <c r="AV243" s="339">
        <v>0.1</v>
      </c>
      <c r="AW243" s="339">
        <v>0.1</v>
      </c>
      <c r="AX243" s="339">
        <v>0.1</v>
      </c>
      <c r="AY243" s="339">
        <v>0.1</v>
      </c>
      <c r="AZ243" s="339">
        <v>0.1</v>
      </c>
      <c r="BA243" s="339">
        <v>0.1</v>
      </c>
      <c r="BB243" s="339">
        <v>0.1</v>
      </c>
      <c r="BC243" s="339">
        <v>0.1</v>
      </c>
      <c r="BD243" s="339">
        <v>0.1</v>
      </c>
      <c r="BE243" s="339">
        <v>0.1</v>
      </c>
      <c r="BF243" s="339">
        <v>0.1</v>
      </c>
      <c r="BG243" s="339">
        <v>0.1</v>
      </c>
      <c r="BH243" s="339">
        <v>0.1</v>
      </c>
      <c r="BI243" s="339">
        <v>0.1</v>
      </c>
      <c r="BJ243" s="339">
        <v>0.1</v>
      </c>
      <c r="BK243" s="339">
        <v>0.1</v>
      </c>
      <c r="BL243" s="339">
        <v>0.1</v>
      </c>
      <c r="BM243" s="339">
        <v>0.1</v>
      </c>
      <c r="BN243" s="339">
        <v>0.1</v>
      </c>
      <c r="BO243" s="339">
        <v>0.1</v>
      </c>
      <c r="BP243" s="339">
        <v>0.1</v>
      </c>
      <c r="BQ243" s="339">
        <v>0.1</v>
      </c>
      <c r="BR243" s="339">
        <v>0.1</v>
      </c>
      <c r="BS243" s="339">
        <v>0.1</v>
      </c>
      <c r="BT243" s="339">
        <v>0.1</v>
      </c>
      <c r="BU243" s="339">
        <v>0.1</v>
      </c>
      <c r="BV243" s="339">
        <v>0.1</v>
      </c>
      <c r="BW243" s="339">
        <v>0.1</v>
      </c>
      <c r="BX243" s="339">
        <v>0.1</v>
      </c>
    </row>
    <row r="244" spans="2:76" hidden="1" outlineLevel="1">
      <c r="B244" s="352"/>
      <c r="C244" s="352" t="s">
        <v>241</v>
      </c>
      <c r="D244" s="352" t="s">
        <v>140</v>
      </c>
      <c r="E244" s="352" t="s">
        <v>10</v>
      </c>
      <c r="F244" s="339">
        <v>0.3</v>
      </c>
      <c r="G244" s="339">
        <v>0.3</v>
      </c>
      <c r="H244" s="339">
        <v>0.3</v>
      </c>
      <c r="I244" s="339">
        <v>0.3</v>
      </c>
      <c r="J244" s="339">
        <v>0.3</v>
      </c>
      <c r="K244" s="339">
        <v>0.3</v>
      </c>
      <c r="L244" s="339">
        <v>0.3</v>
      </c>
      <c r="M244" s="339">
        <v>0.3</v>
      </c>
      <c r="N244" s="339">
        <v>0.3</v>
      </c>
      <c r="O244" s="339">
        <v>0.3</v>
      </c>
      <c r="P244" s="339">
        <v>0.3</v>
      </c>
      <c r="Q244" s="339">
        <v>0.3</v>
      </c>
      <c r="R244" s="339">
        <v>0.3</v>
      </c>
      <c r="S244" s="339">
        <v>0.26</v>
      </c>
      <c r="T244" s="339">
        <v>0.22</v>
      </c>
      <c r="U244" s="339">
        <v>0.1</v>
      </c>
      <c r="V244" s="339">
        <v>0.1</v>
      </c>
      <c r="W244" s="339">
        <v>0.1</v>
      </c>
      <c r="X244" s="339">
        <v>0.1</v>
      </c>
      <c r="Y244" s="339">
        <v>0.1</v>
      </c>
      <c r="Z244" s="339">
        <v>0.1</v>
      </c>
      <c r="AA244" s="339">
        <v>0.1</v>
      </c>
      <c r="AB244" s="339">
        <v>0.1</v>
      </c>
      <c r="AC244" s="339">
        <v>0.1</v>
      </c>
      <c r="AD244" s="339">
        <v>0.1</v>
      </c>
      <c r="AE244" s="339">
        <v>0.1</v>
      </c>
      <c r="AF244" s="339">
        <v>0.1</v>
      </c>
      <c r="AG244" s="339">
        <v>0.1</v>
      </c>
      <c r="AH244" s="339">
        <v>0.1</v>
      </c>
      <c r="AI244" s="339">
        <v>0.1</v>
      </c>
      <c r="AJ244" s="339">
        <v>0.1</v>
      </c>
      <c r="AK244" s="339">
        <v>0.1</v>
      </c>
      <c r="AL244" s="339">
        <v>0.1</v>
      </c>
      <c r="AM244" s="339">
        <v>0.1</v>
      </c>
      <c r="AN244" s="339">
        <v>0.1</v>
      </c>
      <c r="AO244" s="339">
        <v>0.1</v>
      </c>
      <c r="AP244" s="339">
        <v>0.1</v>
      </c>
      <c r="AQ244" s="339">
        <v>0.1</v>
      </c>
      <c r="AR244" s="339">
        <v>0.1</v>
      </c>
      <c r="AS244" s="339">
        <v>0.1</v>
      </c>
      <c r="AT244" s="339">
        <v>0.1</v>
      </c>
      <c r="AU244" s="339">
        <v>0.1</v>
      </c>
      <c r="AV244" s="339">
        <v>0.1</v>
      </c>
      <c r="AW244" s="339">
        <v>0.1</v>
      </c>
      <c r="AX244" s="339">
        <v>0.1</v>
      </c>
      <c r="AY244" s="339">
        <v>0.1</v>
      </c>
      <c r="AZ244" s="339">
        <v>0.1</v>
      </c>
      <c r="BA244" s="339">
        <v>0.1</v>
      </c>
      <c r="BB244" s="339">
        <v>0.1</v>
      </c>
      <c r="BC244" s="339">
        <v>0.1</v>
      </c>
      <c r="BD244" s="339">
        <v>0.1</v>
      </c>
      <c r="BE244" s="339">
        <v>0.1</v>
      </c>
      <c r="BF244" s="339">
        <v>0.1</v>
      </c>
      <c r="BG244" s="339">
        <v>0.1</v>
      </c>
      <c r="BH244" s="339">
        <v>0.1</v>
      </c>
      <c r="BI244" s="339">
        <v>0.1</v>
      </c>
      <c r="BJ244" s="339">
        <v>0.1</v>
      </c>
      <c r="BK244" s="339">
        <v>0.1</v>
      </c>
      <c r="BL244" s="339">
        <v>0.1</v>
      </c>
      <c r="BM244" s="339">
        <v>0.1</v>
      </c>
      <c r="BN244" s="339">
        <v>0.1</v>
      </c>
      <c r="BO244" s="339">
        <v>0.1</v>
      </c>
      <c r="BP244" s="339">
        <v>0.1</v>
      </c>
      <c r="BQ244" s="339">
        <v>0.1</v>
      </c>
      <c r="BR244" s="339">
        <v>0.1</v>
      </c>
      <c r="BS244" s="339">
        <v>0.1</v>
      </c>
      <c r="BT244" s="339">
        <v>0.1</v>
      </c>
      <c r="BU244" s="339">
        <v>0.1</v>
      </c>
      <c r="BV244" s="339">
        <v>0.1</v>
      </c>
      <c r="BW244" s="339">
        <v>0.1</v>
      </c>
      <c r="BX244" s="339">
        <v>0.1</v>
      </c>
    </row>
    <row r="245" spans="2:76" hidden="1" outlineLevel="1">
      <c r="B245" s="352"/>
      <c r="C245" s="352" t="s">
        <v>241</v>
      </c>
      <c r="D245" s="352" t="s">
        <v>140</v>
      </c>
      <c r="E245" s="352" t="s">
        <v>135</v>
      </c>
      <c r="F245" s="339">
        <v>0.3</v>
      </c>
      <c r="G245" s="339">
        <v>0.3</v>
      </c>
      <c r="H245" s="339">
        <v>0.3</v>
      </c>
      <c r="I245" s="339">
        <v>0.3</v>
      </c>
      <c r="J245" s="339">
        <v>0.3</v>
      </c>
      <c r="K245" s="339">
        <v>0.3</v>
      </c>
      <c r="L245" s="339">
        <v>0.3</v>
      </c>
      <c r="M245" s="339">
        <v>0.3</v>
      </c>
      <c r="N245" s="339">
        <v>0.3</v>
      </c>
      <c r="O245" s="339">
        <v>0.3</v>
      </c>
      <c r="P245" s="339">
        <v>0.3</v>
      </c>
      <c r="Q245" s="339">
        <v>0.3</v>
      </c>
      <c r="R245" s="339">
        <v>0.3</v>
      </c>
      <c r="S245" s="339">
        <v>0.26</v>
      </c>
      <c r="T245" s="339">
        <v>0.22</v>
      </c>
      <c r="U245" s="339">
        <v>0.1</v>
      </c>
      <c r="V245" s="339">
        <v>0.1</v>
      </c>
      <c r="W245" s="339">
        <v>0.1</v>
      </c>
      <c r="X245" s="339">
        <v>0.1</v>
      </c>
      <c r="Y245" s="339">
        <v>0.1</v>
      </c>
      <c r="Z245" s="339">
        <v>0.1</v>
      </c>
      <c r="AA245" s="339">
        <v>0.1</v>
      </c>
      <c r="AB245" s="339">
        <v>0.1</v>
      </c>
      <c r="AC245" s="339">
        <v>0.1</v>
      </c>
      <c r="AD245" s="339">
        <v>0.1</v>
      </c>
      <c r="AE245" s="339">
        <v>0.1</v>
      </c>
      <c r="AF245" s="339">
        <v>0.1</v>
      </c>
      <c r="AG245" s="339">
        <v>0.1</v>
      </c>
      <c r="AH245" s="339">
        <v>0.1</v>
      </c>
      <c r="AI245" s="339">
        <v>0.1</v>
      </c>
      <c r="AJ245" s="339">
        <v>0.1</v>
      </c>
      <c r="AK245" s="339">
        <v>0.1</v>
      </c>
      <c r="AL245" s="339">
        <v>0.1</v>
      </c>
      <c r="AM245" s="339">
        <v>0.1</v>
      </c>
      <c r="AN245" s="339">
        <v>0.1</v>
      </c>
      <c r="AO245" s="339">
        <v>0.1</v>
      </c>
      <c r="AP245" s="339">
        <v>0.1</v>
      </c>
      <c r="AQ245" s="339">
        <v>0.1</v>
      </c>
      <c r="AR245" s="339">
        <v>0.1</v>
      </c>
      <c r="AS245" s="339">
        <v>0.1</v>
      </c>
      <c r="AT245" s="339">
        <v>0.1</v>
      </c>
      <c r="AU245" s="339">
        <v>0.1</v>
      </c>
      <c r="AV245" s="339">
        <v>0.1</v>
      </c>
      <c r="AW245" s="339">
        <v>0.1</v>
      </c>
      <c r="AX245" s="339">
        <v>0.1</v>
      </c>
      <c r="AY245" s="339">
        <v>0.1</v>
      </c>
      <c r="AZ245" s="339">
        <v>0.1</v>
      </c>
      <c r="BA245" s="339">
        <v>0.1</v>
      </c>
      <c r="BB245" s="339">
        <v>0.1</v>
      </c>
      <c r="BC245" s="339">
        <v>0.1</v>
      </c>
      <c r="BD245" s="339">
        <v>0.1</v>
      </c>
      <c r="BE245" s="339">
        <v>0.1</v>
      </c>
      <c r="BF245" s="339">
        <v>0.1</v>
      </c>
      <c r="BG245" s="339">
        <v>0.1</v>
      </c>
      <c r="BH245" s="339">
        <v>0.1</v>
      </c>
      <c r="BI245" s="339">
        <v>0.1</v>
      </c>
      <c r="BJ245" s="339">
        <v>0.1</v>
      </c>
      <c r="BK245" s="339">
        <v>0.1</v>
      </c>
      <c r="BL245" s="339">
        <v>0.1</v>
      </c>
      <c r="BM245" s="339">
        <v>0.1</v>
      </c>
      <c r="BN245" s="339">
        <v>0.1</v>
      </c>
      <c r="BO245" s="339">
        <v>0.1</v>
      </c>
      <c r="BP245" s="339">
        <v>0.1</v>
      </c>
      <c r="BQ245" s="339">
        <v>0.1</v>
      </c>
      <c r="BR245" s="339">
        <v>0.1</v>
      </c>
      <c r="BS245" s="339">
        <v>0.1</v>
      </c>
      <c r="BT245" s="339">
        <v>0.1</v>
      </c>
      <c r="BU245" s="339">
        <v>0.1</v>
      </c>
      <c r="BV245" s="339">
        <v>0.1</v>
      </c>
      <c r="BW245" s="339">
        <v>0.1</v>
      </c>
      <c r="BX245" s="339">
        <v>0.1</v>
      </c>
    </row>
    <row r="246" spans="2:76" hidden="1" outlineLevel="1">
      <c r="B246" s="352"/>
      <c r="C246" s="352" t="s">
        <v>241</v>
      </c>
      <c r="D246" s="352" t="s">
        <v>140</v>
      </c>
      <c r="E246" s="352" t="s">
        <v>136</v>
      </c>
      <c r="F246" s="339">
        <v>0.3</v>
      </c>
      <c r="G246" s="339">
        <v>0.3</v>
      </c>
      <c r="H246" s="339">
        <v>0.3</v>
      </c>
      <c r="I246" s="339">
        <v>0.3</v>
      </c>
      <c r="J246" s="339">
        <v>0.3</v>
      </c>
      <c r="K246" s="339">
        <v>0.3</v>
      </c>
      <c r="L246" s="339">
        <v>0.3</v>
      </c>
      <c r="M246" s="339">
        <v>0.3</v>
      </c>
      <c r="N246" s="339">
        <v>0.3</v>
      </c>
      <c r="O246" s="339">
        <v>0.3</v>
      </c>
      <c r="P246" s="339">
        <v>0.3</v>
      </c>
      <c r="Q246" s="339">
        <v>0.3</v>
      </c>
      <c r="R246" s="339">
        <v>0.3</v>
      </c>
      <c r="S246" s="339">
        <v>0.26</v>
      </c>
      <c r="T246" s="339">
        <v>0.22</v>
      </c>
      <c r="U246" s="339">
        <v>0.1</v>
      </c>
      <c r="V246" s="339">
        <v>0.1</v>
      </c>
      <c r="W246" s="339">
        <v>0.1</v>
      </c>
      <c r="X246" s="339">
        <v>0.1</v>
      </c>
      <c r="Y246" s="339">
        <v>0.1</v>
      </c>
      <c r="Z246" s="339">
        <v>0.1</v>
      </c>
      <c r="AA246" s="339">
        <v>0.1</v>
      </c>
      <c r="AB246" s="339">
        <v>0.1</v>
      </c>
      <c r="AC246" s="339">
        <v>0.1</v>
      </c>
      <c r="AD246" s="339">
        <v>0.1</v>
      </c>
      <c r="AE246" s="339">
        <v>0.1</v>
      </c>
      <c r="AF246" s="339">
        <v>0.1</v>
      </c>
      <c r="AG246" s="339">
        <v>0.1</v>
      </c>
      <c r="AH246" s="339">
        <v>0.1</v>
      </c>
      <c r="AI246" s="339">
        <v>0.1</v>
      </c>
      <c r="AJ246" s="339">
        <v>0.1</v>
      </c>
      <c r="AK246" s="339">
        <v>0.1</v>
      </c>
      <c r="AL246" s="339">
        <v>0.1</v>
      </c>
      <c r="AM246" s="339">
        <v>0.1</v>
      </c>
      <c r="AN246" s="339">
        <v>0.1</v>
      </c>
      <c r="AO246" s="339">
        <v>0.1</v>
      </c>
      <c r="AP246" s="339">
        <v>0.1</v>
      </c>
      <c r="AQ246" s="339">
        <v>0.1</v>
      </c>
      <c r="AR246" s="339">
        <v>0.1</v>
      </c>
      <c r="AS246" s="339">
        <v>0.1</v>
      </c>
      <c r="AT246" s="339">
        <v>0.1</v>
      </c>
      <c r="AU246" s="339">
        <v>0.1</v>
      </c>
      <c r="AV246" s="339">
        <v>0.1</v>
      </c>
      <c r="AW246" s="339">
        <v>0.1</v>
      </c>
      <c r="AX246" s="339">
        <v>0.1</v>
      </c>
      <c r="AY246" s="339">
        <v>0.1</v>
      </c>
      <c r="AZ246" s="339">
        <v>0.1</v>
      </c>
      <c r="BA246" s="339">
        <v>0.1</v>
      </c>
      <c r="BB246" s="339">
        <v>0.1</v>
      </c>
      <c r="BC246" s="339">
        <v>0.1</v>
      </c>
      <c r="BD246" s="339">
        <v>0.1</v>
      </c>
      <c r="BE246" s="339">
        <v>0.1</v>
      </c>
      <c r="BF246" s="339">
        <v>0.1</v>
      </c>
      <c r="BG246" s="339">
        <v>0.1</v>
      </c>
      <c r="BH246" s="339">
        <v>0.1</v>
      </c>
      <c r="BI246" s="339">
        <v>0.1</v>
      </c>
      <c r="BJ246" s="339">
        <v>0.1</v>
      </c>
      <c r="BK246" s="339">
        <v>0.1</v>
      </c>
      <c r="BL246" s="339">
        <v>0.1</v>
      </c>
      <c r="BM246" s="339">
        <v>0.1</v>
      </c>
      <c r="BN246" s="339">
        <v>0.1</v>
      </c>
      <c r="BO246" s="339">
        <v>0.1</v>
      </c>
      <c r="BP246" s="339">
        <v>0.1</v>
      </c>
      <c r="BQ246" s="339">
        <v>0.1</v>
      </c>
      <c r="BR246" s="339">
        <v>0.1</v>
      </c>
      <c r="BS246" s="339">
        <v>0.1</v>
      </c>
      <c r="BT246" s="339">
        <v>0.1</v>
      </c>
      <c r="BU246" s="339">
        <v>0.1</v>
      </c>
      <c r="BV246" s="339">
        <v>0.1</v>
      </c>
      <c r="BW246" s="339">
        <v>0.1</v>
      </c>
      <c r="BX246" s="339">
        <v>0.1</v>
      </c>
    </row>
    <row r="247" spans="2:76" hidden="1" outlineLevel="1">
      <c r="B247" s="352"/>
      <c r="C247" s="352" t="s">
        <v>241</v>
      </c>
      <c r="D247" s="352" t="s">
        <v>140</v>
      </c>
      <c r="E247" s="352" t="s">
        <v>137</v>
      </c>
      <c r="F247" s="339">
        <v>0.3</v>
      </c>
      <c r="G247" s="339">
        <v>0.3</v>
      </c>
      <c r="H247" s="339">
        <v>0.3</v>
      </c>
      <c r="I247" s="339">
        <v>0.3</v>
      </c>
      <c r="J247" s="339">
        <v>0.3</v>
      </c>
      <c r="K247" s="339">
        <v>0.3</v>
      </c>
      <c r="L247" s="339">
        <v>0.3</v>
      </c>
      <c r="M247" s="339">
        <v>0.3</v>
      </c>
      <c r="N247" s="339">
        <v>0.3</v>
      </c>
      <c r="O247" s="339">
        <v>0.3</v>
      </c>
      <c r="P247" s="339">
        <v>0.3</v>
      </c>
      <c r="Q247" s="339">
        <v>0.3</v>
      </c>
      <c r="R247" s="339">
        <v>0.3</v>
      </c>
      <c r="S247" s="339">
        <v>0.26</v>
      </c>
      <c r="T247" s="339">
        <v>0.22</v>
      </c>
      <c r="U247" s="339">
        <v>0.1</v>
      </c>
      <c r="V247" s="339">
        <v>0.1</v>
      </c>
      <c r="W247" s="339">
        <v>0.1</v>
      </c>
      <c r="X247" s="339">
        <v>0.1</v>
      </c>
      <c r="Y247" s="339">
        <v>0.1</v>
      </c>
      <c r="Z247" s="339">
        <v>0.1</v>
      </c>
      <c r="AA247" s="339">
        <v>0.1</v>
      </c>
      <c r="AB247" s="339">
        <v>0.1</v>
      </c>
      <c r="AC247" s="339">
        <v>0.1</v>
      </c>
      <c r="AD247" s="339">
        <v>0.1</v>
      </c>
      <c r="AE247" s="339">
        <v>0.1</v>
      </c>
      <c r="AF247" s="339">
        <v>0.1</v>
      </c>
      <c r="AG247" s="339">
        <v>0.1</v>
      </c>
      <c r="AH247" s="339">
        <v>0.1</v>
      </c>
      <c r="AI247" s="339">
        <v>0.1</v>
      </c>
      <c r="AJ247" s="339">
        <v>0.1</v>
      </c>
      <c r="AK247" s="339">
        <v>0.1</v>
      </c>
      <c r="AL247" s="339">
        <v>0.1</v>
      </c>
      <c r="AM247" s="339">
        <v>0.1</v>
      </c>
      <c r="AN247" s="339">
        <v>0.1</v>
      </c>
      <c r="AO247" s="339">
        <v>0.1</v>
      </c>
      <c r="AP247" s="339">
        <v>0.1</v>
      </c>
      <c r="AQ247" s="339">
        <v>0.1</v>
      </c>
      <c r="AR247" s="339">
        <v>0.1</v>
      </c>
      <c r="AS247" s="339">
        <v>0.1</v>
      </c>
      <c r="AT247" s="339">
        <v>0.1</v>
      </c>
      <c r="AU247" s="339">
        <v>0.1</v>
      </c>
      <c r="AV247" s="339">
        <v>0.1</v>
      </c>
      <c r="AW247" s="339">
        <v>0.1</v>
      </c>
      <c r="AX247" s="339">
        <v>0.1</v>
      </c>
      <c r="AY247" s="339">
        <v>0.1</v>
      </c>
      <c r="AZ247" s="339">
        <v>0.1</v>
      </c>
      <c r="BA247" s="339">
        <v>0.1</v>
      </c>
      <c r="BB247" s="339">
        <v>0.1</v>
      </c>
      <c r="BC247" s="339">
        <v>0.1</v>
      </c>
      <c r="BD247" s="339">
        <v>0.1</v>
      </c>
      <c r="BE247" s="339">
        <v>0.1</v>
      </c>
      <c r="BF247" s="339">
        <v>0.1</v>
      </c>
      <c r="BG247" s="339">
        <v>0.1</v>
      </c>
      <c r="BH247" s="339">
        <v>0.1</v>
      </c>
      <c r="BI247" s="339">
        <v>0.1</v>
      </c>
      <c r="BJ247" s="339">
        <v>0.1</v>
      </c>
      <c r="BK247" s="339">
        <v>0.1</v>
      </c>
      <c r="BL247" s="339">
        <v>0.1</v>
      </c>
      <c r="BM247" s="339">
        <v>0.1</v>
      </c>
      <c r="BN247" s="339">
        <v>0.1</v>
      </c>
      <c r="BO247" s="339">
        <v>0.1</v>
      </c>
      <c r="BP247" s="339">
        <v>0.1</v>
      </c>
      <c r="BQ247" s="339">
        <v>0.1</v>
      </c>
      <c r="BR247" s="339">
        <v>0.1</v>
      </c>
      <c r="BS247" s="339">
        <v>0.1</v>
      </c>
      <c r="BT247" s="339">
        <v>0.1</v>
      </c>
      <c r="BU247" s="339">
        <v>0.1</v>
      </c>
      <c r="BV247" s="339">
        <v>0.1</v>
      </c>
      <c r="BW247" s="339">
        <v>0.1</v>
      </c>
      <c r="BX247" s="339">
        <v>0.1</v>
      </c>
    </row>
    <row r="248" spans="2:76" hidden="1" outlineLevel="1">
      <c r="B248" s="352"/>
      <c r="C248" s="352" t="s">
        <v>241</v>
      </c>
      <c r="D248" s="352" t="s">
        <v>80</v>
      </c>
      <c r="E248" s="352" t="s">
        <v>130</v>
      </c>
      <c r="F248" s="339">
        <v>1</v>
      </c>
      <c r="G248" s="339">
        <v>1</v>
      </c>
      <c r="H248" s="339">
        <v>1</v>
      </c>
      <c r="I248" s="339">
        <v>1</v>
      </c>
      <c r="J248" s="339">
        <v>1</v>
      </c>
      <c r="K248" s="339">
        <v>1</v>
      </c>
      <c r="L248" s="339">
        <v>1</v>
      </c>
      <c r="M248" s="339">
        <v>1</v>
      </c>
      <c r="N248" s="339">
        <v>1</v>
      </c>
      <c r="O248" s="339">
        <v>1</v>
      </c>
      <c r="P248" s="339">
        <v>1</v>
      </c>
      <c r="Q248" s="339">
        <v>1</v>
      </c>
      <c r="R248" s="339">
        <v>1</v>
      </c>
      <c r="S248" s="339">
        <v>0.6</v>
      </c>
      <c r="T248" s="339">
        <v>0.4</v>
      </c>
      <c r="U248" s="339">
        <v>0</v>
      </c>
      <c r="V248" s="339">
        <v>0</v>
      </c>
      <c r="W248" s="339">
        <v>0</v>
      </c>
      <c r="X248" s="339">
        <v>0</v>
      </c>
      <c r="Y248" s="339">
        <v>0</v>
      </c>
      <c r="Z248" s="339">
        <v>0</v>
      </c>
      <c r="AA248" s="339">
        <v>0</v>
      </c>
      <c r="AB248" s="339">
        <v>0</v>
      </c>
      <c r="AC248" s="339">
        <v>0</v>
      </c>
      <c r="AD248" s="339">
        <v>0</v>
      </c>
      <c r="AE248" s="339">
        <v>0</v>
      </c>
      <c r="AF248" s="339">
        <v>0</v>
      </c>
      <c r="AG248" s="339">
        <v>0</v>
      </c>
      <c r="AH248" s="339">
        <v>0</v>
      </c>
      <c r="AI248" s="339">
        <v>0</v>
      </c>
      <c r="AJ248" s="339">
        <v>0</v>
      </c>
      <c r="AK248" s="339">
        <v>0</v>
      </c>
      <c r="AL248" s="339">
        <v>0</v>
      </c>
      <c r="AM248" s="339">
        <v>0</v>
      </c>
      <c r="AN248" s="339">
        <v>0</v>
      </c>
      <c r="AO248" s="339">
        <v>0</v>
      </c>
      <c r="AP248" s="339">
        <v>0</v>
      </c>
      <c r="AQ248" s="339">
        <v>0</v>
      </c>
      <c r="AR248" s="339">
        <v>0</v>
      </c>
      <c r="AS248" s="339">
        <v>0</v>
      </c>
      <c r="AT248" s="339">
        <v>0</v>
      </c>
      <c r="AU248" s="339">
        <v>0</v>
      </c>
      <c r="AV248" s="339">
        <v>0</v>
      </c>
      <c r="AW248" s="339">
        <v>0</v>
      </c>
      <c r="AX248" s="339">
        <v>0</v>
      </c>
      <c r="AY248" s="339">
        <v>0</v>
      </c>
      <c r="AZ248" s="339">
        <v>0</v>
      </c>
      <c r="BA248" s="339">
        <v>0</v>
      </c>
      <c r="BB248" s="339">
        <v>0</v>
      </c>
      <c r="BC248" s="339">
        <v>0</v>
      </c>
      <c r="BD248" s="339">
        <v>0</v>
      </c>
      <c r="BE248" s="339">
        <v>0</v>
      </c>
      <c r="BF248" s="339">
        <v>0</v>
      </c>
      <c r="BG248" s="339">
        <v>0</v>
      </c>
      <c r="BH248" s="339">
        <v>0</v>
      </c>
      <c r="BI248" s="339">
        <v>0</v>
      </c>
      <c r="BJ248" s="339">
        <v>0</v>
      </c>
      <c r="BK248" s="339">
        <v>0</v>
      </c>
      <c r="BL248" s="339">
        <v>0</v>
      </c>
      <c r="BM248" s="339">
        <v>0</v>
      </c>
      <c r="BN248" s="339">
        <v>0</v>
      </c>
      <c r="BO248" s="339">
        <v>0</v>
      </c>
      <c r="BP248" s="339">
        <v>0</v>
      </c>
      <c r="BQ248" s="339">
        <v>0</v>
      </c>
      <c r="BR248" s="339">
        <v>0</v>
      </c>
      <c r="BS248" s="339">
        <v>0</v>
      </c>
      <c r="BT248" s="339">
        <v>0</v>
      </c>
      <c r="BU248" s="339">
        <v>0</v>
      </c>
      <c r="BV248" s="339">
        <v>0</v>
      </c>
      <c r="BW248" s="339">
        <v>0</v>
      </c>
      <c r="BX248" s="339">
        <v>0</v>
      </c>
    </row>
    <row r="249" spans="2:76" hidden="1" outlineLevel="1">
      <c r="B249" s="352"/>
      <c r="C249" s="352" t="s">
        <v>241</v>
      </c>
      <c r="D249" s="352" t="s">
        <v>80</v>
      </c>
      <c r="E249" s="352" t="s">
        <v>139</v>
      </c>
      <c r="F249" s="339">
        <v>1</v>
      </c>
      <c r="G249" s="339">
        <v>1</v>
      </c>
      <c r="H249" s="339">
        <v>1</v>
      </c>
      <c r="I249" s="339">
        <v>1</v>
      </c>
      <c r="J249" s="339">
        <v>1</v>
      </c>
      <c r="K249" s="339">
        <v>1</v>
      </c>
      <c r="L249" s="339">
        <v>1</v>
      </c>
      <c r="M249" s="339">
        <v>1</v>
      </c>
      <c r="N249" s="339">
        <v>1</v>
      </c>
      <c r="O249" s="339">
        <v>1</v>
      </c>
      <c r="P249" s="339">
        <v>1</v>
      </c>
      <c r="Q249" s="339">
        <v>1</v>
      </c>
      <c r="R249" s="339">
        <v>1</v>
      </c>
      <c r="S249" s="339">
        <v>0.6</v>
      </c>
      <c r="T249" s="339">
        <v>0.4</v>
      </c>
      <c r="U249" s="339">
        <v>0</v>
      </c>
      <c r="V249" s="339">
        <v>0</v>
      </c>
      <c r="W249" s="339">
        <v>0</v>
      </c>
      <c r="X249" s="339">
        <v>0</v>
      </c>
      <c r="Y249" s="339">
        <v>0</v>
      </c>
      <c r="Z249" s="339">
        <v>0</v>
      </c>
      <c r="AA249" s="339">
        <v>0</v>
      </c>
      <c r="AB249" s="339">
        <v>0</v>
      </c>
      <c r="AC249" s="339">
        <v>0</v>
      </c>
      <c r="AD249" s="339">
        <v>0</v>
      </c>
      <c r="AE249" s="339">
        <v>0</v>
      </c>
      <c r="AF249" s="339">
        <v>0</v>
      </c>
      <c r="AG249" s="339">
        <v>0</v>
      </c>
      <c r="AH249" s="339">
        <v>0</v>
      </c>
      <c r="AI249" s="339">
        <v>0</v>
      </c>
      <c r="AJ249" s="339">
        <v>0</v>
      </c>
      <c r="AK249" s="339">
        <v>0</v>
      </c>
      <c r="AL249" s="339">
        <v>0</v>
      </c>
      <c r="AM249" s="339">
        <v>0</v>
      </c>
      <c r="AN249" s="339">
        <v>0</v>
      </c>
      <c r="AO249" s="339">
        <v>0</v>
      </c>
      <c r="AP249" s="339">
        <v>0</v>
      </c>
      <c r="AQ249" s="339">
        <v>0</v>
      </c>
      <c r="AR249" s="339">
        <v>0</v>
      </c>
      <c r="AS249" s="339">
        <v>0</v>
      </c>
      <c r="AT249" s="339">
        <v>0</v>
      </c>
      <c r="AU249" s="339">
        <v>0</v>
      </c>
      <c r="AV249" s="339">
        <v>0</v>
      </c>
      <c r="AW249" s="339">
        <v>0</v>
      </c>
      <c r="AX249" s="339">
        <v>0</v>
      </c>
      <c r="AY249" s="339">
        <v>0</v>
      </c>
      <c r="AZ249" s="339">
        <v>0</v>
      </c>
      <c r="BA249" s="339">
        <v>0</v>
      </c>
      <c r="BB249" s="339">
        <v>0</v>
      </c>
      <c r="BC249" s="339">
        <v>0</v>
      </c>
      <c r="BD249" s="339">
        <v>0</v>
      </c>
      <c r="BE249" s="339">
        <v>0</v>
      </c>
      <c r="BF249" s="339">
        <v>0</v>
      </c>
      <c r="BG249" s="339">
        <v>0</v>
      </c>
      <c r="BH249" s="339">
        <v>0</v>
      </c>
      <c r="BI249" s="339">
        <v>0</v>
      </c>
      <c r="BJ249" s="339">
        <v>0</v>
      </c>
      <c r="BK249" s="339">
        <v>0</v>
      </c>
      <c r="BL249" s="339">
        <v>0</v>
      </c>
      <c r="BM249" s="339">
        <v>0</v>
      </c>
      <c r="BN249" s="339">
        <v>0</v>
      </c>
      <c r="BO249" s="339">
        <v>0</v>
      </c>
      <c r="BP249" s="339">
        <v>0</v>
      </c>
      <c r="BQ249" s="339">
        <v>0</v>
      </c>
      <c r="BR249" s="339">
        <v>0</v>
      </c>
      <c r="BS249" s="339">
        <v>0</v>
      </c>
      <c r="BT249" s="339">
        <v>0</v>
      </c>
      <c r="BU249" s="339">
        <v>0</v>
      </c>
      <c r="BV249" s="339">
        <v>0</v>
      </c>
      <c r="BW249" s="339">
        <v>0</v>
      </c>
      <c r="BX249" s="339">
        <v>0</v>
      </c>
    </row>
    <row r="250" spans="2:76" hidden="1" outlineLevel="1">
      <c r="B250" s="352"/>
      <c r="C250" s="352" t="s">
        <v>241</v>
      </c>
      <c r="D250" s="352" t="s">
        <v>80</v>
      </c>
      <c r="E250" s="352" t="s">
        <v>131</v>
      </c>
      <c r="F250" s="339">
        <v>1</v>
      </c>
      <c r="G250" s="339">
        <v>1</v>
      </c>
      <c r="H250" s="339">
        <v>1</v>
      </c>
      <c r="I250" s="339">
        <v>1</v>
      </c>
      <c r="J250" s="339">
        <v>1</v>
      </c>
      <c r="K250" s="339">
        <v>1</v>
      </c>
      <c r="L250" s="339">
        <v>1</v>
      </c>
      <c r="M250" s="339">
        <v>1</v>
      </c>
      <c r="N250" s="339">
        <v>1</v>
      </c>
      <c r="O250" s="339">
        <v>1</v>
      </c>
      <c r="P250" s="339">
        <v>1</v>
      </c>
      <c r="Q250" s="339">
        <v>1</v>
      </c>
      <c r="R250" s="339">
        <v>1</v>
      </c>
      <c r="S250" s="339">
        <v>0.6</v>
      </c>
      <c r="T250" s="339">
        <v>0.4</v>
      </c>
      <c r="U250" s="339">
        <v>0</v>
      </c>
      <c r="V250" s="339">
        <v>0</v>
      </c>
      <c r="W250" s="339">
        <v>0</v>
      </c>
      <c r="X250" s="339">
        <v>0</v>
      </c>
      <c r="Y250" s="339">
        <v>0</v>
      </c>
      <c r="Z250" s="339">
        <v>0</v>
      </c>
      <c r="AA250" s="339">
        <v>0</v>
      </c>
      <c r="AB250" s="339">
        <v>0</v>
      </c>
      <c r="AC250" s="339">
        <v>0</v>
      </c>
      <c r="AD250" s="339">
        <v>0</v>
      </c>
      <c r="AE250" s="339">
        <v>0</v>
      </c>
      <c r="AF250" s="339">
        <v>0</v>
      </c>
      <c r="AG250" s="339">
        <v>0</v>
      </c>
      <c r="AH250" s="339">
        <v>0</v>
      </c>
      <c r="AI250" s="339">
        <v>0</v>
      </c>
      <c r="AJ250" s="339">
        <v>0</v>
      </c>
      <c r="AK250" s="339">
        <v>0</v>
      </c>
      <c r="AL250" s="339">
        <v>0</v>
      </c>
      <c r="AM250" s="339">
        <v>0</v>
      </c>
      <c r="AN250" s="339">
        <v>0</v>
      </c>
      <c r="AO250" s="339">
        <v>0</v>
      </c>
      <c r="AP250" s="339">
        <v>0</v>
      </c>
      <c r="AQ250" s="339">
        <v>0</v>
      </c>
      <c r="AR250" s="339">
        <v>0</v>
      </c>
      <c r="AS250" s="339">
        <v>0</v>
      </c>
      <c r="AT250" s="339">
        <v>0</v>
      </c>
      <c r="AU250" s="339">
        <v>0</v>
      </c>
      <c r="AV250" s="339">
        <v>0</v>
      </c>
      <c r="AW250" s="339">
        <v>0</v>
      </c>
      <c r="AX250" s="339">
        <v>0</v>
      </c>
      <c r="AY250" s="339">
        <v>0</v>
      </c>
      <c r="AZ250" s="339">
        <v>0</v>
      </c>
      <c r="BA250" s="339">
        <v>0</v>
      </c>
      <c r="BB250" s="339">
        <v>0</v>
      </c>
      <c r="BC250" s="339">
        <v>0</v>
      </c>
      <c r="BD250" s="339">
        <v>0</v>
      </c>
      <c r="BE250" s="339">
        <v>0</v>
      </c>
      <c r="BF250" s="339">
        <v>0</v>
      </c>
      <c r="BG250" s="339">
        <v>0</v>
      </c>
      <c r="BH250" s="339">
        <v>0</v>
      </c>
      <c r="BI250" s="339">
        <v>0</v>
      </c>
      <c r="BJ250" s="339">
        <v>0</v>
      </c>
      <c r="BK250" s="339">
        <v>0</v>
      </c>
      <c r="BL250" s="339">
        <v>0</v>
      </c>
      <c r="BM250" s="339">
        <v>0</v>
      </c>
      <c r="BN250" s="339">
        <v>0</v>
      </c>
      <c r="BO250" s="339">
        <v>0</v>
      </c>
      <c r="BP250" s="339">
        <v>0</v>
      </c>
      <c r="BQ250" s="339">
        <v>0</v>
      </c>
      <c r="BR250" s="339">
        <v>0</v>
      </c>
      <c r="BS250" s="339">
        <v>0</v>
      </c>
      <c r="BT250" s="339">
        <v>0</v>
      </c>
      <c r="BU250" s="339">
        <v>0</v>
      </c>
      <c r="BV250" s="339">
        <v>0</v>
      </c>
      <c r="BW250" s="339">
        <v>0</v>
      </c>
      <c r="BX250" s="339">
        <v>0</v>
      </c>
    </row>
    <row r="251" spans="2:76" hidden="1" outlineLevel="1">
      <c r="B251" s="352"/>
      <c r="C251" s="352" t="s">
        <v>241</v>
      </c>
      <c r="D251" s="352" t="s">
        <v>80</v>
      </c>
      <c r="E251" s="352" t="s">
        <v>132</v>
      </c>
      <c r="F251" s="339">
        <v>1</v>
      </c>
      <c r="G251" s="339">
        <v>1</v>
      </c>
      <c r="H251" s="339">
        <v>1</v>
      </c>
      <c r="I251" s="339">
        <v>1</v>
      </c>
      <c r="J251" s="339">
        <v>1</v>
      </c>
      <c r="K251" s="339">
        <v>1</v>
      </c>
      <c r="L251" s="339">
        <v>1</v>
      </c>
      <c r="M251" s="339">
        <v>1</v>
      </c>
      <c r="N251" s="339">
        <v>1</v>
      </c>
      <c r="O251" s="339">
        <v>1</v>
      </c>
      <c r="P251" s="339">
        <v>1</v>
      </c>
      <c r="Q251" s="339">
        <v>1</v>
      </c>
      <c r="R251" s="339">
        <v>1</v>
      </c>
      <c r="S251" s="339">
        <v>0.6</v>
      </c>
      <c r="T251" s="339">
        <v>0.4</v>
      </c>
      <c r="U251" s="339">
        <v>0</v>
      </c>
      <c r="V251" s="339">
        <v>0</v>
      </c>
      <c r="W251" s="339">
        <v>0</v>
      </c>
      <c r="X251" s="339">
        <v>0</v>
      </c>
      <c r="Y251" s="339">
        <v>0</v>
      </c>
      <c r="Z251" s="339">
        <v>0</v>
      </c>
      <c r="AA251" s="339">
        <v>0</v>
      </c>
      <c r="AB251" s="339">
        <v>0</v>
      </c>
      <c r="AC251" s="339">
        <v>0</v>
      </c>
      <c r="AD251" s="339">
        <v>0</v>
      </c>
      <c r="AE251" s="339">
        <v>0</v>
      </c>
      <c r="AF251" s="339">
        <v>0</v>
      </c>
      <c r="AG251" s="339">
        <v>0</v>
      </c>
      <c r="AH251" s="339">
        <v>0</v>
      </c>
      <c r="AI251" s="339">
        <v>0</v>
      </c>
      <c r="AJ251" s="339">
        <v>0</v>
      </c>
      <c r="AK251" s="339">
        <v>0</v>
      </c>
      <c r="AL251" s="339">
        <v>0</v>
      </c>
      <c r="AM251" s="339">
        <v>0</v>
      </c>
      <c r="AN251" s="339">
        <v>0</v>
      </c>
      <c r="AO251" s="339">
        <v>0</v>
      </c>
      <c r="AP251" s="339">
        <v>0</v>
      </c>
      <c r="AQ251" s="339">
        <v>0</v>
      </c>
      <c r="AR251" s="339">
        <v>0</v>
      </c>
      <c r="AS251" s="339">
        <v>0</v>
      </c>
      <c r="AT251" s="339">
        <v>0</v>
      </c>
      <c r="AU251" s="339">
        <v>0</v>
      </c>
      <c r="AV251" s="339">
        <v>0</v>
      </c>
      <c r="AW251" s="339">
        <v>0</v>
      </c>
      <c r="AX251" s="339">
        <v>0</v>
      </c>
      <c r="AY251" s="339">
        <v>0</v>
      </c>
      <c r="AZ251" s="339">
        <v>0</v>
      </c>
      <c r="BA251" s="339">
        <v>0</v>
      </c>
      <c r="BB251" s="339">
        <v>0</v>
      </c>
      <c r="BC251" s="339">
        <v>0</v>
      </c>
      <c r="BD251" s="339">
        <v>0</v>
      </c>
      <c r="BE251" s="339">
        <v>0</v>
      </c>
      <c r="BF251" s="339">
        <v>0</v>
      </c>
      <c r="BG251" s="339">
        <v>0</v>
      </c>
      <c r="BH251" s="339">
        <v>0</v>
      </c>
      <c r="BI251" s="339">
        <v>0</v>
      </c>
      <c r="BJ251" s="339">
        <v>0</v>
      </c>
      <c r="BK251" s="339">
        <v>0</v>
      </c>
      <c r="BL251" s="339">
        <v>0</v>
      </c>
      <c r="BM251" s="339">
        <v>0</v>
      </c>
      <c r="BN251" s="339">
        <v>0</v>
      </c>
      <c r="BO251" s="339">
        <v>0</v>
      </c>
      <c r="BP251" s="339">
        <v>0</v>
      </c>
      <c r="BQ251" s="339">
        <v>0</v>
      </c>
      <c r="BR251" s="339">
        <v>0</v>
      </c>
      <c r="BS251" s="339">
        <v>0</v>
      </c>
      <c r="BT251" s="339">
        <v>0</v>
      </c>
      <c r="BU251" s="339">
        <v>0</v>
      </c>
      <c r="BV251" s="339">
        <v>0</v>
      </c>
      <c r="BW251" s="339">
        <v>0</v>
      </c>
      <c r="BX251" s="339">
        <v>0</v>
      </c>
    </row>
    <row r="252" spans="2:76" hidden="1" outlineLevel="1">
      <c r="B252" s="352"/>
      <c r="C252" s="352" t="s">
        <v>241</v>
      </c>
      <c r="D252" s="352" t="s">
        <v>80</v>
      </c>
      <c r="E252" s="352" t="s">
        <v>133</v>
      </c>
      <c r="F252" s="339">
        <v>1</v>
      </c>
      <c r="G252" s="339">
        <v>1</v>
      </c>
      <c r="H252" s="339">
        <v>1</v>
      </c>
      <c r="I252" s="339">
        <v>1</v>
      </c>
      <c r="J252" s="339">
        <v>1</v>
      </c>
      <c r="K252" s="339">
        <v>1</v>
      </c>
      <c r="L252" s="339">
        <v>1</v>
      </c>
      <c r="M252" s="339">
        <v>1</v>
      </c>
      <c r="N252" s="339">
        <v>1</v>
      </c>
      <c r="O252" s="339">
        <v>1</v>
      </c>
      <c r="P252" s="339">
        <v>1</v>
      </c>
      <c r="Q252" s="339">
        <v>1</v>
      </c>
      <c r="R252" s="339">
        <v>1</v>
      </c>
      <c r="S252" s="339">
        <v>0.6</v>
      </c>
      <c r="T252" s="339">
        <v>0.4</v>
      </c>
      <c r="U252" s="339">
        <v>0</v>
      </c>
      <c r="V252" s="339">
        <v>0</v>
      </c>
      <c r="W252" s="339">
        <v>0</v>
      </c>
      <c r="X252" s="339">
        <v>0</v>
      </c>
      <c r="Y252" s="339">
        <v>0</v>
      </c>
      <c r="Z252" s="339">
        <v>0</v>
      </c>
      <c r="AA252" s="339">
        <v>0</v>
      </c>
      <c r="AB252" s="339">
        <v>0</v>
      </c>
      <c r="AC252" s="339">
        <v>0</v>
      </c>
      <c r="AD252" s="339">
        <v>0</v>
      </c>
      <c r="AE252" s="339">
        <v>0</v>
      </c>
      <c r="AF252" s="339">
        <v>0</v>
      </c>
      <c r="AG252" s="339">
        <v>0</v>
      </c>
      <c r="AH252" s="339">
        <v>0</v>
      </c>
      <c r="AI252" s="339">
        <v>0</v>
      </c>
      <c r="AJ252" s="339">
        <v>0</v>
      </c>
      <c r="AK252" s="339">
        <v>0</v>
      </c>
      <c r="AL252" s="339">
        <v>0</v>
      </c>
      <c r="AM252" s="339">
        <v>0</v>
      </c>
      <c r="AN252" s="339">
        <v>0</v>
      </c>
      <c r="AO252" s="339">
        <v>0</v>
      </c>
      <c r="AP252" s="339">
        <v>0</v>
      </c>
      <c r="AQ252" s="339">
        <v>0</v>
      </c>
      <c r="AR252" s="339">
        <v>0</v>
      </c>
      <c r="AS252" s="339">
        <v>0</v>
      </c>
      <c r="AT252" s="339">
        <v>0</v>
      </c>
      <c r="AU252" s="339">
        <v>0</v>
      </c>
      <c r="AV252" s="339">
        <v>0</v>
      </c>
      <c r="AW252" s="339">
        <v>0</v>
      </c>
      <c r="AX252" s="339">
        <v>0</v>
      </c>
      <c r="AY252" s="339">
        <v>0</v>
      </c>
      <c r="AZ252" s="339">
        <v>0</v>
      </c>
      <c r="BA252" s="339">
        <v>0</v>
      </c>
      <c r="BB252" s="339">
        <v>0</v>
      </c>
      <c r="BC252" s="339">
        <v>0</v>
      </c>
      <c r="BD252" s="339">
        <v>0</v>
      </c>
      <c r="BE252" s="339">
        <v>0</v>
      </c>
      <c r="BF252" s="339">
        <v>0</v>
      </c>
      <c r="BG252" s="339">
        <v>0</v>
      </c>
      <c r="BH252" s="339">
        <v>0</v>
      </c>
      <c r="BI252" s="339">
        <v>0</v>
      </c>
      <c r="BJ252" s="339">
        <v>0</v>
      </c>
      <c r="BK252" s="339">
        <v>0</v>
      </c>
      <c r="BL252" s="339">
        <v>0</v>
      </c>
      <c r="BM252" s="339">
        <v>0</v>
      </c>
      <c r="BN252" s="339">
        <v>0</v>
      </c>
      <c r="BO252" s="339">
        <v>0</v>
      </c>
      <c r="BP252" s="339">
        <v>0</v>
      </c>
      <c r="BQ252" s="339">
        <v>0</v>
      </c>
      <c r="BR252" s="339">
        <v>0</v>
      </c>
      <c r="BS252" s="339">
        <v>0</v>
      </c>
      <c r="BT252" s="339">
        <v>0</v>
      </c>
      <c r="BU252" s="339">
        <v>0</v>
      </c>
      <c r="BV252" s="339">
        <v>0</v>
      </c>
      <c r="BW252" s="339">
        <v>0</v>
      </c>
      <c r="BX252" s="339">
        <v>0</v>
      </c>
    </row>
    <row r="253" spans="2:76" hidden="1" outlineLevel="1">
      <c r="B253" s="352"/>
      <c r="C253" s="352" t="s">
        <v>241</v>
      </c>
      <c r="D253" s="352" t="s">
        <v>80</v>
      </c>
      <c r="E253" s="352" t="s">
        <v>134</v>
      </c>
      <c r="F253" s="339">
        <v>1</v>
      </c>
      <c r="G253" s="339">
        <v>1</v>
      </c>
      <c r="H253" s="339">
        <v>1</v>
      </c>
      <c r="I253" s="339">
        <v>1</v>
      </c>
      <c r="J253" s="339">
        <v>1</v>
      </c>
      <c r="K253" s="339">
        <v>1</v>
      </c>
      <c r="L253" s="339">
        <v>1</v>
      </c>
      <c r="M253" s="339">
        <v>1</v>
      </c>
      <c r="N253" s="339">
        <v>1</v>
      </c>
      <c r="O253" s="339">
        <v>1</v>
      </c>
      <c r="P253" s="339">
        <v>1</v>
      </c>
      <c r="Q253" s="339">
        <v>1</v>
      </c>
      <c r="R253" s="339">
        <v>1</v>
      </c>
      <c r="S253" s="339">
        <v>0.6</v>
      </c>
      <c r="T253" s="339">
        <v>0.4</v>
      </c>
      <c r="U253" s="339">
        <v>0</v>
      </c>
      <c r="V253" s="339">
        <v>0</v>
      </c>
      <c r="W253" s="339">
        <v>0</v>
      </c>
      <c r="X253" s="339">
        <v>0</v>
      </c>
      <c r="Y253" s="339">
        <v>0</v>
      </c>
      <c r="Z253" s="339">
        <v>0</v>
      </c>
      <c r="AA253" s="339">
        <v>0</v>
      </c>
      <c r="AB253" s="339">
        <v>0</v>
      </c>
      <c r="AC253" s="339">
        <v>0</v>
      </c>
      <c r="AD253" s="339">
        <v>0</v>
      </c>
      <c r="AE253" s="339">
        <v>0</v>
      </c>
      <c r="AF253" s="339">
        <v>0</v>
      </c>
      <c r="AG253" s="339">
        <v>0</v>
      </c>
      <c r="AH253" s="339">
        <v>0</v>
      </c>
      <c r="AI253" s="339">
        <v>0</v>
      </c>
      <c r="AJ253" s="339">
        <v>0</v>
      </c>
      <c r="AK253" s="339">
        <v>0</v>
      </c>
      <c r="AL253" s="339">
        <v>0</v>
      </c>
      <c r="AM253" s="339">
        <v>0</v>
      </c>
      <c r="AN253" s="339">
        <v>0</v>
      </c>
      <c r="AO253" s="339">
        <v>0</v>
      </c>
      <c r="AP253" s="339">
        <v>0</v>
      </c>
      <c r="AQ253" s="339">
        <v>0</v>
      </c>
      <c r="AR253" s="339">
        <v>0</v>
      </c>
      <c r="AS253" s="339">
        <v>0</v>
      </c>
      <c r="AT253" s="339">
        <v>0</v>
      </c>
      <c r="AU253" s="339">
        <v>0</v>
      </c>
      <c r="AV253" s="339">
        <v>0</v>
      </c>
      <c r="AW253" s="339">
        <v>0</v>
      </c>
      <c r="AX253" s="339">
        <v>0</v>
      </c>
      <c r="AY253" s="339">
        <v>0</v>
      </c>
      <c r="AZ253" s="339">
        <v>0</v>
      </c>
      <c r="BA253" s="339">
        <v>0</v>
      </c>
      <c r="BB253" s="339">
        <v>0</v>
      </c>
      <c r="BC253" s="339">
        <v>0</v>
      </c>
      <c r="BD253" s="339">
        <v>0</v>
      </c>
      <c r="BE253" s="339">
        <v>0</v>
      </c>
      <c r="BF253" s="339">
        <v>0</v>
      </c>
      <c r="BG253" s="339">
        <v>0</v>
      </c>
      <c r="BH253" s="339">
        <v>0</v>
      </c>
      <c r="BI253" s="339">
        <v>0</v>
      </c>
      <c r="BJ253" s="339">
        <v>0</v>
      </c>
      <c r="BK253" s="339">
        <v>0</v>
      </c>
      <c r="BL253" s="339">
        <v>0</v>
      </c>
      <c r="BM253" s="339">
        <v>0</v>
      </c>
      <c r="BN253" s="339">
        <v>0</v>
      </c>
      <c r="BO253" s="339">
        <v>0</v>
      </c>
      <c r="BP253" s="339">
        <v>0</v>
      </c>
      <c r="BQ253" s="339">
        <v>0</v>
      </c>
      <c r="BR253" s="339">
        <v>0</v>
      </c>
      <c r="BS253" s="339">
        <v>0</v>
      </c>
      <c r="BT253" s="339">
        <v>0</v>
      </c>
      <c r="BU253" s="339">
        <v>0</v>
      </c>
      <c r="BV253" s="339">
        <v>0</v>
      </c>
      <c r="BW253" s="339">
        <v>0</v>
      </c>
      <c r="BX253" s="339">
        <v>0</v>
      </c>
    </row>
    <row r="254" spans="2:76" hidden="1" outlineLevel="1">
      <c r="B254" s="352"/>
      <c r="C254" s="352" t="s">
        <v>241</v>
      </c>
      <c r="D254" s="352" t="s">
        <v>80</v>
      </c>
      <c r="E254" s="352" t="s">
        <v>8</v>
      </c>
      <c r="F254" s="339">
        <v>1</v>
      </c>
      <c r="G254" s="339">
        <v>1</v>
      </c>
      <c r="H254" s="339">
        <v>1</v>
      </c>
      <c r="I254" s="339">
        <v>1</v>
      </c>
      <c r="J254" s="339">
        <v>1</v>
      </c>
      <c r="K254" s="339">
        <v>1</v>
      </c>
      <c r="L254" s="339">
        <v>1</v>
      </c>
      <c r="M254" s="339">
        <v>1</v>
      </c>
      <c r="N254" s="339">
        <v>1</v>
      </c>
      <c r="O254" s="339">
        <v>1</v>
      </c>
      <c r="P254" s="339">
        <v>1</v>
      </c>
      <c r="Q254" s="339">
        <v>1</v>
      </c>
      <c r="R254" s="339">
        <v>1</v>
      </c>
      <c r="S254" s="339">
        <v>0.6</v>
      </c>
      <c r="T254" s="339">
        <v>0.4</v>
      </c>
      <c r="U254" s="339">
        <v>0</v>
      </c>
      <c r="V254" s="339">
        <v>0</v>
      </c>
      <c r="W254" s="339">
        <v>0</v>
      </c>
      <c r="X254" s="339">
        <v>0</v>
      </c>
      <c r="Y254" s="339">
        <v>0</v>
      </c>
      <c r="Z254" s="339">
        <v>0</v>
      </c>
      <c r="AA254" s="339">
        <v>0</v>
      </c>
      <c r="AB254" s="339">
        <v>0</v>
      </c>
      <c r="AC254" s="339">
        <v>0</v>
      </c>
      <c r="AD254" s="339">
        <v>0</v>
      </c>
      <c r="AE254" s="339">
        <v>0</v>
      </c>
      <c r="AF254" s="339">
        <v>0</v>
      </c>
      <c r="AG254" s="339">
        <v>0</v>
      </c>
      <c r="AH254" s="339">
        <v>0</v>
      </c>
      <c r="AI254" s="339">
        <v>0</v>
      </c>
      <c r="AJ254" s="339">
        <v>0</v>
      </c>
      <c r="AK254" s="339">
        <v>0</v>
      </c>
      <c r="AL254" s="339">
        <v>0</v>
      </c>
      <c r="AM254" s="339">
        <v>0</v>
      </c>
      <c r="AN254" s="339">
        <v>0</v>
      </c>
      <c r="AO254" s="339">
        <v>0</v>
      </c>
      <c r="AP254" s="339">
        <v>0</v>
      </c>
      <c r="AQ254" s="339">
        <v>0</v>
      </c>
      <c r="AR254" s="339">
        <v>0</v>
      </c>
      <c r="AS254" s="339">
        <v>0</v>
      </c>
      <c r="AT254" s="339">
        <v>0</v>
      </c>
      <c r="AU254" s="339">
        <v>0</v>
      </c>
      <c r="AV254" s="339">
        <v>0</v>
      </c>
      <c r="AW254" s="339">
        <v>0</v>
      </c>
      <c r="AX254" s="339">
        <v>0</v>
      </c>
      <c r="AY254" s="339">
        <v>0</v>
      </c>
      <c r="AZ254" s="339">
        <v>0</v>
      </c>
      <c r="BA254" s="339">
        <v>0</v>
      </c>
      <c r="BB254" s="339">
        <v>0</v>
      </c>
      <c r="BC254" s="339">
        <v>0</v>
      </c>
      <c r="BD254" s="339">
        <v>0</v>
      </c>
      <c r="BE254" s="339">
        <v>0</v>
      </c>
      <c r="BF254" s="339">
        <v>0</v>
      </c>
      <c r="BG254" s="339">
        <v>0</v>
      </c>
      <c r="BH254" s="339">
        <v>0</v>
      </c>
      <c r="BI254" s="339">
        <v>0</v>
      </c>
      <c r="BJ254" s="339">
        <v>0</v>
      </c>
      <c r="BK254" s="339">
        <v>0</v>
      </c>
      <c r="BL254" s="339">
        <v>0</v>
      </c>
      <c r="BM254" s="339">
        <v>0</v>
      </c>
      <c r="BN254" s="339">
        <v>0</v>
      </c>
      <c r="BO254" s="339">
        <v>0</v>
      </c>
      <c r="BP254" s="339">
        <v>0</v>
      </c>
      <c r="BQ254" s="339">
        <v>0</v>
      </c>
      <c r="BR254" s="339">
        <v>0</v>
      </c>
      <c r="BS254" s="339">
        <v>0</v>
      </c>
      <c r="BT254" s="339">
        <v>0</v>
      </c>
      <c r="BU254" s="339">
        <v>0</v>
      </c>
      <c r="BV254" s="339">
        <v>0</v>
      </c>
      <c r="BW254" s="339">
        <v>0</v>
      </c>
      <c r="BX254" s="339">
        <v>0</v>
      </c>
    </row>
    <row r="255" spans="2:76" hidden="1" outlineLevel="1">
      <c r="B255" s="352"/>
      <c r="C255" s="352" t="s">
        <v>241</v>
      </c>
      <c r="D255" s="352" t="s">
        <v>80</v>
      </c>
      <c r="E255" s="352" t="s">
        <v>9</v>
      </c>
      <c r="F255" s="339">
        <v>1</v>
      </c>
      <c r="G255" s="339">
        <v>1</v>
      </c>
      <c r="H255" s="339">
        <v>1</v>
      </c>
      <c r="I255" s="339">
        <v>1</v>
      </c>
      <c r="J255" s="339">
        <v>1</v>
      </c>
      <c r="K255" s="339">
        <v>1</v>
      </c>
      <c r="L255" s="339">
        <v>1</v>
      </c>
      <c r="M255" s="339">
        <v>1</v>
      </c>
      <c r="N255" s="339">
        <v>1</v>
      </c>
      <c r="O255" s="339">
        <v>1</v>
      </c>
      <c r="P255" s="339">
        <v>1</v>
      </c>
      <c r="Q255" s="339">
        <v>1</v>
      </c>
      <c r="R255" s="339">
        <v>1</v>
      </c>
      <c r="S255" s="339">
        <v>0.6</v>
      </c>
      <c r="T255" s="339">
        <v>0.4</v>
      </c>
      <c r="U255" s="339">
        <v>0</v>
      </c>
      <c r="V255" s="339">
        <v>0</v>
      </c>
      <c r="W255" s="339">
        <v>0</v>
      </c>
      <c r="X255" s="339">
        <v>0</v>
      </c>
      <c r="Y255" s="339">
        <v>0</v>
      </c>
      <c r="Z255" s="339">
        <v>0</v>
      </c>
      <c r="AA255" s="339">
        <v>0</v>
      </c>
      <c r="AB255" s="339">
        <v>0</v>
      </c>
      <c r="AC255" s="339">
        <v>0</v>
      </c>
      <c r="AD255" s="339">
        <v>0</v>
      </c>
      <c r="AE255" s="339">
        <v>0</v>
      </c>
      <c r="AF255" s="339">
        <v>0</v>
      </c>
      <c r="AG255" s="339">
        <v>0</v>
      </c>
      <c r="AH255" s="339">
        <v>0</v>
      </c>
      <c r="AI255" s="339">
        <v>0</v>
      </c>
      <c r="AJ255" s="339">
        <v>0</v>
      </c>
      <c r="AK255" s="339">
        <v>0</v>
      </c>
      <c r="AL255" s="339">
        <v>0</v>
      </c>
      <c r="AM255" s="339">
        <v>0</v>
      </c>
      <c r="AN255" s="339">
        <v>0</v>
      </c>
      <c r="AO255" s="339">
        <v>0</v>
      </c>
      <c r="AP255" s="339">
        <v>0</v>
      </c>
      <c r="AQ255" s="339">
        <v>0</v>
      </c>
      <c r="AR255" s="339">
        <v>0</v>
      </c>
      <c r="AS255" s="339">
        <v>0</v>
      </c>
      <c r="AT255" s="339">
        <v>0</v>
      </c>
      <c r="AU255" s="339">
        <v>0</v>
      </c>
      <c r="AV255" s="339">
        <v>0</v>
      </c>
      <c r="AW255" s="339">
        <v>0</v>
      </c>
      <c r="AX255" s="339">
        <v>0</v>
      </c>
      <c r="AY255" s="339">
        <v>0</v>
      </c>
      <c r="AZ255" s="339">
        <v>0</v>
      </c>
      <c r="BA255" s="339">
        <v>0</v>
      </c>
      <c r="BB255" s="339">
        <v>0</v>
      </c>
      <c r="BC255" s="339">
        <v>0</v>
      </c>
      <c r="BD255" s="339">
        <v>0</v>
      </c>
      <c r="BE255" s="339">
        <v>0</v>
      </c>
      <c r="BF255" s="339">
        <v>0</v>
      </c>
      <c r="BG255" s="339">
        <v>0</v>
      </c>
      <c r="BH255" s="339">
        <v>0</v>
      </c>
      <c r="BI255" s="339">
        <v>0</v>
      </c>
      <c r="BJ255" s="339">
        <v>0</v>
      </c>
      <c r="BK255" s="339">
        <v>0</v>
      </c>
      <c r="BL255" s="339">
        <v>0</v>
      </c>
      <c r="BM255" s="339">
        <v>0</v>
      </c>
      <c r="BN255" s="339">
        <v>0</v>
      </c>
      <c r="BO255" s="339">
        <v>0</v>
      </c>
      <c r="BP255" s="339">
        <v>0</v>
      </c>
      <c r="BQ255" s="339">
        <v>0</v>
      </c>
      <c r="BR255" s="339">
        <v>0</v>
      </c>
      <c r="BS255" s="339">
        <v>0</v>
      </c>
      <c r="BT255" s="339">
        <v>0</v>
      </c>
      <c r="BU255" s="339">
        <v>0</v>
      </c>
      <c r="BV255" s="339">
        <v>0</v>
      </c>
      <c r="BW255" s="339">
        <v>0</v>
      </c>
      <c r="BX255" s="339">
        <v>0</v>
      </c>
    </row>
    <row r="256" spans="2:76" hidden="1" outlineLevel="1">
      <c r="B256" s="352"/>
      <c r="C256" s="352" t="s">
        <v>241</v>
      </c>
      <c r="D256" s="352" t="s">
        <v>80</v>
      </c>
      <c r="E256" s="352" t="s">
        <v>138</v>
      </c>
      <c r="F256" s="339">
        <v>1</v>
      </c>
      <c r="G256" s="339">
        <v>1</v>
      </c>
      <c r="H256" s="339">
        <v>1</v>
      </c>
      <c r="I256" s="339">
        <v>1</v>
      </c>
      <c r="J256" s="339">
        <v>1</v>
      </c>
      <c r="K256" s="339">
        <v>1</v>
      </c>
      <c r="L256" s="339">
        <v>1</v>
      </c>
      <c r="M256" s="339">
        <v>1</v>
      </c>
      <c r="N256" s="339">
        <v>1</v>
      </c>
      <c r="O256" s="339">
        <v>1</v>
      </c>
      <c r="P256" s="339">
        <v>1</v>
      </c>
      <c r="Q256" s="339">
        <v>1</v>
      </c>
      <c r="R256" s="339">
        <v>1</v>
      </c>
      <c r="S256" s="339">
        <v>0.6</v>
      </c>
      <c r="T256" s="339">
        <v>0.4</v>
      </c>
      <c r="U256" s="339">
        <v>0</v>
      </c>
      <c r="V256" s="339">
        <v>0</v>
      </c>
      <c r="W256" s="339">
        <v>0</v>
      </c>
      <c r="X256" s="339">
        <v>0</v>
      </c>
      <c r="Y256" s="339">
        <v>0</v>
      </c>
      <c r="Z256" s="339">
        <v>0</v>
      </c>
      <c r="AA256" s="339">
        <v>0</v>
      </c>
      <c r="AB256" s="339">
        <v>0</v>
      </c>
      <c r="AC256" s="339">
        <v>0</v>
      </c>
      <c r="AD256" s="339">
        <v>0</v>
      </c>
      <c r="AE256" s="339">
        <v>0</v>
      </c>
      <c r="AF256" s="339">
        <v>0</v>
      </c>
      <c r="AG256" s="339">
        <v>0</v>
      </c>
      <c r="AH256" s="339">
        <v>0</v>
      </c>
      <c r="AI256" s="339">
        <v>0</v>
      </c>
      <c r="AJ256" s="339">
        <v>0</v>
      </c>
      <c r="AK256" s="339">
        <v>0</v>
      </c>
      <c r="AL256" s="339">
        <v>0</v>
      </c>
      <c r="AM256" s="339">
        <v>0</v>
      </c>
      <c r="AN256" s="339">
        <v>0</v>
      </c>
      <c r="AO256" s="339">
        <v>0</v>
      </c>
      <c r="AP256" s="339">
        <v>0</v>
      </c>
      <c r="AQ256" s="339">
        <v>0</v>
      </c>
      <c r="AR256" s="339">
        <v>0</v>
      </c>
      <c r="AS256" s="339">
        <v>0</v>
      </c>
      <c r="AT256" s="339">
        <v>0</v>
      </c>
      <c r="AU256" s="339">
        <v>0</v>
      </c>
      <c r="AV256" s="339">
        <v>0</v>
      </c>
      <c r="AW256" s="339">
        <v>0</v>
      </c>
      <c r="AX256" s="339">
        <v>0</v>
      </c>
      <c r="AY256" s="339">
        <v>0</v>
      </c>
      <c r="AZ256" s="339">
        <v>0</v>
      </c>
      <c r="BA256" s="339">
        <v>0</v>
      </c>
      <c r="BB256" s="339">
        <v>0</v>
      </c>
      <c r="BC256" s="339">
        <v>0</v>
      </c>
      <c r="BD256" s="339">
        <v>0</v>
      </c>
      <c r="BE256" s="339">
        <v>0</v>
      </c>
      <c r="BF256" s="339">
        <v>0</v>
      </c>
      <c r="BG256" s="339">
        <v>0</v>
      </c>
      <c r="BH256" s="339">
        <v>0</v>
      </c>
      <c r="BI256" s="339">
        <v>0</v>
      </c>
      <c r="BJ256" s="339">
        <v>0</v>
      </c>
      <c r="BK256" s="339">
        <v>0</v>
      </c>
      <c r="BL256" s="339">
        <v>0</v>
      </c>
      <c r="BM256" s="339">
        <v>0</v>
      </c>
      <c r="BN256" s="339">
        <v>0</v>
      </c>
      <c r="BO256" s="339">
        <v>0</v>
      </c>
      <c r="BP256" s="339">
        <v>0</v>
      </c>
      <c r="BQ256" s="339">
        <v>0</v>
      </c>
      <c r="BR256" s="339">
        <v>0</v>
      </c>
      <c r="BS256" s="339">
        <v>0</v>
      </c>
      <c r="BT256" s="339">
        <v>0</v>
      </c>
      <c r="BU256" s="339">
        <v>0</v>
      </c>
      <c r="BV256" s="339">
        <v>0</v>
      </c>
      <c r="BW256" s="339">
        <v>0</v>
      </c>
      <c r="BX256" s="339">
        <v>0</v>
      </c>
    </row>
    <row r="257" spans="1:76" hidden="1" outlineLevel="1">
      <c r="B257" s="352"/>
      <c r="C257" s="352" t="s">
        <v>241</v>
      </c>
      <c r="D257" s="352" t="s">
        <v>80</v>
      </c>
      <c r="E257" s="352" t="s">
        <v>10</v>
      </c>
      <c r="F257" s="339">
        <v>1</v>
      </c>
      <c r="G257" s="339">
        <v>1</v>
      </c>
      <c r="H257" s="339">
        <v>1</v>
      </c>
      <c r="I257" s="339">
        <v>1</v>
      </c>
      <c r="J257" s="339">
        <v>1</v>
      </c>
      <c r="K257" s="339">
        <v>1</v>
      </c>
      <c r="L257" s="339">
        <v>1</v>
      </c>
      <c r="M257" s="339">
        <v>1</v>
      </c>
      <c r="N257" s="339">
        <v>1</v>
      </c>
      <c r="O257" s="339">
        <v>1</v>
      </c>
      <c r="P257" s="339">
        <v>1</v>
      </c>
      <c r="Q257" s="339">
        <v>1</v>
      </c>
      <c r="R257" s="339">
        <v>1</v>
      </c>
      <c r="S257" s="339">
        <v>0.6</v>
      </c>
      <c r="T257" s="339">
        <v>0.4</v>
      </c>
      <c r="U257" s="339">
        <v>0</v>
      </c>
      <c r="V257" s="339">
        <v>0</v>
      </c>
      <c r="W257" s="339">
        <v>0</v>
      </c>
      <c r="X257" s="339">
        <v>0</v>
      </c>
      <c r="Y257" s="339">
        <v>0</v>
      </c>
      <c r="Z257" s="339">
        <v>0</v>
      </c>
      <c r="AA257" s="339">
        <v>0</v>
      </c>
      <c r="AB257" s="339">
        <v>0</v>
      </c>
      <c r="AC257" s="339">
        <v>0</v>
      </c>
      <c r="AD257" s="339">
        <v>0</v>
      </c>
      <c r="AE257" s="339">
        <v>0</v>
      </c>
      <c r="AF257" s="339">
        <v>0</v>
      </c>
      <c r="AG257" s="339">
        <v>0</v>
      </c>
      <c r="AH257" s="339">
        <v>0</v>
      </c>
      <c r="AI257" s="339">
        <v>0</v>
      </c>
      <c r="AJ257" s="339">
        <v>0</v>
      </c>
      <c r="AK257" s="339">
        <v>0</v>
      </c>
      <c r="AL257" s="339">
        <v>0</v>
      </c>
      <c r="AM257" s="339">
        <v>0</v>
      </c>
      <c r="AN257" s="339">
        <v>0</v>
      </c>
      <c r="AO257" s="339">
        <v>0</v>
      </c>
      <c r="AP257" s="339">
        <v>0</v>
      </c>
      <c r="AQ257" s="339">
        <v>0</v>
      </c>
      <c r="AR257" s="339">
        <v>0</v>
      </c>
      <c r="AS257" s="339">
        <v>0</v>
      </c>
      <c r="AT257" s="339">
        <v>0</v>
      </c>
      <c r="AU257" s="339">
        <v>0</v>
      </c>
      <c r="AV257" s="339">
        <v>0</v>
      </c>
      <c r="AW257" s="339">
        <v>0</v>
      </c>
      <c r="AX257" s="339">
        <v>0</v>
      </c>
      <c r="AY257" s="339">
        <v>0</v>
      </c>
      <c r="AZ257" s="339">
        <v>0</v>
      </c>
      <c r="BA257" s="339">
        <v>0</v>
      </c>
      <c r="BB257" s="339">
        <v>0</v>
      </c>
      <c r="BC257" s="339">
        <v>0</v>
      </c>
      <c r="BD257" s="339">
        <v>0</v>
      </c>
      <c r="BE257" s="339">
        <v>0</v>
      </c>
      <c r="BF257" s="339">
        <v>0</v>
      </c>
      <c r="BG257" s="339">
        <v>0</v>
      </c>
      <c r="BH257" s="339">
        <v>0</v>
      </c>
      <c r="BI257" s="339">
        <v>0</v>
      </c>
      <c r="BJ257" s="339">
        <v>0</v>
      </c>
      <c r="BK257" s="339">
        <v>0</v>
      </c>
      <c r="BL257" s="339">
        <v>0</v>
      </c>
      <c r="BM257" s="339">
        <v>0</v>
      </c>
      <c r="BN257" s="339">
        <v>0</v>
      </c>
      <c r="BO257" s="339">
        <v>0</v>
      </c>
      <c r="BP257" s="339">
        <v>0</v>
      </c>
      <c r="BQ257" s="339">
        <v>0</v>
      </c>
      <c r="BR257" s="339">
        <v>0</v>
      </c>
      <c r="BS257" s="339">
        <v>0</v>
      </c>
      <c r="BT257" s="339">
        <v>0</v>
      </c>
      <c r="BU257" s="339">
        <v>0</v>
      </c>
      <c r="BV257" s="339">
        <v>0</v>
      </c>
      <c r="BW257" s="339">
        <v>0</v>
      </c>
      <c r="BX257" s="339">
        <v>0</v>
      </c>
    </row>
    <row r="258" spans="1:76" hidden="1" outlineLevel="1">
      <c r="B258" s="352"/>
      <c r="C258" s="352" t="s">
        <v>241</v>
      </c>
      <c r="D258" s="352" t="s">
        <v>80</v>
      </c>
      <c r="E258" s="352" t="s">
        <v>135</v>
      </c>
      <c r="F258" s="339">
        <v>1</v>
      </c>
      <c r="G258" s="339">
        <v>1</v>
      </c>
      <c r="H258" s="339">
        <v>1</v>
      </c>
      <c r="I258" s="339">
        <v>1</v>
      </c>
      <c r="J258" s="339">
        <v>1</v>
      </c>
      <c r="K258" s="339">
        <v>1</v>
      </c>
      <c r="L258" s="339">
        <v>1</v>
      </c>
      <c r="M258" s="339">
        <v>1</v>
      </c>
      <c r="N258" s="339">
        <v>1</v>
      </c>
      <c r="O258" s="339">
        <v>1</v>
      </c>
      <c r="P258" s="339">
        <v>1</v>
      </c>
      <c r="Q258" s="339">
        <v>1</v>
      </c>
      <c r="R258" s="339">
        <v>1</v>
      </c>
      <c r="S258" s="339">
        <v>0.6</v>
      </c>
      <c r="T258" s="339">
        <v>0.4</v>
      </c>
      <c r="U258" s="339">
        <v>0</v>
      </c>
      <c r="V258" s="339">
        <v>0</v>
      </c>
      <c r="W258" s="339">
        <v>0</v>
      </c>
      <c r="X258" s="339">
        <v>0</v>
      </c>
      <c r="Y258" s="339">
        <v>0</v>
      </c>
      <c r="Z258" s="339">
        <v>0</v>
      </c>
      <c r="AA258" s="339">
        <v>0</v>
      </c>
      <c r="AB258" s="339">
        <v>0</v>
      </c>
      <c r="AC258" s="339">
        <v>0</v>
      </c>
      <c r="AD258" s="339">
        <v>0</v>
      </c>
      <c r="AE258" s="339">
        <v>0</v>
      </c>
      <c r="AF258" s="339">
        <v>0</v>
      </c>
      <c r="AG258" s="339">
        <v>0</v>
      </c>
      <c r="AH258" s="339">
        <v>0</v>
      </c>
      <c r="AI258" s="339">
        <v>0</v>
      </c>
      <c r="AJ258" s="339">
        <v>0</v>
      </c>
      <c r="AK258" s="339">
        <v>0</v>
      </c>
      <c r="AL258" s="339">
        <v>0</v>
      </c>
      <c r="AM258" s="339">
        <v>0</v>
      </c>
      <c r="AN258" s="339">
        <v>0</v>
      </c>
      <c r="AO258" s="339">
        <v>0</v>
      </c>
      <c r="AP258" s="339">
        <v>0</v>
      </c>
      <c r="AQ258" s="339">
        <v>0</v>
      </c>
      <c r="AR258" s="339">
        <v>0</v>
      </c>
      <c r="AS258" s="339">
        <v>0</v>
      </c>
      <c r="AT258" s="339">
        <v>0</v>
      </c>
      <c r="AU258" s="339">
        <v>0</v>
      </c>
      <c r="AV258" s="339">
        <v>0</v>
      </c>
      <c r="AW258" s="339">
        <v>0</v>
      </c>
      <c r="AX258" s="339">
        <v>0</v>
      </c>
      <c r="AY258" s="339">
        <v>0</v>
      </c>
      <c r="AZ258" s="339">
        <v>0</v>
      </c>
      <c r="BA258" s="339">
        <v>0</v>
      </c>
      <c r="BB258" s="339">
        <v>0</v>
      </c>
      <c r="BC258" s="339">
        <v>0</v>
      </c>
      <c r="BD258" s="339">
        <v>0</v>
      </c>
      <c r="BE258" s="339">
        <v>0</v>
      </c>
      <c r="BF258" s="339">
        <v>0</v>
      </c>
      <c r="BG258" s="339">
        <v>0</v>
      </c>
      <c r="BH258" s="339">
        <v>0</v>
      </c>
      <c r="BI258" s="339">
        <v>0</v>
      </c>
      <c r="BJ258" s="339">
        <v>0</v>
      </c>
      <c r="BK258" s="339">
        <v>0</v>
      </c>
      <c r="BL258" s="339">
        <v>0</v>
      </c>
      <c r="BM258" s="339">
        <v>0</v>
      </c>
      <c r="BN258" s="339">
        <v>0</v>
      </c>
      <c r="BO258" s="339">
        <v>0</v>
      </c>
      <c r="BP258" s="339">
        <v>0</v>
      </c>
      <c r="BQ258" s="339">
        <v>0</v>
      </c>
      <c r="BR258" s="339">
        <v>0</v>
      </c>
      <c r="BS258" s="339">
        <v>0</v>
      </c>
      <c r="BT258" s="339">
        <v>0</v>
      </c>
      <c r="BU258" s="339">
        <v>0</v>
      </c>
      <c r="BV258" s="339">
        <v>0</v>
      </c>
      <c r="BW258" s="339">
        <v>0</v>
      </c>
      <c r="BX258" s="339">
        <v>0</v>
      </c>
    </row>
    <row r="259" spans="1:76" hidden="1" outlineLevel="1">
      <c r="B259" s="352"/>
      <c r="C259" s="352" t="s">
        <v>241</v>
      </c>
      <c r="D259" s="352" t="s">
        <v>80</v>
      </c>
      <c r="E259" s="352" t="s">
        <v>136</v>
      </c>
      <c r="F259" s="339">
        <v>1</v>
      </c>
      <c r="G259" s="339">
        <v>1</v>
      </c>
      <c r="H259" s="339">
        <v>1</v>
      </c>
      <c r="I259" s="339">
        <v>1</v>
      </c>
      <c r="J259" s="339">
        <v>1</v>
      </c>
      <c r="K259" s="339">
        <v>1</v>
      </c>
      <c r="L259" s="339">
        <v>1</v>
      </c>
      <c r="M259" s="339">
        <v>1</v>
      </c>
      <c r="N259" s="339">
        <v>1</v>
      </c>
      <c r="O259" s="339">
        <v>1</v>
      </c>
      <c r="P259" s="339">
        <v>1</v>
      </c>
      <c r="Q259" s="339">
        <v>1</v>
      </c>
      <c r="R259" s="339">
        <v>1</v>
      </c>
      <c r="S259" s="339">
        <v>0.6</v>
      </c>
      <c r="T259" s="339">
        <v>0.4</v>
      </c>
      <c r="U259" s="339">
        <v>0</v>
      </c>
      <c r="V259" s="339">
        <v>0</v>
      </c>
      <c r="W259" s="339">
        <v>0</v>
      </c>
      <c r="X259" s="339">
        <v>0</v>
      </c>
      <c r="Y259" s="339">
        <v>0</v>
      </c>
      <c r="Z259" s="339">
        <v>0</v>
      </c>
      <c r="AA259" s="339">
        <v>0</v>
      </c>
      <c r="AB259" s="339">
        <v>0</v>
      </c>
      <c r="AC259" s="339">
        <v>0</v>
      </c>
      <c r="AD259" s="339">
        <v>0</v>
      </c>
      <c r="AE259" s="339">
        <v>0</v>
      </c>
      <c r="AF259" s="339">
        <v>0</v>
      </c>
      <c r="AG259" s="339">
        <v>0</v>
      </c>
      <c r="AH259" s="339">
        <v>0</v>
      </c>
      <c r="AI259" s="339">
        <v>0</v>
      </c>
      <c r="AJ259" s="339">
        <v>0</v>
      </c>
      <c r="AK259" s="339">
        <v>0</v>
      </c>
      <c r="AL259" s="339">
        <v>0</v>
      </c>
      <c r="AM259" s="339">
        <v>0</v>
      </c>
      <c r="AN259" s="339">
        <v>0</v>
      </c>
      <c r="AO259" s="339">
        <v>0</v>
      </c>
      <c r="AP259" s="339">
        <v>0</v>
      </c>
      <c r="AQ259" s="339">
        <v>0</v>
      </c>
      <c r="AR259" s="339">
        <v>0</v>
      </c>
      <c r="AS259" s="339">
        <v>0</v>
      </c>
      <c r="AT259" s="339">
        <v>0</v>
      </c>
      <c r="AU259" s="339">
        <v>0</v>
      </c>
      <c r="AV259" s="339">
        <v>0</v>
      </c>
      <c r="AW259" s="339">
        <v>0</v>
      </c>
      <c r="AX259" s="339">
        <v>0</v>
      </c>
      <c r="AY259" s="339">
        <v>0</v>
      </c>
      <c r="AZ259" s="339">
        <v>0</v>
      </c>
      <c r="BA259" s="339">
        <v>0</v>
      </c>
      <c r="BB259" s="339">
        <v>0</v>
      </c>
      <c r="BC259" s="339">
        <v>0</v>
      </c>
      <c r="BD259" s="339">
        <v>0</v>
      </c>
      <c r="BE259" s="339">
        <v>0</v>
      </c>
      <c r="BF259" s="339">
        <v>0</v>
      </c>
      <c r="BG259" s="339">
        <v>0</v>
      </c>
      <c r="BH259" s="339">
        <v>0</v>
      </c>
      <c r="BI259" s="339">
        <v>0</v>
      </c>
      <c r="BJ259" s="339">
        <v>0</v>
      </c>
      <c r="BK259" s="339">
        <v>0</v>
      </c>
      <c r="BL259" s="339">
        <v>0</v>
      </c>
      <c r="BM259" s="339">
        <v>0</v>
      </c>
      <c r="BN259" s="339">
        <v>0</v>
      </c>
      <c r="BO259" s="339">
        <v>0</v>
      </c>
      <c r="BP259" s="339">
        <v>0</v>
      </c>
      <c r="BQ259" s="339">
        <v>0</v>
      </c>
      <c r="BR259" s="339">
        <v>0</v>
      </c>
      <c r="BS259" s="339">
        <v>0</v>
      </c>
      <c r="BT259" s="339">
        <v>0</v>
      </c>
      <c r="BU259" s="339">
        <v>0</v>
      </c>
      <c r="BV259" s="339">
        <v>0</v>
      </c>
      <c r="BW259" s="339">
        <v>0</v>
      </c>
      <c r="BX259" s="339">
        <v>0</v>
      </c>
    </row>
    <row r="260" spans="1:76" hidden="1" outlineLevel="1">
      <c r="B260" s="352"/>
      <c r="C260" s="352" t="s">
        <v>241</v>
      </c>
      <c r="D260" s="352" t="s">
        <v>80</v>
      </c>
      <c r="E260" s="352" t="s">
        <v>137</v>
      </c>
      <c r="F260" s="339">
        <v>1</v>
      </c>
      <c r="G260" s="339">
        <v>1</v>
      </c>
      <c r="H260" s="339">
        <v>1</v>
      </c>
      <c r="I260" s="339">
        <v>1</v>
      </c>
      <c r="J260" s="339">
        <v>1</v>
      </c>
      <c r="K260" s="339">
        <v>1</v>
      </c>
      <c r="L260" s="339">
        <v>1</v>
      </c>
      <c r="M260" s="339">
        <v>1</v>
      </c>
      <c r="N260" s="339">
        <v>1</v>
      </c>
      <c r="O260" s="339">
        <v>1</v>
      </c>
      <c r="P260" s="339">
        <v>1</v>
      </c>
      <c r="Q260" s="339">
        <v>1</v>
      </c>
      <c r="R260" s="339">
        <v>1</v>
      </c>
      <c r="S260" s="339">
        <v>0.6</v>
      </c>
      <c r="T260" s="339">
        <v>0.4</v>
      </c>
      <c r="U260" s="339">
        <v>0</v>
      </c>
      <c r="V260" s="339">
        <v>0</v>
      </c>
      <c r="W260" s="339">
        <v>0</v>
      </c>
      <c r="X260" s="339">
        <v>0</v>
      </c>
      <c r="Y260" s="339">
        <v>0</v>
      </c>
      <c r="Z260" s="339">
        <v>0</v>
      </c>
      <c r="AA260" s="339">
        <v>0</v>
      </c>
      <c r="AB260" s="339">
        <v>0</v>
      </c>
      <c r="AC260" s="339">
        <v>0</v>
      </c>
      <c r="AD260" s="339">
        <v>0</v>
      </c>
      <c r="AE260" s="339">
        <v>0</v>
      </c>
      <c r="AF260" s="339">
        <v>0</v>
      </c>
      <c r="AG260" s="339">
        <v>0</v>
      </c>
      <c r="AH260" s="339">
        <v>0</v>
      </c>
      <c r="AI260" s="339">
        <v>0</v>
      </c>
      <c r="AJ260" s="339">
        <v>0</v>
      </c>
      <c r="AK260" s="339">
        <v>0</v>
      </c>
      <c r="AL260" s="339">
        <v>0</v>
      </c>
      <c r="AM260" s="339">
        <v>0</v>
      </c>
      <c r="AN260" s="339">
        <v>0</v>
      </c>
      <c r="AO260" s="339">
        <v>0</v>
      </c>
      <c r="AP260" s="339">
        <v>0</v>
      </c>
      <c r="AQ260" s="339">
        <v>0</v>
      </c>
      <c r="AR260" s="339">
        <v>0</v>
      </c>
      <c r="AS260" s="339">
        <v>0</v>
      </c>
      <c r="AT260" s="339">
        <v>0</v>
      </c>
      <c r="AU260" s="339">
        <v>0</v>
      </c>
      <c r="AV260" s="339">
        <v>0</v>
      </c>
      <c r="AW260" s="339">
        <v>0</v>
      </c>
      <c r="AX260" s="339">
        <v>0</v>
      </c>
      <c r="AY260" s="339">
        <v>0</v>
      </c>
      <c r="AZ260" s="339">
        <v>0</v>
      </c>
      <c r="BA260" s="339">
        <v>0</v>
      </c>
      <c r="BB260" s="339">
        <v>0</v>
      </c>
      <c r="BC260" s="339">
        <v>0</v>
      </c>
      <c r="BD260" s="339">
        <v>0</v>
      </c>
      <c r="BE260" s="339">
        <v>0</v>
      </c>
      <c r="BF260" s="339">
        <v>0</v>
      </c>
      <c r="BG260" s="339">
        <v>0</v>
      </c>
      <c r="BH260" s="339">
        <v>0</v>
      </c>
      <c r="BI260" s="339">
        <v>0</v>
      </c>
      <c r="BJ260" s="339">
        <v>0</v>
      </c>
      <c r="BK260" s="339">
        <v>0</v>
      </c>
      <c r="BL260" s="339">
        <v>0</v>
      </c>
      <c r="BM260" s="339">
        <v>0</v>
      </c>
      <c r="BN260" s="339">
        <v>0</v>
      </c>
      <c r="BO260" s="339">
        <v>0</v>
      </c>
      <c r="BP260" s="339">
        <v>0</v>
      </c>
      <c r="BQ260" s="339">
        <v>0</v>
      </c>
      <c r="BR260" s="339">
        <v>0</v>
      </c>
      <c r="BS260" s="339">
        <v>0</v>
      </c>
      <c r="BT260" s="339">
        <v>0</v>
      </c>
      <c r="BU260" s="339">
        <v>0</v>
      </c>
      <c r="BV260" s="339">
        <v>0</v>
      </c>
      <c r="BW260" s="339">
        <v>0</v>
      </c>
      <c r="BX260" s="339">
        <v>0</v>
      </c>
    </row>
    <row r="261" spans="1:76" hidden="1" outlineLevel="1">
      <c r="B261" s="350"/>
      <c r="C261" s="350" t="s">
        <v>241</v>
      </c>
      <c r="D261" s="350" t="s">
        <v>80</v>
      </c>
      <c r="E261" s="350" t="s">
        <v>4</v>
      </c>
      <c r="F261" s="339">
        <v>1</v>
      </c>
      <c r="G261" s="339">
        <v>1</v>
      </c>
      <c r="H261" s="339">
        <v>1</v>
      </c>
      <c r="I261" s="339">
        <v>1</v>
      </c>
      <c r="J261" s="339">
        <v>1</v>
      </c>
      <c r="K261" s="339">
        <v>1</v>
      </c>
      <c r="L261" s="339">
        <v>1</v>
      </c>
      <c r="M261" s="339">
        <v>1</v>
      </c>
      <c r="N261" s="339">
        <v>1</v>
      </c>
      <c r="O261" s="339">
        <v>1</v>
      </c>
      <c r="P261" s="339">
        <v>1</v>
      </c>
      <c r="Q261" s="339">
        <v>1</v>
      </c>
      <c r="R261" s="339">
        <v>1</v>
      </c>
      <c r="S261" s="339">
        <v>0.6</v>
      </c>
      <c r="T261" s="339">
        <v>0.4</v>
      </c>
      <c r="U261" s="339">
        <v>0</v>
      </c>
      <c r="V261" s="339">
        <v>0</v>
      </c>
      <c r="W261" s="339">
        <v>0</v>
      </c>
      <c r="X261" s="339">
        <v>0</v>
      </c>
      <c r="Y261" s="339">
        <v>0</v>
      </c>
      <c r="Z261" s="339">
        <v>0</v>
      </c>
      <c r="AA261" s="339">
        <v>0</v>
      </c>
      <c r="AB261" s="339">
        <v>0</v>
      </c>
      <c r="AC261" s="339">
        <v>0</v>
      </c>
      <c r="AD261" s="339">
        <v>0</v>
      </c>
      <c r="AE261" s="339">
        <v>0</v>
      </c>
      <c r="AF261" s="339">
        <v>0</v>
      </c>
      <c r="AG261" s="339">
        <v>0</v>
      </c>
      <c r="AH261" s="339">
        <v>0</v>
      </c>
      <c r="AI261" s="339">
        <v>0</v>
      </c>
      <c r="AJ261" s="339">
        <v>0</v>
      </c>
      <c r="AK261" s="339">
        <v>0</v>
      </c>
      <c r="AL261" s="339">
        <v>0</v>
      </c>
      <c r="AM261" s="339">
        <v>0</v>
      </c>
      <c r="AN261" s="339">
        <v>0</v>
      </c>
      <c r="AO261" s="339">
        <v>0</v>
      </c>
      <c r="AP261" s="339">
        <v>0</v>
      </c>
      <c r="AQ261" s="339">
        <v>0</v>
      </c>
      <c r="AR261" s="339">
        <v>0</v>
      </c>
      <c r="AS261" s="339">
        <v>0</v>
      </c>
      <c r="AT261" s="339">
        <v>0</v>
      </c>
      <c r="AU261" s="339">
        <v>0</v>
      </c>
      <c r="AV261" s="339">
        <v>0</v>
      </c>
      <c r="AW261" s="339">
        <v>0</v>
      </c>
      <c r="AX261" s="339">
        <v>0</v>
      </c>
      <c r="AY261" s="339">
        <v>0</v>
      </c>
      <c r="AZ261" s="339">
        <v>0</v>
      </c>
      <c r="BA261" s="339">
        <v>0</v>
      </c>
      <c r="BB261" s="339">
        <v>0</v>
      </c>
      <c r="BC261" s="339">
        <v>0</v>
      </c>
      <c r="BD261" s="339">
        <v>0</v>
      </c>
      <c r="BE261" s="339">
        <v>0</v>
      </c>
      <c r="BF261" s="339">
        <v>0</v>
      </c>
      <c r="BG261" s="339">
        <v>0</v>
      </c>
      <c r="BH261" s="339">
        <v>0</v>
      </c>
      <c r="BI261" s="339">
        <v>0</v>
      </c>
      <c r="BJ261" s="339">
        <v>0</v>
      </c>
      <c r="BK261" s="339">
        <v>0</v>
      </c>
      <c r="BL261" s="339">
        <v>0</v>
      </c>
      <c r="BM261" s="339">
        <v>0</v>
      </c>
      <c r="BN261" s="339">
        <v>0</v>
      </c>
      <c r="BO261" s="339">
        <v>0</v>
      </c>
      <c r="BP261" s="339">
        <v>0</v>
      </c>
      <c r="BQ261" s="339">
        <v>0</v>
      </c>
      <c r="BR261" s="339">
        <v>0</v>
      </c>
      <c r="BS261" s="339">
        <v>0</v>
      </c>
      <c r="BT261" s="339">
        <v>0</v>
      </c>
      <c r="BU261" s="339">
        <v>0</v>
      </c>
      <c r="BV261" s="339">
        <v>0</v>
      </c>
      <c r="BW261" s="339">
        <v>0</v>
      </c>
      <c r="BX261" s="339">
        <v>0</v>
      </c>
    </row>
    <row r="262" spans="1:76" hidden="1" outlineLevel="1">
      <c r="B262" s="350"/>
      <c r="C262" s="350" t="s">
        <v>241</v>
      </c>
      <c r="D262" s="350" t="s">
        <v>80</v>
      </c>
      <c r="E262" s="350" t="s">
        <v>5</v>
      </c>
      <c r="F262" s="339">
        <v>1</v>
      </c>
      <c r="G262" s="339">
        <v>1</v>
      </c>
      <c r="H262" s="339">
        <v>1</v>
      </c>
      <c r="I262" s="339">
        <v>1</v>
      </c>
      <c r="J262" s="339">
        <v>1</v>
      </c>
      <c r="K262" s="339">
        <v>1</v>
      </c>
      <c r="L262" s="339">
        <v>1</v>
      </c>
      <c r="M262" s="339">
        <v>1</v>
      </c>
      <c r="N262" s="339">
        <v>1</v>
      </c>
      <c r="O262" s="339">
        <v>1</v>
      </c>
      <c r="P262" s="339">
        <v>1</v>
      </c>
      <c r="Q262" s="339">
        <v>1</v>
      </c>
      <c r="R262" s="339">
        <v>1</v>
      </c>
      <c r="S262" s="339">
        <v>0.6</v>
      </c>
      <c r="T262" s="339">
        <v>0.4</v>
      </c>
      <c r="U262" s="339">
        <v>0</v>
      </c>
      <c r="V262" s="339">
        <v>0</v>
      </c>
      <c r="W262" s="339">
        <v>0</v>
      </c>
      <c r="X262" s="339">
        <v>0</v>
      </c>
      <c r="Y262" s="339">
        <v>0</v>
      </c>
      <c r="Z262" s="339">
        <v>0</v>
      </c>
      <c r="AA262" s="339">
        <v>0</v>
      </c>
      <c r="AB262" s="339">
        <v>0</v>
      </c>
      <c r="AC262" s="339">
        <v>0</v>
      </c>
      <c r="AD262" s="339">
        <v>0</v>
      </c>
      <c r="AE262" s="339">
        <v>0</v>
      </c>
      <c r="AF262" s="339">
        <v>0</v>
      </c>
      <c r="AG262" s="339">
        <v>0</v>
      </c>
      <c r="AH262" s="339">
        <v>0</v>
      </c>
      <c r="AI262" s="339">
        <v>0</v>
      </c>
      <c r="AJ262" s="339">
        <v>0</v>
      </c>
      <c r="AK262" s="339">
        <v>0</v>
      </c>
      <c r="AL262" s="339">
        <v>0</v>
      </c>
      <c r="AM262" s="339">
        <v>0</v>
      </c>
      <c r="AN262" s="339">
        <v>0</v>
      </c>
      <c r="AO262" s="339">
        <v>0</v>
      </c>
      <c r="AP262" s="339">
        <v>0</v>
      </c>
      <c r="AQ262" s="339">
        <v>0</v>
      </c>
      <c r="AR262" s="339">
        <v>0</v>
      </c>
      <c r="AS262" s="339">
        <v>0</v>
      </c>
      <c r="AT262" s="339">
        <v>0</v>
      </c>
      <c r="AU262" s="339">
        <v>0</v>
      </c>
      <c r="AV262" s="339">
        <v>0</v>
      </c>
      <c r="AW262" s="339">
        <v>0</v>
      </c>
      <c r="AX262" s="339">
        <v>0</v>
      </c>
      <c r="AY262" s="339">
        <v>0</v>
      </c>
      <c r="AZ262" s="339">
        <v>0</v>
      </c>
      <c r="BA262" s="339">
        <v>0</v>
      </c>
      <c r="BB262" s="339">
        <v>0</v>
      </c>
      <c r="BC262" s="339">
        <v>0</v>
      </c>
      <c r="BD262" s="339">
        <v>0</v>
      </c>
      <c r="BE262" s="339">
        <v>0</v>
      </c>
      <c r="BF262" s="339">
        <v>0</v>
      </c>
      <c r="BG262" s="339">
        <v>0</v>
      </c>
      <c r="BH262" s="339">
        <v>0</v>
      </c>
      <c r="BI262" s="339">
        <v>0</v>
      </c>
      <c r="BJ262" s="339">
        <v>0</v>
      </c>
      <c r="BK262" s="339">
        <v>0</v>
      </c>
      <c r="BL262" s="339">
        <v>0</v>
      </c>
      <c r="BM262" s="339">
        <v>0</v>
      </c>
      <c r="BN262" s="339">
        <v>0</v>
      </c>
      <c r="BO262" s="339">
        <v>0</v>
      </c>
      <c r="BP262" s="339">
        <v>0</v>
      </c>
      <c r="BQ262" s="339">
        <v>0</v>
      </c>
      <c r="BR262" s="339">
        <v>0</v>
      </c>
      <c r="BS262" s="339">
        <v>0</v>
      </c>
      <c r="BT262" s="339">
        <v>0</v>
      </c>
      <c r="BU262" s="339">
        <v>0</v>
      </c>
      <c r="BV262" s="339">
        <v>0</v>
      </c>
      <c r="BW262" s="339">
        <v>0</v>
      </c>
      <c r="BX262" s="339">
        <v>0</v>
      </c>
    </row>
    <row r="263" spans="1:76" hidden="1" outlineLevel="1">
      <c r="B263" s="350"/>
      <c r="C263" s="350" t="s">
        <v>241</v>
      </c>
      <c r="D263" s="350" t="s">
        <v>80</v>
      </c>
      <c r="E263" s="350" t="s">
        <v>6</v>
      </c>
      <c r="F263" s="339">
        <v>1</v>
      </c>
      <c r="G263" s="339">
        <v>1</v>
      </c>
      <c r="H263" s="339">
        <v>1</v>
      </c>
      <c r="I263" s="339">
        <v>1</v>
      </c>
      <c r="J263" s="339">
        <v>1</v>
      </c>
      <c r="K263" s="339">
        <v>1</v>
      </c>
      <c r="L263" s="339">
        <v>1</v>
      </c>
      <c r="M263" s="339">
        <v>1</v>
      </c>
      <c r="N263" s="339">
        <v>1</v>
      </c>
      <c r="O263" s="339">
        <v>1</v>
      </c>
      <c r="P263" s="339">
        <v>1</v>
      </c>
      <c r="Q263" s="339">
        <v>1</v>
      </c>
      <c r="R263" s="339">
        <v>1</v>
      </c>
      <c r="S263" s="339">
        <v>0.6</v>
      </c>
      <c r="T263" s="339">
        <v>0.4</v>
      </c>
      <c r="U263" s="339">
        <v>0</v>
      </c>
      <c r="V263" s="339">
        <v>0</v>
      </c>
      <c r="W263" s="339">
        <v>0</v>
      </c>
      <c r="X263" s="339">
        <v>0</v>
      </c>
      <c r="Y263" s="339">
        <v>0</v>
      </c>
      <c r="Z263" s="339">
        <v>0</v>
      </c>
      <c r="AA263" s="339">
        <v>0</v>
      </c>
      <c r="AB263" s="339">
        <v>0</v>
      </c>
      <c r="AC263" s="339">
        <v>0</v>
      </c>
      <c r="AD263" s="339">
        <v>0</v>
      </c>
      <c r="AE263" s="339">
        <v>0</v>
      </c>
      <c r="AF263" s="339">
        <v>0</v>
      </c>
      <c r="AG263" s="339">
        <v>0</v>
      </c>
      <c r="AH263" s="339">
        <v>0</v>
      </c>
      <c r="AI263" s="339">
        <v>0</v>
      </c>
      <c r="AJ263" s="339">
        <v>0</v>
      </c>
      <c r="AK263" s="339">
        <v>0</v>
      </c>
      <c r="AL263" s="339">
        <v>0</v>
      </c>
      <c r="AM263" s="339">
        <v>0</v>
      </c>
      <c r="AN263" s="339">
        <v>0</v>
      </c>
      <c r="AO263" s="339">
        <v>0</v>
      </c>
      <c r="AP263" s="339">
        <v>0</v>
      </c>
      <c r="AQ263" s="339">
        <v>0</v>
      </c>
      <c r="AR263" s="339">
        <v>0</v>
      </c>
      <c r="AS263" s="339">
        <v>0</v>
      </c>
      <c r="AT263" s="339">
        <v>0</v>
      </c>
      <c r="AU263" s="339">
        <v>0</v>
      </c>
      <c r="AV263" s="339">
        <v>0</v>
      </c>
      <c r="AW263" s="339">
        <v>0</v>
      </c>
      <c r="AX263" s="339">
        <v>0</v>
      </c>
      <c r="AY263" s="339">
        <v>0</v>
      </c>
      <c r="AZ263" s="339">
        <v>0</v>
      </c>
      <c r="BA263" s="339">
        <v>0</v>
      </c>
      <c r="BB263" s="339">
        <v>0</v>
      </c>
      <c r="BC263" s="339">
        <v>0</v>
      </c>
      <c r="BD263" s="339">
        <v>0</v>
      </c>
      <c r="BE263" s="339">
        <v>0</v>
      </c>
      <c r="BF263" s="339">
        <v>0</v>
      </c>
      <c r="BG263" s="339">
        <v>0</v>
      </c>
      <c r="BH263" s="339">
        <v>0</v>
      </c>
      <c r="BI263" s="339">
        <v>0</v>
      </c>
      <c r="BJ263" s="339">
        <v>0</v>
      </c>
      <c r="BK263" s="339">
        <v>0</v>
      </c>
      <c r="BL263" s="339">
        <v>0</v>
      </c>
      <c r="BM263" s="339">
        <v>0</v>
      </c>
      <c r="BN263" s="339">
        <v>0</v>
      </c>
      <c r="BO263" s="339">
        <v>0</v>
      </c>
      <c r="BP263" s="339">
        <v>0</v>
      </c>
      <c r="BQ263" s="339">
        <v>0</v>
      </c>
      <c r="BR263" s="339">
        <v>0</v>
      </c>
      <c r="BS263" s="339">
        <v>0</v>
      </c>
      <c r="BT263" s="339">
        <v>0</v>
      </c>
      <c r="BU263" s="339">
        <v>0</v>
      </c>
      <c r="BV263" s="339">
        <v>0</v>
      </c>
      <c r="BW263" s="339">
        <v>0</v>
      </c>
      <c r="BX263" s="339">
        <v>0</v>
      </c>
    </row>
    <row r="264" spans="1:76" hidden="1" outlineLevel="1">
      <c r="B264" s="350"/>
      <c r="C264" s="350" t="s">
        <v>241</v>
      </c>
      <c r="D264" s="350" t="s">
        <v>80</v>
      </c>
      <c r="E264" s="350" t="s">
        <v>7</v>
      </c>
      <c r="F264" s="339">
        <v>1</v>
      </c>
      <c r="G264" s="339">
        <v>1</v>
      </c>
      <c r="H264" s="339">
        <v>1</v>
      </c>
      <c r="I264" s="339">
        <v>1</v>
      </c>
      <c r="J264" s="339">
        <v>1</v>
      </c>
      <c r="K264" s="339">
        <v>1</v>
      </c>
      <c r="L264" s="339">
        <v>1</v>
      </c>
      <c r="M264" s="339">
        <v>1</v>
      </c>
      <c r="N264" s="339">
        <v>1</v>
      </c>
      <c r="O264" s="339">
        <v>1</v>
      </c>
      <c r="P264" s="339">
        <v>1</v>
      </c>
      <c r="Q264" s="339">
        <v>1</v>
      </c>
      <c r="R264" s="339">
        <v>1</v>
      </c>
      <c r="S264" s="339">
        <v>0.6</v>
      </c>
      <c r="T264" s="339">
        <v>0.4</v>
      </c>
      <c r="U264" s="339">
        <v>0</v>
      </c>
      <c r="V264" s="339">
        <v>0</v>
      </c>
      <c r="W264" s="339">
        <v>0</v>
      </c>
      <c r="X264" s="339">
        <v>0</v>
      </c>
      <c r="Y264" s="339">
        <v>0</v>
      </c>
      <c r="Z264" s="339">
        <v>0</v>
      </c>
      <c r="AA264" s="339">
        <v>0</v>
      </c>
      <c r="AB264" s="339">
        <v>0</v>
      </c>
      <c r="AC264" s="339">
        <v>0</v>
      </c>
      <c r="AD264" s="339">
        <v>0</v>
      </c>
      <c r="AE264" s="339">
        <v>0</v>
      </c>
      <c r="AF264" s="339">
        <v>0</v>
      </c>
      <c r="AG264" s="339">
        <v>0</v>
      </c>
      <c r="AH264" s="339">
        <v>0</v>
      </c>
      <c r="AI264" s="339">
        <v>0</v>
      </c>
      <c r="AJ264" s="339">
        <v>0</v>
      </c>
      <c r="AK264" s="339">
        <v>0</v>
      </c>
      <c r="AL264" s="339">
        <v>0</v>
      </c>
      <c r="AM264" s="339">
        <v>0</v>
      </c>
      <c r="AN264" s="339">
        <v>0</v>
      </c>
      <c r="AO264" s="339">
        <v>0</v>
      </c>
      <c r="AP264" s="339">
        <v>0</v>
      </c>
      <c r="AQ264" s="339">
        <v>0</v>
      </c>
      <c r="AR264" s="339">
        <v>0</v>
      </c>
      <c r="AS264" s="339">
        <v>0</v>
      </c>
      <c r="AT264" s="339">
        <v>0</v>
      </c>
      <c r="AU264" s="339">
        <v>0</v>
      </c>
      <c r="AV264" s="339">
        <v>0</v>
      </c>
      <c r="AW264" s="339">
        <v>0</v>
      </c>
      <c r="AX264" s="339">
        <v>0</v>
      </c>
      <c r="AY264" s="339">
        <v>0</v>
      </c>
      <c r="AZ264" s="339">
        <v>0</v>
      </c>
      <c r="BA264" s="339">
        <v>0</v>
      </c>
      <c r="BB264" s="339">
        <v>0</v>
      </c>
      <c r="BC264" s="339">
        <v>0</v>
      </c>
      <c r="BD264" s="339">
        <v>0</v>
      </c>
      <c r="BE264" s="339">
        <v>0</v>
      </c>
      <c r="BF264" s="339">
        <v>0</v>
      </c>
      <c r="BG264" s="339">
        <v>0</v>
      </c>
      <c r="BH264" s="339">
        <v>0</v>
      </c>
      <c r="BI264" s="339">
        <v>0</v>
      </c>
      <c r="BJ264" s="339">
        <v>0</v>
      </c>
      <c r="BK264" s="339">
        <v>0</v>
      </c>
      <c r="BL264" s="339">
        <v>0</v>
      </c>
      <c r="BM264" s="339">
        <v>0</v>
      </c>
      <c r="BN264" s="339">
        <v>0</v>
      </c>
      <c r="BO264" s="339">
        <v>0</v>
      </c>
      <c r="BP264" s="339">
        <v>0</v>
      </c>
      <c r="BQ264" s="339">
        <v>0</v>
      </c>
      <c r="BR264" s="339">
        <v>0</v>
      </c>
      <c r="BS264" s="339">
        <v>0</v>
      </c>
      <c r="BT264" s="339">
        <v>0</v>
      </c>
      <c r="BU264" s="339">
        <v>0</v>
      </c>
      <c r="BV264" s="339">
        <v>0</v>
      </c>
      <c r="BW264" s="339">
        <v>0</v>
      </c>
      <c r="BX264" s="339">
        <v>0</v>
      </c>
    </row>
    <row r="265" spans="1:76" hidden="1" outlineLevel="1">
      <c r="B265" s="351"/>
      <c r="C265" s="351" t="s">
        <v>241</v>
      </c>
      <c r="D265" s="351" t="s">
        <v>80</v>
      </c>
      <c r="E265" s="351" t="s">
        <v>3</v>
      </c>
      <c r="F265" s="339">
        <v>1</v>
      </c>
      <c r="G265" s="339">
        <v>1</v>
      </c>
      <c r="H265" s="339">
        <v>1</v>
      </c>
      <c r="I265" s="339">
        <v>1</v>
      </c>
      <c r="J265" s="339">
        <v>1</v>
      </c>
      <c r="K265" s="339">
        <v>1</v>
      </c>
      <c r="L265" s="339">
        <v>1</v>
      </c>
      <c r="M265" s="339">
        <v>1</v>
      </c>
      <c r="N265" s="339">
        <v>1</v>
      </c>
      <c r="O265" s="339">
        <v>1</v>
      </c>
      <c r="P265" s="339">
        <v>1</v>
      </c>
      <c r="Q265" s="339">
        <v>1</v>
      </c>
      <c r="R265" s="339">
        <v>1</v>
      </c>
      <c r="S265" s="339">
        <v>0.6</v>
      </c>
      <c r="T265" s="339">
        <v>0.4</v>
      </c>
      <c r="U265" s="339">
        <v>0</v>
      </c>
      <c r="V265" s="339">
        <v>0</v>
      </c>
      <c r="W265" s="339">
        <v>0</v>
      </c>
      <c r="X265" s="339">
        <v>0</v>
      </c>
      <c r="Y265" s="339">
        <v>0</v>
      </c>
      <c r="Z265" s="339">
        <v>0</v>
      </c>
      <c r="AA265" s="339">
        <v>0</v>
      </c>
      <c r="AB265" s="339">
        <v>0</v>
      </c>
      <c r="AC265" s="339">
        <v>0</v>
      </c>
      <c r="AD265" s="339">
        <v>0</v>
      </c>
      <c r="AE265" s="339">
        <v>0</v>
      </c>
      <c r="AF265" s="339">
        <v>0</v>
      </c>
      <c r="AG265" s="339">
        <v>0</v>
      </c>
      <c r="AH265" s="339">
        <v>0</v>
      </c>
      <c r="AI265" s="339">
        <v>0</v>
      </c>
      <c r="AJ265" s="339">
        <v>0</v>
      </c>
      <c r="AK265" s="339">
        <v>0</v>
      </c>
      <c r="AL265" s="339">
        <v>0</v>
      </c>
      <c r="AM265" s="339">
        <v>0</v>
      </c>
      <c r="AN265" s="339">
        <v>0</v>
      </c>
      <c r="AO265" s="339">
        <v>0</v>
      </c>
      <c r="AP265" s="339">
        <v>0</v>
      </c>
      <c r="AQ265" s="339">
        <v>0</v>
      </c>
      <c r="AR265" s="339">
        <v>0</v>
      </c>
      <c r="AS265" s="339">
        <v>0</v>
      </c>
      <c r="AT265" s="339">
        <v>0</v>
      </c>
      <c r="AU265" s="339">
        <v>0</v>
      </c>
      <c r="AV265" s="339">
        <v>0</v>
      </c>
      <c r="AW265" s="339">
        <v>0</v>
      </c>
      <c r="AX265" s="339">
        <v>0</v>
      </c>
      <c r="AY265" s="339">
        <v>0</v>
      </c>
      <c r="AZ265" s="339">
        <v>0</v>
      </c>
      <c r="BA265" s="339">
        <v>0</v>
      </c>
      <c r="BB265" s="339">
        <v>0</v>
      </c>
      <c r="BC265" s="339">
        <v>0</v>
      </c>
      <c r="BD265" s="339">
        <v>0</v>
      </c>
      <c r="BE265" s="339">
        <v>0</v>
      </c>
      <c r="BF265" s="339">
        <v>0</v>
      </c>
      <c r="BG265" s="339">
        <v>0</v>
      </c>
      <c r="BH265" s="339">
        <v>0</v>
      </c>
      <c r="BI265" s="339">
        <v>0</v>
      </c>
      <c r="BJ265" s="339">
        <v>0</v>
      </c>
      <c r="BK265" s="339">
        <v>0</v>
      </c>
      <c r="BL265" s="339">
        <v>0</v>
      </c>
      <c r="BM265" s="339">
        <v>0</v>
      </c>
      <c r="BN265" s="339">
        <v>0</v>
      </c>
      <c r="BO265" s="339">
        <v>0</v>
      </c>
      <c r="BP265" s="339">
        <v>0</v>
      </c>
      <c r="BQ265" s="339">
        <v>0</v>
      </c>
      <c r="BR265" s="339">
        <v>0</v>
      </c>
      <c r="BS265" s="339">
        <v>0</v>
      </c>
      <c r="BT265" s="339">
        <v>0</v>
      </c>
      <c r="BU265" s="339">
        <v>0</v>
      </c>
      <c r="BV265" s="339">
        <v>0</v>
      </c>
      <c r="BW265" s="339">
        <v>0</v>
      </c>
      <c r="BX265" s="339">
        <v>0</v>
      </c>
    </row>
    <row r="266" spans="1:76" hidden="1" outlineLevel="1">
      <c r="B266" s="351"/>
      <c r="C266" s="351" t="s">
        <v>241</v>
      </c>
      <c r="D266" s="351" t="s">
        <v>80</v>
      </c>
      <c r="E266" s="351" t="s">
        <v>19</v>
      </c>
      <c r="F266" s="339">
        <v>1</v>
      </c>
      <c r="G266" s="339">
        <v>1</v>
      </c>
      <c r="H266" s="339">
        <v>1</v>
      </c>
      <c r="I266" s="339">
        <v>1</v>
      </c>
      <c r="J266" s="339">
        <v>1</v>
      </c>
      <c r="K266" s="339">
        <v>1</v>
      </c>
      <c r="L266" s="339">
        <v>1</v>
      </c>
      <c r="M266" s="339">
        <v>1</v>
      </c>
      <c r="N266" s="339">
        <v>1</v>
      </c>
      <c r="O266" s="339">
        <v>1</v>
      </c>
      <c r="P266" s="339">
        <v>1</v>
      </c>
      <c r="Q266" s="339">
        <v>1</v>
      </c>
      <c r="R266" s="339">
        <v>1</v>
      </c>
      <c r="S266" s="339">
        <v>0.6</v>
      </c>
      <c r="T266" s="339">
        <v>0.4</v>
      </c>
      <c r="U266" s="339">
        <v>0</v>
      </c>
      <c r="V266" s="339">
        <v>0</v>
      </c>
      <c r="W266" s="339">
        <v>0</v>
      </c>
      <c r="X266" s="339">
        <v>0</v>
      </c>
      <c r="Y266" s="339">
        <v>0</v>
      </c>
      <c r="Z266" s="339">
        <v>0</v>
      </c>
      <c r="AA266" s="339">
        <v>0</v>
      </c>
      <c r="AB266" s="339">
        <v>0</v>
      </c>
      <c r="AC266" s="339">
        <v>0</v>
      </c>
      <c r="AD266" s="339">
        <v>0</v>
      </c>
      <c r="AE266" s="339">
        <v>0</v>
      </c>
      <c r="AF266" s="339">
        <v>0</v>
      </c>
      <c r="AG266" s="339">
        <v>0</v>
      </c>
      <c r="AH266" s="339">
        <v>0</v>
      </c>
      <c r="AI266" s="339">
        <v>0</v>
      </c>
      <c r="AJ266" s="339">
        <v>0</v>
      </c>
      <c r="AK266" s="339">
        <v>0</v>
      </c>
      <c r="AL266" s="339">
        <v>0</v>
      </c>
      <c r="AM266" s="339">
        <v>0</v>
      </c>
      <c r="AN266" s="339">
        <v>0</v>
      </c>
      <c r="AO266" s="339">
        <v>0</v>
      </c>
      <c r="AP266" s="339">
        <v>0</v>
      </c>
      <c r="AQ266" s="339">
        <v>0</v>
      </c>
      <c r="AR266" s="339">
        <v>0</v>
      </c>
      <c r="AS266" s="339">
        <v>0</v>
      </c>
      <c r="AT266" s="339">
        <v>0</v>
      </c>
      <c r="AU266" s="339">
        <v>0</v>
      </c>
      <c r="AV266" s="339">
        <v>0</v>
      </c>
      <c r="AW266" s="339">
        <v>0</v>
      </c>
      <c r="AX266" s="339">
        <v>0</v>
      </c>
      <c r="AY266" s="339">
        <v>0</v>
      </c>
      <c r="AZ266" s="339">
        <v>0</v>
      </c>
      <c r="BA266" s="339">
        <v>0</v>
      </c>
      <c r="BB266" s="339">
        <v>0</v>
      </c>
      <c r="BC266" s="339">
        <v>0</v>
      </c>
      <c r="BD266" s="339">
        <v>0</v>
      </c>
      <c r="BE266" s="339">
        <v>0</v>
      </c>
      <c r="BF266" s="339">
        <v>0</v>
      </c>
      <c r="BG266" s="339">
        <v>0</v>
      </c>
      <c r="BH266" s="339">
        <v>0</v>
      </c>
      <c r="BI266" s="339">
        <v>0</v>
      </c>
      <c r="BJ266" s="339">
        <v>0</v>
      </c>
      <c r="BK266" s="339">
        <v>0</v>
      </c>
      <c r="BL266" s="339">
        <v>0</v>
      </c>
      <c r="BM266" s="339">
        <v>0</v>
      </c>
      <c r="BN266" s="339">
        <v>0</v>
      </c>
      <c r="BO266" s="339">
        <v>0</v>
      </c>
      <c r="BP266" s="339">
        <v>0</v>
      </c>
      <c r="BQ266" s="339">
        <v>0</v>
      </c>
      <c r="BR266" s="339">
        <v>0</v>
      </c>
      <c r="BS266" s="339">
        <v>0</v>
      </c>
      <c r="BT266" s="339">
        <v>0</v>
      </c>
      <c r="BU266" s="339">
        <v>0</v>
      </c>
      <c r="BV266" s="339">
        <v>0</v>
      </c>
      <c r="BW266" s="339">
        <v>0</v>
      </c>
      <c r="BX266" s="339">
        <v>0</v>
      </c>
    </row>
    <row r="267" spans="1:76" s="355" customFormat="1" hidden="1" outlineLevel="1">
      <c r="A267" s="38"/>
      <c r="B267" s="353"/>
      <c r="C267" s="353" t="s">
        <v>241</v>
      </c>
      <c r="D267" s="353"/>
      <c r="E267" s="353" t="s">
        <v>0</v>
      </c>
      <c r="F267" s="339">
        <v>0</v>
      </c>
      <c r="G267" s="339">
        <v>0</v>
      </c>
      <c r="H267" s="339">
        <v>0</v>
      </c>
      <c r="I267" s="339">
        <v>0</v>
      </c>
      <c r="J267" s="339">
        <v>0</v>
      </c>
      <c r="K267" s="339">
        <v>0</v>
      </c>
      <c r="L267" s="339">
        <v>0</v>
      </c>
      <c r="M267" s="339">
        <v>0</v>
      </c>
      <c r="N267" s="339">
        <v>0</v>
      </c>
      <c r="O267" s="339">
        <v>0</v>
      </c>
      <c r="P267" s="339">
        <v>0</v>
      </c>
      <c r="Q267" s="339">
        <v>0</v>
      </c>
      <c r="R267" s="339">
        <v>0</v>
      </c>
      <c r="S267" s="339">
        <v>0</v>
      </c>
      <c r="T267" s="339">
        <v>0</v>
      </c>
      <c r="U267" s="339">
        <v>0</v>
      </c>
      <c r="V267" s="339">
        <v>0</v>
      </c>
      <c r="W267" s="339">
        <v>0</v>
      </c>
      <c r="X267" s="339">
        <v>0</v>
      </c>
      <c r="Y267" s="339">
        <v>0</v>
      </c>
      <c r="Z267" s="339">
        <v>0</v>
      </c>
      <c r="AA267" s="339">
        <v>0</v>
      </c>
      <c r="AB267" s="339">
        <v>0</v>
      </c>
      <c r="AC267" s="339">
        <v>0</v>
      </c>
      <c r="AD267" s="339">
        <v>0</v>
      </c>
      <c r="AE267" s="339">
        <v>0</v>
      </c>
      <c r="AF267" s="339">
        <v>0</v>
      </c>
      <c r="AG267" s="339">
        <v>0</v>
      </c>
      <c r="AH267" s="339">
        <v>0</v>
      </c>
      <c r="AI267" s="339">
        <v>0</v>
      </c>
      <c r="AJ267" s="339">
        <v>0</v>
      </c>
      <c r="AK267" s="339">
        <v>0</v>
      </c>
      <c r="AL267" s="339">
        <v>0</v>
      </c>
      <c r="AM267" s="339">
        <v>0</v>
      </c>
      <c r="AN267" s="339">
        <v>0</v>
      </c>
      <c r="AO267" s="339">
        <v>0</v>
      </c>
      <c r="AP267" s="339">
        <v>0</v>
      </c>
      <c r="AQ267" s="339">
        <v>0</v>
      </c>
      <c r="AR267" s="339">
        <v>0</v>
      </c>
      <c r="AS267" s="339">
        <v>0</v>
      </c>
      <c r="AT267" s="339">
        <v>0</v>
      </c>
      <c r="AU267" s="339">
        <v>0</v>
      </c>
      <c r="AV267" s="339">
        <v>0</v>
      </c>
      <c r="AW267" s="339">
        <v>0</v>
      </c>
      <c r="AX267" s="339">
        <v>0</v>
      </c>
      <c r="AY267" s="339">
        <v>0</v>
      </c>
      <c r="AZ267" s="339">
        <v>0</v>
      </c>
      <c r="BA267" s="339">
        <v>0</v>
      </c>
      <c r="BB267" s="339">
        <v>0</v>
      </c>
      <c r="BC267" s="339">
        <v>0</v>
      </c>
      <c r="BD267" s="339">
        <v>0</v>
      </c>
      <c r="BE267" s="339">
        <v>0</v>
      </c>
      <c r="BF267" s="339">
        <v>0</v>
      </c>
      <c r="BG267" s="339">
        <v>0</v>
      </c>
      <c r="BH267" s="339">
        <v>0</v>
      </c>
      <c r="BI267" s="339">
        <v>0</v>
      </c>
      <c r="BJ267" s="339">
        <v>0</v>
      </c>
      <c r="BK267" s="339">
        <v>0</v>
      </c>
      <c r="BL267" s="339">
        <v>0</v>
      </c>
      <c r="BM267" s="339">
        <v>0</v>
      </c>
      <c r="BN267" s="339">
        <v>0</v>
      </c>
      <c r="BO267" s="339">
        <v>0</v>
      </c>
      <c r="BP267" s="339">
        <v>0</v>
      </c>
      <c r="BQ267" s="339">
        <v>0</v>
      </c>
      <c r="BR267" s="339">
        <v>0</v>
      </c>
      <c r="BS267" s="339">
        <v>0</v>
      </c>
      <c r="BT267" s="339">
        <v>0</v>
      </c>
      <c r="BU267" s="339">
        <v>0</v>
      </c>
      <c r="BV267" s="339">
        <v>0</v>
      </c>
      <c r="BW267" s="339">
        <v>0</v>
      </c>
      <c r="BX267" s="339">
        <v>0</v>
      </c>
    </row>
    <row r="268" spans="1:76" s="355" customFormat="1" hidden="1" outlineLevel="1">
      <c r="A268" s="38"/>
      <c r="B268" s="353"/>
      <c r="C268" s="353" t="s">
        <v>241</v>
      </c>
      <c r="D268" s="353"/>
      <c r="E268" s="353" t="s">
        <v>1</v>
      </c>
      <c r="F268" s="339">
        <v>0</v>
      </c>
      <c r="G268" s="339">
        <v>0</v>
      </c>
      <c r="H268" s="339">
        <v>0</v>
      </c>
      <c r="I268" s="339">
        <v>0</v>
      </c>
      <c r="J268" s="339">
        <v>0</v>
      </c>
      <c r="K268" s="339">
        <v>0</v>
      </c>
      <c r="L268" s="339">
        <v>0</v>
      </c>
      <c r="M268" s="339">
        <v>0</v>
      </c>
      <c r="N268" s="339">
        <v>0</v>
      </c>
      <c r="O268" s="339">
        <v>0</v>
      </c>
      <c r="P268" s="339">
        <v>0</v>
      </c>
      <c r="Q268" s="339">
        <v>0</v>
      </c>
      <c r="R268" s="339">
        <v>0</v>
      </c>
      <c r="S268" s="339">
        <v>0</v>
      </c>
      <c r="T268" s="339">
        <v>0</v>
      </c>
      <c r="U268" s="339">
        <v>0</v>
      </c>
      <c r="V268" s="339">
        <v>0</v>
      </c>
      <c r="W268" s="339">
        <v>0</v>
      </c>
      <c r="X268" s="339">
        <v>0</v>
      </c>
      <c r="Y268" s="339">
        <v>0</v>
      </c>
      <c r="Z268" s="339">
        <v>0</v>
      </c>
      <c r="AA268" s="339">
        <v>0</v>
      </c>
      <c r="AB268" s="339">
        <v>0</v>
      </c>
      <c r="AC268" s="339">
        <v>0</v>
      </c>
      <c r="AD268" s="339">
        <v>0</v>
      </c>
      <c r="AE268" s="339">
        <v>0</v>
      </c>
      <c r="AF268" s="339">
        <v>0</v>
      </c>
      <c r="AG268" s="339">
        <v>0</v>
      </c>
      <c r="AH268" s="339">
        <v>0</v>
      </c>
      <c r="AI268" s="339">
        <v>0</v>
      </c>
      <c r="AJ268" s="339">
        <v>0</v>
      </c>
      <c r="AK268" s="339">
        <v>0</v>
      </c>
      <c r="AL268" s="339">
        <v>0</v>
      </c>
      <c r="AM268" s="339">
        <v>0</v>
      </c>
      <c r="AN268" s="339">
        <v>0</v>
      </c>
      <c r="AO268" s="339">
        <v>0</v>
      </c>
      <c r="AP268" s="339">
        <v>0</v>
      </c>
      <c r="AQ268" s="339">
        <v>0</v>
      </c>
      <c r="AR268" s="339">
        <v>0</v>
      </c>
      <c r="AS268" s="339">
        <v>0</v>
      </c>
      <c r="AT268" s="339">
        <v>0</v>
      </c>
      <c r="AU268" s="339">
        <v>0</v>
      </c>
      <c r="AV268" s="339">
        <v>0</v>
      </c>
      <c r="AW268" s="339">
        <v>0</v>
      </c>
      <c r="AX268" s="339">
        <v>0</v>
      </c>
      <c r="AY268" s="339">
        <v>0</v>
      </c>
      <c r="AZ268" s="339">
        <v>0</v>
      </c>
      <c r="BA268" s="339">
        <v>0</v>
      </c>
      <c r="BB268" s="339">
        <v>0</v>
      </c>
      <c r="BC268" s="339">
        <v>0</v>
      </c>
      <c r="BD268" s="339">
        <v>0</v>
      </c>
      <c r="BE268" s="339">
        <v>0</v>
      </c>
      <c r="BF268" s="339">
        <v>0</v>
      </c>
      <c r="BG268" s="339">
        <v>0</v>
      </c>
      <c r="BH268" s="339">
        <v>0</v>
      </c>
      <c r="BI268" s="339">
        <v>0</v>
      </c>
      <c r="BJ268" s="339">
        <v>0</v>
      </c>
      <c r="BK268" s="339">
        <v>0</v>
      </c>
      <c r="BL268" s="339">
        <v>0</v>
      </c>
      <c r="BM268" s="339">
        <v>0</v>
      </c>
      <c r="BN268" s="339">
        <v>0</v>
      </c>
      <c r="BO268" s="339">
        <v>0</v>
      </c>
      <c r="BP268" s="339">
        <v>0</v>
      </c>
      <c r="BQ268" s="339">
        <v>0</v>
      </c>
      <c r="BR268" s="339">
        <v>0</v>
      </c>
      <c r="BS268" s="339">
        <v>0</v>
      </c>
      <c r="BT268" s="339">
        <v>0</v>
      </c>
      <c r="BU268" s="339">
        <v>0</v>
      </c>
      <c r="BV268" s="339">
        <v>0</v>
      </c>
      <c r="BW268" s="339">
        <v>0</v>
      </c>
      <c r="BX268" s="339">
        <v>0</v>
      </c>
    </row>
    <row r="269" spans="1:76" s="355" customFormat="1" hidden="1" outlineLevel="1">
      <c r="A269" s="38"/>
      <c r="B269" s="353"/>
      <c r="C269" s="353" t="s">
        <v>241</v>
      </c>
      <c r="D269" s="353"/>
      <c r="E269" s="353" t="s">
        <v>2</v>
      </c>
      <c r="F269" s="339">
        <v>0</v>
      </c>
      <c r="G269" s="339">
        <v>0</v>
      </c>
      <c r="H269" s="339">
        <v>0</v>
      </c>
      <c r="I269" s="339">
        <v>0</v>
      </c>
      <c r="J269" s="339">
        <v>0</v>
      </c>
      <c r="K269" s="339">
        <v>0</v>
      </c>
      <c r="L269" s="339">
        <v>0</v>
      </c>
      <c r="M269" s="339">
        <v>0</v>
      </c>
      <c r="N269" s="339">
        <v>0</v>
      </c>
      <c r="O269" s="339">
        <v>0</v>
      </c>
      <c r="P269" s="339">
        <v>0</v>
      </c>
      <c r="Q269" s="339">
        <v>0</v>
      </c>
      <c r="R269" s="339">
        <v>0</v>
      </c>
      <c r="S269" s="339">
        <v>0</v>
      </c>
      <c r="T269" s="339">
        <v>0</v>
      </c>
      <c r="U269" s="339">
        <v>0</v>
      </c>
      <c r="V269" s="339">
        <v>0</v>
      </c>
      <c r="W269" s="339">
        <v>0</v>
      </c>
      <c r="X269" s="339">
        <v>0</v>
      </c>
      <c r="Y269" s="339">
        <v>0</v>
      </c>
      <c r="Z269" s="339">
        <v>0</v>
      </c>
      <c r="AA269" s="339">
        <v>0</v>
      </c>
      <c r="AB269" s="339">
        <v>0</v>
      </c>
      <c r="AC269" s="339">
        <v>0</v>
      </c>
      <c r="AD269" s="339">
        <v>0</v>
      </c>
      <c r="AE269" s="339">
        <v>0</v>
      </c>
      <c r="AF269" s="339">
        <v>0</v>
      </c>
      <c r="AG269" s="339">
        <v>0</v>
      </c>
      <c r="AH269" s="339">
        <v>0</v>
      </c>
      <c r="AI269" s="339">
        <v>0</v>
      </c>
      <c r="AJ269" s="339">
        <v>0</v>
      </c>
      <c r="AK269" s="339">
        <v>0</v>
      </c>
      <c r="AL269" s="339">
        <v>0</v>
      </c>
      <c r="AM269" s="339">
        <v>0</v>
      </c>
      <c r="AN269" s="339">
        <v>0</v>
      </c>
      <c r="AO269" s="339">
        <v>0</v>
      </c>
      <c r="AP269" s="339">
        <v>0</v>
      </c>
      <c r="AQ269" s="339">
        <v>0</v>
      </c>
      <c r="AR269" s="339">
        <v>0</v>
      </c>
      <c r="AS269" s="339">
        <v>0</v>
      </c>
      <c r="AT269" s="339">
        <v>0</v>
      </c>
      <c r="AU269" s="339">
        <v>0</v>
      </c>
      <c r="AV269" s="339">
        <v>0</v>
      </c>
      <c r="AW269" s="339">
        <v>0</v>
      </c>
      <c r="AX269" s="339">
        <v>0</v>
      </c>
      <c r="AY269" s="339">
        <v>0</v>
      </c>
      <c r="AZ269" s="339">
        <v>0</v>
      </c>
      <c r="BA269" s="339">
        <v>0</v>
      </c>
      <c r="BB269" s="339">
        <v>0</v>
      </c>
      <c r="BC269" s="339">
        <v>0</v>
      </c>
      <c r="BD269" s="339">
        <v>0</v>
      </c>
      <c r="BE269" s="339">
        <v>0</v>
      </c>
      <c r="BF269" s="339">
        <v>0</v>
      </c>
      <c r="BG269" s="339">
        <v>0</v>
      </c>
      <c r="BH269" s="339">
        <v>0</v>
      </c>
      <c r="BI269" s="339">
        <v>0</v>
      </c>
      <c r="BJ269" s="339">
        <v>0</v>
      </c>
      <c r="BK269" s="339">
        <v>0</v>
      </c>
      <c r="BL269" s="339">
        <v>0</v>
      </c>
      <c r="BM269" s="339">
        <v>0</v>
      </c>
      <c r="BN269" s="339">
        <v>0</v>
      </c>
      <c r="BO269" s="339">
        <v>0</v>
      </c>
      <c r="BP269" s="339">
        <v>0</v>
      </c>
      <c r="BQ269" s="339">
        <v>0</v>
      </c>
      <c r="BR269" s="339">
        <v>0</v>
      </c>
      <c r="BS269" s="339">
        <v>0</v>
      </c>
      <c r="BT269" s="339">
        <v>0</v>
      </c>
      <c r="BU269" s="339">
        <v>0</v>
      </c>
      <c r="BV269" s="339">
        <v>0</v>
      </c>
      <c r="BW269" s="339">
        <v>0</v>
      </c>
      <c r="BX269" s="339">
        <v>0</v>
      </c>
    </row>
    <row r="270" spans="1:76" s="355" customFormat="1" hidden="1" outlineLevel="1">
      <c r="A270" s="38"/>
      <c r="B270" s="353"/>
      <c r="C270" s="353" t="s">
        <v>241</v>
      </c>
      <c r="D270" s="353"/>
      <c r="E270" s="353" t="s">
        <v>20</v>
      </c>
      <c r="F270" s="339">
        <v>0</v>
      </c>
      <c r="G270" s="339">
        <v>0</v>
      </c>
      <c r="H270" s="339">
        <v>0</v>
      </c>
      <c r="I270" s="339">
        <v>0</v>
      </c>
      <c r="J270" s="339">
        <v>0</v>
      </c>
      <c r="K270" s="339">
        <v>0</v>
      </c>
      <c r="L270" s="339">
        <v>0</v>
      </c>
      <c r="M270" s="339">
        <v>0</v>
      </c>
      <c r="N270" s="339">
        <v>0</v>
      </c>
      <c r="O270" s="339">
        <v>0</v>
      </c>
      <c r="P270" s="339">
        <v>0</v>
      </c>
      <c r="Q270" s="339">
        <v>0</v>
      </c>
      <c r="R270" s="339">
        <v>0</v>
      </c>
      <c r="S270" s="339">
        <v>0</v>
      </c>
      <c r="T270" s="339">
        <v>0</v>
      </c>
      <c r="U270" s="339">
        <v>0</v>
      </c>
      <c r="V270" s="339">
        <v>0</v>
      </c>
      <c r="W270" s="339">
        <v>0</v>
      </c>
      <c r="X270" s="339">
        <v>0</v>
      </c>
      <c r="Y270" s="339">
        <v>0</v>
      </c>
      <c r="Z270" s="339">
        <v>0</v>
      </c>
      <c r="AA270" s="339">
        <v>0</v>
      </c>
      <c r="AB270" s="339">
        <v>0</v>
      </c>
      <c r="AC270" s="339">
        <v>0</v>
      </c>
      <c r="AD270" s="339">
        <v>0</v>
      </c>
      <c r="AE270" s="339">
        <v>0</v>
      </c>
      <c r="AF270" s="339">
        <v>0</v>
      </c>
      <c r="AG270" s="339">
        <v>0</v>
      </c>
      <c r="AH270" s="339">
        <v>0</v>
      </c>
      <c r="AI270" s="339">
        <v>0</v>
      </c>
      <c r="AJ270" s="339">
        <v>0</v>
      </c>
      <c r="AK270" s="339">
        <v>0</v>
      </c>
      <c r="AL270" s="339">
        <v>0</v>
      </c>
      <c r="AM270" s="339">
        <v>0</v>
      </c>
      <c r="AN270" s="339">
        <v>0</v>
      </c>
      <c r="AO270" s="339">
        <v>0</v>
      </c>
      <c r="AP270" s="339">
        <v>0</v>
      </c>
      <c r="AQ270" s="339">
        <v>0</v>
      </c>
      <c r="AR270" s="339">
        <v>0</v>
      </c>
      <c r="AS270" s="339">
        <v>0</v>
      </c>
      <c r="AT270" s="339">
        <v>0</v>
      </c>
      <c r="AU270" s="339">
        <v>0</v>
      </c>
      <c r="AV270" s="339">
        <v>0</v>
      </c>
      <c r="AW270" s="339">
        <v>0</v>
      </c>
      <c r="AX270" s="339">
        <v>0</v>
      </c>
      <c r="AY270" s="339">
        <v>0</v>
      </c>
      <c r="AZ270" s="339">
        <v>0</v>
      </c>
      <c r="BA270" s="339">
        <v>0</v>
      </c>
      <c r="BB270" s="339">
        <v>0</v>
      </c>
      <c r="BC270" s="339">
        <v>0</v>
      </c>
      <c r="BD270" s="339">
        <v>0</v>
      </c>
      <c r="BE270" s="339">
        <v>0</v>
      </c>
      <c r="BF270" s="339">
        <v>0</v>
      </c>
      <c r="BG270" s="339">
        <v>0</v>
      </c>
      <c r="BH270" s="339">
        <v>0</v>
      </c>
      <c r="BI270" s="339">
        <v>0</v>
      </c>
      <c r="BJ270" s="339">
        <v>0</v>
      </c>
      <c r="BK270" s="339">
        <v>0</v>
      </c>
      <c r="BL270" s="339">
        <v>0</v>
      </c>
      <c r="BM270" s="339">
        <v>0</v>
      </c>
      <c r="BN270" s="339">
        <v>0</v>
      </c>
      <c r="BO270" s="339">
        <v>0</v>
      </c>
      <c r="BP270" s="339">
        <v>0</v>
      </c>
      <c r="BQ270" s="339">
        <v>0</v>
      </c>
      <c r="BR270" s="339">
        <v>0</v>
      </c>
      <c r="BS270" s="339">
        <v>0</v>
      </c>
      <c r="BT270" s="339">
        <v>0</v>
      </c>
      <c r="BU270" s="339">
        <v>0</v>
      </c>
      <c r="BV270" s="339">
        <v>0</v>
      </c>
      <c r="BW270" s="339">
        <v>0</v>
      </c>
      <c r="BX270" s="339">
        <v>0</v>
      </c>
    </row>
    <row r="271" spans="1:76" s="355" customFormat="1" hidden="1" outlineLevel="1">
      <c r="A271" s="38"/>
      <c r="B271" s="353"/>
      <c r="C271" s="353" t="s">
        <v>241</v>
      </c>
      <c r="D271" s="353"/>
      <c r="E271" s="353" t="s">
        <v>21</v>
      </c>
      <c r="F271" s="339">
        <v>0</v>
      </c>
      <c r="G271" s="339">
        <v>0</v>
      </c>
      <c r="H271" s="339">
        <v>0</v>
      </c>
      <c r="I271" s="339">
        <v>0</v>
      </c>
      <c r="J271" s="339">
        <v>0</v>
      </c>
      <c r="K271" s="339">
        <v>0</v>
      </c>
      <c r="L271" s="339">
        <v>0</v>
      </c>
      <c r="M271" s="339">
        <v>0</v>
      </c>
      <c r="N271" s="339">
        <v>0</v>
      </c>
      <c r="O271" s="339">
        <v>0</v>
      </c>
      <c r="P271" s="339">
        <v>0</v>
      </c>
      <c r="Q271" s="339">
        <v>0</v>
      </c>
      <c r="R271" s="339">
        <v>0</v>
      </c>
      <c r="S271" s="339">
        <v>0</v>
      </c>
      <c r="T271" s="339">
        <v>0</v>
      </c>
      <c r="U271" s="339">
        <v>0</v>
      </c>
      <c r="V271" s="339">
        <v>0</v>
      </c>
      <c r="W271" s="339">
        <v>0</v>
      </c>
      <c r="X271" s="339">
        <v>0</v>
      </c>
      <c r="Y271" s="339">
        <v>0</v>
      </c>
      <c r="Z271" s="339">
        <v>0</v>
      </c>
      <c r="AA271" s="339">
        <v>0</v>
      </c>
      <c r="AB271" s="339">
        <v>0</v>
      </c>
      <c r="AC271" s="339">
        <v>0</v>
      </c>
      <c r="AD271" s="339">
        <v>0</v>
      </c>
      <c r="AE271" s="339">
        <v>0</v>
      </c>
      <c r="AF271" s="339">
        <v>0</v>
      </c>
      <c r="AG271" s="339">
        <v>0</v>
      </c>
      <c r="AH271" s="339">
        <v>0</v>
      </c>
      <c r="AI271" s="339">
        <v>0</v>
      </c>
      <c r="AJ271" s="339">
        <v>0</v>
      </c>
      <c r="AK271" s="339">
        <v>0</v>
      </c>
      <c r="AL271" s="339">
        <v>0</v>
      </c>
      <c r="AM271" s="339">
        <v>0</v>
      </c>
      <c r="AN271" s="339">
        <v>0</v>
      </c>
      <c r="AO271" s="339">
        <v>0</v>
      </c>
      <c r="AP271" s="339">
        <v>0</v>
      </c>
      <c r="AQ271" s="339">
        <v>0</v>
      </c>
      <c r="AR271" s="339">
        <v>0</v>
      </c>
      <c r="AS271" s="339">
        <v>0</v>
      </c>
      <c r="AT271" s="339">
        <v>0</v>
      </c>
      <c r="AU271" s="339">
        <v>0</v>
      </c>
      <c r="AV271" s="339">
        <v>0</v>
      </c>
      <c r="AW271" s="339">
        <v>0</v>
      </c>
      <c r="AX271" s="339">
        <v>0</v>
      </c>
      <c r="AY271" s="339">
        <v>0</v>
      </c>
      <c r="AZ271" s="339">
        <v>0</v>
      </c>
      <c r="BA271" s="339">
        <v>0</v>
      </c>
      <c r="BB271" s="339">
        <v>0</v>
      </c>
      <c r="BC271" s="339">
        <v>0</v>
      </c>
      <c r="BD271" s="339">
        <v>0</v>
      </c>
      <c r="BE271" s="339">
        <v>0</v>
      </c>
      <c r="BF271" s="339">
        <v>0</v>
      </c>
      <c r="BG271" s="339">
        <v>0</v>
      </c>
      <c r="BH271" s="339">
        <v>0</v>
      </c>
      <c r="BI271" s="339">
        <v>0</v>
      </c>
      <c r="BJ271" s="339">
        <v>0</v>
      </c>
      <c r="BK271" s="339">
        <v>0</v>
      </c>
      <c r="BL271" s="339">
        <v>0</v>
      </c>
      <c r="BM271" s="339">
        <v>0</v>
      </c>
      <c r="BN271" s="339">
        <v>0</v>
      </c>
      <c r="BO271" s="339">
        <v>0</v>
      </c>
      <c r="BP271" s="339">
        <v>0</v>
      </c>
      <c r="BQ271" s="339">
        <v>0</v>
      </c>
      <c r="BR271" s="339">
        <v>0</v>
      </c>
      <c r="BS271" s="339">
        <v>0</v>
      </c>
      <c r="BT271" s="339">
        <v>0</v>
      </c>
      <c r="BU271" s="339">
        <v>0</v>
      </c>
      <c r="BV271" s="339">
        <v>0</v>
      </c>
      <c r="BW271" s="339">
        <v>0</v>
      </c>
      <c r="BX271" s="339">
        <v>0</v>
      </c>
    </row>
    <row r="272" spans="1:76" collapsed="1">
      <c r="F272" s="330"/>
      <c r="G272" s="330"/>
      <c r="H272" s="330"/>
      <c r="I272" s="330"/>
      <c r="J272" s="330"/>
      <c r="K272" s="330"/>
      <c r="L272" s="330"/>
      <c r="M272" s="330"/>
      <c r="N272" s="330"/>
      <c r="O272" s="330"/>
      <c r="P272" s="330"/>
      <c r="Q272" s="330"/>
      <c r="R272" s="330"/>
      <c r="S272" s="330"/>
      <c r="T272" s="330"/>
      <c r="U272" s="330"/>
      <c r="V272" s="330"/>
      <c r="W272" s="330"/>
      <c r="X272" s="330"/>
      <c r="Y272" s="330"/>
      <c r="Z272" s="330"/>
      <c r="AA272" s="330"/>
      <c r="AB272" s="330"/>
      <c r="AC272" s="330"/>
      <c r="AD272" s="330"/>
      <c r="AE272" s="330"/>
      <c r="AF272" s="330"/>
      <c r="AG272" s="330"/>
      <c r="AH272" s="330"/>
      <c r="AI272" s="330"/>
      <c r="AJ272" s="330"/>
    </row>
    <row r="273" spans="2:76">
      <c r="B273" s="259" t="str">
        <f>D273</f>
        <v>PTC Value ($/MWh)</v>
      </c>
      <c r="D273" s="259" t="s">
        <v>245</v>
      </c>
      <c r="F273" s="259"/>
      <c r="G273" s="259"/>
      <c r="H273" s="259"/>
      <c r="I273" s="259"/>
      <c r="J273" s="259"/>
      <c r="K273" s="259"/>
      <c r="L273" s="259"/>
      <c r="M273" s="259"/>
      <c r="N273" s="259"/>
      <c r="O273" s="259"/>
      <c r="P273" s="259"/>
      <c r="Q273" s="259"/>
      <c r="R273" s="259"/>
      <c r="S273" s="259"/>
      <c r="T273" s="259"/>
      <c r="U273" s="259"/>
      <c r="V273" s="259"/>
      <c r="W273" s="259"/>
      <c r="X273" s="259"/>
      <c r="Y273" s="259"/>
      <c r="Z273" s="259"/>
      <c r="AA273" s="259"/>
      <c r="AB273" s="259"/>
      <c r="AC273" s="259"/>
      <c r="AD273" s="259"/>
      <c r="AE273" s="259"/>
      <c r="AF273" s="259"/>
      <c r="AG273" s="259"/>
      <c r="AH273" s="259"/>
      <c r="AI273" s="259"/>
      <c r="AJ273" s="259"/>
      <c r="AK273" s="259"/>
      <c r="AL273" s="259"/>
      <c r="AM273" s="259"/>
      <c r="AN273" s="259"/>
      <c r="AO273" s="259"/>
      <c r="AP273" s="259"/>
      <c r="AQ273" s="259"/>
      <c r="AR273" s="259"/>
      <c r="AS273" s="259"/>
      <c r="AT273" s="259"/>
      <c r="AU273" s="259"/>
      <c r="AV273" s="259"/>
      <c r="AW273" s="259"/>
      <c r="AX273" s="259"/>
      <c r="AY273" s="259"/>
      <c r="AZ273" s="259"/>
      <c r="BA273" s="259"/>
      <c r="BB273" s="259"/>
      <c r="BC273" s="259"/>
      <c r="BD273" s="259"/>
      <c r="BE273" s="259"/>
      <c r="BF273" s="259"/>
      <c r="BG273" s="259"/>
      <c r="BH273" s="259"/>
      <c r="BI273" s="259"/>
      <c r="BJ273" s="259"/>
      <c r="BK273" s="259"/>
      <c r="BL273" s="259"/>
      <c r="BM273" s="259"/>
      <c r="BN273" s="259"/>
      <c r="BO273" s="259"/>
      <c r="BP273" s="259"/>
      <c r="BQ273" s="259"/>
      <c r="BR273" s="259"/>
      <c r="BS273" s="259"/>
      <c r="BT273" s="259"/>
      <c r="BU273" s="259"/>
      <c r="BV273" s="259"/>
      <c r="BW273" s="259"/>
      <c r="BX273" s="259"/>
    </row>
    <row r="274" spans="2:76" hidden="1" outlineLevel="1">
      <c r="B274" s="348">
        <v>2022</v>
      </c>
      <c r="C274" s="348" t="s">
        <v>241</v>
      </c>
      <c r="D274" s="348" t="s">
        <v>245</v>
      </c>
      <c r="E274" s="348" t="s">
        <v>11</v>
      </c>
      <c r="F274" s="331"/>
      <c r="G274" s="331"/>
      <c r="H274" s="335">
        <v>0</v>
      </c>
      <c r="I274" s="335">
        <v>0</v>
      </c>
      <c r="J274" s="335">
        <v>0</v>
      </c>
      <c r="K274" s="335">
        <v>0</v>
      </c>
      <c r="L274" s="335">
        <v>0</v>
      </c>
      <c r="M274" s="335">
        <v>0</v>
      </c>
      <c r="N274" s="335">
        <v>0</v>
      </c>
      <c r="O274" s="335">
        <v>0</v>
      </c>
      <c r="P274" s="335">
        <v>0</v>
      </c>
      <c r="Q274" s="335">
        <v>0</v>
      </c>
      <c r="R274" s="335">
        <v>0</v>
      </c>
      <c r="S274" s="335">
        <v>0</v>
      </c>
      <c r="T274" s="335">
        <v>0</v>
      </c>
      <c r="U274" s="335">
        <v>0</v>
      </c>
      <c r="V274" s="335">
        <v>0</v>
      </c>
      <c r="W274" s="335">
        <v>0</v>
      </c>
      <c r="X274" s="335">
        <v>0</v>
      </c>
      <c r="Y274" s="335">
        <v>0</v>
      </c>
      <c r="Z274" s="335">
        <v>0</v>
      </c>
      <c r="AA274" s="335">
        <v>0</v>
      </c>
      <c r="AB274" s="335">
        <v>0</v>
      </c>
      <c r="AC274" s="335">
        <v>0</v>
      </c>
      <c r="AD274" s="335">
        <v>0</v>
      </c>
      <c r="AE274" s="335">
        <v>0</v>
      </c>
      <c r="AF274" s="335">
        <v>0</v>
      </c>
      <c r="AG274" s="335">
        <v>0</v>
      </c>
      <c r="AH274" s="335">
        <v>0</v>
      </c>
      <c r="AI274" s="335">
        <v>0</v>
      </c>
      <c r="AJ274" s="335">
        <v>0</v>
      </c>
      <c r="AK274" s="335">
        <v>0</v>
      </c>
      <c r="AL274" s="335">
        <v>0</v>
      </c>
      <c r="AM274" s="335">
        <v>0</v>
      </c>
      <c r="AN274" s="335">
        <v>0</v>
      </c>
      <c r="AO274" s="335">
        <v>0</v>
      </c>
      <c r="AP274" s="335">
        <v>0</v>
      </c>
      <c r="AQ274" s="335">
        <v>0</v>
      </c>
      <c r="AR274" s="335">
        <v>0</v>
      </c>
      <c r="AS274" s="335">
        <v>0</v>
      </c>
      <c r="AT274" s="335">
        <v>0</v>
      </c>
      <c r="AU274" s="335">
        <v>0</v>
      </c>
      <c r="AV274" s="335">
        <v>0</v>
      </c>
      <c r="AW274" s="335">
        <v>0</v>
      </c>
      <c r="AX274" s="335">
        <v>0</v>
      </c>
      <c r="AY274" s="335">
        <v>0</v>
      </c>
      <c r="AZ274" s="335">
        <v>0</v>
      </c>
      <c r="BA274" s="335">
        <v>0</v>
      </c>
      <c r="BB274" s="335">
        <v>0</v>
      </c>
      <c r="BC274" s="335">
        <v>0</v>
      </c>
      <c r="BD274" s="335">
        <v>0</v>
      </c>
      <c r="BE274" s="335">
        <v>0</v>
      </c>
      <c r="BF274" s="335">
        <v>0</v>
      </c>
      <c r="BG274" s="335">
        <v>0</v>
      </c>
      <c r="BH274" s="335">
        <v>0</v>
      </c>
      <c r="BI274" s="335">
        <v>0</v>
      </c>
      <c r="BJ274" s="335">
        <v>0</v>
      </c>
      <c r="BK274" s="335">
        <v>0</v>
      </c>
      <c r="BL274" s="335">
        <v>0</v>
      </c>
      <c r="BM274" s="335">
        <v>0</v>
      </c>
      <c r="BN274" s="335">
        <v>0</v>
      </c>
      <c r="BO274" s="335">
        <v>0</v>
      </c>
      <c r="BP274" s="335">
        <v>0</v>
      </c>
      <c r="BQ274" s="335">
        <v>0</v>
      </c>
      <c r="BR274" s="335">
        <v>0</v>
      </c>
      <c r="BS274" s="335">
        <v>0</v>
      </c>
      <c r="BT274" s="335">
        <v>0</v>
      </c>
      <c r="BU274" s="335">
        <v>0</v>
      </c>
      <c r="BV274" s="335">
        <v>0</v>
      </c>
      <c r="BW274" s="335">
        <v>0</v>
      </c>
      <c r="BX274" s="335">
        <v>0</v>
      </c>
    </row>
    <row r="275" spans="2:76" hidden="1" outlineLevel="1">
      <c r="B275" s="348">
        <v>2022</v>
      </c>
      <c r="C275" s="348" t="s">
        <v>241</v>
      </c>
      <c r="D275" s="348" t="s">
        <v>245</v>
      </c>
      <c r="E275" s="348" t="s">
        <v>12</v>
      </c>
      <c r="F275" s="331"/>
      <c r="G275" s="331"/>
      <c r="H275" s="335">
        <v>0</v>
      </c>
      <c r="I275" s="335">
        <v>0</v>
      </c>
      <c r="J275" s="335">
        <v>0</v>
      </c>
      <c r="K275" s="335">
        <v>0</v>
      </c>
      <c r="L275" s="335">
        <v>0</v>
      </c>
      <c r="M275" s="335">
        <v>0</v>
      </c>
      <c r="N275" s="335">
        <v>0</v>
      </c>
      <c r="O275" s="335">
        <v>0</v>
      </c>
      <c r="P275" s="335">
        <v>0</v>
      </c>
      <c r="Q275" s="335">
        <v>0</v>
      </c>
      <c r="R275" s="335">
        <v>0</v>
      </c>
      <c r="S275" s="335">
        <v>0</v>
      </c>
      <c r="T275" s="335">
        <v>0</v>
      </c>
      <c r="U275" s="335">
        <v>0</v>
      </c>
      <c r="V275" s="335">
        <v>0</v>
      </c>
      <c r="W275" s="335">
        <v>0</v>
      </c>
      <c r="X275" s="335">
        <v>0</v>
      </c>
      <c r="Y275" s="335">
        <v>0</v>
      </c>
      <c r="Z275" s="335">
        <v>0</v>
      </c>
      <c r="AA275" s="335">
        <v>0</v>
      </c>
      <c r="AB275" s="335">
        <v>0</v>
      </c>
      <c r="AC275" s="335">
        <v>0</v>
      </c>
      <c r="AD275" s="335">
        <v>0</v>
      </c>
      <c r="AE275" s="335">
        <v>0</v>
      </c>
      <c r="AF275" s="335">
        <v>0</v>
      </c>
      <c r="AG275" s="335">
        <v>0</v>
      </c>
      <c r="AH275" s="335">
        <v>0</v>
      </c>
      <c r="AI275" s="335">
        <v>0</v>
      </c>
      <c r="AJ275" s="335">
        <v>0</v>
      </c>
      <c r="AK275" s="335">
        <v>0</v>
      </c>
      <c r="AL275" s="335">
        <v>0</v>
      </c>
      <c r="AM275" s="335">
        <v>0</v>
      </c>
      <c r="AN275" s="335">
        <v>0</v>
      </c>
      <c r="AO275" s="335">
        <v>0</v>
      </c>
      <c r="AP275" s="335">
        <v>0</v>
      </c>
      <c r="AQ275" s="335">
        <v>0</v>
      </c>
      <c r="AR275" s="335">
        <v>0</v>
      </c>
      <c r="AS275" s="335">
        <v>0</v>
      </c>
      <c r="AT275" s="335">
        <v>0</v>
      </c>
      <c r="AU275" s="335">
        <v>0</v>
      </c>
      <c r="AV275" s="335">
        <v>0</v>
      </c>
      <c r="AW275" s="335">
        <v>0</v>
      </c>
      <c r="AX275" s="335">
        <v>0</v>
      </c>
      <c r="AY275" s="335">
        <v>0</v>
      </c>
      <c r="AZ275" s="335">
        <v>0</v>
      </c>
      <c r="BA275" s="335">
        <v>0</v>
      </c>
      <c r="BB275" s="335">
        <v>0</v>
      </c>
      <c r="BC275" s="335">
        <v>0</v>
      </c>
      <c r="BD275" s="335">
        <v>0</v>
      </c>
      <c r="BE275" s="335">
        <v>0</v>
      </c>
      <c r="BF275" s="335">
        <v>0</v>
      </c>
      <c r="BG275" s="335">
        <v>0</v>
      </c>
      <c r="BH275" s="335">
        <v>0</v>
      </c>
      <c r="BI275" s="335">
        <v>0</v>
      </c>
      <c r="BJ275" s="335">
        <v>0</v>
      </c>
      <c r="BK275" s="335">
        <v>0</v>
      </c>
      <c r="BL275" s="335">
        <v>0</v>
      </c>
      <c r="BM275" s="335">
        <v>0</v>
      </c>
      <c r="BN275" s="335">
        <v>0</v>
      </c>
      <c r="BO275" s="335">
        <v>0</v>
      </c>
      <c r="BP275" s="335">
        <v>0</v>
      </c>
      <c r="BQ275" s="335">
        <v>0</v>
      </c>
      <c r="BR275" s="335">
        <v>0</v>
      </c>
      <c r="BS275" s="335">
        <v>0</v>
      </c>
      <c r="BT275" s="335">
        <v>0</v>
      </c>
      <c r="BU275" s="335">
        <v>0</v>
      </c>
      <c r="BV275" s="335">
        <v>0</v>
      </c>
      <c r="BW275" s="335">
        <v>0</v>
      </c>
      <c r="BX275" s="335">
        <v>0</v>
      </c>
    </row>
    <row r="276" spans="2:76" hidden="1" outlineLevel="1">
      <c r="B276" s="348">
        <v>2022</v>
      </c>
      <c r="C276" s="348" t="s">
        <v>241</v>
      </c>
      <c r="D276" s="348" t="s">
        <v>245</v>
      </c>
      <c r="E276" s="348" t="s">
        <v>13</v>
      </c>
      <c r="F276" s="331"/>
      <c r="G276" s="331"/>
      <c r="H276" s="335">
        <v>0</v>
      </c>
      <c r="I276" s="335">
        <v>0</v>
      </c>
      <c r="J276" s="335">
        <v>0</v>
      </c>
      <c r="K276" s="335">
        <v>0</v>
      </c>
      <c r="L276" s="335">
        <v>0</v>
      </c>
      <c r="M276" s="335">
        <v>0</v>
      </c>
      <c r="N276" s="335">
        <v>0</v>
      </c>
      <c r="O276" s="335">
        <v>0</v>
      </c>
      <c r="P276" s="335">
        <v>0</v>
      </c>
      <c r="Q276" s="335">
        <v>0</v>
      </c>
      <c r="R276" s="335">
        <v>0</v>
      </c>
      <c r="S276" s="335">
        <v>0</v>
      </c>
      <c r="T276" s="335">
        <v>0</v>
      </c>
      <c r="U276" s="335">
        <v>0</v>
      </c>
      <c r="V276" s="335">
        <v>0</v>
      </c>
      <c r="W276" s="335">
        <v>0</v>
      </c>
      <c r="X276" s="335">
        <v>0</v>
      </c>
      <c r="Y276" s="335">
        <v>0</v>
      </c>
      <c r="Z276" s="335">
        <v>0</v>
      </c>
      <c r="AA276" s="335">
        <v>0</v>
      </c>
      <c r="AB276" s="335">
        <v>0</v>
      </c>
      <c r="AC276" s="335">
        <v>0</v>
      </c>
      <c r="AD276" s="335">
        <v>0</v>
      </c>
      <c r="AE276" s="335">
        <v>0</v>
      </c>
      <c r="AF276" s="335">
        <v>0</v>
      </c>
      <c r="AG276" s="335">
        <v>0</v>
      </c>
      <c r="AH276" s="335">
        <v>0</v>
      </c>
      <c r="AI276" s="335">
        <v>0</v>
      </c>
      <c r="AJ276" s="335">
        <v>0</v>
      </c>
      <c r="AK276" s="335">
        <v>0</v>
      </c>
      <c r="AL276" s="335">
        <v>0</v>
      </c>
      <c r="AM276" s="335">
        <v>0</v>
      </c>
      <c r="AN276" s="335">
        <v>0</v>
      </c>
      <c r="AO276" s="335">
        <v>0</v>
      </c>
      <c r="AP276" s="335">
        <v>0</v>
      </c>
      <c r="AQ276" s="335">
        <v>0</v>
      </c>
      <c r="AR276" s="335">
        <v>0</v>
      </c>
      <c r="AS276" s="335">
        <v>0</v>
      </c>
      <c r="AT276" s="335">
        <v>0</v>
      </c>
      <c r="AU276" s="335">
        <v>0</v>
      </c>
      <c r="AV276" s="335">
        <v>0</v>
      </c>
      <c r="AW276" s="335">
        <v>0</v>
      </c>
      <c r="AX276" s="335">
        <v>0</v>
      </c>
      <c r="AY276" s="335">
        <v>0</v>
      </c>
      <c r="AZ276" s="335">
        <v>0</v>
      </c>
      <c r="BA276" s="335">
        <v>0</v>
      </c>
      <c r="BB276" s="335">
        <v>0</v>
      </c>
      <c r="BC276" s="335">
        <v>0</v>
      </c>
      <c r="BD276" s="335">
        <v>0</v>
      </c>
      <c r="BE276" s="335">
        <v>0</v>
      </c>
      <c r="BF276" s="335">
        <v>0</v>
      </c>
      <c r="BG276" s="335">
        <v>0</v>
      </c>
      <c r="BH276" s="335">
        <v>0</v>
      </c>
      <c r="BI276" s="335">
        <v>0</v>
      </c>
      <c r="BJ276" s="335">
        <v>0</v>
      </c>
      <c r="BK276" s="335">
        <v>0</v>
      </c>
      <c r="BL276" s="335">
        <v>0</v>
      </c>
      <c r="BM276" s="335">
        <v>0</v>
      </c>
      <c r="BN276" s="335">
        <v>0</v>
      </c>
      <c r="BO276" s="335">
        <v>0</v>
      </c>
      <c r="BP276" s="335">
        <v>0</v>
      </c>
      <c r="BQ276" s="335">
        <v>0</v>
      </c>
      <c r="BR276" s="335">
        <v>0</v>
      </c>
      <c r="BS276" s="335">
        <v>0</v>
      </c>
      <c r="BT276" s="335">
        <v>0</v>
      </c>
      <c r="BU276" s="335">
        <v>0</v>
      </c>
      <c r="BV276" s="335">
        <v>0</v>
      </c>
      <c r="BW276" s="335">
        <v>0</v>
      </c>
      <c r="BX276" s="335">
        <v>0</v>
      </c>
    </row>
    <row r="277" spans="2:76" hidden="1" outlineLevel="1">
      <c r="B277" s="348">
        <v>2022</v>
      </c>
      <c r="C277" s="348" t="s">
        <v>241</v>
      </c>
      <c r="D277" s="348" t="s">
        <v>245</v>
      </c>
      <c r="E277" s="348" t="s">
        <v>14</v>
      </c>
      <c r="F277" s="331"/>
      <c r="G277" s="331"/>
      <c r="H277" s="335">
        <v>0</v>
      </c>
      <c r="I277" s="335">
        <v>0</v>
      </c>
      <c r="J277" s="335">
        <v>0</v>
      </c>
      <c r="K277" s="335">
        <v>0</v>
      </c>
      <c r="L277" s="335">
        <v>0</v>
      </c>
      <c r="M277" s="335">
        <v>0</v>
      </c>
      <c r="N277" s="335">
        <v>0</v>
      </c>
      <c r="O277" s="335">
        <v>0</v>
      </c>
      <c r="P277" s="335">
        <v>0</v>
      </c>
      <c r="Q277" s="335">
        <v>0</v>
      </c>
      <c r="R277" s="335">
        <v>0</v>
      </c>
      <c r="S277" s="335">
        <v>0</v>
      </c>
      <c r="T277" s="335">
        <v>0</v>
      </c>
      <c r="U277" s="335">
        <v>0</v>
      </c>
      <c r="V277" s="335">
        <v>0</v>
      </c>
      <c r="W277" s="335">
        <v>0</v>
      </c>
      <c r="X277" s="335">
        <v>0</v>
      </c>
      <c r="Y277" s="335">
        <v>0</v>
      </c>
      <c r="Z277" s="335">
        <v>0</v>
      </c>
      <c r="AA277" s="335">
        <v>0</v>
      </c>
      <c r="AB277" s="335">
        <v>0</v>
      </c>
      <c r="AC277" s="335">
        <v>0</v>
      </c>
      <c r="AD277" s="335">
        <v>0</v>
      </c>
      <c r="AE277" s="335">
        <v>0</v>
      </c>
      <c r="AF277" s="335">
        <v>0</v>
      </c>
      <c r="AG277" s="335">
        <v>0</v>
      </c>
      <c r="AH277" s="335">
        <v>0</v>
      </c>
      <c r="AI277" s="335">
        <v>0</v>
      </c>
      <c r="AJ277" s="335">
        <v>0</v>
      </c>
      <c r="AK277" s="335">
        <v>0</v>
      </c>
      <c r="AL277" s="335">
        <v>0</v>
      </c>
      <c r="AM277" s="335">
        <v>0</v>
      </c>
      <c r="AN277" s="335">
        <v>0</v>
      </c>
      <c r="AO277" s="335">
        <v>0</v>
      </c>
      <c r="AP277" s="335">
        <v>0</v>
      </c>
      <c r="AQ277" s="335">
        <v>0</v>
      </c>
      <c r="AR277" s="335">
        <v>0</v>
      </c>
      <c r="AS277" s="335">
        <v>0</v>
      </c>
      <c r="AT277" s="335">
        <v>0</v>
      </c>
      <c r="AU277" s="335">
        <v>0</v>
      </c>
      <c r="AV277" s="335">
        <v>0</v>
      </c>
      <c r="AW277" s="335">
        <v>0</v>
      </c>
      <c r="AX277" s="335">
        <v>0</v>
      </c>
      <c r="AY277" s="335">
        <v>0</v>
      </c>
      <c r="AZ277" s="335">
        <v>0</v>
      </c>
      <c r="BA277" s="335">
        <v>0</v>
      </c>
      <c r="BB277" s="335">
        <v>0</v>
      </c>
      <c r="BC277" s="335">
        <v>0</v>
      </c>
      <c r="BD277" s="335">
        <v>0</v>
      </c>
      <c r="BE277" s="335">
        <v>0</v>
      </c>
      <c r="BF277" s="335">
        <v>0</v>
      </c>
      <c r="BG277" s="335">
        <v>0</v>
      </c>
      <c r="BH277" s="335">
        <v>0</v>
      </c>
      <c r="BI277" s="335">
        <v>0</v>
      </c>
      <c r="BJ277" s="335">
        <v>0</v>
      </c>
      <c r="BK277" s="335">
        <v>0</v>
      </c>
      <c r="BL277" s="335">
        <v>0</v>
      </c>
      <c r="BM277" s="335">
        <v>0</v>
      </c>
      <c r="BN277" s="335">
        <v>0</v>
      </c>
      <c r="BO277" s="335">
        <v>0</v>
      </c>
      <c r="BP277" s="335">
        <v>0</v>
      </c>
      <c r="BQ277" s="335">
        <v>0</v>
      </c>
      <c r="BR277" s="335">
        <v>0</v>
      </c>
      <c r="BS277" s="335">
        <v>0</v>
      </c>
      <c r="BT277" s="335">
        <v>0</v>
      </c>
      <c r="BU277" s="335">
        <v>0</v>
      </c>
      <c r="BV277" s="335">
        <v>0</v>
      </c>
      <c r="BW277" s="335">
        <v>0</v>
      </c>
      <c r="BX277" s="335">
        <v>0</v>
      </c>
    </row>
    <row r="278" spans="2:76" hidden="1" outlineLevel="1">
      <c r="B278" s="348">
        <v>2022</v>
      </c>
      <c r="C278" s="348" t="s">
        <v>241</v>
      </c>
      <c r="D278" s="348" t="s">
        <v>245</v>
      </c>
      <c r="E278" s="348" t="s">
        <v>15</v>
      </c>
      <c r="F278" s="331"/>
      <c r="G278" s="331"/>
      <c r="H278" s="335">
        <v>0</v>
      </c>
      <c r="I278" s="335">
        <v>0</v>
      </c>
      <c r="J278" s="335">
        <v>0</v>
      </c>
      <c r="K278" s="335">
        <v>0</v>
      </c>
      <c r="L278" s="335">
        <v>0</v>
      </c>
      <c r="M278" s="335">
        <v>0</v>
      </c>
      <c r="N278" s="335">
        <v>0</v>
      </c>
      <c r="O278" s="335">
        <v>0</v>
      </c>
      <c r="P278" s="335">
        <v>0</v>
      </c>
      <c r="Q278" s="335">
        <v>0</v>
      </c>
      <c r="R278" s="335">
        <v>0</v>
      </c>
      <c r="S278" s="335">
        <v>0</v>
      </c>
      <c r="T278" s="335">
        <v>0</v>
      </c>
      <c r="U278" s="335">
        <v>0</v>
      </c>
      <c r="V278" s="335">
        <v>0</v>
      </c>
      <c r="W278" s="335">
        <v>0</v>
      </c>
      <c r="X278" s="335">
        <v>0</v>
      </c>
      <c r="Y278" s="335">
        <v>0</v>
      </c>
      <c r="Z278" s="335">
        <v>0</v>
      </c>
      <c r="AA278" s="335">
        <v>0</v>
      </c>
      <c r="AB278" s="335">
        <v>0</v>
      </c>
      <c r="AC278" s="335">
        <v>0</v>
      </c>
      <c r="AD278" s="335">
        <v>0</v>
      </c>
      <c r="AE278" s="335">
        <v>0</v>
      </c>
      <c r="AF278" s="335">
        <v>0</v>
      </c>
      <c r="AG278" s="335">
        <v>0</v>
      </c>
      <c r="AH278" s="335">
        <v>0</v>
      </c>
      <c r="AI278" s="335">
        <v>0</v>
      </c>
      <c r="AJ278" s="335">
        <v>0</v>
      </c>
      <c r="AK278" s="335">
        <v>0</v>
      </c>
      <c r="AL278" s="335">
        <v>0</v>
      </c>
      <c r="AM278" s="335">
        <v>0</v>
      </c>
      <c r="AN278" s="335">
        <v>0</v>
      </c>
      <c r="AO278" s="335">
        <v>0</v>
      </c>
      <c r="AP278" s="335">
        <v>0</v>
      </c>
      <c r="AQ278" s="335">
        <v>0</v>
      </c>
      <c r="AR278" s="335">
        <v>0</v>
      </c>
      <c r="AS278" s="335">
        <v>0</v>
      </c>
      <c r="AT278" s="335">
        <v>0</v>
      </c>
      <c r="AU278" s="335">
        <v>0</v>
      </c>
      <c r="AV278" s="335">
        <v>0</v>
      </c>
      <c r="AW278" s="335">
        <v>0</v>
      </c>
      <c r="AX278" s="335">
        <v>0</v>
      </c>
      <c r="AY278" s="335">
        <v>0</v>
      </c>
      <c r="AZ278" s="335">
        <v>0</v>
      </c>
      <c r="BA278" s="335">
        <v>0</v>
      </c>
      <c r="BB278" s="335">
        <v>0</v>
      </c>
      <c r="BC278" s="335">
        <v>0</v>
      </c>
      <c r="BD278" s="335">
        <v>0</v>
      </c>
      <c r="BE278" s="335">
        <v>0</v>
      </c>
      <c r="BF278" s="335">
        <v>0</v>
      </c>
      <c r="BG278" s="335">
        <v>0</v>
      </c>
      <c r="BH278" s="335">
        <v>0</v>
      </c>
      <c r="BI278" s="335">
        <v>0</v>
      </c>
      <c r="BJ278" s="335">
        <v>0</v>
      </c>
      <c r="BK278" s="335">
        <v>0</v>
      </c>
      <c r="BL278" s="335">
        <v>0</v>
      </c>
      <c r="BM278" s="335">
        <v>0</v>
      </c>
      <c r="BN278" s="335">
        <v>0</v>
      </c>
      <c r="BO278" s="335">
        <v>0</v>
      </c>
      <c r="BP278" s="335">
        <v>0</v>
      </c>
      <c r="BQ278" s="335">
        <v>0</v>
      </c>
      <c r="BR278" s="335">
        <v>0</v>
      </c>
      <c r="BS278" s="335">
        <v>0</v>
      </c>
      <c r="BT278" s="335">
        <v>0</v>
      </c>
      <c r="BU278" s="335">
        <v>0</v>
      </c>
      <c r="BV278" s="335">
        <v>0</v>
      </c>
      <c r="BW278" s="335">
        <v>0</v>
      </c>
      <c r="BX278" s="335">
        <v>0</v>
      </c>
    </row>
    <row r="279" spans="2:76" hidden="1" outlineLevel="1">
      <c r="B279" s="348">
        <v>2022</v>
      </c>
      <c r="C279" s="348" t="s">
        <v>241</v>
      </c>
      <c r="D279" s="348" t="s">
        <v>245</v>
      </c>
      <c r="E279" s="348" t="s">
        <v>16</v>
      </c>
      <c r="F279" s="331"/>
      <c r="G279" s="331"/>
      <c r="H279" s="335">
        <v>0</v>
      </c>
      <c r="I279" s="335">
        <v>0</v>
      </c>
      <c r="J279" s="335">
        <v>0</v>
      </c>
      <c r="K279" s="335">
        <v>0</v>
      </c>
      <c r="L279" s="335">
        <v>0</v>
      </c>
      <c r="M279" s="335">
        <v>0</v>
      </c>
      <c r="N279" s="335">
        <v>0</v>
      </c>
      <c r="O279" s="335">
        <v>0</v>
      </c>
      <c r="P279" s="335">
        <v>0</v>
      </c>
      <c r="Q279" s="335">
        <v>0</v>
      </c>
      <c r="R279" s="335">
        <v>0</v>
      </c>
      <c r="S279" s="335">
        <v>0</v>
      </c>
      <c r="T279" s="335">
        <v>0</v>
      </c>
      <c r="U279" s="335">
        <v>0</v>
      </c>
      <c r="V279" s="335">
        <v>0</v>
      </c>
      <c r="W279" s="335">
        <v>0</v>
      </c>
      <c r="X279" s="335">
        <v>0</v>
      </c>
      <c r="Y279" s="335">
        <v>0</v>
      </c>
      <c r="Z279" s="335">
        <v>0</v>
      </c>
      <c r="AA279" s="335">
        <v>0</v>
      </c>
      <c r="AB279" s="335">
        <v>0</v>
      </c>
      <c r="AC279" s="335">
        <v>0</v>
      </c>
      <c r="AD279" s="335">
        <v>0</v>
      </c>
      <c r="AE279" s="335">
        <v>0</v>
      </c>
      <c r="AF279" s="335">
        <v>0</v>
      </c>
      <c r="AG279" s="335">
        <v>0</v>
      </c>
      <c r="AH279" s="335">
        <v>0</v>
      </c>
      <c r="AI279" s="335">
        <v>0</v>
      </c>
      <c r="AJ279" s="335">
        <v>0</v>
      </c>
      <c r="AK279" s="335">
        <v>0</v>
      </c>
      <c r="AL279" s="335">
        <v>0</v>
      </c>
      <c r="AM279" s="335">
        <v>0</v>
      </c>
      <c r="AN279" s="335">
        <v>0</v>
      </c>
      <c r="AO279" s="335">
        <v>0</v>
      </c>
      <c r="AP279" s="335">
        <v>0</v>
      </c>
      <c r="AQ279" s="335">
        <v>0</v>
      </c>
      <c r="AR279" s="335">
        <v>0</v>
      </c>
      <c r="AS279" s="335">
        <v>0</v>
      </c>
      <c r="AT279" s="335">
        <v>0</v>
      </c>
      <c r="AU279" s="335">
        <v>0</v>
      </c>
      <c r="AV279" s="335">
        <v>0</v>
      </c>
      <c r="AW279" s="335">
        <v>0</v>
      </c>
      <c r="AX279" s="335">
        <v>0</v>
      </c>
      <c r="AY279" s="335">
        <v>0</v>
      </c>
      <c r="AZ279" s="335">
        <v>0</v>
      </c>
      <c r="BA279" s="335">
        <v>0</v>
      </c>
      <c r="BB279" s="335">
        <v>0</v>
      </c>
      <c r="BC279" s="335">
        <v>0</v>
      </c>
      <c r="BD279" s="335">
        <v>0</v>
      </c>
      <c r="BE279" s="335">
        <v>0</v>
      </c>
      <c r="BF279" s="335">
        <v>0</v>
      </c>
      <c r="BG279" s="335">
        <v>0</v>
      </c>
      <c r="BH279" s="335">
        <v>0</v>
      </c>
      <c r="BI279" s="335">
        <v>0</v>
      </c>
      <c r="BJ279" s="335">
        <v>0</v>
      </c>
      <c r="BK279" s="335">
        <v>0</v>
      </c>
      <c r="BL279" s="335">
        <v>0</v>
      </c>
      <c r="BM279" s="335">
        <v>0</v>
      </c>
      <c r="BN279" s="335">
        <v>0</v>
      </c>
      <c r="BO279" s="335">
        <v>0</v>
      </c>
      <c r="BP279" s="335">
        <v>0</v>
      </c>
      <c r="BQ279" s="335">
        <v>0</v>
      </c>
      <c r="BR279" s="335">
        <v>0</v>
      </c>
      <c r="BS279" s="335">
        <v>0</v>
      </c>
      <c r="BT279" s="335">
        <v>0</v>
      </c>
      <c r="BU279" s="335">
        <v>0</v>
      </c>
      <c r="BV279" s="335">
        <v>0</v>
      </c>
      <c r="BW279" s="335">
        <v>0</v>
      </c>
      <c r="BX279" s="335">
        <v>0</v>
      </c>
    </row>
    <row r="280" spans="2:76" hidden="1" outlineLevel="1">
      <c r="B280" s="348">
        <v>2022</v>
      </c>
      <c r="C280" s="348" t="s">
        <v>241</v>
      </c>
      <c r="D280" s="348" t="s">
        <v>245</v>
      </c>
      <c r="E280" s="348" t="s">
        <v>17</v>
      </c>
      <c r="F280" s="331"/>
      <c r="G280" s="331"/>
      <c r="H280" s="335">
        <v>0</v>
      </c>
      <c r="I280" s="335">
        <v>0</v>
      </c>
      <c r="J280" s="335">
        <v>0</v>
      </c>
      <c r="K280" s="335">
        <v>0</v>
      </c>
      <c r="L280" s="335">
        <v>0</v>
      </c>
      <c r="M280" s="335">
        <v>0</v>
      </c>
      <c r="N280" s="335">
        <v>0</v>
      </c>
      <c r="O280" s="335">
        <v>0</v>
      </c>
      <c r="P280" s="335">
        <v>0</v>
      </c>
      <c r="Q280" s="335">
        <v>0</v>
      </c>
      <c r="R280" s="335">
        <v>0</v>
      </c>
      <c r="S280" s="335">
        <v>0</v>
      </c>
      <c r="T280" s="335">
        <v>0</v>
      </c>
      <c r="U280" s="335">
        <v>0</v>
      </c>
      <c r="V280" s="335">
        <v>0</v>
      </c>
      <c r="W280" s="335">
        <v>0</v>
      </c>
      <c r="X280" s="335">
        <v>0</v>
      </c>
      <c r="Y280" s="335">
        <v>0</v>
      </c>
      <c r="Z280" s="335">
        <v>0</v>
      </c>
      <c r="AA280" s="335">
        <v>0</v>
      </c>
      <c r="AB280" s="335">
        <v>0</v>
      </c>
      <c r="AC280" s="335">
        <v>0</v>
      </c>
      <c r="AD280" s="335">
        <v>0</v>
      </c>
      <c r="AE280" s="335">
        <v>0</v>
      </c>
      <c r="AF280" s="335">
        <v>0</v>
      </c>
      <c r="AG280" s="335">
        <v>0</v>
      </c>
      <c r="AH280" s="335">
        <v>0</v>
      </c>
      <c r="AI280" s="335">
        <v>0</v>
      </c>
      <c r="AJ280" s="335">
        <v>0</v>
      </c>
      <c r="AK280" s="335">
        <v>0</v>
      </c>
      <c r="AL280" s="335">
        <v>0</v>
      </c>
      <c r="AM280" s="335">
        <v>0</v>
      </c>
      <c r="AN280" s="335">
        <v>0</v>
      </c>
      <c r="AO280" s="335">
        <v>0</v>
      </c>
      <c r="AP280" s="335">
        <v>0</v>
      </c>
      <c r="AQ280" s="335">
        <v>0</v>
      </c>
      <c r="AR280" s="335">
        <v>0</v>
      </c>
      <c r="AS280" s="335">
        <v>0</v>
      </c>
      <c r="AT280" s="335">
        <v>0</v>
      </c>
      <c r="AU280" s="335">
        <v>0</v>
      </c>
      <c r="AV280" s="335">
        <v>0</v>
      </c>
      <c r="AW280" s="335">
        <v>0</v>
      </c>
      <c r="AX280" s="335">
        <v>0</v>
      </c>
      <c r="AY280" s="335">
        <v>0</v>
      </c>
      <c r="AZ280" s="335">
        <v>0</v>
      </c>
      <c r="BA280" s="335">
        <v>0</v>
      </c>
      <c r="BB280" s="335">
        <v>0</v>
      </c>
      <c r="BC280" s="335">
        <v>0</v>
      </c>
      <c r="BD280" s="335">
        <v>0</v>
      </c>
      <c r="BE280" s="335">
        <v>0</v>
      </c>
      <c r="BF280" s="335">
        <v>0</v>
      </c>
      <c r="BG280" s="335">
        <v>0</v>
      </c>
      <c r="BH280" s="335">
        <v>0</v>
      </c>
      <c r="BI280" s="335">
        <v>0</v>
      </c>
      <c r="BJ280" s="335">
        <v>0</v>
      </c>
      <c r="BK280" s="335">
        <v>0</v>
      </c>
      <c r="BL280" s="335">
        <v>0</v>
      </c>
      <c r="BM280" s="335">
        <v>0</v>
      </c>
      <c r="BN280" s="335">
        <v>0</v>
      </c>
      <c r="BO280" s="335">
        <v>0</v>
      </c>
      <c r="BP280" s="335">
        <v>0</v>
      </c>
      <c r="BQ280" s="335">
        <v>0</v>
      </c>
      <c r="BR280" s="335">
        <v>0</v>
      </c>
      <c r="BS280" s="335">
        <v>0</v>
      </c>
      <c r="BT280" s="335">
        <v>0</v>
      </c>
      <c r="BU280" s="335">
        <v>0</v>
      </c>
      <c r="BV280" s="335">
        <v>0</v>
      </c>
      <c r="BW280" s="335">
        <v>0</v>
      </c>
      <c r="BX280" s="335">
        <v>0</v>
      </c>
    </row>
    <row r="281" spans="2:76" hidden="1" outlineLevel="1">
      <c r="B281" s="348">
        <v>2022</v>
      </c>
      <c r="C281" s="348" t="s">
        <v>241</v>
      </c>
      <c r="D281" s="348" t="s">
        <v>245</v>
      </c>
      <c r="E281" s="348" t="s">
        <v>18</v>
      </c>
      <c r="F281" s="331"/>
      <c r="G281" s="331"/>
      <c r="H281" s="335">
        <v>0</v>
      </c>
      <c r="I281" s="335">
        <v>0</v>
      </c>
      <c r="J281" s="335">
        <v>0</v>
      </c>
      <c r="K281" s="335">
        <v>0</v>
      </c>
      <c r="L281" s="335">
        <v>0</v>
      </c>
      <c r="M281" s="335">
        <v>0</v>
      </c>
      <c r="N281" s="335">
        <v>0</v>
      </c>
      <c r="O281" s="335">
        <v>0</v>
      </c>
      <c r="P281" s="335">
        <v>0</v>
      </c>
      <c r="Q281" s="335">
        <v>0</v>
      </c>
      <c r="R281" s="335">
        <v>0</v>
      </c>
      <c r="S281" s="335">
        <v>0</v>
      </c>
      <c r="T281" s="335">
        <v>0</v>
      </c>
      <c r="U281" s="335">
        <v>0</v>
      </c>
      <c r="V281" s="335">
        <v>0</v>
      </c>
      <c r="W281" s="335">
        <v>0</v>
      </c>
      <c r="X281" s="335">
        <v>0</v>
      </c>
      <c r="Y281" s="335">
        <v>0</v>
      </c>
      <c r="Z281" s="335">
        <v>0</v>
      </c>
      <c r="AA281" s="335">
        <v>0</v>
      </c>
      <c r="AB281" s="335">
        <v>0</v>
      </c>
      <c r="AC281" s="335">
        <v>0</v>
      </c>
      <c r="AD281" s="335">
        <v>0</v>
      </c>
      <c r="AE281" s="335">
        <v>0</v>
      </c>
      <c r="AF281" s="335">
        <v>0</v>
      </c>
      <c r="AG281" s="335">
        <v>0</v>
      </c>
      <c r="AH281" s="335">
        <v>0</v>
      </c>
      <c r="AI281" s="335">
        <v>0</v>
      </c>
      <c r="AJ281" s="335">
        <v>0</v>
      </c>
      <c r="AK281" s="335">
        <v>0</v>
      </c>
      <c r="AL281" s="335">
        <v>0</v>
      </c>
      <c r="AM281" s="335">
        <v>0</v>
      </c>
      <c r="AN281" s="335">
        <v>0</v>
      </c>
      <c r="AO281" s="335">
        <v>0</v>
      </c>
      <c r="AP281" s="335">
        <v>0</v>
      </c>
      <c r="AQ281" s="335">
        <v>0</v>
      </c>
      <c r="AR281" s="335">
        <v>0</v>
      </c>
      <c r="AS281" s="335">
        <v>0</v>
      </c>
      <c r="AT281" s="335">
        <v>0</v>
      </c>
      <c r="AU281" s="335">
        <v>0</v>
      </c>
      <c r="AV281" s="335">
        <v>0</v>
      </c>
      <c r="AW281" s="335">
        <v>0</v>
      </c>
      <c r="AX281" s="335">
        <v>0</v>
      </c>
      <c r="AY281" s="335">
        <v>0</v>
      </c>
      <c r="AZ281" s="335">
        <v>0</v>
      </c>
      <c r="BA281" s="335">
        <v>0</v>
      </c>
      <c r="BB281" s="335">
        <v>0</v>
      </c>
      <c r="BC281" s="335">
        <v>0</v>
      </c>
      <c r="BD281" s="335">
        <v>0</v>
      </c>
      <c r="BE281" s="335">
        <v>0</v>
      </c>
      <c r="BF281" s="335">
        <v>0</v>
      </c>
      <c r="BG281" s="335">
        <v>0</v>
      </c>
      <c r="BH281" s="335">
        <v>0</v>
      </c>
      <c r="BI281" s="335">
        <v>0</v>
      </c>
      <c r="BJ281" s="335">
        <v>0</v>
      </c>
      <c r="BK281" s="335">
        <v>0</v>
      </c>
      <c r="BL281" s="335">
        <v>0</v>
      </c>
      <c r="BM281" s="335">
        <v>0</v>
      </c>
      <c r="BN281" s="335">
        <v>0</v>
      </c>
      <c r="BO281" s="335">
        <v>0</v>
      </c>
      <c r="BP281" s="335">
        <v>0</v>
      </c>
      <c r="BQ281" s="335">
        <v>0</v>
      </c>
      <c r="BR281" s="335">
        <v>0</v>
      </c>
      <c r="BS281" s="335">
        <v>0</v>
      </c>
      <c r="BT281" s="335">
        <v>0</v>
      </c>
      <c r="BU281" s="335">
        <v>0</v>
      </c>
      <c r="BV281" s="335">
        <v>0</v>
      </c>
      <c r="BW281" s="335">
        <v>0</v>
      </c>
      <c r="BX281" s="335">
        <v>0</v>
      </c>
    </row>
    <row r="282" spans="2:76" hidden="1" outlineLevel="1">
      <c r="B282" s="348">
        <v>2022</v>
      </c>
      <c r="C282" s="348" t="s">
        <v>241</v>
      </c>
      <c r="D282" s="348" t="s">
        <v>245</v>
      </c>
      <c r="E282" s="348" t="s">
        <v>22</v>
      </c>
      <c r="F282" s="331"/>
      <c r="G282" s="331"/>
      <c r="H282" s="335">
        <v>0</v>
      </c>
      <c r="I282" s="335">
        <v>0</v>
      </c>
      <c r="J282" s="335">
        <v>0</v>
      </c>
      <c r="K282" s="335">
        <v>0</v>
      </c>
      <c r="L282" s="335">
        <v>0</v>
      </c>
      <c r="M282" s="335">
        <v>0</v>
      </c>
      <c r="N282" s="335">
        <v>0</v>
      </c>
      <c r="O282" s="335">
        <v>0</v>
      </c>
      <c r="P282" s="335">
        <v>0</v>
      </c>
      <c r="Q282" s="335">
        <v>0</v>
      </c>
      <c r="R282" s="335">
        <v>0</v>
      </c>
      <c r="S282" s="335">
        <v>0</v>
      </c>
      <c r="T282" s="335">
        <v>0</v>
      </c>
      <c r="U282" s="335">
        <v>0</v>
      </c>
      <c r="V282" s="335">
        <v>0</v>
      </c>
      <c r="W282" s="335">
        <v>0</v>
      </c>
      <c r="X282" s="335">
        <v>0</v>
      </c>
      <c r="Y282" s="335">
        <v>0</v>
      </c>
      <c r="Z282" s="335">
        <v>0</v>
      </c>
      <c r="AA282" s="335">
        <v>0</v>
      </c>
      <c r="AB282" s="335">
        <v>0</v>
      </c>
      <c r="AC282" s="335">
        <v>0</v>
      </c>
      <c r="AD282" s="335">
        <v>0</v>
      </c>
      <c r="AE282" s="335">
        <v>0</v>
      </c>
      <c r="AF282" s="335">
        <v>0</v>
      </c>
      <c r="AG282" s="335">
        <v>0</v>
      </c>
      <c r="AH282" s="335">
        <v>0</v>
      </c>
      <c r="AI282" s="335">
        <v>0</v>
      </c>
      <c r="AJ282" s="335">
        <v>0</v>
      </c>
      <c r="AK282" s="335">
        <v>0</v>
      </c>
      <c r="AL282" s="335">
        <v>0</v>
      </c>
      <c r="AM282" s="335">
        <v>0</v>
      </c>
      <c r="AN282" s="335">
        <v>0</v>
      </c>
      <c r="AO282" s="335">
        <v>0</v>
      </c>
      <c r="AP282" s="335">
        <v>0</v>
      </c>
      <c r="AQ282" s="335">
        <v>0</v>
      </c>
      <c r="AR282" s="335">
        <v>0</v>
      </c>
      <c r="AS282" s="335">
        <v>0</v>
      </c>
      <c r="AT282" s="335">
        <v>0</v>
      </c>
      <c r="AU282" s="335">
        <v>0</v>
      </c>
      <c r="AV282" s="335">
        <v>0</v>
      </c>
      <c r="AW282" s="335">
        <v>0</v>
      </c>
      <c r="AX282" s="335">
        <v>0</v>
      </c>
      <c r="AY282" s="335">
        <v>0</v>
      </c>
      <c r="AZ282" s="335">
        <v>0</v>
      </c>
      <c r="BA282" s="335">
        <v>0</v>
      </c>
      <c r="BB282" s="335">
        <v>0</v>
      </c>
      <c r="BC282" s="335">
        <v>0</v>
      </c>
      <c r="BD282" s="335">
        <v>0</v>
      </c>
      <c r="BE282" s="335">
        <v>0</v>
      </c>
      <c r="BF282" s="335">
        <v>0</v>
      </c>
      <c r="BG282" s="335">
        <v>0</v>
      </c>
      <c r="BH282" s="335">
        <v>0</v>
      </c>
      <c r="BI282" s="335">
        <v>0</v>
      </c>
      <c r="BJ282" s="335">
        <v>0</v>
      </c>
      <c r="BK282" s="335">
        <v>0</v>
      </c>
      <c r="BL282" s="335">
        <v>0</v>
      </c>
      <c r="BM282" s="335">
        <v>0</v>
      </c>
      <c r="BN282" s="335">
        <v>0</v>
      </c>
      <c r="BO282" s="335">
        <v>0</v>
      </c>
      <c r="BP282" s="335">
        <v>0</v>
      </c>
      <c r="BQ282" s="335">
        <v>0</v>
      </c>
      <c r="BR282" s="335">
        <v>0</v>
      </c>
      <c r="BS282" s="335">
        <v>0</v>
      </c>
      <c r="BT282" s="335">
        <v>0</v>
      </c>
      <c r="BU282" s="335">
        <v>0</v>
      </c>
      <c r="BV282" s="335">
        <v>0</v>
      </c>
      <c r="BW282" s="335">
        <v>0</v>
      </c>
      <c r="BX282" s="335">
        <v>0</v>
      </c>
    </row>
    <row r="283" spans="2:76" hidden="1" outlineLevel="1">
      <c r="B283" s="348">
        <v>2022</v>
      </c>
      <c r="C283" s="348" t="s">
        <v>241</v>
      </c>
      <c r="D283" s="348" t="s">
        <v>245</v>
      </c>
      <c r="E283" s="348" t="s">
        <v>23</v>
      </c>
      <c r="F283" s="331"/>
      <c r="G283" s="331"/>
      <c r="H283" s="335">
        <v>0</v>
      </c>
      <c r="I283" s="335">
        <v>0</v>
      </c>
      <c r="J283" s="335">
        <v>0</v>
      </c>
      <c r="K283" s="335">
        <v>0</v>
      </c>
      <c r="L283" s="335">
        <v>0</v>
      </c>
      <c r="M283" s="335">
        <v>0</v>
      </c>
      <c r="N283" s="335">
        <v>0</v>
      </c>
      <c r="O283" s="335">
        <v>0</v>
      </c>
      <c r="P283" s="335">
        <v>0</v>
      </c>
      <c r="Q283" s="335">
        <v>0</v>
      </c>
      <c r="R283" s="335">
        <v>0</v>
      </c>
      <c r="S283" s="335">
        <v>0</v>
      </c>
      <c r="T283" s="335">
        <v>0</v>
      </c>
      <c r="U283" s="335">
        <v>0</v>
      </c>
      <c r="V283" s="335">
        <v>0</v>
      </c>
      <c r="W283" s="335">
        <v>0</v>
      </c>
      <c r="X283" s="335">
        <v>0</v>
      </c>
      <c r="Y283" s="335">
        <v>0</v>
      </c>
      <c r="Z283" s="335">
        <v>0</v>
      </c>
      <c r="AA283" s="335">
        <v>0</v>
      </c>
      <c r="AB283" s="335">
        <v>0</v>
      </c>
      <c r="AC283" s="335">
        <v>0</v>
      </c>
      <c r="AD283" s="335">
        <v>0</v>
      </c>
      <c r="AE283" s="335">
        <v>0</v>
      </c>
      <c r="AF283" s="335">
        <v>0</v>
      </c>
      <c r="AG283" s="335">
        <v>0</v>
      </c>
      <c r="AH283" s="335">
        <v>0</v>
      </c>
      <c r="AI283" s="335">
        <v>0</v>
      </c>
      <c r="AJ283" s="335">
        <v>0</v>
      </c>
      <c r="AK283" s="335">
        <v>0</v>
      </c>
      <c r="AL283" s="335">
        <v>0</v>
      </c>
      <c r="AM283" s="335">
        <v>0</v>
      </c>
      <c r="AN283" s="335">
        <v>0</v>
      </c>
      <c r="AO283" s="335">
        <v>0</v>
      </c>
      <c r="AP283" s="335">
        <v>0</v>
      </c>
      <c r="AQ283" s="335">
        <v>0</v>
      </c>
      <c r="AR283" s="335">
        <v>0</v>
      </c>
      <c r="AS283" s="335">
        <v>0</v>
      </c>
      <c r="AT283" s="335">
        <v>0</v>
      </c>
      <c r="AU283" s="335">
        <v>0</v>
      </c>
      <c r="AV283" s="335">
        <v>0</v>
      </c>
      <c r="AW283" s="335">
        <v>0</v>
      </c>
      <c r="AX283" s="335">
        <v>0</v>
      </c>
      <c r="AY283" s="335">
        <v>0</v>
      </c>
      <c r="AZ283" s="335">
        <v>0</v>
      </c>
      <c r="BA283" s="335">
        <v>0</v>
      </c>
      <c r="BB283" s="335">
        <v>0</v>
      </c>
      <c r="BC283" s="335">
        <v>0</v>
      </c>
      <c r="BD283" s="335">
        <v>0</v>
      </c>
      <c r="BE283" s="335">
        <v>0</v>
      </c>
      <c r="BF283" s="335">
        <v>0</v>
      </c>
      <c r="BG283" s="335">
        <v>0</v>
      </c>
      <c r="BH283" s="335">
        <v>0</v>
      </c>
      <c r="BI283" s="335">
        <v>0</v>
      </c>
      <c r="BJ283" s="335">
        <v>0</v>
      </c>
      <c r="BK283" s="335">
        <v>0</v>
      </c>
      <c r="BL283" s="335">
        <v>0</v>
      </c>
      <c r="BM283" s="335">
        <v>0</v>
      </c>
      <c r="BN283" s="335">
        <v>0</v>
      </c>
      <c r="BO283" s="335">
        <v>0</v>
      </c>
      <c r="BP283" s="335">
        <v>0</v>
      </c>
      <c r="BQ283" s="335">
        <v>0</v>
      </c>
      <c r="BR283" s="335">
        <v>0</v>
      </c>
      <c r="BS283" s="335">
        <v>0</v>
      </c>
      <c r="BT283" s="335">
        <v>0</v>
      </c>
      <c r="BU283" s="335">
        <v>0</v>
      </c>
      <c r="BV283" s="335">
        <v>0</v>
      </c>
      <c r="BW283" s="335">
        <v>0</v>
      </c>
      <c r="BX283" s="335">
        <v>0</v>
      </c>
    </row>
    <row r="284" spans="2:76" hidden="1" outlineLevel="1">
      <c r="B284" s="348">
        <v>2022</v>
      </c>
      <c r="C284" s="348" t="s">
        <v>241</v>
      </c>
      <c r="D284" s="348" t="s">
        <v>245</v>
      </c>
      <c r="E284" s="348" t="s">
        <v>24</v>
      </c>
      <c r="F284" s="331"/>
      <c r="G284" s="331"/>
      <c r="H284" s="335">
        <v>0</v>
      </c>
      <c r="I284" s="335">
        <v>0</v>
      </c>
      <c r="J284" s="335">
        <v>0</v>
      </c>
      <c r="K284" s="335">
        <v>0</v>
      </c>
      <c r="L284" s="335">
        <v>0</v>
      </c>
      <c r="M284" s="335">
        <v>0</v>
      </c>
      <c r="N284" s="335">
        <v>0</v>
      </c>
      <c r="O284" s="335">
        <v>0</v>
      </c>
      <c r="P284" s="335">
        <v>0</v>
      </c>
      <c r="Q284" s="335">
        <v>0</v>
      </c>
      <c r="R284" s="335">
        <v>0</v>
      </c>
      <c r="S284" s="335">
        <v>0</v>
      </c>
      <c r="T284" s="335">
        <v>0</v>
      </c>
      <c r="U284" s="335">
        <v>0</v>
      </c>
      <c r="V284" s="335">
        <v>0</v>
      </c>
      <c r="W284" s="335">
        <v>0</v>
      </c>
      <c r="X284" s="335">
        <v>0</v>
      </c>
      <c r="Y284" s="335">
        <v>0</v>
      </c>
      <c r="Z284" s="335">
        <v>0</v>
      </c>
      <c r="AA284" s="335">
        <v>0</v>
      </c>
      <c r="AB284" s="335">
        <v>0</v>
      </c>
      <c r="AC284" s="335">
        <v>0</v>
      </c>
      <c r="AD284" s="335">
        <v>0</v>
      </c>
      <c r="AE284" s="335">
        <v>0</v>
      </c>
      <c r="AF284" s="335">
        <v>0</v>
      </c>
      <c r="AG284" s="335">
        <v>0</v>
      </c>
      <c r="AH284" s="335">
        <v>0</v>
      </c>
      <c r="AI284" s="335">
        <v>0</v>
      </c>
      <c r="AJ284" s="335">
        <v>0</v>
      </c>
      <c r="AK284" s="335">
        <v>0</v>
      </c>
      <c r="AL284" s="335">
        <v>0</v>
      </c>
      <c r="AM284" s="335">
        <v>0</v>
      </c>
      <c r="AN284" s="335">
        <v>0</v>
      </c>
      <c r="AO284" s="335">
        <v>0</v>
      </c>
      <c r="AP284" s="335">
        <v>0</v>
      </c>
      <c r="AQ284" s="335">
        <v>0</v>
      </c>
      <c r="AR284" s="335">
        <v>0</v>
      </c>
      <c r="AS284" s="335">
        <v>0</v>
      </c>
      <c r="AT284" s="335">
        <v>0</v>
      </c>
      <c r="AU284" s="335">
        <v>0</v>
      </c>
      <c r="AV284" s="335">
        <v>0</v>
      </c>
      <c r="AW284" s="335">
        <v>0</v>
      </c>
      <c r="AX284" s="335">
        <v>0</v>
      </c>
      <c r="AY284" s="335">
        <v>0</v>
      </c>
      <c r="AZ284" s="335">
        <v>0</v>
      </c>
      <c r="BA284" s="335">
        <v>0</v>
      </c>
      <c r="BB284" s="335">
        <v>0</v>
      </c>
      <c r="BC284" s="335">
        <v>0</v>
      </c>
      <c r="BD284" s="335">
        <v>0</v>
      </c>
      <c r="BE284" s="335">
        <v>0</v>
      </c>
      <c r="BF284" s="335">
        <v>0</v>
      </c>
      <c r="BG284" s="335">
        <v>0</v>
      </c>
      <c r="BH284" s="335">
        <v>0</v>
      </c>
      <c r="BI284" s="335">
        <v>0</v>
      </c>
      <c r="BJ284" s="335">
        <v>0</v>
      </c>
      <c r="BK284" s="335">
        <v>0</v>
      </c>
      <c r="BL284" s="335">
        <v>0</v>
      </c>
      <c r="BM284" s="335">
        <v>0</v>
      </c>
      <c r="BN284" s="335">
        <v>0</v>
      </c>
      <c r="BO284" s="335">
        <v>0</v>
      </c>
      <c r="BP284" s="335">
        <v>0</v>
      </c>
      <c r="BQ284" s="335">
        <v>0</v>
      </c>
      <c r="BR284" s="335">
        <v>0</v>
      </c>
      <c r="BS284" s="335">
        <v>0</v>
      </c>
      <c r="BT284" s="335">
        <v>0</v>
      </c>
      <c r="BU284" s="335">
        <v>0</v>
      </c>
      <c r="BV284" s="335">
        <v>0</v>
      </c>
      <c r="BW284" s="335">
        <v>0</v>
      </c>
      <c r="BX284" s="335">
        <v>0</v>
      </c>
    </row>
    <row r="285" spans="2:76" hidden="1" outlineLevel="1">
      <c r="B285" s="348">
        <v>2022</v>
      </c>
      <c r="C285" s="348" t="s">
        <v>241</v>
      </c>
      <c r="D285" s="348" t="s">
        <v>245</v>
      </c>
      <c r="E285" s="348" t="s">
        <v>25</v>
      </c>
      <c r="F285" s="331"/>
      <c r="G285" s="331"/>
      <c r="H285" s="335">
        <v>0</v>
      </c>
      <c r="I285" s="335">
        <v>0</v>
      </c>
      <c r="J285" s="335">
        <v>0</v>
      </c>
      <c r="K285" s="335">
        <v>0</v>
      </c>
      <c r="L285" s="335">
        <v>0</v>
      </c>
      <c r="M285" s="335">
        <v>0</v>
      </c>
      <c r="N285" s="335">
        <v>0</v>
      </c>
      <c r="O285" s="335">
        <v>0</v>
      </c>
      <c r="P285" s="335">
        <v>0</v>
      </c>
      <c r="Q285" s="335">
        <v>0</v>
      </c>
      <c r="R285" s="335">
        <v>0</v>
      </c>
      <c r="S285" s="335">
        <v>0</v>
      </c>
      <c r="T285" s="335">
        <v>0</v>
      </c>
      <c r="U285" s="335">
        <v>0</v>
      </c>
      <c r="V285" s="335">
        <v>0</v>
      </c>
      <c r="W285" s="335">
        <v>0</v>
      </c>
      <c r="X285" s="335">
        <v>0</v>
      </c>
      <c r="Y285" s="335">
        <v>0</v>
      </c>
      <c r="Z285" s="335">
        <v>0</v>
      </c>
      <c r="AA285" s="335">
        <v>0</v>
      </c>
      <c r="AB285" s="335">
        <v>0</v>
      </c>
      <c r="AC285" s="335">
        <v>0</v>
      </c>
      <c r="AD285" s="335">
        <v>0</v>
      </c>
      <c r="AE285" s="335">
        <v>0</v>
      </c>
      <c r="AF285" s="335">
        <v>0</v>
      </c>
      <c r="AG285" s="335">
        <v>0</v>
      </c>
      <c r="AH285" s="335">
        <v>0</v>
      </c>
      <c r="AI285" s="335">
        <v>0</v>
      </c>
      <c r="AJ285" s="335">
        <v>0</v>
      </c>
      <c r="AK285" s="335">
        <v>0</v>
      </c>
      <c r="AL285" s="335">
        <v>0</v>
      </c>
      <c r="AM285" s="335">
        <v>0</v>
      </c>
      <c r="AN285" s="335">
        <v>0</v>
      </c>
      <c r="AO285" s="335">
        <v>0</v>
      </c>
      <c r="AP285" s="335">
        <v>0</v>
      </c>
      <c r="AQ285" s="335">
        <v>0</v>
      </c>
      <c r="AR285" s="335">
        <v>0</v>
      </c>
      <c r="AS285" s="335">
        <v>0</v>
      </c>
      <c r="AT285" s="335">
        <v>0</v>
      </c>
      <c r="AU285" s="335">
        <v>0</v>
      </c>
      <c r="AV285" s="335">
        <v>0</v>
      </c>
      <c r="AW285" s="335">
        <v>0</v>
      </c>
      <c r="AX285" s="335">
        <v>0</v>
      </c>
      <c r="AY285" s="335">
        <v>0</v>
      </c>
      <c r="AZ285" s="335">
        <v>0</v>
      </c>
      <c r="BA285" s="335">
        <v>0</v>
      </c>
      <c r="BB285" s="335">
        <v>0</v>
      </c>
      <c r="BC285" s="335">
        <v>0</v>
      </c>
      <c r="BD285" s="335">
        <v>0</v>
      </c>
      <c r="BE285" s="335">
        <v>0</v>
      </c>
      <c r="BF285" s="335">
        <v>0</v>
      </c>
      <c r="BG285" s="335">
        <v>0</v>
      </c>
      <c r="BH285" s="335">
        <v>0</v>
      </c>
      <c r="BI285" s="335">
        <v>0</v>
      </c>
      <c r="BJ285" s="335">
        <v>0</v>
      </c>
      <c r="BK285" s="335">
        <v>0</v>
      </c>
      <c r="BL285" s="335">
        <v>0</v>
      </c>
      <c r="BM285" s="335">
        <v>0</v>
      </c>
      <c r="BN285" s="335">
        <v>0</v>
      </c>
      <c r="BO285" s="335">
        <v>0</v>
      </c>
      <c r="BP285" s="335">
        <v>0</v>
      </c>
      <c r="BQ285" s="335">
        <v>0</v>
      </c>
      <c r="BR285" s="335">
        <v>0</v>
      </c>
      <c r="BS285" s="335">
        <v>0</v>
      </c>
      <c r="BT285" s="335">
        <v>0</v>
      </c>
      <c r="BU285" s="335">
        <v>0</v>
      </c>
      <c r="BV285" s="335">
        <v>0</v>
      </c>
      <c r="BW285" s="335">
        <v>0</v>
      </c>
      <c r="BX285" s="335">
        <v>0</v>
      </c>
    </row>
    <row r="286" spans="2:76" hidden="1" outlineLevel="1">
      <c r="B286" s="349">
        <v>2022</v>
      </c>
      <c r="C286" s="349" t="s">
        <v>241</v>
      </c>
      <c r="D286" s="349" t="s">
        <v>245</v>
      </c>
      <c r="E286" s="349" t="s">
        <v>26</v>
      </c>
      <c r="F286" s="331"/>
      <c r="G286" s="331"/>
      <c r="H286" s="335">
        <v>26</v>
      </c>
      <c r="I286" s="335">
        <v>26</v>
      </c>
      <c r="J286" s="335">
        <v>26</v>
      </c>
      <c r="K286" s="335">
        <v>26</v>
      </c>
      <c r="L286" s="335">
        <v>26</v>
      </c>
      <c r="M286" s="335">
        <v>26</v>
      </c>
      <c r="N286" s="335">
        <v>26</v>
      </c>
      <c r="O286" s="335">
        <v>26</v>
      </c>
      <c r="P286" s="335">
        <v>26</v>
      </c>
      <c r="Q286" s="335">
        <v>26</v>
      </c>
      <c r="R286" s="335">
        <v>26</v>
      </c>
      <c r="S286" s="335">
        <v>26</v>
      </c>
      <c r="T286" s="335">
        <v>26</v>
      </c>
      <c r="U286" s="335">
        <v>26</v>
      </c>
      <c r="V286" s="335">
        <v>26</v>
      </c>
      <c r="W286" s="335">
        <v>26</v>
      </c>
      <c r="X286" s="335">
        <v>26</v>
      </c>
      <c r="Y286" s="335">
        <v>26</v>
      </c>
      <c r="Z286" s="335">
        <v>26</v>
      </c>
      <c r="AA286" s="335">
        <v>26</v>
      </c>
      <c r="AB286" s="335">
        <v>26</v>
      </c>
      <c r="AC286" s="335">
        <v>26</v>
      </c>
      <c r="AD286" s="335">
        <v>26</v>
      </c>
      <c r="AE286" s="335">
        <v>26</v>
      </c>
      <c r="AF286" s="335">
        <v>26</v>
      </c>
      <c r="AG286" s="335">
        <v>26</v>
      </c>
      <c r="AH286" s="335">
        <v>26</v>
      </c>
      <c r="AI286" s="335">
        <v>26</v>
      </c>
      <c r="AJ286" s="335">
        <v>26</v>
      </c>
      <c r="AK286" s="335">
        <v>26</v>
      </c>
      <c r="AL286" s="335">
        <v>26</v>
      </c>
      <c r="AM286" s="335">
        <v>26</v>
      </c>
      <c r="AN286" s="335">
        <v>26</v>
      </c>
      <c r="AO286" s="335">
        <v>26</v>
      </c>
      <c r="AP286" s="335">
        <v>26</v>
      </c>
      <c r="AQ286" s="335">
        <v>26</v>
      </c>
      <c r="AR286" s="335">
        <v>26</v>
      </c>
      <c r="AS286" s="335">
        <v>26</v>
      </c>
      <c r="AT286" s="335">
        <v>26</v>
      </c>
      <c r="AU286" s="335">
        <v>26</v>
      </c>
      <c r="AV286" s="335">
        <v>26</v>
      </c>
      <c r="AW286" s="335">
        <v>26</v>
      </c>
      <c r="AX286" s="335">
        <v>26</v>
      </c>
      <c r="AY286" s="335">
        <v>26</v>
      </c>
      <c r="AZ286" s="335">
        <v>26</v>
      </c>
      <c r="BA286" s="335">
        <v>26</v>
      </c>
      <c r="BB286" s="335">
        <v>26</v>
      </c>
      <c r="BC286" s="335">
        <v>26</v>
      </c>
      <c r="BD286" s="335">
        <v>26</v>
      </c>
      <c r="BE286" s="335">
        <v>26</v>
      </c>
      <c r="BF286" s="335">
        <v>26</v>
      </c>
      <c r="BG286" s="335">
        <v>26</v>
      </c>
      <c r="BH286" s="335">
        <v>26</v>
      </c>
      <c r="BI286" s="335">
        <v>26</v>
      </c>
      <c r="BJ286" s="335">
        <v>26</v>
      </c>
      <c r="BK286" s="335">
        <v>26</v>
      </c>
      <c r="BL286" s="335">
        <v>26</v>
      </c>
      <c r="BM286" s="335">
        <v>26</v>
      </c>
      <c r="BN286" s="335">
        <v>26</v>
      </c>
      <c r="BO286" s="335">
        <v>26</v>
      </c>
      <c r="BP286" s="335">
        <v>26</v>
      </c>
      <c r="BQ286" s="335">
        <v>26</v>
      </c>
      <c r="BR286" s="335">
        <v>26</v>
      </c>
      <c r="BS286" s="335">
        <v>26</v>
      </c>
      <c r="BT286" s="335">
        <v>26</v>
      </c>
      <c r="BU286" s="335">
        <v>26</v>
      </c>
      <c r="BV286" s="335">
        <v>26</v>
      </c>
      <c r="BW286" s="335">
        <v>26</v>
      </c>
      <c r="BX286" s="335">
        <v>26</v>
      </c>
    </row>
    <row r="287" spans="2:76" hidden="1" outlineLevel="1">
      <c r="B287" s="349">
        <v>2022</v>
      </c>
      <c r="C287" s="349" t="s">
        <v>241</v>
      </c>
      <c r="D287" s="349" t="s">
        <v>245</v>
      </c>
      <c r="E287" s="349" t="s">
        <v>27</v>
      </c>
      <c r="F287" s="331"/>
      <c r="G287" s="331"/>
      <c r="H287" s="335">
        <v>0</v>
      </c>
      <c r="I287" s="335">
        <v>0</v>
      </c>
      <c r="J287" s="335">
        <v>0</v>
      </c>
      <c r="K287" s="335">
        <v>0</v>
      </c>
      <c r="L287" s="335">
        <v>0</v>
      </c>
      <c r="M287" s="335">
        <v>0</v>
      </c>
      <c r="N287" s="335">
        <v>0</v>
      </c>
      <c r="O287" s="335">
        <v>0</v>
      </c>
      <c r="P287" s="335">
        <v>0</v>
      </c>
      <c r="Q287" s="335">
        <v>0</v>
      </c>
      <c r="R287" s="335">
        <v>0</v>
      </c>
      <c r="S287" s="335">
        <v>0</v>
      </c>
      <c r="T287" s="335">
        <v>0</v>
      </c>
      <c r="U287" s="335">
        <v>0</v>
      </c>
      <c r="V287" s="335">
        <v>0</v>
      </c>
      <c r="W287" s="335">
        <v>0</v>
      </c>
      <c r="X287" s="335">
        <v>0</v>
      </c>
      <c r="Y287" s="335">
        <v>0</v>
      </c>
      <c r="Z287" s="335">
        <v>0</v>
      </c>
      <c r="AA287" s="335">
        <v>0</v>
      </c>
      <c r="AB287" s="335">
        <v>0</v>
      </c>
      <c r="AC287" s="335">
        <v>0</v>
      </c>
      <c r="AD287" s="335">
        <v>0</v>
      </c>
      <c r="AE287" s="335">
        <v>0</v>
      </c>
      <c r="AF287" s="335">
        <v>0</v>
      </c>
      <c r="AG287" s="335">
        <v>0</v>
      </c>
      <c r="AH287" s="335">
        <v>0</v>
      </c>
      <c r="AI287" s="335">
        <v>0</v>
      </c>
      <c r="AJ287" s="335">
        <v>0</v>
      </c>
      <c r="AK287" s="335">
        <v>0</v>
      </c>
      <c r="AL287" s="335">
        <v>0</v>
      </c>
      <c r="AM287" s="335">
        <v>0</v>
      </c>
      <c r="AN287" s="335">
        <v>0</v>
      </c>
      <c r="AO287" s="335">
        <v>0</v>
      </c>
      <c r="AP287" s="335">
        <v>0</v>
      </c>
      <c r="AQ287" s="335">
        <v>0</v>
      </c>
      <c r="AR287" s="335">
        <v>0</v>
      </c>
      <c r="AS287" s="335">
        <v>0</v>
      </c>
      <c r="AT287" s="335">
        <v>0</v>
      </c>
      <c r="AU287" s="335">
        <v>0</v>
      </c>
      <c r="AV287" s="335">
        <v>0</v>
      </c>
      <c r="AW287" s="335">
        <v>0</v>
      </c>
      <c r="AX287" s="335">
        <v>0</v>
      </c>
      <c r="AY287" s="335">
        <v>0</v>
      </c>
      <c r="AZ287" s="335">
        <v>0</v>
      </c>
      <c r="BA287" s="335">
        <v>0</v>
      </c>
      <c r="BB287" s="335">
        <v>0</v>
      </c>
      <c r="BC287" s="335">
        <v>0</v>
      </c>
      <c r="BD287" s="335">
        <v>0</v>
      </c>
      <c r="BE287" s="335">
        <v>0</v>
      </c>
      <c r="BF287" s="335">
        <v>0</v>
      </c>
      <c r="BG287" s="335">
        <v>0</v>
      </c>
      <c r="BH287" s="335">
        <v>0</v>
      </c>
      <c r="BI287" s="335">
        <v>0</v>
      </c>
      <c r="BJ287" s="335">
        <v>0</v>
      </c>
      <c r="BK287" s="335">
        <v>0</v>
      </c>
      <c r="BL287" s="335">
        <v>0</v>
      </c>
      <c r="BM287" s="335">
        <v>0</v>
      </c>
      <c r="BN287" s="335">
        <v>0</v>
      </c>
      <c r="BO287" s="335">
        <v>0</v>
      </c>
      <c r="BP287" s="335">
        <v>0</v>
      </c>
      <c r="BQ287" s="335">
        <v>0</v>
      </c>
      <c r="BR287" s="335">
        <v>0</v>
      </c>
      <c r="BS287" s="335">
        <v>0</v>
      </c>
      <c r="BT287" s="335">
        <v>0</v>
      </c>
      <c r="BU287" s="335">
        <v>0</v>
      </c>
      <c r="BV287" s="335">
        <v>0</v>
      </c>
      <c r="BW287" s="335">
        <v>0</v>
      </c>
      <c r="BX287" s="335">
        <v>0</v>
      </c>
    </row>
    <row r="288" spans="2:76" hidden="1" outlineLevel="1">
      <c r="B288" s="349">
        <v>2022</v>
      </c>
      <c r="C288" s="349" t="s">
        <v>241</v>
      </c>
      <c r="D288" s="349" t="s">
        <v>245</v>
      </c>
      <c r="E288" s="349" t="s">
        <v>28</v>
      </c>
      <c r="F288" s="331"/>
      <c r="G288" s="331"/>
      <c r="H288" s="335">
        <v>0</v>
      </c>
      <c r="I288" s="335">
        <v>0</v>
      </c>
      <c r="J288" s="335">
        <v>0</v>
      </c>
      <c r="K288" s="335">
        <v>0</v>
      </c>
      <c r="L288" s="335">
        <v>0</v>
      </c>
      <c r="M288" s="335">
        <v>0</v>
      </c>
      <c r="N288" s="335">
        <v>0</v>
      </c>
      <c r="O288" s="335">
        <v>0</v>
      </c>
      <c r="P288" s="335">
        <v>0</v>
      </c>
      <c r="Q288" s="335">
        <v>0</v>
      </c>
      <c r="R288" s="335">
        <v>0</v>
      </c>
      <c r="S288" s="335">
        <v>0</v>
      </c>
      <c r="T288" s="335">
        <v>0</v>
      </c>
      <c r="U288" s="335">
        <v>0</v>
      </c>
      <c r="V288" s="335">
        <v>0</v>
      </c>
      <c r="W288" s="335">
        <v>0</v>
      </c>
      <c r="X288" s="335">
        <v>0</v>
      </c>
      <c r="Y288" s="335">
        <v>0</v>
      </c>
      <c r="Z288" s="335">
        <v>0</v>
      </c>
      <c r="AA288" s="335">
        <v>0</v>
      </c>
      <c r="AB288" s="335">
        <v>0</v>
      </c>
      <c r="AC288" s="335">
        <v>0</v>
      </c>
      <c r="AD288" s="335">
        <v>0</v>
      </c>
      <c r="AE288" s="335">
        <v>0</v>
      </c>
      <c r="AF288" s="335">
        <v>0</v>
      </c>
      <c r="AG288" s="335">
        <v>0</v>
      </c>
      <c r="AH288" s="335">
        <v>0</v>
      </c>
      <c r="AI288" s="335">
        <v>0</v>
      </c>
      <c r="AJ288" s="335">
        <v>0</v>
      </c>
      <c r="AK288" s="335">
        <v>0</v>
      </c>
      <c r="AL288" s="335">
        <v>0</v>
      </c>
      <c r="AM288" s="335">
        <v>0</v>
      </c>
      <c r="AN288" s="335">
        <v>0</v>
      </c>
      <c r="AO288" s="335">
        <v>0</v>
      </c>
      <c r="AP288" s="335">
        <v>0</v>
      </c>
      <c r="AQ288" s="335">
        <v>0</v>
      </c>
      <c r="AR288" s="335">
        <v>0</v>
      </c>
      <c r="AS288" s="335">
        <v>0</v>
      </c>
      <c r="AT288" s="335">
        <v>0</v>
      </c>
      <c r="AU288" s="335">
        <v>0</v>
      </c>
      <c r="AV288" s="335">
        <v>0</v>
      </c>
      <c r="AW288" s="335">
        <v>0</v>
      </c>
      <c r="AX288" s="335">
        <v>0</v>
      </c>
      <c r="AY288" s="335">
        <v>0</v>
      </c>
      <c r="AZ288" s="335">
        <v>0</v>
      </c>
      <c r="BA288" s="335">
        <v>0</v>
      </c>
      <c r="BB288" s="335">
        <v>0</v>
      </c>
      <c r="BC288" s="335">
        <v>0</v>
      </c>
      <c r="BD288" s="335">
        <v>0</v>
      </c>
      <c r="BE288" s="335">
        <v>0</v>
      </c>
      <c r="BF288" s="335">
        <v>0</v>
      </c>
      <c r="BG288" s="335">
        <v>0</v>
      </c>
      <c r="BH288" s="335">
        <v>0</v>
      </c>
      <c r="BI288" s="335">
        <v>0</v>
      </c>
      <c r="BJ288" s="335">
        <v>0</v>
      </c>
      <c r="BK288" s="335">
        <v>0</v>
      </c>
      <c r="BL288" s="335">
        <v>0</v>
      </c>
      <c r="BM288" s="335">
        <v>0</v>
      </c>
      <c r="BN288" s="335">
        <v>0</v>
      </c>
      <c r="BO288" s="335">
        <v>0</v>
      </c>
      <c r="BP288" s="335">
        <v>0</v>
      </c>
      <c r="BQ288" s="335">
        <v>0</v>
      </c>
      <c r="BR288" s="335">
        <v>0</v>
      </c>
      <c r="BS288" s="335">
        <v>0</v>
      </c>
      <c r="BT288" s="335">
        <v>0</v>
      </c>
      <c r="BU288" s="335">
        <v>0</v>
      </c>
      <c r="BV288" s="335">
        <v>0</v>
      </c>
      <c r="BW288" s="335">
        <v>0</v>
      </c>
      <c r="BX288" s="335">
        <v>0</v>
      </c>
    </row>
    <row r="289" spans="2:76" hidden="1" outlineLevel="1">
      <c r="B289" s="350">
        <v>2022</v>
      </c>
      <c r="C289" s="350" t="s">
        <v>241</v>
      </c>
      <c r="D289" s="350" t="s">
        <v>245</v>
      </c>
      <c r="E289" s="350" t="s">
        <v>4</v>
      </c>
      <c r="F289" s="335"/>
      <c r="G289" s="335"/>
      <c r="H289" s="335">
        <v>26</v>
      </c>
      <c r="I289" s="335">
        <v>26</v>
      </c>
      <c r="J289" s="335">
        <v>26</v>
      </c>
      <c r="K289" s="335">
        <v>26</v>
      </c>
      <c r="L289" s="335">
        <v>26</v>
      </c>
      <c r="M289" s="335">
        <v>26</v>
      </c>
      <c r="N289" s="335">
        <v>26</v>
      </c>
      <c r="O289" s="335">
        <v>26</v>
      </c>
      <c r="P289" s="335">
        <v>26</v>
      </c>
      <c r="Q289" s="335">
        <v>26</v>
      </c>
      <c r="R289" s="335">
        <v>26</v>
      </c>
      <c r="S289" s="335">
        <v>26</v>
      </c>
      <c r="T289" s="335">
        <v>26</v>
      </c>
      <c r="U289" s="335">
        <v>26</v>
      </c>
      <c r="V289" s="335">
        <v>26</v>
      </c>
      <c r="W289" s="335">
        <v>26</v>
      </c>
      <c r="X289" s="335">
        <v>26</v>
      </c>
      <c r="Y289" s="335">
        <v>26</v>
      </c>
      <c r="Z289" s="335">
        <v>26</v>
      </c>
      <c r="AA289" s="335">
        <v>26</v>
      </c>
      <c r="AB289" s="335">
        <v>26</v>
      </c>
      <c r="AC289" s="335">
        <v>26</v>
      </c>
      <c r="AD289" s="335">
        <v>26</v>
      </c>
      <c r="AE289" s="335">
        <v>26</v>
      </c>
      <c r="AF289" s="335">
        <v>26</v>
      </c>
      <c r="AG289" s="335">
        <v>26</v>
      </c>
      <c r="AH289" s="335">
        <v>26</v>
      </c>
      <c r="AI289" s="335">
        <v>26</v>
      </c>
      <c r="AJ289" s="335">
        <v>26</v>
      </c>
      <c r="AK289" s="335">
        <v>26</v>
      </c>
      <c r="AL289" s="335">
        <v>26</v>
      </c>
      <c r="AM289" s="335">
        <v>26</v>
      </c>
      <c r="AN289" s="335">
        <v>26</v>
      </c>
      <c r="AO289" s="335">
        <v>26</v>
      </c>
      <c r="AP289" s="335">
        <v>26</v>
      </c>
      <c r="AQ289" s="335">
        <v>26</v>
      </c>
      <c r="AR289" s="335">
        <v>26</v>
      </c>
      <c r="AS289" s="335">
        <v>26</v>
      </c>
      <c r="AT289" s="335">
        <v>26</v>
      </c>
      <c r="AU289" s="335">
        <v>26</v>
      </c>
      <c r="AV289" s="335">
        <v>26</v>
      </c>
      <c r="AW289" s="335">
        <v>26</v>
      </c>
      <c r="AX289" s="335">
        <v>26</v>
      </c>
      <c r="AY289" s="335">
        <v>26</v>
      </c>
      <c r="AZ289" s="335">
        <v>26</v>
      </c>
      <c r="BA289" s="335">
        <v>26</v>
      </c>
      <c r="BB289" s="335">
        <v>26</v>
      </c>
      <c r="BC289" s="335">
        <v>26</v>
      </c>
      <c r="BD289" s="335">
        <v>26</v>
      </c>
      <c r="BE289" s="335">
        <v>26</v>
      </c>
      <c r="BF289" s="335">
        <v>26</v>
      </c>
      <c r="BG289" s="335">
        <v>26</v>
      </c>
      <c r="BH289" s="335">
        <v>26</v>
      </c>
      <c r="BI289" s="335">
        <v>26</v>
      </c>
      <c r="BJ289" s="335">
        <v>26</v>
      </c>
      <c r="BK289" s="335">
        <v>26</v>
      </c>
      <c r="BL289" s="335">
        <v>26</v>
      </c>
      <c r="BM289" s="335">
        <v>26</v>
      </c>
      <c r="BN289" s="335">
        <v>26</v>
      </c>
      <c r="BO289" s="335">
        <v>26</v>
      </c>
      <c r="BP289" s="335">
        <v>26</v>
      </c>
      <c r="BQ289" s="335">
        <v>26</v>
      </c>
      <c r="BR289" s="335">
        <v>26</v>
      </c>
      <c r="BS289" s="335">
        <v>26</v>
      </c>
      <c r="BT289" s="335">
        <v>26</v>
      </c>
      <c r="BU289" s="335">
        <v>26</v>
      </c>
      <c r="BV289" s="335">
        <v>26</v>
      </c>
      <c r="BW289" s="335">
        <v>26</v>
      </c>
      <c r="BX289" s="335">
        <v>26</v>
      </c>
    </row>
    <row r="290" spans="2:76" hidden="1" outlineLevel="1">
      <c r="B290" s="350">
        <v>2022</v>
      </c>
      <c r="C290" s="350" t="s">
        <v>241</v>
      </c>
      <c r="D290" s="350" t="s">
        <v>245</v>
      </c>
      <c r="E290" s="350" t="s">
        <v>5</v>
      </c>
      <c r="F290" s="335"/>
      <c r="G290" s="335"/>
      <c r="H290" s="335">
        <v>26</v>
      </c>
      <c r="I290" s="335">
        <v>26</v>
      </c>
      <c r="J290" s="335">
        <v>26</v>
      </c>
      <c r="K290" s="335">
        <v>26</v>
      </c>
      <c r="L290" s="335">
        <v>26</v>
      </c>
      <c r="M290" s="335">
        <v>26</v>
      </c>
      <c r="N290" s="335">
        <v>26</v>
      </c>
      <c r="O290" s="335">
        <v>26</v>
      </c>
      <c r="P290" s="335">
        <v>26</v>
      </c>
      <c r="Q290" s="335">
        <v>26</v>
      </c>
      <c r="R290" s="335">
        <v>26</v>
      </c>
      <c r="S290" s="335">
        <v>26</v>
      </c>
      <c r="T290" s="335">
        <v>26</v>
      </c>
      <c r="U290" s="335">
        <v>26</v>
      </c>
      <c r="V290" s="335">
        <v>26</v>
      </c>
      <c r="W290" s="335">
        <v>26</v>
      </c>
      <c r="X290" s="335">
        <v>26</v>
      </c>
      <c r="Y290" s="335">
        <v>26</v>
      </c>
      <c r="Z290" s="335">
        <v>26</v>
      </c>
      <c r="AA290" s="335">
        <v>26</v>
      </c>
      <c r="AB290" s="335">
        <v>26</v>
      </c>
      <c r="AC290" s="335">
        <v>26</v>
      </c>
      <c r="AD290" s="335">
        <v>26</v>
      </c>
      <c r="AE290" s="335">
        <v>26</v>
      </c>
      <c r="AF290" s="335">
        <v>26</v>
      </c>
      <c r="AG290" s="335">
        <v>26</v>
      </c>
      <c r="AH290" s="335">
        <v>26</v>
      </c>
      <c r="AI290" s="335">
        <v>26</v>
      </c>
      <c r="AJ290" s="335">
        <v>26</v>
      </c>
      <c r="AK290" s="335">
        <v>26</v>
      </c>
      <c r="AL290" s="335">
        <v>26</v>
      </c>
      <c r="AM290" s="335">
        <v>26</v>
      </c>
      <c r="AN290" s="335">
        <v>26</v>
      </c>
      <c r="AO290" s="335">
        <v>26</v>
      </c>
      <c r="AP290" s="335">
        <v>26</v>
      </c>
      <c r="AQ290" s="335">
        <v>26</v>
      </c>
      <c r="AR290" s="335">
        <v>26</v>
      </c>
      <c r="AS290" s="335">
        <v>26</v>
      </c>
      <c r="AT290" s="335">
        <v>26</v>
      </c>
      <c r="AU290" s="335">
        <v>26</v>
      </c>
      <c r="AV290" s="335">
        <v>26</v>
      </c>
      <c r="AW290" s="335">
        <v>26</v>
      </c>
      <c r="AX290" s="335">
        <v>26</v>
      </c>
      <c r="AY290" s="335">
        <v>26</v>
      </c>
      <c r="AZ290" s="335">
        <v>26</v>
      </c>
      <c r="BA290" s="335">
        <v>26</v>
      </c>
      <c r="BB290" s="335">
        <v>26</v>
      </c>
      <c r="BC290" s="335">
        <v>26</v>
      </c>
      <c r="BD290" s="335">
        <v>26</v>
      </c>
      <c r="BE290" s="335">
        <v>26</v>
      </c>
      <c r="BF290" s="335">
        <v>26</v>
      </c>
      <c r="BG290" s="335">
        <v>26</v>
      </c>
      <c r="BH290" s="335">
        <v>26</v>
      </c>
      <c r="BI290" s="335">
        <v>26</v>
      </c>
      <c r="BJ290" s="335">
        <v>26</v>
      </c>
      <c r="BK290" s="335">
        <v>26</v>
      </c>
      <c r="BL290" s="335">
        <v>26</v>
      </c>
      <c r="BM290" s="335">
        <v>26</v>
      </c>
      <c r="BN290" s="335">
        <v>26</v>
      </c>
      <c r="BO290" s="335">
        <v>26</v>
      </c>
      <c r="BP290" s="335">
        <v>26</v>
      </c>
      <c r="BQ290" s="335">
        <v>26</v>
      </c>
      <c r="BR290" s="335">
        <v>26</v>
      </c>
      <c r="BS290" s="335">
        <v>26</v>
      </c>
      <c r="BT290" s="335">
        <v>26</v>
      </c>
      <c r="BU290" s="335">
        <v>26</v>
      </c>
      <c r="BV290" s="335">
        <v>26</v>
      </c>
      <c r="BW290" s="335">
        <v>26</v>
      </c>
      <c r="BX290" s="335">
        <v>26</v>
      </c>
    </row>
    <row r="291" spans="2:76" hidden="1" outlineLevel="1">
      <c r="B291" s="350">
        <v>2022</v>
      </c>
      <c r="C291" s="350" t="s">
        <v>241</v>
      </c>
      <c r="D291" s="350" t="s">
        <v>245</v>
      </c>
      <c r="E291" s="350" t="s">
        <v>6</v>
      </c>
      <c r="F291" s="335"/>
      <c r="G291" s="335"/>
      <c r="H291" s="335">
        <v>26</v>
      </c>
      <c r="I291" s="335">
        <v>26</v>
      </c>
      <c r="J291" s="335">
        <v>26</v>
      </c>
      <c r="K291" s="335">
        <v>26</v>
      </c>
      <c r="L291" s="335">
        <v>26</v>
      </c>
      <c r="M291" s="335">
        <v>26</v>
      </c>
      <c r="N291" s="335">
        <v>26</v>
      </c>
      <c r="O291" s="335">
        <v>26</v>
      </c>
      <c r="P291" s="335">
        <v>26</v>
      </c>
      <c r="Q291" s="335">
        <v>26</v>
      </c>
      <c r="R291" s="335">
        <v>26</v>
      </c>
      <c r="S291" s="335">
        <v>26</v>
      </c>
      <c r="T291" s="335">
        <v>26</v>
      </c>
      <c r="U291" s="335">
        <v>26</v>
      </c>
      <c r="V291" s="335">
        <v>26</v>
      </c>
      <c r="W291" s="335">
        <v>26</v>
      </c>
      <c r="X291" s="335">
        <v>26</v>
      </c>
      <c r="Y291" s="335">
        <v>26</v>
      </c>
      <c r="Z291" s="335">
        <v>26</v>
      </c>
      <c r="AA291" s="335">
        <v>26</v>
      </c>
      <c r="AB291" s="335">
        <v>26</v>
      </c>
      <c r="AC291" s="335">
        <v>26</v>
      </c>
      <c r="AD291" s="335">
        <v>26</v>
      </c>
      <c r="AE291" s="335">
        <v>26</v>
      </c>
      <c r="AF291" s="335">
        <v>26</v>
      </c>
      <c r="AG291" s="335">
        <v>26</v>
      </c>
      <c r="AH291" s="335">
        <v>26</v>
      </c>
      <c r="AI291" s="335">
        <v>26</v>
      </c>
      <c r="AJ291" s="335">
        <v>26</v>
      </c>
      <c r="AK291" s="335">
        <v>26</v>
      </c>
      <c r="AL291" s="335">
        <v>26</v>
      </c>
      <c r="AM291" s="335">
        <v>26</v>
      </c>
      <c r="AN291" s="335">
        <v>26</v>
      </c>
      <c r="AO291" s="335">
        <v>26</v>
      </c>
      <c r="AP291" s="335">
        <v>26</v>
      </c>
      <c r="AQ291" s="335">
        <v>26</v>
      </c>
      <c r="AR291" s="335">
        <v>26</v>
      </c>
      <c r="AS291" s="335">
        <v>26</v>
      </c>
      <c r="AT291" s="335">
        <v>26</v>
      </c>
      <c r="AU291" s="335">
        <v>26</v>
      </c>
      <c r="AV291" s="335">
        <v>26</v>
      </c>
      <c r="AW291" s="335">
        <v>26</v>
      </c>
      <c r="AX291" s="335">
        <v>26</v>
      </c>
      <c r="AY291" s="335">
        <v>26</v>
      </c>
      <c r="AZ291" s="335">
        <v>26</v>
      </c>
      <c r="BA291" s="335">
        <v>26</v>
      </c>
      <c r="BB291" s="335">
        <v>26</v>
      </c>
      <c r="BC291" s="335">
        <v>26</v>
      </c>
      <c r="BD291" s="335">
        <v>26</v>
      </c>
      <c r="BE291" s="335">
        <v>26</v>
      </c>
      <c r="BF291" s="335">
        <v>26</v>
      </c>
      <c r="BG291" s="335">
        <v>26</v>
      </c>
      <c r="BH291" s="335">
        <v>26</v>
      </c>
      <c r="BI291" s="335">
        <v>26</v>
      </c>
      <c r="BJ291" s="335">
        <v>26</v>
      </c>
      <c r="BK291" s="335">
        <v>26</v>
      </c>
      <c r="BL291" s="335">
        <v>26</v>
      </c>
      <c r="BM291" s="335">
        <v>26</v>
      </c>
      <c r="BN291" s="335">
        <v>26</v>
      </c>
      <c r="BO291" s="335">
        <v>26</v>
      </c>
      <c r="BP291" s="335">
        <v>26</v>
      </c>
      <c r="BQ291" s="335">
        <v>26</v>
      </c>
      <c r="BR291" s="335">
        <v>26</v>
      </c>
      <c r="BS291" s="335">
        <v>26</v>
      </c>
      <c r="BT291" s="335">
        <v>26</v>
      </c>
      <c r="BU291" s="335">
        <v>26</v>
      </c>
      <c r="BV291" s="335">
        <v>26</v>
      </c>
      <c r="BW291" s="335">
        <v>26</v>
      </c>
      <c r="BX291" s="335">
        <v>26</v>
      </c>
    </row>
    <row r="292" spans="2:76" hidden="1" outlineLevel="1">
      <c r="B292" s="350">
        <v>2022</v>
      </c>
      <c r="C292" s="350" t="s">
        <v>241</v>
      </c>
      <c r="D292" s="350" t="s">
        <v>245</v>
      </c>
      <c r="E292" s="350" t="s">
        <v>7</v>
      </c>
      <c r="F292" s="335"/>
      <c r="G292" s="335"/>
      <c r="H292" s="335">
        <v>26</v>
      </c>
      <c r="I292" s="335">
        <v>26</v>
      </c>
      <c r="J292" s="335">
        <v>26</v>
      </c>
      <c r="K292" s="335">
        <v>26</v>
      </c>
      <c r="L292" s="335">
        <v>26</v>
      </c>
      <c r="M292" s="335">
        <v>26</v>
      </c>
      <c r="N292" s="335">
        <v>26</v>
      </c>
      <c r="O292" s="335">
        <v>26</v>
      </c>
      <c r="P292" s="335">
        <v>26</v>
      </c>
      <c r="Q292" s="335">
        <v>26</v>
      </c>
      <c r="R292" s="335">
        <v>26</v>
      </c>
      <c r="S292" s="335">
        <v>26</v>
      </c>
      <c r="T292" s="335">
        <v>26</v>
      </c>
      <c r="U292" s="335">
        <v>26</v>
      </c>
      <c r="V292" s="335">
        <v>26</v>
      </c>
      <c r="W292" s="335">
        <v>26</v>
      </c>
      <c r="X292" s="335">
        <v>26</v>
      </c>
      <c r="Y292" s="335">
        <v>26</v>
      </c>
      <c r="Z292" s="335">
        <v>26</v>
      </c>
      <c r="AA292" s="335">
        <v>26</v>
      </c>
      <c r="AB292" s="335">
        <v>26</v>
      </c>
      <c r="AC292" s="335">
        <v>26</v>
      </c>
      <c r="AD292" s="335">
        <v>26</v>
      </c>
      <c r="AE292" s="335">
        <v>26</v>
      </c>
      <c r="AF292" s="335">
        <v>26</v>
      </c>
      <c r="AG292" s="335">
        <v>26</v>
      </c>
      <c r="AH292" s="335">
        <v>26</v>
      </c>
      <c r="AI292" s="335">
        <v>26</v>
      </c>
      <c r="AJ292" s="335">
        <v>26</v>
      </c>
      <c r="AK292" s="335">
        <v>26</v>
      </c>
      <c r="AL292" s="335">
        <v>26</v>
      </c>
      <c r="AM292" s="335">
        <v>26</v>
      </c>
      <c r="AN292" s="335">
        <v>26</v>
      </c>
      <c r="AO292" s="335">
        <v>26</v>
      </c>
      <c r="AP292" s="335">
        <v>26</v>
      </c>
      <c r="AQ292" s="335">
        <v>26</v>
      </c>
      <c r="AR292" s="335">
        <v>26</v>
      </c>
      <c r="AS292" s="335">
        <v>26</v>
      </c>
      <c r="AT292" s="335">
        <v>26</v>
      </c>
      <c r="AU292" s="335">
        <v>26</v>
      </c>
      <c r="AV292" s="335">
        <v>26</v>
      </c>
      <c r="AW292" s="335">
        <v>26</v>
      </c>
      <c r="AX292" s="335">
        <v>26</v>
      </c>
      <c r="AY292" s="335">
        <v>26</v>
      </c>
      <c r="AZ292" s="335">
        <v>26</v>
      </c>
      <c r="BA292" s="335">
        <v>26</v>
      </c>
      <c r="BB292" s="335">
        <v>26</v>
      </c>
      <c r="BC292" s="335">
        <v>26</v>
      </c>
      <c r="BD292" s="335">
        <v>26</v>
      </c>
      <c r="BE292" s="335">
        <v>26</v>
      </c>
      <c r="BF292" s="335">
        <v>26</v>
      </c>
      <c r="BG292" s="335">
        <v>26</v>
      </c>
      <c r="BH292" s="335">
        <v>26</v>
      </c>
      <c r="BI292" s="335">
        <v>26</v>
      </c>
      <c r="BJ292" s="335">
        <v>26</v>
      </c>
      <c r="BK292" s="335">
        <v>26</v>
      </c>
      <c r="BL292" s="335">
        <v>26</v>
      </c>
      <c r="BM292" s="335">
        <v>26</v>
      </c>
      <c r="BN292" s="335">
        <v>26</v>
      </c>
      <c r="BO292" s="335">
        <v>26</v>
      </c>
      <c r="BP292" s="335">
        <v>26</v>
      </c>
      <c r="BQ292" s="335">
        <v>26</v>
      </c>
      <c r="BR292" s="335">
        <v>26</v>
      </c>
      <c r="BS292" s="335">
        <v>26</v>
      </c>
      <c r="BT292" s="335">
        <v>26</v>
      </c>
      <c r="BU292" s="335">
        <v>26</v>
      </c>
      <c r="BV292" s="335">
        <v>26</v>
      </c>
      <c r="BW292" s="335">
        <v>26</v>
      </c>
      <c r="BX292" s="335">
        <v>26</v>
      </c>
    </row>
    <row r="293" spans="2:76" hidden="1" outlineLevel="1">
      <c r="B293" s="351">
        <v>2022</v>
      </c>
      <c r="C293" s="351" t="s">
        <v>241</v>
      </c>
      <c r="D293" s="351" t="s">
        <v>245</v>
      </c>
      <c r="E293" s="351" t="s">
        <v>3</v>
      </c>
      <c r="F293" s="335"/>
      <c r="G293" s="335"/>
      <c r="H293" s="335">
        <v>18</v>
      </c>
      <c r="I293" s="335">
        <v>18</v>
      </c>
      <c r="J293" s="335">
        <v>18</v>
      </c>
      <c r="K293" s="335">
        <v>18</v>
      </c>
      <c r="L293" s="335">
        <v>18</v>
      </c>
      <c r="M293" s="335">
        <v>18</v>
      </c>
      <c r="N293" s="335">
        <v>18</v>
      </c>
      <c r="O293" s="335">
        <v>18</v>
      </c>
      <c r="P293" s="335">
        <v>18</v>
      </c>
      <c r="Q293" s="335">
        <v>18</v>
      </c>
      <c r="R293" s="335">
        <v>18</v>
      </c>
      <c r="S293" s="335">
        <v>18</v>
      </c>
      <c r="T293" s="335">
        <v>18</v>
      </c>
      <c r="U293" s="335">
        <v>18</v>
      </c>
      <c r="V293" s="335">
        <v>18</v>
      </c>
      <c r="W293" s="335">
        <v>18</v>
      </c>
      <c r="X293" s="335">
        <v>18</v>
      </c>
      <c r="Y293" s="335">
        <v>18</v>
      </c>
      <c r="Z293" s="335">
        <v>18</v>
      </c>
      <c r="AA293" s="335">
        <v>18</v>
      </c>
      <c r="AB293" s="335">
        <v>18</v>
      </c>
      <c r="AC293" s="335">
        <v>18</v>
      </c>
      <c r="AD293" s="335">
        <v>18</v>
      </c>
      <c r="AE293" s="335">
        <v>18</v>
      </c>
      <c r="AF293" s="335">
        <v>18</v>
      </c>
      <c r="AG293" s="335">
        <v>18</v>
      </c>
      <c r="AH293" s="335">
        <v>18</v>
      </c>
      <c r="AI293" s="335">
        <v>18</v>
      </c>
      <c r="AJ293" s="335">
        <v>18</v>
      </c>
      <c r="AK293" s="335">
        <v>18</v>
      </c>
      <c r="AL293" s="335">
        <v>18</v>
      </c>
      <c r="AM293" s="335">
        <v>18</v>
      </c>
      <c r="AN293" s="335">
        <v>18</v>
      </c>
      <c r="AO293" s="335">
        <v>18</v>
      </c>
      <c r="AP293" s="335">
        <v>18</v>
      </c>
      <c r="AQ293" s="335">
        <v>18</v>
      </c>
      <c r="AR293" s="335">
        <v>18</v>
      </c>
      <c r="AS293" s="335">
        <v>18</v>
      </c>
      <c r="AT293" s="335">
        <v>18</v>
      </c>
      <c r="AU293" s="335">
        <v>18</v>
      </c>
      <c r="AV293" s="335">
        <v>18</v>
      </c>
      <c r="AW293" s="335">
        <v>18</v>
      </c>
      <c r="AX293" s="335">
        <v>18</v>
      </c>
      <c r="AY293" s="335">
        <v>18</v>
      </c>
      <c r="AZ293" s="335">
        <v>18</v>
      </c>
      <c r="BA293" s="335">
        <v>18</v>
      </c>
      <c r="BB293" s="335">
        <v>18</v>
      </c>
      <c r="BC293" s="335">
        <v>18</v>
      </c>
      <c r="BD293" s="335">
        <v>18</v>
      </c>
      <c r="BE293" s="335">
        <v>18</v>
      </c>
      <c r="BF293" s="335">
        <v>18</v>
      </c>
      <c r="BG293" s="335">
        <v>18</v>
      </c>
      <c r="BH293" s="335">
        <v>18</v>
      </c>
      <c r="BI293" s="335">
        <v>18</v>
      </c>
      <c r="BJ293" s="335">
        <v>18</v>
      </c>
      <c r="BK293" s="335">
        <v>18</v>
      </c>
      <c r="BL293" s="335">
        <v>18</v>
      </c>
      <c r="BM293" s="335">
        <v>18</v>
      </c>
      <c r="BN293" s="335">
        <v>18</v>
      </c>
      <c r="BO293" s="335">
        <v>18</v>
      </c>
      <c r="BP293" s="335">
        <v>18</v>
      </c>
      <c r="BQ293" s="335">
        <v>18</v>
      </c>
      <c r="BR293" s="335">
        <v>18</v>
      </c>
      <c r="BS293" s="335">
        <v>18</v>
      </c>
      <c r="BT293" s="335">
        <v>18</v>
      </c>
      <c r="BU293" s="335">
        <v>18</v>
      </c>
      <c r="BV293" s="335">
        <v>18</v>
      </c>
      <c r="BW293" s="335">
        <v>18</v>
      </c>
      <c r="BX293" s="335">
        <v>18</v>
      </c>
    </row>
    <row r="294" spans="2:76" hidden="1" outlineLevel="1">
      <c r="B294" s="351">
        <v>2022</v>
      </c>
      <c r="C294" s="351" t="s">
        <v>241</v>
      </c>
      <c r="D294" s="351" t="s">
        <v>245</v>
      </c>
      <c r="E294" s="351" t="s">
        <v>19</v>
      </c>
      <c r="F294" s="335"/>
      <c r="G294" s="335"/>
      <c r="H294" s="335">
        <v>26</v>
      </c>
      <c r="I294" s="335">
        <v>26</v>
      </c>
      <c r="J294" s="335">
        <v>26</v>
      </c>
      <c r="K294" s="335">
        <v>26</v>
      </c>
      <c r="L294" s="335">
        <v>26</v>
      </c>
      <c r="M294" s="335">
        <v>26</v>
      </c>
      <c r="N294" s="335">
        <v>26</v>
      </c>
      <c r="O294" s="335">
        <v>26</v>
      </c>
      <c r="P294" s="335">
        <v>26</v>
      </c>
      <c r="Q294" s="335">
        <v>26</v>
      </c>
      <c r="R294" s="335">
        <v>26</v>
      </c>
      <c r="S294" s="335">
        <v>26</v>
      </c>
      <c r="T294" s="335">
        <v>26</v>
      </c>
      <c r="U294" s="335">
        <v>26</v>
      </c>
      <c r="V294" s="335">
        <v>26</v>
      </c>
      <c r="W294" s="335">
        <v>26</v>
      </c>
      <c r="X294" s="335">
        <v>26</v>
      </c>
      <c r="Y294" s="335">
        <v>26</v>
      </c>
      <c r="Z294" s="335">
        <v>26</v>
      </c>
      <c r="AA294" s="335">
        <v>26</v>
      </c>
      <c r="AB294" s="335">
        <v>26</v>
      </c>
      <c r="AC294" s="335">
        <v>26</v>
      </c>
      <c r="AD294" s="335">
        <v>26</v>
      </c>
      <c r="AE294" s="335">
        <v>26</v>
      </c>
      <c r="AF294" s="335">
        <v>26</v>
      </c>
      <c r="AG294" s="335">
        <v>26</v>
      </c>
      <c r="AH294" s="335">
        <v>26</v>
      </c>
      <c r="AI294" s="335">
        <v>26</v>
      </c>
      <c r="AJ294" s="335">
        <v>26</v>
      </c>
      <c r="AK294" s="335">
        <v>26</v>
      </c>
      <c r="AL294" s="335">
        <v>26</v>
      </c>
      <c r="AM294" s="335">
        <v>26</v>
      </c>
      <c r="AN294" s="335">
        <v>26</v>
      </c>
      <c r="AO294" s="335">
        <v>26</v>
      </c>
      <c r="AP294" s="335">
        <v>26</v>
      </c>
      <c r="AQ294" s="335">
        <v>26</v>
      </c>
      <c r="AR294" s="335">
        <v>26</v>
      </c>
      <c r="AS294" s="335">
        <v>26</v>
      </c>
      <c r="AT294" s="335">
        <v>26</v>
      </c>
      <c r="AU294" s="335">
        <v>26</v>
      </c>
      <c r="AV294" s="335">
        <v>26</v>
      </c>
      <c r="AW294" s="335">
        <v>26</v>
      </c>
      <c r="AX294" s="335">
        <v>26</v>
      </c>
      <c r="AY294" s="335">
        <v>26</v>
      </c>
      <c r="AZ294" s="335">
        <v>26</v>
      </c>
      <c r="BA294" s="335">
        <v>26</v>
      </c>
      <c r="BB294" s="335">
        <v>26</v>
      </c>
      <c r="BC294" s="335">
        <v>26</v>
      </c>
      <c r="BD294" s="335">
        <v>26</v>
      </c>
      <c r="BE294" s="335">
        <v>26</v>
      </c>
      <c r="BF294" s="335">
        <v>26</v>
      </c>
      <c r="BG294" s="335">
        <v>26</v>
      </c>
      <c r="BH294" s="335">
        <v>26</v>
      </c>
      <c r="BI294" s="335">
        <v>26</v>
      </c>
      <c r="BJ294" s="335">
        <v>26</v>
      </c>
      <c r="BK294" s="335">
        <v>26</v>
      </c>
      <c r="BL294" s="335">
        <v>26</v>
      </c>
      <c r="BM294" s="335">
        <v>26</v>
      </c>
      <c r="BN294" s="335">
        <v>26</v>
      </c>
      <c r="BO294" s="335">
        <v>26</v>
      </c>
      <c r="BP294" s="335">
        <v>26</v>
      </c>
      <c r="BQ294" s="335">
        <v>26</v>
      </c>
      <c r="BR294" s="335">
        <v>26</v>
      </c>
      <c r="BS294" s="335">
        <v>26</v>
      </c>
      <c r="BT294" s="335">
        <v>26</v>
      </c>
      <c r="BU294" s="335">
        <v>26</v>
      </c>
      <c r="BV294" s="335">
        <v>26</v>
      </c>
      <c r="BW294" s="335">
        <v>26</v>
      </c>
      <c r="BX294" s="335">
        <v>26</v>
      </c>
    </row>
    <row r="295" spans="2:76" hidden="1" outlineLevel="1">
      <c r="B295" s="352">
        <v>2022</v>
      </c>
      <c r="C295" s="352" t="s">
        <v>241</v>
      </c>
      <c r="D295" s="352" t="s">
        <v>245</v>
      </c>
      <c r="E295" s="352" t="s">
        <v>130</v>
      </c>
      <c r="F295" s="331"/>
      <c r="G295" s="331"/>
      <c r="H295" s="335">
        <v>26</v>
      </c>
      <c r="I295" s="335">
        <v>26</v>
      </c>
      <c r="J295" s="335">
        <v>26</v>
      </c>
      <c r="K295" s="335">
        <v>26</v>
      </c>
      <c r="L295" s="335">
        <v>26</v>
      </c>
      <c r="M295" s="335">
        <v>26</v>
      </c>
      <c r="N295" s="335">
        <v>26</v>
      </c>
      <c r="O295" s="335">
        <v>26</v>
      </c>
      <c r="P295" s="335">
        <v>26</v>
      </c>
      <c r="Q295" s="335">
        <v>26</v>
      </c>
      <c r="R295" s="335">
        <v>26</v>
      </c>
      <c r="S295" s="335">
        <v>26</v>
      </c>
      <c r="T295" s="335">
        <v>26</v>
      </c>
      <c r="U295" s="335">
        <v>26</v>
      </c>
      <c r="V295" s="335">
        <v>26</v>
      </c>
      <c r="W295" s="335">
        <v>26</v>
      </c>
      <c r="X295" s="335">
        <v>26</v>
      </c>
      <c r="Y295" s="335">
        <v>26</v>
      </c>
      <c r="Z295" s="335">
        <v>26</v>
      </c>
      <c r="AA295" s="335">
        <v>26</v>
      </c>
      <c r="AB295" s="335">
        <v>26</v>
      </c>
      <c r="AC295" s="335">
        <v>26</v>
      </c>
      <c r="AD295" s="335">
        <v>26</v>
      </c>
      <c r="AE295" s="335">
        <v>26</v>
      </c>
      <c r="AF295" s="335">
        <v>26</v>
      </c>
      <c r="AG295" s="335">
        <v>26</v>
      </c>
      <c r="AH295" s="335">
        <v>26</v>
      </c>
      <c r="AI295" s="335">
        <v>26</v>
      </c>
      <c r="AJ295" s="335">
        <v>26</v>
      </c>
      <c r="AK295" s="335">
        <v>26</v>
      </c>
      <c r="AL295" s="335">
        <v>26</v>
      </c>
      <c r="AM295" s="335">
        <v>26</v>
      </c>
      <c r="AN295" s="335">
        <v>26</v>
      </c>
      <c r="AO295" s="335">
        <v>26</v>
      </c>
      <c r="AP295" s="335">
        <v>26</v>
      </c>
      <c r="AQ295" s="335">
        <v>26</v>
      </c>
      <c r="AR295" s="335">
        <v>26</v>
      </c>
      <c r="AS295" s="335">
        <v>26</v>
      </c>
      <c r="AT295" s="335">
        <v>26</v>
      </c>
      <c r="AU295" s="335">
        <v>26</v>
      </c>
      <c r="AV295" s="335">
        <v>26</v>
      </c>
      <c r="AW295" s="335">
        <v>26</v>
      </c>
      <c r="AX295" s="335">
        <v>26</v>
      </c>
      <c r="AY295" s="335">
        <v>26</v>
      </c>
      <c r="AZ295" s="335">
        <v>26</v>
      </c>
      <c r="BA295" s="335">
        <v>26</v>
      </c>
      <c r="BB295" s="335">
        <v>26</v>
      </c>
      <c r="BC295" s="335">
        <v>26</v>
      </c>
      <c r="BD295" s="335">
        <v>26</v>
      </c>
      <c r="BE295" s="335">
        <v>26</v>
      </c>
      <c r="BF295" s="335">
        <v>26</v>
      </c>
      <c r="BG295" s="335">
        <v>26</v>
      </c>
      <c r="BH295" s="335">
        <v>26</v>
      </c>
      <c r="BI295" s="335">
        <v>26</v>
      </c>
      <c r="BJ295" s="335">
        <v>26</v>
      </c>
      <c r="BK295" s="335">
        <v>26</v>
      </c>
      <c r="BL295" s="335">
        <v>26</v>
      </c>
      <c r="BM295" s="335">
        <v>26</v>
      </c>
      <c r="BN295" s="335">
        <v>26</v>
      </c>
      <c r="BO295" s="335">
        <v>26</v>
      </c>
      <c r="BP295" s="335">
        <v>26</v>
      </c>
      <c r="BQ295" s="335">
        <v>26</v>
      </c>
      <c r="BR295" s="335">
        <v>26</v>
      </c>
      <c r="BS295" s="335">
        <v>26</v>
      </c>
      <c r="BT295" s="335">
        <v>26</v>
      </c>
      <c r="BU295" s="335">
        <v>26</v>
      </c>
      <c r="BV295" s="335">
        <v>26</v>
      </c>
      <c r="BW295" s="335">
        <v>26</v>
      </c>
      <c r="BX295" s="335">
        <v>26</v>
      </c>
    </row>
    <row r="296" spans="2:76" hidden="1" outlineLevel="1">
      <c r="B296" s="352">
        <v>2022</v>
      </c>
      <c r="C296" s="352" t="s">
        <v>241</v>
      </c>
      <c r="D296" s="352" t="s">
        <v>245</v>
      </c>
      <c r="E296" s="352" t="s">
        <v>139</v>
      </c>
      <c r="F296" s="331"/>
      <c r="G296" s="331"/>
      <c r="H296" s="335">
        <v>26</v>
      </c>
      <c r="I296" s="335">
        <v>26</v>
      </c>
      <c r="J296" s="335">
        <v>26</v>
      </c>
      <c r="K296" s="335">
        <v>26</v>
      </c>
      <c r="L296" s="335">
        <v>26</v>
      </c>
      <c r="M296" s="335">
        <v>26</v>
      </c>
      <c r="N296" s="335">
        <v>26</v>
      </c>
      <c r="O296" s="335">
        <v>26</v>
      </c>
      <c r="P296" s="335">
        <v>26</v>
      </c>
      <c r="Q296" s="335">
        <v>26</v>
      </c>
      <c r="R296" s="335">
        <v>26</v>
      </c>
      <c r="S296" s="335">
        <v>26</v>
      </c>
      <c r="T296" s="335">
        <v>26</v>
      </c>
      <c r="U296" s="335">
        <v>26</v>
      </c>
      <c r="V296" s="335">
        <v>26</v>
      </c>
      <c r="W296" s="335">
        <v>26</v>
      </c>
      <c r="X296" s="335">
        <v>26</v>
      </c>
      <c r="Y296" s="335">
        <v>26</v>
      </c>
      <c r="Z296" s="335">
        <v>26</v>
      </c>
      <c r="AA296" s="335">
        <v>26</v>
      </c>
      <c r="AB296" s="335">
        <v>26</v>
      </c>
      <c r="AC296" s="335">
        <v>26</v>
      </c>
      <c r="AD296" s="335">
        <v>26</v>
      </c>
      <c r="AE296" s="335">
        <v>26</v>
      </c>
      <c r="AF296" s="335">
        <v>26</v>
      </c>
      <c r="AG296" s="335">
        <v>26</v>
      </c>
      <c r="AH296" s="335">
        <v>26</v>
      </c>
      <c r="AI296" s="335">
        <v>26</v>
      </c>
      <c r="AJ296" s="335">
        <v>26</v>
      </c>
      <c r="AK296" s="335">
        <v>26</v>
      </c>
      <c r="AL296" s="335">
        <v>26</v>
      </c>
      <c r="AM296" s="335">
        <v>26</v>
      </c>
      <c r="AN296" s="335">
        <v>26</v>
      </c>
      <c r="AO296" s="335">
        <v>26</v>
      </c>
      <c r="AP296" s="335">
        <v>26</v>
      </c>
      <c r="AQ296" s="335">
        <v>26</v>
      </c>
      <c r="AR296" s="335">
        <v>26</v>
      </c>
      <c r="AS296" s="335">
        <v>26</v>
      </c>
      <c r="AT296" s="335">
        <v>26</v>
      </c>
      <c r="AU296" s="335">
        <v>26</v>
      </c>
      <c r="AV296" s="335">
        <v>26</v>
      </c>
      <c r="AW296" s="335">
        <v>26</v>
      </c>
      <c r="AX296" s="335">
        <v>26</v>
      </c>
      <c r="AY296" s="335">
        <v>26</v>
      </c>
      <c r="AZ296" s="335">
        <v>26</v>
      </c>
      <c r="BA296" s="335">
        <v>26</v>
      </c>
      <c r="BB296" s="335">
        <v>26</v>
      </c>
      <c r="BC296" s="335">
        <v>26</v>
      </c>
      <c r="BD296" s="335">
        <v>26</v>
      </c>
      <c r="BE296" s="335">
        <v>26</v>
      </c>
      <c r="BF296" s="335">
        <v>26</v>
      </c>
      <c r="BG296" s="335">
        <v>26</v>
      </c>
      <c r="BH296" s="335">
        <v>26</v>
      </c>
      <c r="BI296" s="335">
        <v>26</v>
      </c>
      <c r="BJ296" s="335">
        <v>26</v>
      </c>
      <c r="BK296" s="335">
        <v>26</v>
      </c>
      <c r="BL296" s="335">
        <v>26</v>
      </c>
      <c r="BM296" s="335">
        <v>26</v>
      </c>
      <c r="BN296" s="335">
        <v>26</v>
      </c>
      <c r="BO296" s="335">
        <v>26</v>
      </c>
      <c r="BP296" s="335">
        <v>26</v>
      </c>
      <c r="BQ296" s="335">
        <v>26</v>
      </c>
      <c r="BR296" s="335">
        <v>26</v>
      </c>
      <c r="BS296" s="335">
        <v>26</v>
      </c>
      <c r="BT296" s="335">
        <v>26</v>
      </c>
      <c r="BU296" s="335">
        <v>26</v>
      </c>
      <c r="BV296" s="335">
        <v>26</v>
      </c>
      <c r="BW296" s="335">
        <v>26</v>
      </c>
      <c r="BX296" s="335">
        <v>26</v>
      </c>
    </row>
    <row r="297" spans="2:76" hidden="1" outlineLevel="1">
      <c r="B297" s="352">
        <v>2022</v>
      </c>
      <c r="C297" s="352" t="s">
        <v>241</v>
      </c>
      <c r="D297" s="352" t="s">
        <v>245</v>
      </c>
      <c r="E297" s="352" t="s">
        <v>131</v>
      </c>
      <c r="F297" s="331"/>
      <c r="G297" s="331"/>
      <c r="H297" s="335">
        <v>26</v>
      </c>
      <c r="I297" s="335">
        <v>26</v>
      </c>
      <c r="J297" s="335">
        <v>26</v>
      </c>
      <c r="K297" s="335">
        <v>26</v>
      </c>
      <c r="L297" s="335">
        <v>26</v>
      </c>
      <c r="M297" s="335">
        <v>26</v>
      </c>
      <c r="N297" s="335">
        <v>26</v>
      </c>
      <c r="O297" s="335">
        <v>26</v>
      </c>
      <c r="P297" s="335">
        <v>26</v>
      </c>
      <c r="Q297" s="335">
        <v>26</v>
      </c>
      <c r="R297" s="335">
        <v>26</v>
      </c>
      <c r="S297" s="335">
        <v>26</v>
      </c>
      <c r="T297" s="335">
        <v>26</v>
      </c>
      <c r="U297" s="335">
        <v>26</v>
      </c>
      <c r="V297" s="335">
        <v>26</v>
      </c>
      <c r="W297" s="335">
        <v>26</v>
      </c>
      <c r="X297" s="335">
        <v>26</v>
      </c>
      <c r="Y297" s="335">
        <v>26</v>
      </c>
      <c r="Z297" s="335">
        <v>26</v>
      </c>
      <c r="AA297" s="335">
        <v>26</v>
      </c>
      <c r="AB297" s="335">
        <v>26</v>
      </c>
      <c r="AC297" s="335">
        <v>26</v>
      </c>
      <c r="AD297" s="335">
        <v>26</v>
      </c>
      <c r="AE297" s="335">
        <v>26</v>
      </c>
      <c r="AF297" s="335">
        <v>26</v>
      </c>
      <c r="AG297" s="335">
        <v>26</v>
      </c>
      <c r="AH297" s="335">
        <v>26</v>
      </c>
      <c r="AI297" s="335">
        <v>26</v>
      </c>
      <c r="AJ297" s="335">
        <v>26</v>
      </c>
      <c r="AK297" s="335">
        <v>26</v>
      </c>
      <c r="AL297" s="335">
        <v>26</v>
      </c>
      <c r="AM297" s="335">
        <v>26</v>
      </c>
      <c r="AN297" s="335">
        <v>26</v>
      </c>
      <c r="AO297" s="335">
        <v>26</v>
      </c>
      <c r="AP297" s="335">
        <v>26</v>
      </c>
      <c r="AQ297" s="335">
        <v>26</v>
      </c>
      <c r="AR297" s="335">
        <v>26</v>
      </c>
      <c r="AS297" s="335">
        <v>26</v>
      </c>
      <c r="AT297" s="335">
        <v>26</v>
      </c>
      <c r="AU297" s="335">
        <v>26</v>
      </c>
      <c r="AV297" s="335">
        <v>26</v>
      </c>
      <c r="AW297" s="335">
        <v>26</v>
      </c>
      <c r="AX297" s="335">
        <v>26</v>
      </c>
      <c r="AY297" s="335">
        <v>26</v>
      </c>
      <c r="AZ297" s="335">
        <v>26</v>
      </c>
      <c r="BA297" s="335">
        <v>26</v>
      </c>
      <c r="BB297" s="335">
        <v>26</v>
      </c>
      <c r="BC297" s="335">
        <v>26</v>
      </c>
      <c r="BD297" s="335">
        <v>26</v>
      </c>
      <c r="BE297" s="335">
        <v>26</v>
      </c>
      <c r="BF297" s="335">
        <v>26</v>
      </c>
      <c r="BG297" s="335">
        <v>26</v>
      </c>
      <c r="BH297" s="335">
        <v>26</v>
      </c>
      <c r="BI297" s="335">
        <v>26</v>
      </c>
      <c r="BJ297" s="335">
        <v>26</v>
      </c>
      <c r="BK297" s="335">
        <v>26</v>
      </c>
      <c r="BL297" s="335">
        <v>26</v>
      </c>
      <c r="BM297" s="335">
        <v>26</v>
      </c>
      <c r="BN297" s="335">
        <v>26</v>
      </c>
      <c r="BO297" s="335">
        <v>26</v>
      </c>
      <c r="BP297" s="335">
        <v>26</v>
      </c>
      <c r="BQ297" s="335">
        <v>26</v>
      </c>
      <c r="BR297" s="335">
        <v>26</v>
      </c>
      <c r="BS297" s="335">
        <v>26</v>
      </c>
      <c r="BT297" s="335">
        <v>26</v>
      </c>
      <c r="BU297" s="335">
        <v>26</v>
      </c>
      <c r="BV297" s="335">
        <v>26</v>
      </c>
      <c r="BW297" s="335">
        <v>26</v>
      </c>
      <c r="BX297" s="335">
        <v>26</v>
      </c>
    </row>
    <row r="298" spans="2:76" hidden="1" outlineLevel="1">
      <c r="B298" s="352">
        <v>2022</v>
      </c>
      <c r="C298" s="352" t="s">
        <v>241</v>
      </c>
      <c r="D298" s="352" t="s">
        <v>245</v>
      </c>
      <c r="E298" s="352" t="s">
        <v>132</v>
      </c>
      <c r="F298" s="331"/>
      <c r="G298" s="331"/>
      <c r="H298" s="335">
        <v>26</v>
      </c>
      <c r="I298" s="335">
        <v>26</v>
      </c>
      <c r="J298" s="335">
        <v>26</v>
      </c>
      <c r="K298" s="335">
        <v>26</v>
      </c>
      <c r="L298" s="335">
        <v>26</v>
      </c>
      <c r="M298" s="335">
        <v>26</v>
      </c>
      <c r="N298" s="335">
        <v>26</v>
      </c>
      <c r="O298" s="335">
        <v>26</v>
      </c>
      <c r="P298" s="335">
        <v>26</v>
      </c>
      <c r="Q298" s="335">
        <v>26</v>
      </c>
      <c r="R298" s="335">
        <v>26</v>
      </c>
      <c r="S298" s="335">
        <v>26</v>
      </c>
      <c r="T298" s="335">
        <v>26</v>
      </c>
      <c r="U298" s="335">
        <v>26</v>
      </c>
      <c r="V298" s="335">
        <v>26</v>
      </c>
      <c r="W298" s="335">
        <v>26</v>
      </c>
      <c r="X298" s="335">
        <v>26</v>
      </c>
      <c r="Y298" s="335">
        <v>26</v>
      </c>
      <c r="Z298" s="335">
        <v>26</v>
      </c>
      <c r="AA298" s="335">
        <v>26</v>
      </c>
      <c r="AB298" s="335">
        <v>26</v>
      </c>
      <c r="AC298" s="335">
        <v>26</v>
      </c>
      <c r="AD298" s="335">
        <v>26</v>
      </c>
      <c r="AE298" s="335">
        <v>26</v>
      </c>
      <c r="AF298" s="335">
        <v>26</v>
      </c>
      <c r="AG298" s="335">
        <v>26</v>
      </c>
      <c r="AH298" s="335">
        <v>26</v>
      </c>
      <c r="AI298" s="335">
        <v>26</v>
      </c>
      <c r="AJ298" s="335">
        <v>26</v>
      </c>
      <c r="AK298" s="335">
        <v>26</v>
      </c>
      <c r="AL298" s="335">
        <v>26</v>
      </c>
      <c r="AM298" s="335">
        <v>26</v>
      </c>
      <c r="AN298" s="335">
        <v>26</v>
      </c>
      <c r="AO298" s="335">
        <v>26</v>
      </c>
      <c r="AP298" s="335">
        <v>26</v>
      </c>
      <c r="AQ298" s="335">
        <v>26</v>
      </c>
      <c r="AR298" s="335">
        <v>26</v>
      </c>
      <c r="AS298" s="335">
        <v>26</v>
      </c>
      <c r="AT298" s="335">
        <v>26</v>
      </c>
      <c r="AU298" s="335">
        <v>26</v>
      </c>
      <c r="AV298" s="335">
        <v>26</v>
      </c>
      <c r="AW298" s="335">
        <v>26</v>
      </c>
      <c r="AX298" s="335">
        <v>26</v>
      </c>
      <c r="AY298" s="335">
        <v>26</v>
      </c>
      <c r="AZ298" s="335">
        <v>26</v>
      </c>
      <c r="BA298" s="335">
        <v>26</v>
      </c>
      <c r="BB298" s="335">
        <v>26</v>
      </c>
      <c r="BC298" s="335">
        <v>26</v>
      </c>
      <c r="BD298" s="335">
        <v>26</v>
      </c>
      <c r="BE298" s="335">
        <v>26</v>
      </c>
      <c r="BF298" s="335">
        <v>26</v>
      </c>
      <c r="BG298" s="335">
        <v>26</v>
      </c>
      <c r="BH298" s="335">
        <v>26</v>
      </c>
      <c r="BI298" s="335">
        <v>26</v>
      </c>
      <c r="BJ298" s="335">
        <v>26</v>
      </c>
      <c r="BK298" s="335">
        <v>26</v>
      </c>
      <c r="BL298" s="335">
        <v>26</v>
      </c>
      <c r="BM298" s="335">
        <v>26</v>
      </c>
      <c r="BN298" s="335">
        <v>26</v>
      </c>
      <c r="BO298" s="335">
        <v>26</v>
      </c>
      <c r="BP298" s="335">
        <v>26</v>
      </c>
      <c r="BQ298" s="335">
        <v>26</v>
      </c>
      <c r="BR298" s="335">
        <v>26</v>
      </c>
      <c r="BS298" s="335">
        <v>26</v>
      </c>
      <c r="BT298" s="335">
        <v>26</v>
      </c>
      <c r="BU298" s="335">
        <v>26</v>
      </c>
      <c r="BV298" s="335">
        <v>26</v>
      </c>
      <c r="BW298" s="335">
        <v>26</v>
      </c>
      <c r="BX298" s="335">
        <v>26</v>
      </c>
    </row>
    <row r="299" spans="2:76" hidden="1" outlineLevel="1">
      <c r="B299" s="352">
        <v>2022</v>
      </c>
      <c r="C299" s="352" t="s">
        <v>241</v>
      </c>
      <c r="D299" s="352" t="s">
        <v>245</v>
      </c>
      <c r="E299" s="352" t="s">
        <v>133</v>
      </c>
      <c r="F299" s="331"/>
      <c r="G299" s="331"/>
      <c r="H299" s="335">
        <v>26</v>
      </c>
      <c r="I299" s="335">
        <v>26</v>
      </c>
      <c r="J299" s="335">
        <v>26</v>
      </c>
      <c r="K299" s="335">
        <v>26</v>
      </c>
      <c r="L299" s="335">
        <v>26</v>
      </c>
      <c r="M299" s="335">
        <v>26</v>
      </c>
      <c r="N299" s="335">
        <v>26</v>
      </c>
      <c r="O299" s="335">
        <v>26</v>
      </c>
      <c r="P299" s="335">
        <v>26</v>
      </c>
      <c r="Q299" s="335">
        <v>26</v>
      </c>
      <c r="R299" s="335">
        <v>26</v>
      </c>
      <c r="S299" s="335">
        <v>26</v>
      </c>
      <c r="T299" s="335">
        <v>26</v>
      </c>
      <c r="U299" s="335">
        <v>26</v>
      </c>
      <c r="V299" s="335">
        <v>26</v>
      </c>
      <c r="W299" s="335">
        <v>26</v>
      </c>
      <c r="X299" s="335">
        <v>26</v>
      </c>
      <c r="Y299" s="335">
        <v>26</v>
      </c>
      <c r="Z299" s="335">
        <v>26</v>
      </c>
      <c r="AA299" s="335">
        <v>26</v>
      </c>
      <c r="AB299" s="335">
        <v>26</v>
      </c>
      <c r="AC299" s="335">
        <v>26</v>
      </c>
      <c r="AD299" s="335">
        <v>26</v>
      </c>
      <c r="AE299" s="335">
        <v>26</v>
      </c>
      <c r="AF299" s="335">
        <v>26</v>
      </c>
      <c r="AG299" s="335">
        <v>26</v>
      </c>
      <c r="AH299" s="335">
        <v>26</v>
      </c>
      <c r="AI299" s="335">
        <v>26</v>
      </c>
      <c r="AJ299" s="335">
        <v>26</v>
      </c>
      <c r="AK299" s="335">
        <v>26</v>
      </c>
      <c r="AL299" s="335">
        <v>26</v>
      </c>
      <c r="AM299" s="335">
        <v>26</v>
      </c>
      <c r="AN299" s="335">
        <v>26</v>
      </c>
      <c r="AO299" s="335">
        <v>26</v>
      </c>
      <c r="AP299" s="335">
        <v>26</v>
      </c>
      <c r="AQ299" s="335">
        <v>26</v>
      </c>
      <c r="AR299" s="335">
        <v>26</v>
      </c>
      <c r="AS299" s="335">
        <v>26</v>
      </c>
      <c r="AT299" s="335">
        <v>26</v>
      </c>
      <c r="AU299" s="335">
        <v>26</v>
      </c>
      <c r="AV299" s="335">
        <v>26</v>
      </c>
      <c r="AW299" s="335">
        <v>26</v>
      </c>
      <c r="AX299" s="335">
        <v>26</v>
      </c>
      <c r="AY299" s="335">
        <v>26</v>
      </c>
      <c r="AZ299" s="335">
        <v>26</v>
      </c>
      <c r="BA299" s="335">
        <v>26</v>
      </c>
      <c r="BB299" s="335">
        <v>26</v>
      </c>
      <c r="BC299" s="335">
        <v>26</v>
      </c>
      <c r="BD299" s="335">
        <v>26</v>
      </c>
      <c r="BE299" s="335">
        <v>26</v>
      </c>
      <c r="BF299" s="335">
        <v>26</v>
      </c>
      <c r="BG299" s="335">
        <v>26</v>
      </c>
      <c r="BH299" s="335">
        <v>26</v>
      </c>
      <c r="BI299" s="335">
        <v>26</v>
      </c>
      <c r="BJ299" s="335">
        <v>26</v>
      </c>
      <c r="BK299" s="335">
        <v>26</v>
      </c>
      <c r="BL299" s="335">
        <v>26</v>
      </c>
      <c r="BM299" s="335">
        <v>26</v>
      </c>
      <c r="BN299" s="335">
        <v>26</v>
      </c>
      <c r="BO299" s="335">
        <v>26</v>
      </c>
      <c r="BP299" s="335">
        <v>26</v>
      </c>
      <c r="BQ299" s="335">
        <v>26</v>
      </c>
      <c r="BR299" s="335">
        <v>26</v>
      </c>
      <c r="BS299" s="335">
        <v>26</v>
      </c>
      <c r="BT299" s="335">
        <v>26</v>
      </c>
      <c r="BU299" s="335">
        <v>26</v>
      </c>
      <c r="BV299" s="335">
        <v>26</v>
      </c>
      <c r="BW299" s="335">
        <v>26</v>
      </c>
      <c r="BX299" s="335">
        <v>26</v>
      </c>
    </row>
    <row r="300" spans="2:76" hidden="1" outlineLevel="1">
      <c r="B300" s="352">
        <v>2022</v>
      </c>
      <c r="C300" s="352" t="s">
        <v>241</v>
      </c>
      <c r="D300" s="352" t="s">
        <v>245</v>
      </c>
      <c r="E300" s="352" t="s">
        <v>134</v>
      </c>
      <c r="F300" s="331"/>
      <c r="G300" s="331"/>
      <c r="H300" s="335">
        <v>26</v>
      </c>
      <c r="I300" s="335">
        <v>26</v>
      </c>
      <c r="J300" s="335">
        <v>26</v>
      </c>
      <c r="K300" s="335">
        <v>26</v>
      </c>
      <c r="L300" s="335">
        <v>26</v>
      </c>
      <c r="M300" s="335">
        <v>26</v>
      </c>
      <c r="N300" s="335">
        <v>26</v>
      </c>
      <c r="O300" s="335">
        <v>26</v>
      </c>
      <c r="P300" s="335">
        <v>26</v>
      </c>
      <c r="Q300" s="335">
        <v>26</v>
      </c>
      <c r="R300" s="335">
        <v>26</v>
      </c>
      <c r="S300" s="335">
        <v>26</v>
      </c>
      <c r="T300" s="335">
        <v>26</v>
      </c>
      <c r="U300" s="335">
        <v>26</v>
      </c>
      <c r="V300" s="335">
        <v>26</v>
      </c>
      <c r="W300" s="335">
        <v>26</v>
      </c>
      <c r="X300" s="335">
        <v>26</v>
      </c>
      <c r="Y300" s="335">
        <v>26</v>
      </c>
      <c r="Z300" s="335">
        <v>26</v>
      </c>
      <c r="AA300" s="335">
        <v>26</v>
      </c>
      <c r="AB300" s="335">
        <v>26</v>
      </c>
      <c r="AC300" s="335">
        <v>26</v>
      </c>
      <c r="AD300" s="335">
        <v>26</v>
      </c>
      <c r="AE300" s="335">
        <v>26</v>
      </c>
      <c r="AF300" s="335">
        <v>26</v>
      </c>
      <c r="AG300" s="335">
        <v>26</v>
      </c>
      <c r="AH300" s="335">
        <v>26</v>
      </c>
      <c r="AI300" s="335">
        <v>26</v>
      </c>
      <c r="AJ300" s="335">
        <v>26</v>
      </c>
      <c r="AK300" s="335">
        <v>26</v>
      </c>
      <c r="AL300" s="335">
        <v>26</v>
      </c>
      <c r="AM300" s="335">
        <v>26</v>
      </c>
      <c r="AN300" s="335">
        <v>26</v>
      </c>
      <c r="AO300" s="335">
        <v>26</v>
      </c>
      <c r="AP300" s="335">
        <v>26</v>
      </c>
      <c r="AQ300" s="335">
        <v>26</v>
      </c>
      <c r="AR300" s="335">
        <v>26</v>
      </c>
      <c r="AS300" s="335">
        <v>26</v>
      </c>
      <c r="AT300" s="335">
        <v>26</v>
      </c>
      <c r="AU300" s="335">
        <v>26</v>
      </c>
      <c r="AV300" s="335">
        <v>26</v>
      </c>
      <c r="AW300" s="335">
        <v>26</v>
      </c>
      <c r="AX300" s="335">
        <v>26</v>
      </c>
      <c r="AY300" s="335">
        <v>26</v>
      </c>
      <c r="AZ300" s="335">
        <v>26</v>
      </c>
      <c r="BA300" s="335">
        <v>26</v>
      </c>
      <c r="BB300" s="335">
        <v>26</v>
      </c>
      <c r="BC300" s="335">
        <v>26</v>
      </c>
      <c r="BD300" s="335">
        <v>26</v>
      </c>
      <c r="BE300" s="335">
        <v>26</v>
      </c>
      <c r="BF300" s="335">
        <v>26</v>
      </c>
      <c r="BG300" s="335">
        <v>26</v>
      </c>
      <c r="BH300" s="335">
        <v>26</v>
      </c>
      <c r="BI300" s="335">
        <v>26</v>
      </c>
      <c r="BJ300" s="335">
        <v>26</v>
      </c>
      <c r="BK300" s="335">
        <v>26</v>
      </c>
      <c r="BL300" s="335">
        <v>26</v>
      </c>
      <c r="BM300" s="335">
        <v>26</v>
      </c>
      <c r="BN300" s="335">
        <v>26</v>
      </c>
      <c r="BO300" s="335">
        <v>26</v>
      </c>
      <c r="BP300" s="335">
        <v>26</v>
      </c>
      <c r="BQ300" s="335">
        <v>26</v>
      </c>
      <c r="BR300" s="335">
        <v>26</v>
      </c>
      <c r="BS300" s="335">
        <v>26</v>
      </c>
      <c r="BT300" s="335">
        <v>26</v>
      </c>
      <c r="BU300" s="335">
        <v>26</v>
      </c>
      <c r="BV300" s="335">
        <v>26</v>
      </c>
      <c r="BW300" s="335">
        <v>26</v>
      </c>
      <c r="BX300" s="335">
        <v>26</v>
      </c>
    </row>
    <row r="301" spans="2:76" hidden="1" outlineLevel="1">
      <c r="B301" s="352">
        <v>2022</v>
      </c>
      <c r="C301" s="352" t="s">
        <v>241</v>
      </c>
      <c r="D301" s="352" t="s">
        <v>245</v>
      </c>
      <c r="E301" s="352" t="s">
        <v>8</v>
      </c>
      <c r="F301" s="331"/>
      <c r="G301" s="331"/>
      <c r="H301" s="335">
        <v>26</v>
      </c>
      <c r="I301" s="335">
        <v>26</v>
      </c>
      <c r="J301" s="335">
        <v>26</v>
      </c>
      <c r="K301" s="335">
        <v>26</v>
      </c>
      <c r="L301" s="335">
        <v>26</v>
      </c>
      <c r="M301" s="335">
        <v>26</v>
      </c>
      <c r="N301" s="335">
        <v>26</v>
      </c>
      <c r="O301" s="335">
        <v>26</v>
      </c>
      <c r="P301" s="335">
        <v>26</v>
      </c>
      <c r="Q301" s="335">
        <v>26</v>
      </c>
      <c r="R301" s="335">
        <v>26</v>
      </c>
      <c r="S301" s="335">
        <v>26</v>
      </c>
      <c r="T301" s="335">
        <v>26</v>
      </c>
      <c r="U301" s="335">
        <v>26</v>
      </c>
      <c r="V301" s="335">
        <v>26</v>
      </c>
      <c r="W301" s="335">
        <v>26</v>
      </c>
      <c r="X301" s="335">
        <v>26</v>
      </c>
      <c r="Y301" s="335">
        <v>26</v>
      </c>
      <c r="Z301" s="335">
        <v>26</v>
      </c>
      <c r="AA301" s="335">
        <v>26</v>
      </c>
      <c r="AB301" s="335">
        <v>26</v>
      </c>
      <c r="AC301" s="335">
        <v>26</v>
      </c>
      <c r="AD301" s="335">
        <v>26</v>
      </c>
      <c r="AE301" s="335">
        <v>26</v>
      </c>
      <c r="AF301" s="335">
        <v>26</v>
      </c>
      <c r="AG301" s="335">
        <v>26</v>
      </c>
      <c r="AH301" s="335">
        <v>26</v>
      </c>
      <c r="AI301" s="335">
        <v>26</v>
      </c>
      <c r="AJ301" s="335">
        <v>26</v>
      </c>
      <c r="AK301" s="335">
        <v>26</v>
      </c>
      <c r="AL301" s="335">
        <v>26</v>
      </c>
      <c r="AM301" s="335">
        <v>26</v>
      </c>
      <c r="AN301" s="335">
        <v>26</v>
      </c>
      <c r="AO301" s="335">
        <v>26</v>
      </c>
      <c r="AP301" s="335">
        <v>26</v>
      </c>
      <c r="AQ301" s="335">
        <v>26</v>
      </c>
      <c r="AR301" s="335">
        <v>26</v>
      </c>
      <c r="AS301" s="335">
        <v>26</v>
      </c>
      <c r="AT301" s="335">
        <v>26</v>
      </c>
      <c r="AU301" s="335">
        <v>26</v>
      </c>
      <c r="AV301" s="335">
        <v>26</v>
      </c>
      <c r="AW301" s="335">
        <v>26</v>
      </c>
      <c r="AX301" s="335">
        <v>26</v>
      </c>
      <c r="AY301" s="335">
        <v>26</v>
      </c>
      <c r="AZ301" s="335">
        <v>26</v>
      </c>
      <c r="BA301" s="335">
        <v>26</v>
      </c>
      <c r="BB301" s="335">
        <v>26</v>
      </c>
      <c r="BC301" s="335">
        <v>26</v>
      </c>
      <c r="BD301" s="335">
        <v>26</v>
      </c>
      <c r="BE301" s="335">
        <v>26</v>
      </c>
      <c r="BF301" s="335">
        <v>26</v>
      </c>
      <c r="BG301" s="335">
        <v>26</v>
      </c>
      <c r="BH301" s="335">
        <v>26</v>
      </c>
      <c r="BI301" s="335">
        <v>26</v>
      </c>
      <c r="BJ301" s="335">
        <v>26</v>
      </c>
      <c r="BK301" s="335">
        <v>26</v>
      </c>
      <c r="BL301" s="335">
        <v>26</v>
      </c>
      <c r="BM301" s="335">
        <v>26</v>
      </c>
      <c r="BN301" s="335">
        <v>26</v>
      </c>
      <c r="BO301" s="335">
        <v>26</v>
      </c>
      <c r="BP301" s="335">
        <v>26</v>
      </c>
      <c r="BQ301" s="335">
        <v>26</v>
      </c>
      <c r="BR301" s="335">
        <v>26</v>
      </c>
      <c r="BS301" s="335">
        <v>26</v>
      </c>
      <c r="BT301" s="335">
        <v>26</v>
      </c>
      <c r="BU301" s="335">
        <v>26</v>
      </c>
      <c r="BV301" s="335">
        <v>26</v>
      </c>
      <c r="BW301" s="335">
        <v>26</v>
      </c>
      <c r="BX301" s="335">
        <v>26</v>
      </c>
    </row>
    <row r="302" spans="2:76" hidden="1" outlineLevel="1">
      <c r="B302" s="352">
        <v>2022</v>
      </c>
      <c r="C302" s="352" t="s">
        <v>241</v>
      </c>
      <c r="D302" s="352" t="s">
        <v>245</v>
      </c>
      <c r="E302" s="352" t="s">
        <v>9</v>
      </c>
      <c r="F302" s="331"/>
      <c r="G302" s="331"/>
      <c r="H302" s="335">
        <v>26</v>
      </c>
      <c r="I302" s="335">
        <v>26</v>
      </c>
      <c r="J302" s="335">
        <v>26</v>
      </c>
      <c r="K302" s="335">
        <v>26</v>
      </c>
      <c r="L302" s="335">
        <v>26</v>
      </c>
      <c r="M302" s="335">
        <v>26</v>
      </c>
      <c r="N302" s="335">
        <v>26</v>
      </c>
      <c r="O302" s="335">
        <v>26</v>
      </c>
      <c r="P302" s="335">
        <v>26</v>
      </c>
      <c r="Q302" s="335">
        <v>26</v>
      </c>
      <c r="R302" s="335">
        <v>26</v>
      </c>
      <c r="S302" s="335">
        <v>26</v>
      </c>
      <c r="T302" s="335">
        <v>26</v>
      </c>
      <c r="U302" s="335">
        <v>26</v>
      </c>
      <c r="V302" s="335">
        <v>26</v>
      </c>
      <c r="W302" s="335">
        <v>26</v>
      </c>
      <c r="X302" s="335">
        <v>26</v>
      </c>
      <c r="Y302" s="335">
        <v>26</v>
      </c>
      <c r="Z302" s="335">
        <v>26</v>
      </c>
      <c r="AA302" s="335">
        <v>26</v>
      </c>
      <c r="AB302" s="335">
        <v>26</v>
      </c>
      <c r="AC302" s="335">
        <v>26</v>
      </c>
      <c r="AD302" s="335">
        <v>26</v>
      </c>
      <c r="AE302" s="335">
        <v>26</v>
      </c>
      <c r="AF302" s="335">
        <v>26</v>
      </c>
      <c r="AG302" s="335">
        <v>26</v>
      </c>
      <c r="AH302" s="335">
        <v>26</v>
      </c>
      <c r="AI302" s="335">
        <v>26</v>
      </c>
      <c r="AJ302" s="335">
        <v>26</v>
      </c>
      <c r="AK302" s="335">
        <v>26</v>
      </c>
      <c r="AL302" s="335">
        <v>26</v>
      </c>
      <c r="AM302" s="335">
        <v>26</v>
      </c>
      <c r="AN302" s="335">
        <v>26</v>
      </c>
      <c r="AO302" s="335">
        <v>26</v>
      </c>
      <c r="AP302" s="335">
        <v>26</v>
      </c>
      <c r="AQ302" s="335">
        <v>26</v>
      </c>
      <c r="AR302" s="335">
        <v>26</v>
      </c>
      <c r="AS302" s="335">
        <v>26</v>
      </c>
      <c r="AT302" s="335">
        <v>26</v>
      </c>
      <c r="AU302" s="335">
        <v>26</v>
      </c>
      <c r="AV302" s="335">
        <v>26</v>
      </c>
      <c r="AW302" s="335">
        <v>26</v>
      </c>
      <c r="AX302" s="335">
        <v>26</v>
      </c>
      <c r="AY302" s="335">
        <v>26</v>
      </c>
      <c r="AZ302" s="335">
        <v>26</v>
      </c>
      <c r="BA302" s="335">
        <v>26</v>
      </c>
      <c r="BB302" s="335">
        <v>26</v>
      </c>
      <c r="BC302" s="335">
        <v>26</v>
      </c>
      <c r="BD302" s="335">
        <v>26</v>
      </c>
      <c r="BE302" s="335">
        <v>26</v>
      </c>
      <c r="BF302" s="335">
        <v>26</v>
      </c>
      <c r="BG302" s="335">
        <v>26</v>
      </c>
      <c r="BH302" s="335">
        <v>26</v>
      </c>
      <c r="BI302" s="335">
        <v>26</v>
      </c>
      <c r="BJ302" s="335">
        <v>26</v>
      </c>
      <c r="BK302" s="335">
        <v>26</v>
      </c>
      <c r="BL302" s="335">
        <v>26</v>
      </c>
      <c r="BM302" s="335">
        <v>26</v>
      </c>
      <c r="BN302" s="335">
        <v>26</v>
      </c>
      <c r="BO302" s="335">
        <v>26</v>
      </c>
      <c r="BP302" s="335">
        <v>26</v>
      </c>
      <c r="BQ302" s="335">
        <v>26</v>
      </c>
      <c r="BR302" s="335">
        <v>26</v>
      </c>
      <c r="BS302" s="335">
        <v>26</v>
      </c>
      <c r="BT302" s="335">
        <v>26</v>
      </c>
      <c r="BU302" s="335">
        <v>26</v>
      </c>
      <c r="BV302" s="335">
        <v>26</v>
      </c>
      <c r="BW302" s="335">
        <v>26</v>
      </c>
      <c r="BX302" s="335">
        <v>26</v>
      </c>
    </row>
    <row r="303" spans="2:76" hidden="1" outlineLevel="1">
      <c r="B303" s="352">
        <v>2022</v>
      </c>
      <c r="C303" s="352" t="s">
        <v>241</v>
      </c>
      <c r="D303" s="352" t="s">
        <v>245</v>
      </c>
      <c r="E303" s="352" t="s">
        <v>138</v>
      </c>
      <c r="F303" s="331"/>
      <c r="G303" s="331"/>
      <c r="H303" s="335">
        <v>26</v>
      </c>
      <c r="I303" s="335">
        <v>26</v>
      </c>
      <c r="J303" s="335">
        <v>26</v>
      </c>
      <c r="K303" s="335">
        <v>26</v>
      </c>
      <c r="L303" s="335">
        <v>26</v>
      </c>
      <c r="M303" s="335">
        <v>26</v>
      </c>
      <c r="N303" s="335">
        <v>26</v>
      </c>
      <c r="O303" s="335">
        <v>26</v>
      </c>
      <c r="P303" s="335">
        <v>26</v>
      </c>
      <c r="Q303" s="335">
        <v>26</v>
      </c>
      <c r="R303" s="335">
        <v>26</v>
      </c>
      <c r="S303" s="335">
        <v>26</v>
      </c>
      <c r="T303" s="335">
        <v>26</v>
      </c>
      <c r="U303" s="335">
        <v>26</v>
      </c>
      <c r="V303" s="335">
        <v>26</v>
      </c>
      <c r="W303" s="335">
        <v>26</v>
      </c>
      <c r="X303" s="335">
        <v>26</v>
      </c>
      <c r="Y303" s="335">
        <v>26</v>
      </c>
      <c r="Z303" s="335">
        <v>26</v>
      </c>
      <c r="AA303" s="335">
        <v>26</v>
      </c>
      <c r="AB303" s="335">
        <v>26</v>
      </c>
      <c r="AC303" s="335">
        <v>26</v>
      </c>
      <c r="AD303" s="335">
        <v>26</v>
      </c>
      <c r="AE303" s="335">
        <v>26</v>
      </c>
      <c r="AF303" s="335">
        <v>26</v>
      </c>
      <c r="AG303" s="335">
        <v>26</v>
      </c>
      <c r="AH303" s="335">
        <v>26</v>
      </c>
      <c r="AI303" s="335">
        <v>26</v>
      </c>
      <c r="AJ303" s="335">
        <v>26</v>
      </c>
      <c r="AK303" s="335">
        <v>26</v>
      </c>
      <c r="AL303" s="335">
        <v>26</v>
      </c>
      <c r="AM303" s="335">
        <v>26</v>
      </c>
      <c r="AN303" s="335">
        <v>26</v>
      </c>
      <c r="AO303" s="335">
        <v>26</v>
      </c>
      <c r="AP303" s="335">
        <v>26</v>
      </c>
      <c r="AQ303" s="335">
        <v>26</v>
      </c>
      <c r="AR303" s="335">
        <v>26</v>
      </c>
      <c r="AS303" s="335">
        <v>26</v>
      </c>
      <c r="AT303" s="335">
        <v>26</v>
      </c>
      <c r="AU303" s="335">
        <v>26</v>
      </c>
      <c r="AV303" s="335">
        <v>26</v>
      </c>
      <c r="AW303" s="335">
        <v>26</v>
      </c>
      <c r="AX303" s="335">
        <v>26</v>
      </c>
      <c r="AY303" s="335">
        <v>26</v>
      </c>
      <c r="AZ303" s="335">
        <v>26</v>
      </c>
      <c r="BA303" s="335">
        <v>26</v>
      </c>
      <c r="BB303" s="335">
        <v>26</v>
      </c>
      <c r="BC303" s="335">
        <v>26</v>
      </c>
      <c r="BD303" s="335">
        <v>26</v>
      </c>
      <c r="BE303" s="335">
        <v>26</v>
      </c>
      <c r="BF303" s="335">
        <v>26</v>
      </c>
      <c r="BG303" s="335">
        <v>26</v>
      </c>
      <c r="BH303" s="335">
        <v>26</v>
      </c>
      <c r="BI303" s="335">
        <v>26</v>
      </c>
      <c r="BJ303" s="335">
        <v>26</v>
      </c>
      <c r="BK303" s="335">
        <v>26</v>
      </c>
      <c r="BL303" s="335">
        <v>26</v>
      </c>
      <c r="BM303" s="335">
        <v>26</v>
      </c>
      <c r="BN303" s="335">
        <v>26</v>
      </c>
      <c r="BO303" s="335">
        <v>26</v>
      </c>
      <c r="BP303" s="335">
        <v>26</v>
      </c>
      <c r="BQ303" s="335">
        <v>26</v>
      </c>
      <c r="BR303" s="335">
        <v>26</v>
      </c>
      <c r="BS303" s="335">
        <v>26</v>
      </c>
      <c r="BT303" s="335">
        <v>26</v>
      </c>
      <c r="BU303" s="335">
        <v>26</v>
      </c>
      <c r="BV303" s="335">
        <v>26</v>
      </c>
      <c r="BW303" s="335">
        <v>26</v>
      </c>
      <c r="BX303" s="335">
        <v>26</v>
      </c>
    </row>
    <row r="304" spans="2:76" hidden="1" outlineLevel="1">
      <c r="B304" s="352">
        <v>2022</v>
      </c>
      <c r="C304" s="352" t="s">
        <v>241</v>
      </c>
      <c r="D304" s="352" t="s">
        <v>245</v>
      </c>
      <c r="E304" s="352" t="s">
        <v>10</v>
      </c>
      <c r="F304" s="331"/>
      <c r="G304" s="331"/>
      <c r="H304" s="335">
        <v>26</v>
      </c>
      <c r="I304" s="335">
        <v>26</v>
      </c>
      <c r="J304" s="335">
        <v>26</v>
      </c>
      <c r="K304" s="335">
        <v>26</v>
      </c>
      <c r="L304" s="335">
        <v>26</v>
      </c>
      <c r="M304" s="335">
        <v>26</v>
      </c>
      <c r="N304" s="335">
        <v>26</v>
      </c>
      <c r="O304" s="335">
        <v>26</v>
      </c>
      <c r="P304" s="335">
        <v>26</v>
      </c>
      <c r="Q304" s="335">
        <v>26</v>
      </c>
      <c r="R304" s="335">
        <v>26</v>
      </c>
      <c r="S304" s="335">
        <v>26</v>
      </c>
      <c r="T304" s="335">
        <v>26</v>
      </c>
      <c r="U304" s="335">
        <v>26</v>
      </c>
      <c r="V304" s="335">
        <v>26</v>
      </c>
      <c r="W304" s="335">
        <v>26</v>
      </c>
      <c r="X304" s="335">
        <v>26</v>
      </c>
      <c r="Y304" s="335">
        <v>26</v>
      </c>
      <c r="Z304" s="335">
        <v>26</v>
      </c>
      <c r="AA304" s="335">
        <v>26</v>
      </c>
      <c r="AB304" s="335">
        <v>26</v>
      </c>
      <c r="AC304" s="335">
        <v>26</v>
      </c>
      <c r="AD304" s="335">
        <v>26</v>
      </c>
      <c r="AE304" s="335">
        <v>26</v>
      </c>
      <c r="AF304" s="335">
        <v>26</v>
      </c>
      <c r="AG304" s="335">
        <v>26</v>
      </c>
      <c r="AH304" s="335">
        <v>26</v>
      </c>
      <c r="AI304" s="335">
        <v>26</v>
      </c>
      <c r="AJ304" s="335">
        <v>26</v>
      </c>
      <c r="AK304" s="335">
        <v>26</v>
      </c>
      <c r="AL304" s="335">
        <v>26</v>
      </c>
      <c r="AM304" s="335">
        <v>26</v>
      </c>
      <c r="AN304" s="335">
        <v>26</v>
      </c>
      <c r="AO304" s="335">
        <v>26</v>
      </c>
      <c r="AP304" s="335">
        <v>26</v>
      </c>
      <c r="AQ304" s="335">
        <v>26</v>
      </c>
      <c r="AR304" s="335">
        <v>26</v>
      </c>
      <c r="AS304" s="335">
        <v>26</v>
      </c>
      <c r="AT304" s="335">
        <v>26</v>
      </c>
      <c r="AU304" s="335">
        <v>26</v>
      </c>
      <c r="AV304" s="335">
        <v>26</v>
      </c>
      <c r="AW304" s="335">
        <v>26</v>
      </c>
      <c r="AX304" s="335">
        <v>26</v>
      </c>
      <c r="AY304" s="335">
        <v>26</v>
      </c>
      <c r="AZ304" s="335">
        <v>26</v>
      </c>
      <c r="BA304" s="335">
        <v>26</v>
      </c>
      <c r="BB304" s="335">
        <v>26</v>
      </c>
      <c r="BC304" s="335">
        <v>26</v>
      </c>
      <c r="BD304" s="335">
        <v>26</v>
      </c>
      <c r="BE304" s="335">
        <v>26</v>
      </c>
      <c r="BF304" s="335">
        <v>26</v>
      </c>
      <c r="BG304" s="335">
        <v>26</v>
      </c>
      <c r="BH304" s="335">
        <v>26</v>
      </c>
      <c r="BI304" s="335">
        <v>26</v>
      </c>
      <c r="BJ304" s="335">
        <v>26</v>
      </c>
      <c r="BK304" s="335">
        <v>26</v>
      </c>
      <c r="BL304" s="335">
        <v>26</v>
      </c>
      <c r="BM304" s="335">
        <v>26</v>
      </c>
      <c r="BN304" s="335">
        <v>26</v>
      </c>
      <c r="BO304" s="335">
        <v>26</v>
      </c>
      <c r="BP304" s="335">
        <v>26</v>
      </c>
      <c r="BQ304" s="335">
        <v>26</v>
      </c>
      <c r="BR304" s="335">
        <v>26</v>
      </c>
      <c r="BS304" s="335">
        <v>26</v>
      </c>
      <c r="BT304" s="335">
        <v>26</v>
      </c>
      <c r="BU304" s="335">
        <v>26</v>
      </c>
      <c r="BV304" s="335">
        <v>26</v>
      </c>
      <c r="BW304" s="335">
        <v>26</v>
      </c>
      <c r="BX304" s="335">
        <v>26</v>
      </c>
    </row>
    <row r="305" spans="2:76" hidden="1" outlineLevel="1">
      <c r="B305" s="352">
        <v>2022</v>
      </c>
      <c r="C305" s="352" t="s">
        <v>241</v>
      </c>
      <c r="D305" s="352" t="s">
        <v>245</v>
      </c>
      <c r="E305" s="352" t="s">
        <v>135</v>
      </c>
      <c r="F305" s="331"/>
      <c r="G305" s="331"/>
      <c r="H305" s="335">
        <v>26</v>
      </c>
      <c r="I305" s="335">
        <v>26</v>
      </c>
      <c r="J305" s="335">
        <v>26</v>
      </c>
      <c r="K305" s="335">
        <v>26</v>
      </c>
      <c r="L305" s="335">
        <v>26</v>
      </c>
      <c r="M305" s="335">
        <v>26</v>
      </c>
      <c r="N305" s="335">
        <v>26</v>
      </c>
      <c r="O305" s="335">
        <v>26</v>
      </c>
      <c r="P305" s="335">
        <v>26</v>
      </c>
      <c r="Q305" s="335">
        <v>26</v>
      </c>
      <c r="R305" s="335">
        <v>26</v>
      </c>
      <c r="S305" s="335">
        <v>26</v>
      </c>
      <c r="T305" s="335">
        <v>26</v>
      </c>
      <c r="U305" s="335">
        <v>26</v>
      </c>
      <c r="V305" s="335">
        <v>26</v>
      </c>
      <c r="W305" s="335">
        <v>26</v>
      </c>
      <c r="X305" s="335">
        <v>26</v>
      </c>
      <c r="Y305" s="335">
        <v>26</v>
      </c>
      <c r="Z305" s="335">
        <v>26</v>
      </c>
      <c r="AA305" s="335">
        <v>26</v>
      </c>
      <c r="AB305" s="335">
        <v>26</v>
      </c>
      <c r="AC305" s="335">
        <v>26</v>
      </c>
      <c r="AD305" s="335">
        <v>26</v>
      </c>
      <c r="AE305" s="335">
        <v>26</v>
      </c>
      <c r="AF305" s="335">
        <v>26</v>
      </c>
      <c r="AG305" s="335">
        <v>26</v>
      </c>
      <c r="AH305" s="335">
        <v>26</v>
      </c>
      <c r="AI305" s="335">
        <v>26</v>
      </c>
      <c r="AJ305" s="335">
        <v>26</v>
      </c>
      <c r="AK305" s="335">
        <v>26</v>
      </c>
      <c r="AL305" s="335">
        <v>26</v>
      </c>
      <c r="AM305" s="335">
        <v>26</v>
      </c>
      <c r="AN305" s="335">
        <v>26</v>
      </c>
      <c r="AO305" s="335">
        <v>26</v>
      </c>
      <c r="AP305" s="335">
        <v>26</v>
      </c>
      <c r="AQ305" s="335">
        <v>26</v>
      </c>
      <c r="AR305" s="335">
        <v>26</v>
      </c>
      <c r="AS305" s="335">
        <v>26</v>
      </c>
      <c r="AT305" s="335">
        <v>26</v>
      </c>
      <c r="AU305" s="335">
        <v>26</v>
      </c>
      <c r="AV305" s="335">
        <v>26</v>
      </c>
      <c r="AW305" s="335">
        <v>26</v>
      </c>
      <c r="AX305" s="335">
        <v>26</v>
      </c>
      <c r="AY305" s="335">
        <v>26</v>
      </c>
      <c r="AZ305" s="335">
        <v>26</v>
      </c>
      <c r="BA305" s="335">
        <v>26</v>
      </c>
      <c r="BB305" s="335">
        <v>26</v>
      </c>
      <c r="BC305" s="335">
        <v>26</v>
      </c>
      <c r="BD305" s="335">
        <v>26</v>
      </c>
      <c r="BE305" s="335">
        <v>26</v>
      </c>
      <c r="BF305" s="335">
        <v>26</v>
      </c>
      <c r="BG305" s="335">
        <v>26</v>
      </c>
      <c r="BH305" s="335">
        <v>26</v>
      </c>
      <c r="BI305" s="335">
        <v>26</v>
      </c>
      <c r="BJ305" s="335">
        <v>26</v>
      </c>
      <c r="BK305" s="335">
        <v>26</v>
      </c>
      <c r="BL305" s="335">
        <v>26</v>
      </c>
      <c r="BM305" s="335">
        <v>26</v>
      </c>
      <c r="BN305" s="335">
        <v>26</v>
      </c>
      <c r="BO305" s="335">
        <v>26</v>
      </c>
      <c r="BP305" s="335">
        <v>26</v>
      </c>
      <c r="BQ305" s="335">
        <v>26</v>
      </c>
      <c r="BR305" s="335">
        <v>26</v>
      </c>
      <c r="BS305" s="335">
        <v>26</v>
      </c>
      <c r="BT305" s="335">
        <v>26</v>
      </c>
      <c r="BU305" s="335">
        <v>26</v>
      </c>
      <c r="BV305" s="335">
        <v>26</v>
      </c>
      <c r="BW305" s="335">
        <v>26</v>
      </c>
      <c r="BX305" s="335">
        <v>26</v>
      </c>
    </row>
    <row r="306" spans="2:76" hidden="1" outlineLevel="1">
      <c r="B306" s="352">
        <v>2022</v>
      </c>
      <c r="C306" s="352" t="s">
        <v>241</v>
      </c>
      <c r="D306" s="352" t="s">
        <v>245</v>
      </c>
      <c r="E306" s="352" t="s">
        <v>136</v>
      </c>
      <c r="F306" s="331"/>
      <c r="G306" s="331"/>
      <c r="H306" s="335">
        <v>26</v>
      </c>
      <c r="I306" s="335">
        <v>26</v>
      </c>
      <c r="J306" s="335">
        <v>26</v>
      </c>
      <c r="K306" s="335">
        <v>26</v>
      </c>
      <c r="L306" s="335">
        <v>26</v>
      </c>
      <c r="M306" s="335">
        <v>26</v>
      </c>
      <c r="N306" s="335">
        <v>26</v>
      </c>
      <c r="O306" s="335">
        <v>26</v>
      </c>
      <c r="P306" s="335">
        <v>26</v>
      </c>
      <c r="Q306" s="335">
        <v>26</v>
      </c>
      <c r="R306" s="335">
        <v>26</v>
      </c>
      <c r="S306" s="335">
        <v>26</v>
      </c>
      <c r="T306" s="335">
        <v>26</v>
      </c>
      <c r="U306" s="335">
        <v>26</v>
      </c>
      <c r="V306" s="335">
        <v>26</v>
      </c>
      <c r="W306" s="335">
        <v>26</v>
      </c>
      <c r="X306" s="335">
        <v>26</v>
      </c>
      <c r="Y306" s="335">
        <v>26</v>
      </c>
      <c r="Z306" s="335">
        <v>26</v>
      </c>
      <c r="AA306" s="335">
        <v>26</v>
      </c>
      <c r="AB306" s="335">
        <v>26</v>
      </c>
      <c r="AC306" s="335">
        <v>26</v>
      </c>
      <c r="AD306" s="335">
        <v>26</v>
      </c>
      <c r="AE306" s="335">
        <v>26</v>
      </c>
      <c r="AF306" s="335">
        <v>26</v>
      </c>
      <c r="AG306" s="335">
        <v>26</v>
      </c>
      <c r="AH306" s="335">
        <v>26</v>
      </c>
      <c r="AI306" s="335">
        <v>26</v>
      </c>
      <c r="AJ306" s="335">
        <v>26</v>
      </c>
      <c r="AK306" s="335">
        <v>26</v>
      </c>
      <c r="AL306" s="335">
        <v>26</v>
      </c>
      <c r="AM306" s="335">
        <v>26</v>
      </c>
      <c r="AN306" s="335">
        <v>26</v>
      </c>
      <c r="AO306" s="335">
        <v>26</v>
      </c>
      <c r="AP306" s="335">
        <v>26</v>
      </c>
      <c r="AQ306" s="335">
        <v>26</v>
      </c>
      <c r="AR306" s="335">
        <v>26</v>
      </c>
      <c r="AS306" s="335">
        <v>26</v>
      </c>
      <c r="AT306" s="335">
        <v>26</v>
      </c>
      <c r="AU306" s="335">
        <v>26</v>
      </c>
      <c r="AV306" s="335">
        <v>26</v>
      </c>
      <c r="AW306" s="335">
        <v>26</v>
      </c>
      <c r="AX306" s="335">
        <v>26</v>
      </c>
      <c r="AY306" s="335">
        <v>26</v>
      </c>
      <c r="AZ306" s="335">
        <v>26</v>
      </c>
      <c r="BA306" s="335">
        <v>26</v>
      </c>
      <c r="BB306" s="335">
        <v>26</v>
      </c>
      <c r="BC306" s="335">
        <v>26</v>
      </c>
      <c r="BD306" s="335">
        <v>26</v>
      </c>
      <c r="BE306" s="335">
        <v>26</v>
      </c>
      <c r="BF306" s="335">
        <v>26</v>
      </c>
      <c r="BG306" s="335">
        <v>26</v>
      </c>
      <c r="BH306" s="335">
        <v>26</v>
      </c>
      <c r="BI306" s="335">
        <v>26</v>
      </c>
      <c r="BJ306" s="335">
        <v>26</v>
      </c>
      <c r="BK306" s="335">
        <v>26</v>
      </c>
      <c r="BL306" s="335">
        <v>26</v>
      </c>
      <c r="BM306" s="335">
        <v>26</v>
      </c>
      <c r="BN306" s="335">
        <v>26</v>
      </c>
      <c r="BO306" s="335">
        <v>26</v>
      </c>
      <c r="BP306" s="335">
        <v>26</v>
      </c>
      <c r="BQ306" s="335">
        <v>26</v>
      </c>
      <c r="BR306" s="335">
        <v>26</v>
      </c>
      <c r="BS306" s="335">
        <v>26</v>
      </c>
      <c r="BT306" s="335">
        <v>26</v>
      </c>
      <c r="BU306" s="335">
        <v>26</v>
      </c>
      <c r="BV306" s="335">
        <v>26</v>
      </c>
      <c r="BW306" s="335">
        <v>26</v>
      </c>
      <c r="BX306" s="335">
        <v>26</v>
      </c>
    </row>
    <row r="307" spans="2:76" hidden="1" outlineLevel="1">
      <c r="B307" s="352">
        <v>2022</v>
      </c>
      <c r="C307" s="352" t="s">
        <v>241</v>
      </c>
      <c r="D307" s="352" t="s">
        <v>245</v>
      </c>
      <c r="E307" s="352" t="s">
        <v>137</v>
      </c>
      <c r="F307" s="331"/>
      <c r="G307" s="331"/>
      <c r="H307" s="335">
        <v>26</v>
      </c>
      <c r="I307" s="335">
        <v>26</v>
      </c>
      <c r="J307" s="335">
        <v>26</v>
      </c>
      <c r="K307" s="335">
        <v>26</v>
      </c>
      <c r="L307" s="335">
        <v>26</v>
      </c>
      <c r="M307" s="335">
        <v>26</v>
      </c>
      <c r="N307" s="335">
        <v>26</v>
      </c>
      <c r="O307" s="335">
        <v>26</v>
      </c>
      <c r="P307" s="335">
        <v>26</v>
      </c>
      <c r="Q307" s="335">
        <v>26</v>
      </c>
      <c r="R307" s="335">
        <v>26</v>
      </c>
      <c r="S307" s="335">
        <v>26</v>
      </c>
      <c r="T307" s="335">
        <v>26</v>
      </c>
      <c r="U307" s="335">
        <v>26</v>
      </c>
      <c r="V307" s="335">
        <v>26</v>
      </c>
      <c r="W307" s="335">
        <v>26</v>
      </c>
      <c r="X307" s="335">
        <v>26</v>
      </c>
      <c r="Y307" s="335">
        <v>26</v>
      </c>
      <c r="Z307" s="335">
        <v>26</v>
      </c>
      <c r="AA307" s="335">
        <v>26</v>
      </c>
      <c r="AB307" s="335">
        <v>26</v>
      </c>
      <c r="AC307" s="335">
        <v>26</v>
      </c>
      <c r="AD307" s="335">
        <v>26</v>
      </c>
      <c r="AE307" s="335">
        <v>26</v>
      </c>
      <c r="AF307" s="335">
        <v>26</v>
      </c>
      <c r="AG307" s="335">
        <v>26</v>
      </c>
      <c r="AH307" s="335">
        <v>26</v>
      </c>
      <c r="AI307" s="335">
        <v>26</v>
      </c>
      <c r="AJ307" s="335">
        <v>26</v>
      </c>
      <c r="AK307" s="335">
        <v>26</v>
      </c>
      <c r="AL307" s="335">
        <v>26</v>
      </c>
      <c r="AM307" s="335">
        <v>26</v>
      </c>
      <c r="AN307" s="335">
        <v>26</v>
      </c>
      <c r="AO307" s="335">
        <v>26</v>
      </c>
      <c r="AP307" s="335">
        <v>26</v>
      </c>
      <c r="AQ307" s="335">
        <v>26</v>
      </c>
      <c r="AR307" s="335">
        <v>26</v>
      </c>
      <c r="AS307" s="335">
        <v>26</v>
      </c>
      <c r="AT307" s="335">
        <v>26</v>
      </c>
      <c r="AU307" s="335">
        <v>26</v>
      </c>
      <c r="AV307" s="335">
        <v>26</v>
      </c>
      <c r="AW307" s="335">
        <v>26</v>
      </c>
      <c r="AX307" s="335">
        <v>26</v>
      </c>
      <c r="AY307" s="335">
        <v>26</v>
      </c>
      <c r="AZ307" s="335">
        <v>26</v>
      </c>
      <c r="BA307" s="335">
        <v>26</v>
      </c>
      <c r="BB307" s="335">
        <v>26</v>
      </c>
      <c r="BC307" s="335">
        <v>26</v>
      </c>
      <c r="BD307" s="335">
        <v>26</v>
      </c>
      <c r="BE307" s="335">
        <v>26</v>
      </c>
      <c r="BF307" s="335">
        <v>26</v>
      </c>
      <c r="BG307" s="335">
        <v>26</v>
      </c>
      <c r="BH307" s="335">
        <v>26</v>
      </c>
      <c r="BI307" s="335">
        <v>26</v>
      </c>
      <c r="BJ307" s="335">
        <v>26</v>
      </c>
      <c r="BK307" s="335">
        <v>26</v>
      </c>
      <c r="BL307" s="335">
        <v>26</v>
      </c>
      <c r="BM307" s="335">
        <v>26</v>
      </c>
      <c r="BN307" s="335">
        <v>26</v>
      </c>
      <c r="BO307" s="335">
        <v>26</v>
      </c>
      <c r="BP307" s="335">
        <v>26</v>
      </c>
      <c r="BQ307" s="335">
        <v>26</v>
      </c>
      <c r="BR307" s="335">
        <v>26</v>
      </c>
      <c r="BS307" s="335">
        <v>26</v>
      </c>
      <c r="BT307" s="335">
        <v>26</v>
      </c>
      <c r="BU307" s="335">
        <v>26</v>
      </c>
      <c r="BV307" s="335">
        <v>26</v>
      </c>
      <c r="BW307" s="335">
        <v>26</v>
      </c>
      <c r="BX307" s="335">
        <v>26</v>
      </c>
    </row>
    <row r="308" spans="2:76" s="355" customFormat="1" hidden="1" outlineLevel="1">
      <c r="B308" s="353">
        <v>2022</v>
      </c>
      <c r="C308" s="353" t="s">
        <v>241</v>
      </c>
      <c r="D308" s="353" t="s">
        <v>245</v>
      </c>
      <c r="E308" s="353" t="s">
        <v>0</v>
      </c>
      <c r="F308" s="331"/>
      <c r="G308" s="331"/>
      <c r="H308" s="335">
        <v>0</v>
      </c>
      <c r="I308" s="335">
        <v>0</v>
      </c>
      <c r="J308" s="335">
        <v>0</v>
      </c>
      <c r="K308" s="335">
        <v>0</v>
      </c>
      <c r="L308" s="335">
        <v>0</v>
      </c>
      <c r="M308" s="335">
        <v>0</v>
      </c>
      <c r="N308" s="335">
        <v>0</v>
      </c>
      <c r="O308" s="335">
        <v>0</v>
      </c>
      <c r="P308" s="335">
        <v>0</v>
      </c>
      <c r="Q308" s="335">
        <v>0</v>
      </c>
      <c r="R308" s="335">
        <v>0</v>
      </c>
      <c r="S308" s="335">
        <v>0</v>
      </c>
      <c r="T308" s="335">
        <v>0</v>
      </c>
      <c r="U308" s="335">
        <v>0</v>
      </c>
      <c r="V308" s="335">
        <v>0</v>
      </c>
      <c r="W308" s="335">
        <v>0</v>
      </c>
      <c r="X308" s="335">
        <v>0</v>
      </c>
      <c r="Y308" s="335">
        <v>0</v>
      </c>
      <c r="Z308" s="335">
        <v>0</v>
      </c>
      <c r="AA308" s="335">
        <v>0</v>
      </c>
      <c r="AB308" s="335">
        <v>0</v>
      </c>
      <c r="AC308" s="335">
        <v>0</v>
      </c>
      <c r="AD308" s="335">
        <v>0</v>
      </c>
      <c r="AE308" s="335">
        <v>0</v>
      </c>
      <c r="AF308" s="335">
        <v>0</v>
      </c>
      <c r="AG308" s="335">
        <v>0</v>
      </c>
      <c r="AH308" s="335">
        <v>0</v>
      </c>
      <c r="AI308" s="335">
        <v>0</v>
      </c>
      <c r="AJ308" s="335">
        <v>0</v>
      </c>
      <c r="AK308" s="335">
        <v>0</v>
      </c>
      <c r="AL308" s="335">
        <v>0</v>
      </c>
      <c r="AM308" s="335">
        <v>0</v>
      </c>
      <c r="AN308" s="335">
        <v>0</v>
      </c>
      <c r="AO308" s="335">
        <v>0</v>
      </c>
      <c r="AP308" s="335">
        <v>0</v>
      </c>
      <c r="AQ308" s="335">
        <v>0</v>
      </c>
      <c r="AR308" s="335">
        <v>0</v>
      </c>
      <c r="AS308" s="335">
        <v>0</v>
      </c>
      <c r="AT308" s="335">
        <v>0</v>
      </c>
      <c r="AU308" s="335">
        <v>0</v>
      </c>
      <c r="AV308" s="335">
        <v>0</v>
      </c>
      <c r="AW308" s="335">
        <v>0</v>
      </c>
      <c r="AX308" s="335">
        <v>0</v>
      </c>
      <c r="AY308" s="335">
        <v>0</v>
      </c>
      <c r="AZ308" s="335">
        <v>0</v>
      </c>
      <c r="BA308" s="335">
        <v>0</v>
      </c>
      <c r="BB308" s="335">
        <v>0</v>
      </c>
      <c r="BC308" s="335">
        <v>0</v>
      </c>
      <c r="BD308" s="335">
        <v>0</v>
      </c>
      <c r="BE308" s="335">
        <v>0</v>
      </c>
      <c r="BF308" s="335">
        <v>0</v>
      </c>
      <c r="BG308" s="335">
        <v>0</v>
      </c>
      <c r="BH308" s="335">
        <v>0</v>
      </c>
      <c r="BI308" s="335">
        <v>0</v>
      </c>
      <c r="BJ308" s="335">
        <v>0</v>
      </c>
      <c r="BK308" s="335">
        <v>0</v>
      </c>
      <c r="BL308" s="335">
        <v>0</v>
      </c>
      <c r="BM308" s="335">
        <v>0</v>
      </c>
      <c r="BN308" s="335">
        <v>0</v>
      </c>
      <c r="BO308" s="335">
        <v>0</v>
      </c>
      <c r="BP308" s="335">
        <v>0</v>
      </c>
      <c r="BQ308" s="335">
        <v>0</v>
      </c>
      <c r="BR308" s="335">
        <v>0</v>
      </c>
      <c r="BS308" s="335">
        <v>0</v>
      </c>
      <c r="BT308" s="335">
        <v>0</v>
      </c>
      <c r="BU308" s="335">
        <v>0</v>
      </c>
      <c r="BV308" s="335">
        <v>0</v>
      </c>
      <c r="BW308" s="335">
        <v>0</v>
      </c>
      <c r="BX308" s="335">
        <v>0</v>
      </c>
    </row>
    <row r="309" spans="2:76" s="355" customFormat="1" hidden="1" outlineLevel="1">
      <c r="B309" s="353">
        <v>2022</v>
      </c>
      <c r="C309" s="353" t="s">
        <v>241</v>
      </c>
      <c r="D309" s="353" t="s">
        <v>245</v>
      </c>
      <c r="E309" s="353" t="s">
        <v>1</v>
      </c>
      <c r="F309" s="331"/>
      <c r="G309" s="331"/>
      <c r="H309" s="335">
        <v>0</v>
      </c>
      <c r="I309" s="335">
        <v>0</v>
      </c>
      <c r="J309" s="335">
        <v>0</v>
      </c>
      <c r="K309" s="335">
        <v>0</v>
      </c>
      <c r="L309" s="335">
        <v>0</v>
      </c>
      <c r="M309" s="335">
        <v>0</v>
      </c>
      <c r="N309" s="335">
        <v>0</v>
      </c>
      <c r="O309" s="335">
        <v>0</v>
      </c>
      <c r="P309" s="335">
        <v>0</v>
      </c>
      <c r="Q309" s="335">
        <v>0</v>
      </c>
      <c r="R309" s="335">
        <v>0</v>
      </c>
      <c r="S309" s="335">
        <v>0</v>
      </c>
      <c r="T309" s="335">
        <v>0</v>
      </c>
      <c r="U309" s="335">
        <v>0</v>
      </c>
      <c r="V309" s="335">
        <v>0</v>
      </c>
      <c r="W309" s="335">
        <v>0</v>
      </c>
      <c r="X309" s="335">
        <v>0</v>
      </c>
      <c r="Y309" s="335">
        <v>0</v>
      </c>
      <c r="Z309" s="335">
        <v>0</v>
      </c>
      <c r="AA309" s="335">
        <v>0</v>
      </c>
      <c r="AB309" s="335">
        <v>0</v>
      </c>
      <c r="AC309" s="335">
        <v>0</v>
      </c>
      <c r="AD309" s="335">
        <v>0</v>
      </c>
      <c r="AE309" s="335">
        <v>0</v>
      </c>
      <c r="AF309" s="335">
        <v>0</v>
      </c>
      <c r="AG309" s="335">
        <v>0</v>
      </c>
      <c r="AH309" s="335">
        <v>0</v>
      </c>
      <c r="AI309" s="335">
        <v>0</v>
      </c>
      <c r="AJ309" s="335">
        <v>0</v>
      </c>
      <c r="AK309" s="335">
        <v>0</v>
      </c>
      <c r="AL309" s="335">
        <v>0</v>
      </c>
      <c r="AM309" s="335">
        <v>0</v>
      </c>
      <c r="AN309" s="335">
        <v>0</v>
      </c>
      <c r="AO309" s="335">
        <v>0</v>
      </c>
      <c r="AP309" s="335">
        <v>0</v>
      </c>
      <c r="AQ309" s="335">
        <v>0</v>
      </c>
      <c r="AR309" s="335">
        <v>0</v>
      </c>
      <c r="AS309" s="335">
        <v>0</v>
      </c>
      <c r="AT309" s="335">
        <v>0</v>
      </c>
      <c r="AU309" s="335">
        <v>0</v>
      </c>
      <c r="AV309" s="335">
        <v>0</v>
      </c>
      <c r="AW309" s="335">
        <v>0</v>
      </c>
      <c r="AX309" s="335">
        <v>0</v>
      </c>
      <c r="AY309" s="335">
        <v>0</v>
      </c>
      <c r="AZ309" s="335">
        <v>0</v>
      </c>
      <c r="BA309" s="335">
        <v>0</v>
      </c>
      <c r="BB309" s="335">
        <v>0</v>
      </c>
      <c r="BC309" s="335">
        <v>0</v>
      </c>
      <c r="BD309" s="335">
        <v>0</v>
      </c>
      <c r="BE309" s="335">
        <v>0</v>
      </c>
      <c r="BF309" s="335">
        <v>0</v>
      </c>
      <c r="BG309" s="335">
        <v>0</v>
      </c>
      <c r="BH309" s="335">
        <v>0</v>
      </c>
      <c r="BI309" s="335">
        <v>0</v>
      </c>
      <c r="BJ309" s="335">
        <v>0</v>
      </c>
      <c r="BK309" s="335">
        <v>0</v>
      </c>
      <c r="BL309" s="335">
        <v>0</v>
      </c>
      <c r="BM309" s="335">
        <v>0</v>
      </c>
      <c r="BN309" s="335">
        <v>0</v>
      </c>
      <c r="BO309" s="335">
        <v>0</v>
      </c>
      <c r="BP309" s="335">
        <v>0</v>
      </c>
      <c r="BQ309" s="335">
        <v>0</v>
      </c>
      <c r="BR309" s="335">
        <v>0</v>
      </c>
      <c r="BS309" s="335">
        <v>0</v>
      </c>
      <c r="BT309" s="335">
        <v>0</v>
      </c>
      <c r="BU309" s="335">
        <v>0</v>
      </c>
      <c r="BV309" s="335">
        <v>0</v>
      </c>
      <c r="BW309" s="335">
        <v>0</v>
      </c>
      <c r="BX309" s="335">
        <v>0</v>
      </c>
    </row>
    <row r="310" spans="2:76" s="355" customFormat="1" hidden="1" outlineLevel="1">
      <c r="B310" s="353">
        <v>2022</v>
      </c>
      <c r="C310" s="353" t="s">
        <v>241</v>
      </c>
      <c r="D310" s="353" t="s">
        <v>245</v>
      </c>
      <c r="E310" s="353" t="s">
        <v>2</v>
      </c>
      <c r="F310" s="331"/>
      <c r="G310" s="331"/>
      <c r="H310" s="335">
        <v>0</v>
      </c>
      <c r="I310" s="335">
        <v>0</v>
      </c>
      <c r="J310" s="335">
        <v>0</v>
      </c>
      <c r="K310" s="335">
        <v>0</v>
      </c>
      <c r="L310" s="335">
        <v>0</v>
      </c>
      <c r="M310" s="335">
        <v>0</v>
      </c>
      <c r="N310" s="335">
        <v>0</v>
      </c>
      <c r="O310" s="335">
        <v>0</v>
      </c>
      <c r="P310" s="335">
        <v>0</v>
      </c>
      <c r="Q310" s="335">
        <v>0</v>
      </c>
      <c r="R310" s="335">
        <v>0</v>
      </c>
      <c r="S310" s="335">
        <v>0</v>
      </c>
      <c r="T310" s="335">
        <v>0</v>
      </c>
      <c r="U310" s="335">
        <v>0</v>
      </c>
      <c r="V310" s="335">
        <v>0</v>
      </c>
      <c r="W310" s="335">
        <v>0</v>
      </c>
      <c r="X310" s="335">
        <v>0</v>
      </c>
      <c r="Y310" s="335">
        <v>0</v>
      </c>
      <c r="Z310" s="335">
        <v>0</v>
      </c>
      <c r="AA310" s="335">
        <v>0</v>
      </c>
      <c r="AB310" s="335">
        <v>0</v>
      </c>
      <c r="AC310" s="335">
        <v>0</v>
      </c>
      <c r="AD310" s="335">
        <v>0</v>
      </c>
      <c r="AE310" s="335">
        <v>0</v>
      </c>
      <c r="AF310" s="335">
        <v>0</v>
      </c>
      <c r="AG310" s="335">
        <v>0</v>
      </c>
      <c r="AH310" s="335">
        <v>0</v>
      </c>
      <c r="AI310" s="335">
        <v>0</v>
      </c>
      <c r="AJ310" s="335">
        <v>0</v>
      </c>
      <c r="AK310" s="335">
        <v>0</v>
      </c>
      <c r="AL310" s="335">
        <v>0</v>
      </c>
      <c r="AM310" s="335">
        <v>0</v>
      </c>
      <c r="AN310" s="335">
        <v>0</v>
      </c>
      <c r="AO310" s="335">
        <v>0</v>
      </c>
      <c r="AP310" s="335">
        <v>0</v>
      </c>
      <c r="AQ310" s="335">
        <v>0</v>
      </c>
      <c r="AR310" s="335">
        <v>0</v>
      </c>
      <c r="AS310" s="335">
        <v>0</v>
      </c>
      <c r="AT310" s="335">
        <v>0</v>
      </c>
      <c r="AU310" s="335">
        <v>0</v>
      </c>
      <c r="AV310" s="335">
        <v>0</v>
      </c>
      <c r="AW310" s="335">
        <v>0</v>
      </c>
      <c r="AX310" s="335">
        <v>0</v>
      </c>
      <c r="AY310" s="335">
        <v>0</v>
      </c>
      <c r="AZ310" s="335">
        <v>0</v>
      </c>
      <c r="BA310" s="335">
        <v>0</v>
      </c>
      <c r="BB310" s="335">
        <v>0</v>
      </c>
      <c r="BC310" s="335">
        <v>0</v>
      </c>
      <c r="BD310" s="335">
        <v>0</v>
      </c>
      <c r="BE310" s="335">
        <v>0</v>
      </c>
      <c r="BF310" s="335">
        <v>0</v>
      </c>
      <c r="BG310" s="335">
        <v>0</v>
      </c>
      <c r="BH310" s="335">
        <v>0</v>
      </c>
      <c r="BI310" s="335">
        <v>0</v>
      </c>
      <c r="BJ310" s="335">
        <v>0</v>
      </c>
      <c r="BK310" s="335">
        <v>0</v>
      </c>
      <c r="BL310" s="335">
        <v>0</v>
      </c>
      <c r="BM310" s="335">
        <v>0</v>
      </c>
      <c r="BN310" s="335">
        <v>0</v>
      </c>
      <c r="BO310" s="335">
        <v>0</v>
      </c>
      <c r="BP310" s="335">
        <v>0</v>
      </c>
      <c r="BQ310" s="335">
        <v>0</v>
      </c>
      <c r="BR310" s="335">
        <v>0</v>
      </c>
      <c r="BS310" s="335">
        <v>0</v>
      </c>
      <c r="BT310" s="335">
        <v>0</v>
      </c>
      <c r="BU310" s="335">
        <v>0</v>
      </c>
      <c r="BV310" s="335">
        <v>0</v>
      </c>
      <c r="BW310" s="335">
        <v>0</v>
      </c>
      <c r="BX310" s="335">
        <v>0</v>
      </c>
    </row>
    <row r="311" spans="2:76" s="355" customFormat="1" hidden="1" outlineLevel="1">
      <c r="B311" s="353">
        <v>2022</v>
      </c>
      <c r="C311" s="353" t="s">
        <v>241</v>
      </c>
      <c r="D311" s="353" t="s">
        <v>245</v>
      </c>
      <c r="E311" s="353" t="s">
        <v>20</v>
      </c>
      <c r="F311" s="331"/>
      <c r="G311" s="331"/>
      <c r="H311" s="335">
        <v>0</v>
      </c>
      <c r="I311" s="335">
        <v>0</v>
      </c>
      <c r="J311" s="335">
        <v>0</v>
      </c>
      <c r="K311" s="335">
        <v>0</v>
      </c>
      <c r="L311" s="335">
        <v>0</v>
      </c>
      <c r="M311" s="335">
        <v>0</v>
      </c>
      <c r="N311" s="335">
        <v>0</v>
      </c>
      <c r="O311" s="335">
        <v>0</v>
      </c>
      <c r="P311" s="335">
        <v>0</v>
      </c>
      <c r="Q311" s="335">
        <v>0</v>
      </c>
      <c r="R311" s="335">
        <v>0</v>
      </c>
      <c r="S311" s="335">
        <v>0</v>
      </c>
      <c r="T311" s="335">
        <v>0</v>
      </c>
      <c r="U311" s="335">
        <v>0</v>
      </c>
      <c r="V311" s="335">
        <v>0</v>
      </c>
      <c r="W311" s="335">
        <v>0</v>
      </c>
      <c r="X311" s="335">
        <v>0</v>
      </c>
      <c r="Y311" s="335">
        <v>0</v>
      </c>
      <c r="Z311" s="335">
        <v>0</v>
      </c>
      <c r="AA311" s="335">
        <v>0</v>
      </c>
      <c r="AB311" s="335">
        <v>0</v>
      </c>
      <c r="AC311" s="335">
        <v>0</v>
      </c>
      <c r="AD311" s="335">
        <v>0</v>
      </c>
      <c r="AE311" s="335">
        <v>0</v>
      </c>
      <c r="AF311" s="335">
        <v>0</v>
      </c>
      <c r="AG311" s="335">
        <v>0</v>
      </c>
      <c r="AH311" s="335">
        <v>0</v>
      </c>
      <c r="AI311" s="335">
        <v>0</v>
      </c>
      <c r="AJ311" s="335">
        <v>0</v>
      </c>
      <c r="AK311" s="335">
        <v>0</v>
      </c>
      <c r="AL311" s="335">
        <v>0</v>
      </c>
      <c r="AM311" s="335">
        <v>0</v>
      </c>
      <c r="AN311" s="335">
        <v>0</v>
      </c>
      <c r="AO311" s="335">
        <v>0</v>
      </c>
      <c r="AP311" s="335">
        <v>0</v>
      </c>
      <c r="AQ311" s="335">
        <v>0</v>
      </c>
      <c r="AR311" s="335">
        <v>0</v>
      </c>
      <c r="AS311" s="335">
        <v>0</v>
      </c>
      <c r="AT311" s="335">
        <v>0</v>
      </c>
      <c r="AU311" s="335">
        <v>0</v>
      </c>
      <c r="AV311" s="335">
        <v>0</v>
      </c>
      <c r="AW311" s="335">
        <v>0</v>
      </c>
      <c r="AX311" s="335">
        <v>0</v>
      </c>
      <c r="AY311" s="335">
        <v>0</v>
      </c>
      <c r="AZ311" s="335">
        <v>0</v>
      </c>
      <c r="BA311" s="335">
        <v>0</v>
      </c>
      <c r="BB311" s="335">
        <v>0</v>
      </c>
      <c r="BC311" s="335">
        <v>0</v>
      </c>
      <c r="BD311" s="335">
        <v>0</v>
      </c>
      <c r="BE311" s="335">
        <v>0</v>
      </c>
      <c r="BF311" s="335">
        <v>0</v>
      </c>
      <c r="BG311" s="335">
        <v>0</v>
      </c>
      <c r="BH311" s="335">
        <v>0</v>
      </c>
      <c r="BI311" s="335">
        <v>0</v>
      </c>
      <c r="BJ311" s="335">
        <v>0</v>
      </c>
      <c r="BK311" s="335">
        <v>0</v>
      </c>
      <c r="BL311" s="335">
        <v>0</v>
      </c>
      <c r="BM311" s="335">
        <v>0</v>
      </c>
      <c r="BN311" s="335">
        <v>0</v>
      </c>
      <c r="BO311" s="335">
        <v>0</v>
      </c>
      <c r="BP311" s="335">
        <v>0</v>
      </c>
      <c r="BQ311" s="335">
        <v>0</v>
      </c>
      <c r="BR311" s="335">
        <v>0</v>
      </c>
      <c r="BS311" s="335">
        <v>0</v>
      </c>
      <c r="BT311" s="335">
        <v>0</v>
      </c>
      <c r="BU311" s="335">
        <v>0</v>
      </c>
      <c r="BV311" s="335">
        <v>0</v>
      </c>
      <c r="BW311" s="335">
        <v>0</v>
      </c>
      <c r="BX311" s="335">
        <v>0</v>
      </c>
    </row>
    <row r="312" spans="2:76" s="355" customFormat="1" hidden="1" outlineLevel="1">
      <c r="B312" s="353">
        <v>2022</v>
      </c>
      <c r="C312" s="353" t="s">
        <v>241</v>
      </c>
      <c r="D312" s="353" t="s">
        <v>245</v>
      </c>
      <c r="E312" s="353" t="s">
        <v>21</v>
      </c>
      <c r="F312" s="331"/>
      <c r="G312" s="331"/>
      <c r="H312" s="335">
        <v>0</v>
      </c>
      <c r="I312" s="335">
        <v>0</v>
      </c>
      <c r="J312" s="335">
        <v>0</v>
      </c>
      <c r="K312" s="335">
        <v>0</v>
      </c>
      <c r="L312" s="335">
        <v>0</v>
      </c>
      <c r="M312" s="335">
        <v>0</v>
      </c>
      <c r="N312" s="335">
        <v>0</v>
      </c>
      <c r="O312" s="335">
        <v>0</v>
      </c>
      <c r="P312" s="335">
        <v>0</v>
      </c>
      <c r="Q312" s="335">
        <v>0</v>
      </c>
      <c r="R312" s="335">
        <v>0</v>
      </c>
      <c r="S312" s="335">
        <v>0</v>
      </c>
      <c r="T312" s="335">
        <v>0</v>
      </c>
      <c r="U312" s="335">
        <v>0</v>
      </c>
      <c r="V312" s="335">
        <v>0</v>
      </c>
      <c r="W312" s="335">
        <v>0</v>
      </c>
      <c r="X312" s="335">
        <v>0</v>
      </c>
      <c r="Y312" s="335">
        <v>0</v>
      </c>
      <c r="Z312" s="335">
        <v>0</v>
      </c>
      <c r="AA312" s="335">
        <v>0</v>
      </c>
      <c r="AB312" s="335">
        <v>0</v>
      </c>
      <c r="AC312" s="335">
        <v>0</v>
      </c>
      <c r="AD312" s="335">
        <v>0</v>
      </c>
      <c r="AE312" s="335">
        <v>0</v>
      </c>
      <c r="AF312" s="335">
        <v>0</v>
      </c>
      <c r="AG312" s="335">
        <v>0</v>
      </c>
      <c r="AH312" s="335">
        <v>0</v>
      </c>
      <c r="AI312" s="335">
        <v>0</v>
      </c>
      <c r="AJ312" s="335">
        <v>0</v>
      </c>
      <c r="AK312" s="335">
        <v>0</v>
      </c>
      <c r="AL312" s="335">
        <v>0</v>
      </c>
      <c r="AM312" s="335">
        <v>0</v>
      </c>
      <c r="AN312" s="335">
        <v>0</v>
      </c>
      <c r="AO312" s="335">
        <v>0</v>
      </c>
      <c r="AP312" s="335">
        <v>0</v>
      </c>
      <c r="AQ312" s="335">
        <v>0</v>
      </c>
      <c r="AR312" s="335">
        <v>0</v>
      </c>
      <c r="AS312" s="335">
        <v>0</v>
      </c>
      <c r="AT312" s="335">
        <v>0</v>
      </c>
      <c r="AU312" s="335">
        <v>0</v>
      </c>
      <c r="AV312" s="335">
        <v>0</v>
      </c>
      <c r="AW312" s="335">
        <v>0</v>
      </c>
      <c r="AX312" s="335">
        <v>0</v>
      </c>
      <c r="AY312" s="335">
        <v>0</v>
      </c>
      <c r="AZ312" s="335">
        <v>0</v>
      </c>
      <c r="BA312" s="335">
        <v>0</v>
      </c>
      <c r="BB312" s="335">
        <v>0</v>
      </c>
      <c r="BC312" s="335">
        <v>0</v>
      </c>
      <c r="BD312" s="335">
        <v>0</v>
      </c>
      <c r="BE312" s="335">
        <v>0</v>
      </c>
      <c r="BF312" s="335">
        <v>0</v>
      </c>
      <c r="BG312" s="335">
        <v>0</v>
      </c>
      <c r="BH312" s="335">
        <v>0</v>
      </c>
      <c r="BI312" s="335">
        <v>0</v>
      </c>
      <c r="BJ312" s="335">
        <v>0</v>
      </c>
      <c r="BK312" s="335">
        <v>0</v>
      </c>
      <c r="BL312" s="335">
        <v>0</v>
      </c>
      <c r="BM312" s="335">
        <v>0</v>
      </c>
      <c r="BN312" s="335">
        <v>0</v>
      </c>
      <c r="BO312" s="335">
        <v>0</v>
      </c>
      <c r="BP312" s="335">
        <v>0</v>
      </c>
      <c r="BQ312" s="335">
        <v>0</v>
      </c>
      <c r="BR312" s="335">
        <v>0</v>
      </c>
      <c r="BS312" s="335">
        <v>0</v>
      </c>
      <c r="BT312" s="335">
        <v>0</v>
      </c>
      <c r="BU312" s="335">
        <v>0</v>
      </c>
      <c r="BV312" s="335">
        <v>0</v>
      </c>
      <c r="BW312" s="335">
        <v>0</v>
      </c>
      <c r="BX312" s="335">
        <v>0</v>
      </c>
    </row>
    <row r="313" spans="2:76" collapsed="1">
      <c r="F313" s="330"/>
      <c r="G313" s="330"/>
      <c r="H313" s="330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  <c r="AA313" s="330"/>
      <c r="AB313" s="330"/>
      <c r="AC313" s="330"/>
      <c r="AD313" s="330"/>
      <c r="AE313" s="330"/>
      <c r="AF313" s="330"/>
      <c r="AG313" s="330"/>
      <c r="AH313" s="330"/>
      <c r="AI313" s="330"/>
      <c r="AJ313" s="330"/>
    </row>
    <row r="314" spans="2:76">
      <c r="B314" s="259" t="str">
        <f>D314</f>
        <v>Forced Outage (%)</v>
      </c>
      <c r="D314" s="259" t="s">
        <v>110</v>
      </c>
      <c r="F314" s="259"/>
      <c r="G314" s="259"/>
      <c r="H314" s="259"/>
      <c r="I314" s="259"/>
      <c r="J314" s="259"/>
      <c r="K314" s="259"/>
      <c r="L314" s="259"/>
      <c r="M314" s="259"/>
      <c r="N314" s="259"/>
      <c r="O314" s="259"/>
      <c r="P314" s="259"/>
      <c r="Q314" s="259"/>
      <c r="R314" s="259"/>
      <c r="S314" s="259"/>
      <c r="T314" s="259"/>
      <c r="U314" s="259"/>
      <c r="V314" s="259"/>
      <c r="W314" s="259"/>
      <c r="X314" s="259"/>
      <c r="Y314" s="259"/>
      <c r="Z314" s="259"/>
      <c r="AA314" s="259"/>
      <c r="AB314" s="259"/>
      <c r="AC314" s="259"/>
      <c r="AD314" s="259"/>
      <c r="AE314" s="259"/>
      <c r="AF314" s="259"/>
      <c r="AG314" s="259"/>
      <c r="AH314" s="259"/>
      <c r="AI314" s="259"/>
      <c r="AJ314" s="259"/>
      <c r="AK314" s="259"/>
      <c r="AL314" s="259"/>
      <c r="AM314" s="259"/>
      <c r="AN314" s="259"/>
      <c r="AO314" s="259"/>
      <c r="AP314" s="259"/>
      <c r="AQ314" s="259"/>
      <c r="AR314" s="259"/>
      <c r="AS314" s="259"/>
      <c r="AT314" s="259"/>
      <c r="AU314" s="259"/>
      <c r="AV314" s="259"/>
      <c r="AW314" s="259"/>
      <c r="AX314" s="259"/>
      <c r="AY314" s="259"/>
      <c r="AZ314" s="259"/>
      <c r="BA314" s="259"/>
      <c r="BB314" s="259"/>
      <c r="BC314" s="259"/>
      <c r="BD314" s="259"/>
      <c r="BE314" s="259"/>
      <c r="BF314" s="259"/>
      <c r="BG314" s="259"/>
      <c r="BH314" s="259"/>
      <c r="BI314" s="259"/>
      <c r="BJ314" s="259"/>
      <c r="BK314" s="259"/>
      <c r="BL314" s="259"/>
      <c r="BM314" s="259"/>
      <c r="BN314" s="259"/>
      <c r="BO314" s="259"/>
      <c r="BP314" s="259"/>
      <c r="BQ314" s="259"/>
      <c r="BR314" s="259"/>
      <c r="BS314" s="259"/>
      <c r="BT314" s="259"/>
      <c r="BU314" s="259"/>
      <c r="BV314" s="259"/>
      <c r="BW314" s="259"/>
      <c r="BX314" s="259"/>
    </row>
    <row r="315" spans="2:76" hidden="1" outlineLevel="1">
      <c r="B315" s="353"/>
      <c r="C315" s="353" t="s">
        <v>231</v>
      </c>
      <c r="D315" s="353" t="s">
        <v>110</v>
      </c>
      <c r="E315" s="353" t="s">
        <v>0</v>
      </c>
      <c r="F315" s="339">
        <v>0</v>
      </c>
      <c r="G315" s="339">
        <v>0</v>
      </c>
      <c r="H315" s="339">
        <v>0.03</v>
      </c>
      <c r="I315" s="339">
        <v>0.03</v>
      </c>
      <c r="J315" s="339">
        <v>0.03</v>
      </c>
      <c r="K315" s="339">
        <v>0.03</v>
      </c>
      <c r="L315" s="339">
        <v>0.03</v>
      </c>
      <c r="M315" s="339">
        <v>0.03</v>
      </c>
      <c r="N315" s="339">
        <v>0.03</v>
      </c>
      <c r="O315" s="339">
        <v>0.03</v>
      </c>
      <c r="P315" s="339">
        <v>0.03</v>
      </c>
      <c r="Q315" s="339">
        <v>0.03</v>
      </c>
      <c r="R315" s="339">
        <v>0.03</v>
      </c>
      <c r="S315" s="339">
        <v>0.03</v>
      </c>
      <c r="T315" s="339">
        <v>0.03</v>
      </c>
      <c r="U315" s="339">
        <v>0.03</v>
      </c>
      <c r="V315" s="339">
        <v>0.03</v>
      </c>
      <c r="W315" s="339">
        <v>0.03</v>
      </c>
      <c r="X315" s="339">
        <v>0.03</v>
      </c>
      <c r="Y315" s="339">
        <v>0.03</v>
      </c>
      <c r="Z315" s="339">
        <v>0.03</v>
      </c>
      <c r="AA315" s="339">
        <v>0.03</v>
      </c>
      <c r="AB315" s="339">
        <v>0.03</v>
      </c>
      <c r="AC315" s="339">
        <v>0.03</v>
      </c>
      <c r="AD315" s="339">
        <v>0.03</v>
      </c>
      <c r="AE315" s="339">
        <v>0.03</v>
      </c>
      <c r="AF315" s="339">
        <v>0.03</v>
      </c>
      <c r="AG315" s="339">
        <v>0.03</v>
      </c>
      <c r="AH315" s="339">
        <v>0.03</v>
      </c>
      <c r="AI315" s="339">
        <v>0.03</v>
      </c>
      <c r="AJ315" s="339">
        <v>0.03</v>
      </c>
      <c r="AK315" s="339">
        <v>0.03</v>
      </c>
      <c r="AL315" s="339">
        <v>0.03</v>
      </c>
      <c r="AM315" s="339">
        <v>0.03</v>
      </c>
      <c r="AN315" s="339">
        <v>0.03</v>
      </c>
      <c r="AO315" s="339">
        <v>0.03</v>
      </c>
      <c r="AP315" s="339">
        <v>0.03</v>
      </c>
      <c r="AQ315" s="339">
        <v>0.03</v>
      </c>
      <c r="AR315" s="339">
        <v>0.03</v>
      </c>
      <c r="AS315" s="339">
        <v>0.03</v>
      </c>
      <c r="AT315" s="339">
        <v>0.03</v>
      </c>
      <c r="AU315" s="339">
        <v>0.03</v>
      </c>
      <c r="AV315" s="339">
        <v>0.03</v>
      </c>
      <c r="AW315" s="339">
        <v>0.03</v>
      </c>
      <c r="AX315" s="339">
        <v>0.03</v>
      </c>
      <c r="AY315" s="339">
        <v>0.03</v>
      </c>
      <c r="AZ315" s="339">
        <v>0.03</v>
      </c>
      <c r="BA315" s="339">
        <v>0.03</v>
      </c>
      <c r="BB315" s="339">
        <v>0.03</v>
      </c>
      <c r="BC315" s="339">
        <v>0.03</v>
      </c>
      <c r="BD315" s="339">
        <v>0.03</v>
      </c>
      <c r="BE315" s="339">
        <v>0.03</v>
      </c>
      <c r="BF315" s="339">
        <v>0.03</v>
      </c>
      <c r="BG315" s="339">
        <v>0.03</v>
      </c>
      <c r="BH315" s="339">
        <v>0.03</v>
      </c>
      <c r="BI315" s="339">
        <v>0.03</v>
      </c>
      <c r="BJ315" s="339">
        <v>0.03</v>
      </c>
      <c r="BK315" s="339">
        <v>0.03</v>
      </c>
      <c r="BL315" s="339">
        <v>0.03</v>
      </c>
      <c r="BM315" s="339">
        <v>0.03</v>
      </c>
      <c r="BN315" s="339">
        <v>0.03</v>
      </c>
      <c r="BO315" s="339">
        <v>0.03</v>
      </c>
      <c r="BP315" s="339">
        <v>0.03</v>
      </c>
      <c r="BQ315" s="339">
        <v>0.03</v>
      </c>
      <c r="BR315" s="339">
        <v>0.03</v>
      </c>
      <c r="BS315" s="339">
        <v>0.03</v>
      </c>
      <c r="BT315" s="339">
        <v>0.03</v>
      </c>
      <c r="BU315" s="339">
        <v>0.03</v>
      </c>
      <c r="BV315" s="339">
        <v>0.03</v>
      </c>
      <c r="BW315" s="339">
        <v>0.03</v>
      </c>
      <c r="BX315" s="339">
        <v>0.03</v>
      </c>
    </row>
    <row r="316" spans="2:76" hidden="1" outlineLevel="1">
      <c r="B316" s="353"/>
      <c r="C316" s="353" t="s">
        <v>231</v>
      </c>
      <c r="D316" s="353" t="s">
        <v>110</v>
      </c>
      <c r="E316" s="353" t="s">
        <v>1</v>
      </c>
      <c r="F316" s="339">
        <v>0</v>
      </c>
      <c r="G316" s="339">
        <v>0</v>
      </c>
      <c r="H316" s="339">
        <v>0.03</v>
      </c>
      <c r="I316" s="339">
        <v>0.03</v>
      </c>
      <c r="J316" s="339">
        <v>0.03</v>
      </c>
      <c r="K316" s="339">
        <v>0.03</v>
      </c>
      <c r="L316" s="339">
        <v>0.03</v>
      </c>
      <c r="M316" s="339">
        <v>0.03</v>
      </c>
      <c r="N316" s="339">
        <v>0.03</v>
      </c>
      <c r="O316" s="339">
        <v>0.03</v>
      </c>
      <c r="P316" s="339">
        <v>0.03</v>
      </c>
      <c r="Q316" s="339">
        <v>0.03</v>
      </c>
      <c r="R316" s="339">
        <v>0.03</v>
      </c>
      <c r="S316" s="339">
        <v>0.03</v>
      </c>
      <c r="T316" s="339">
        <v>0.03</v>
      </c>
      <c r="U316" s="339">
        <v>0.03</v>
      </c>
      <c r="V316" s="339">
        <v>0.03</v>
      </c>
      <c r="W316" s="339">
        <v>0.03</v>
      </c>
      <c r="X316" s="339">
        <v>0.03</v>
      </c>
      <c r="Y316" s="339">
        <v>0.03</v>
      </c>
      <c r="Z316" s="339">
        <v>0.03</v>
      </c>
      <c r="AA316" s="339">
        <v>0.03</v>
      </c>
      <c r="AB316" s="339">
        <v>0.03</v>
      </c>
      <c r="AC316" s="339">
        <v>0.03</v>
      </c>
      <c r="AD316" s="339">
        <v>0.03</v>
      </c>
      <c r="AE316" s="339">
        <v>0.03</v>
      </c>
      <c r="AF316" s="339">
        <v>0.03</v>
      </c>
      <c r="AG316" s="339">
        <v>0.03</v>
      </c>
      <c r="AH316" s="339">
        <v>0.03</v>
      </c>
      <c r="AI316" s="339">
        <v>0.03</v>
      </c>
      <c r="AJ316" s="339">
        <v>0.03</v>
      </c>
      <c r="AK316" s="339">
        <v>0.03</v>
      </c>
      <c r="AL316" s="339">
        <v>0.03</v>
      </c>
      <c r="AM316" s="339">
        <v>0.03</v>
      </c>
      <c r="AN316" s="339">
        <v>0.03</v>
      </c>
      <c r="AO316" s="339">
        <v>0.03</v>
      </c>
      <c r="AP316" s="339">
        <v>0.03</v>
      </c>
      <c r="AQ316" s="339">
        <v>0.03</v>
      </c>
      <c r="AR316" s="339">
        <v>0.03</v>
      </c>
      <c r="AS316" s="339">
        <v>0.03</v>
      </c>
      <c r="AT316" s="339">
        <v>0.03</v>
      </c>
      <c r="AU316" s="339">
        <v>0.03</v>
      </c>
      <c r="AV316" s="339">
        <v>0.03</v>
      </c>
      <c r="AW316" s="339">
        <v>0.03</v>
      </c>
      <c r="AX316" s="339">
        <v>0.03</v>
      </c>
      <c r="AY316" s="339">
        <v>0.03</v>
      </c>
      <c r="AZ316" s="339">
        <v>0.03</v>
      </c>
      <c r="BA316" s="339">
        <v>0.03</v>
      </c>
      <c r="BB316" s="339">
        <v>0.03</v>
      </c>
      <c r="BC316" s="339">
        <v>0.03</v>
      </c>
      <c r="BD316" s="339">
        <v>0.03</v>
      </c>
      <c r="BE316" s="339">
        <v>0.03</v>
      </c>
      <c r="BF316" s="339">
        <v>0.03</v>
      </c>
      <c r="BG316" s="339">
        <v>0.03</v>
      </c>
      <c r="BH316" s="339">
        <v>0.03</v>
      </c>
      <c r="BI316" s="339">
        <v>0.03</v>
      </c>
      <c r="BJ316" s="339">
        <v>0.03</v>
      </c>
      <c r="BK316" s="339">
        <v>0.03</v>
      </c>
      <c r="BL316" s="339">
        <v>0.03</v>
      </c>
      <c r="BM316" s="339">
        <v>0.03</v>
      </c>
      <c r="BN316" s="339">
        <v>0.03</v>
      </c>
      <c r="BO316" s="339">
        <v>0.03</v>
      </c>
      <c r="BP316" s="339">
        <v>0.03</v>
      </c>
      <c r="BQ316" s="339">
        <v>0.03</v>
      </c>
      <c r="BR316" s="339">
        <v>0.03</v>
      </c>
      <c r="BS316" s="339">
        <v>0.03</v>
      </c>
      <c r="BT316" s="339">
        <v>0.03</v>
      </c>
      <c r="BU316" s="339">
        <v>0.03</v>
      </c>
      <c r="BV316" s="339">
        <v>0.03</v>
      </c>
      <c r="BW316" s="339">
        <v>0.03</v>
      </c>
      <c r="BX316" s="339">
        <v>0.03</v>
      </c>
    </row>
    <row r="317" spans="2:76" hidden="1" outlineLevel="1">
      <c r="B317" s="353"/>
      <c r="C317" s="353" t="s">
        <v>231</v>
      </c>
      <c r="D317" s="353" t="s">
        <v>110</v>
      </c>
      <c r="E317" s="353" t="s">
        <v>2</v>
      </c>
      <c r="F317" s="339">
        <v>0</v>
      </c>
      <c r="G317" s="339">
        <v>0</v>
      </c>
      <c r="H317" s="339">
        <v>0.03</v>
      </c>
      <c r="I317" s="339">
        <v>0.03</v>
      </c>
      <c r="J317" s="339">
        <v>0.03</v>
      </c>
      <c r="K317" s="339">
        <v>0.03</v>
      </c>
      <c r="L317" s="339">
        <v>0.03</v>
      </c>
      <c r="M317" s="339">
        <v>0.03</v>
      </c>
      <c r="N317" s="339">
        <v>0.03</v>
      </c>
      <c r="O317" s="339">
        <v>0.03</v>
      </c>
      <c r="P317" s="339">
        <v>0.03</v>
      </c>
      <c r="Q317" s="339">
        <v>0.03</v>
      </c>
      <c r="R317" s="339">
        <v>0.03</v>
      </c>
      <c r="S317" s="339">
        <v>0.03</v>
      </c>
      <c r="T317" s="339">
        <v>0.03</v>
      </c>
      <c r="U317" s="339">
        <v>0.03</v>
      </c>
      <c r="V317" s="339">
        <v>0.03</v>
      </c>
      <c r="W317" s="339">
        <v>0.03</v>
      </c>
      <c r="X317" s="339">
        <v>0.03</v>
      </c>
      <c r="Y317" s="339">
        <v>0.03</v>
      </c>
      <c r="Z317" s="339">
        <v>0.03</v>
      </c>
      <c r="AA317" s="339">
        <v>0.03</v>
      </c>
      <c r="AB317" s="339">
        <v>0.03</v>
      </c>
      <c r="AC317" s="339">
        <v>0.03</v>
      </c>
      <c r="AD317" s="339">
        <v>0.03</v>
      </c>
      <c r="AE317" s="339">
        <v>0.03</v>
      </c>
      <c r="AF317" s="339">
        <v>0.03</v>
      </c>
      <c r="AG317" s="339">
        <v>0.03</v>
      </c>
      <c r="AH317" s="339">
        <v>0.03</v>
      </c>
      <c r="AI317" s="339">
        <v>0.03</v>
      </c>
      <c r="AJ317" s="339">
        <v>0.03</v>
      </c>
      <c r="AK317" s="339">
        <v>0.03</v>
      </c>
      <c r="AL317" s="339">
        <v>0.03</v>
      </c>
      <c r="AM317" s="339">
        <v>0.03</v>
      </c>
      <c r="AN317" s="339">
        <v>0.03</v>
      </c>
      <c r="AO317" s="339">
        <v>0.03</v>
      </c>
      <c r="AP317" s="339">
        <v>0.03</v>
      </c>
      <c r="AQ317" s="339">
        <v>0.03</v>
      </c>
      <c r="AR317" s="339">
        <v>0.03</v>
      </c>
      <c r="AS317" s="339">
        <v>0.03</v>
      </c>
      <c r="AT317" s="339">
        <v>0.03</v>
      </c>
      <c r="AU317" s="339">
        <v>0.03</v>
      </c>
      <c r="AV317" s="339">
        <v>0.03</v>
      </c>
      <c r="AW317" s="339">
        <v>0.03</v>
      </c>
      <c r="AX317" s="339">
        <v>0.03</v>
      </c>
      <c r="AY317" s="339">
        <v>0.03</v>
      </c>
      <c r="AZ317" s="339">
        <v>0.03</v>
      </c>
      <c r="BA317" s="339">
        <v>0.03</v>
      </c>
      <c r="BB317" s="339">
        <v>0.03</v>
      </c>
      <c r="BC317" s="339">
        <v>0.03</v>
      </c>
      <c r="BD317" s="339">
        <v>0.03</v>
      </c>
      <c r="BE317" s="339">
        <v>0.03</v>
      </c>
      <c r="BF317" s="339">
        <v>0.03</v>
      </c>
      <c r="BG317" s="339">
        <v>0.03</v>
      </c>
      <c r="BH317" s="339">
        <v>0.03</v>
      </c>
      <c r="BI317" s="339">
        <v>0.03</v>
      </c>
      <c r="BJ317" s="339">
        <v>0.03</v>
      </c>
      <c r="BK317" s="339">
        <v>0.03</v>
      </c>
      <c r="BL317" s="339">
        <v>0.03</v>
      </c>
      <c r="BM317" s="339">
        <v>0.03</v>
      </c>
      <c r="BN317" s="339">
        <v>0.03</v>
      </c>
      <c r="BO317" s="339">
        <v>0.03</v>
      </c>
      <c r="BP317" s="339">
        <v>0.03</v>
      </c>
      <c r="BQ317" s="339">
        <v>0.03</v>
      </c>
      <c r="BR317" s="339">
        <v>0.03</v>
      </c>
      <c r="BS317" s="339">
        <v>0.03</v>
      </c>
      <c r="BT317" s="339">
        <v>0.03</v>
      </c>
      <c r="BU317" s="339">
        <v>0.03</v>
      </c>
      <c r="BV317" s="339">
        <v>0.03</v>
      </c>
      <c r="BW317" s="339">
        <v>0.03</v>
      </c>
      <c r="BX317" s="339">
        <v>0.03</v>
      </c>
    </row>
    <row r="318" spans="2:76" hidden="1" outlineLevel="1">
      <c r="B318" s="353"/>
      <c r="C318" s="353" t="s">
        <v>231</v>
      </c>
      <c r="D318" s="353" t="s">
        <v>110</v>
      </c>
      <c r="E318" s="353" t="s">
        <v>20</v>
      </c>
      <c r="F318" s="339">
        <v>0</v>
      </c>
      <c r="G318" s="339">
        <v>0</v>
      </c>
      <c r="H318" s="339">
        <v>0.03</v>
      </c>
      <c r="I318" s="339">
        <v>0.03</v>
      </c>
      <c r="J318" s="339">
        <v>0.03</v>
      </c>
      <c r="K318" s="339">
        <v>0.03</v>
      </c>
      <c r="L318" s="339">
        <v>0.03</v>
      </c>
      <c r="M318" s="339">
        <v>0.03</v>
      </c>
      <c r="N318" s="339">
        <v>0.03</v>
      </c>
      <c r="O318" s="339">
        <v>0.03</v>
      </c>
      <c r="P318" s="339">
        <v>0.03</v>
      </c>
      <c r="Q318" s="339">
        <v>0.03</v>
      </c>
      <c r="R318" s="339">
        <v>0.03</v>
      </c>
      <c r="S318" s="339">
        <v>0.03</v>
      </c>
      <c r="T318" s="339">
        <v>0.03</v>
      </c>
      <c r="U318" s="339">
        <v>0.03</v>
      </c>
      <c r="V318" s="339">
        <v>0.03</v>
      </c>
      <c r="W318" s="339">
        <v>0.03</v>
      </c>
      <c r="X318" s="339">
        <v>0.03</v>
      </c>
      <c r="Y318" s="339">
        <v>0.03</v>
      </c>
      <c r="Z318" s="339">
        <v>0.03</v>
      </c>
      <c r="AA318" s="339">
        <v>0.03</v>
      </c>
      <c r="AB318" s="339">
        <v>0.03</v>
      </c>
      <c r="AC318" s="339">
        <v>0.03</v>
      </c>
      <c r="AD318" s="339">
        <v>0.03</v>
      </c>
      <c r="AE318" s="339">
        <v>0.03</v>
      </c>
      <c r="AF318" s="339">
        <v>0.03</v>
      </c>
      <c r="AG318" s="339">
        <v>0.03</v>
      </c>
      <c r="AH318" s="339">
        <v>0.03</v>
      </c>
      <c r="AI318" s="339">
        <v>0.03</v>
      </c>
      <c r="AJ318" s="339">
        <v>0.03</v>
      </c>
      <c r="AK318" s="339">
        <v>0.03</v>
      </c>
      <c r="AL318" s="339">
        <v>0.03</v>
      </c>
      <c r="AM318" s="339">
        <v>0.03</v>
      </c>
      <c r="AN318" s="339">
        <v>0.03</v>
      </c>
      <c r="AO318" s="339">
        <v>0.03</v>
      </c>
      <c r="AP318" s="339">
        <v>0.03</v>
      </c>
      <c r="AQ318" s="339">
        <v>0.03</v>
      </c>
      <c r="AR318" s="339">
        <v>0.03</v>
      </c>
      <c r="AS318" s="339">
        <v>0.03</v>
      </c>
      <c r="AT318" s="339">
        <v>0.03</v>
      </c>
      <c r="AU318" s="339">
        <v>0.03</v>
      </c>
      <c r="AV318" s="339">
        <v>0.03</v>
      </c>
      <c r="AW318" s="339">
        <v>0.03</v>
      </c>
      <c r="AX318" s="339">
        <v>0.03</v>
      </c>
      <c r="AY318" s="339">
        <v>0.03</v>
      </c>
      <c r="AZ318" s="339">
        <v>0.03</v>
      </c>
      <c r="BA318" s="339">
        <v>0.03</v>
      </c>
      <c r="BB318" s="339">
        <v>0.03</v>
      </c>
      <c r="BC318" s="339">
        <v>0.03</v>
      </c>
      <c r="BD318" s="339">
        <v>0.03</v>
      </c>
      <c r="BE318" s="339">
        <v>0.03</v>
      </c>
      <c r="BF318" s="339">
        <v>0.03</v>
      </c>
      <c r="BG318" s="339">
        <v>0.03</v>
      </c>
      <c r="BH318" s="339">
        <v>0.03</v>
      </c>
      <c r="BI318" s="339">
        <v>0.03</v>
      </c>
      <c r="BJ318" s="339">
        <v>0.03</v>
      </c>
      <c r="BK318" s="339">
        <v>0.03</v>
      </c>
      <c r="BL318" s="339">
        <v>0.03</v>
      </c>
      <c r="BM318" s="339">
        <v>0.03</v>
      </c>
      <c r="BN318" s="339">
        <v>0.03</v>
      </c>
      <c r="BO318" s="339">
        <v>0.03</v>
      </c>
      <c r="BP318" s="339">
        <v>0.03</v>
      </c>
      <c r="BQ318" s="339">
        <v>0.03</v>
      </c>
      <c r="BR318" s="339">
        <v>0.03</v>
      </c>
      <c r="BS318" s="339">
        <v>0.03</v>
      </c>
      <c r="BT318" s="339">
        <v>0.03</v>
      </c>
      <c r="BU318" s="339">
        <v>0.03</v>
      </c>
      <c r="BV318" s="339">
        <v>0.03</v>
      </c>
      <c r="BW318" s="339">
        <v>0.03</v>
      </c>
      <c r="BX318" s="339">
        <v>0.03</v>
      </c>
    </row>
    <row r="319" spans="2:76" hidden="1" outlineLevel="1">
      <c r="B319" s="353"/>
      <c r="C319" s="353" t="s">
        <v>231</v>
      </c>
      <c r="D319" s="353" t="s">
        <v>110</v>
      </c>
      <c r="E319" s="353" t="s">
        <v>21</v>
      </c>
      <c r="F319" s="339">
        <v>0</v>
      </c>
      <c r="G319" s="339">
        <v>0</v>
      </c>
      <c r="H319" s="339">
        <v>0.03</v>
      </c>
      <c r="I319" s="339">
        <v>0.03</v>
      </c>
      <c r="J319" s="339">
        <v>0.03</v>
      </c>
      <c r="K319" s="339">
        <v>0.03</v>
      </c>
      <c r="L319" s="339">
        <v>0.03</v>
      </c>
      <c r="M319" s="339">
        <v>0.03</v>
      </c>
      <c r="N319" s="339">
        <v>0.03</v>
      </c>
      <c r="O319" s="339">
        <v>0.03</v>
      </c>
      <c r="P319" s="339">
        <v>0.03</v>
      </c>
      <c r="Q319" s="339">
        <v>0.03</v>
      </c>
      <c r="R319" s="339">
        <v>0.03</v>
      </c>
      <c r="S319" s="339">
        <v>0.03</v>
      </c>
      <c r="T319" s="339">
        <v>0.03</v>
      </c>
      <c r="U319" s="339">
        <v>0.03</v>
      </c>
      <c r="V319" s="339">
        <v>0.03</v>
      </c>
      <c r="W319" s="339">
        <v>0.03</v>
      </c>
      <c r="X319" s="339">
        <v>0.03</v>
      </c>
      <c r="Y319" s="339">
        <v>0.03</v>
      </c>
      <c r="Z319" s="339">
        <v>0.03</v>
      </c>
      <c r="AA319" s="339">
        <v>0.03</v>
      </c>
      <c r="AB319" s="339">
        <v>0.03</v>
      </c>
      <c r="AC319" s="339">
        <v>0.03</v>
      </c>
      <c r="AD319" s="339">
        <v>0.03</v>
      </c>
      <c r="AE319" s="339">
        <v>0.03</v>
      </c>
      <c r="AF319" s="339">
        <v>0.03</v>
      </c>
      <c r="AG319" s="339">
        <v>0.03</v>
      </c>
      <c r="AH319" s="339">
        <v>0.03</v>
      </c>
      <c r="AI319" s="339">
        <v>0.03</v>
      </c>
      <c r="AJ319" s="339">
        <v>0.03</v>
      </c>
      <c r="AK319" s="339">
        <v>0.03</v>
      </c>
      <c r="AL319" s="339">
        <v>0.03</v>
      </c>
      <c r="AM319" s="339">
        <v>0.03</v>
      </c>
      <c r="AN319" s="339">
        <v>0.03</v>
      </c>
      <c r="AO319" s="339">
        <v>0.03</v>
      </c>
      <c r="AP319" s="339">
        <v>0.03</v>
      </c>
      <c r="AQ319" s="339">
        <v>0.03</v>
      </c>
      <c r="AR319" s="339">
        <v>0.03</v>
      </c>
      <c r="AS319" s="339">
        <v>0.03</v>
      </c>
      <c r="AT319" s="339">
        <v>0.03</v>
      </c>
      <c r="AU319" s="339">
        <v>0.03</v>
      </c>
      <c r="AV319" s="339">
        <v>0.03</v>
      </c>
      <c r="AW319" s="339">
        <v>0.03</v>
      </c>
      <c r="AX319" s="339">
        <v>0.03</v>
      </c>
      <c r="AY319" s="339">
        <v>0.03</v>
      </c>
      <c r="AZ319" s="339">
        <v>0.03</v>
      </c>
      <c r="BA319" s="339">
        <v>0.03</v>
      </c>
      <c r="BB319" s="339">
        <v>0.03</v>
      </c>
      <c r="BC319" s="339">
        <v>0.03</v>
      </c>
      <c r="BD319" s="339">
        <v>0.03</v>
      </c>
      <c r="BE319" s="339">
        <v>0.03</v>
      </c>
      <c r="BF319" s="339">
        <v>0.03</v>
      </c>
      <c r="BG319" s="339">
        <v>0.03</v>
      </c>
      <c r="BH319" s="339">
        <v>0.03</v>
      </c>
      <c r="BI319" s="339">
        <v>0.03</v>
      </c>
      <c r="BJ319" s="339">
        <v>0.03</v>
      </c>
      <c r="BK319" s="339">
        <v>0.03</v>
      </c>
      <c r="BL319" s="339">
        <v>0.03</v>
      </c>
      <c r="BM319" s="339">
        <v>0.03</v>
      </c>
      <c r="BN319" s="339">
        <v>0.03</v>
      </c>
      <c r="BO319" s="339">
        <v>0.03</v>
      </c>
      <c r="BP319" s="339">
        <v>0.03</v>
      </c>
      <c r="BQ319" s="339">
        <v>0.03</v>
      </c>
      <c r="BR319" s="339">
        <v>0.03</v>
      </c>
      <c r="BS319" s="339">
        <v>0.03</v>
      </c>
      <c r="BT319" s="339">
        <v>0.03</v>
      </c>
      <c r="BU319" s="339">
        <v>0.03</v>
      </c>
      <c r="BV319" s="339">
        <v>0.03</v>
      </c>
      <c r="BW319" s="339">
        <v>0.03</v>
      </c>
      <c r="BX319" s="339">
        <v>0.03</v>
      </c>
    </row>
    <row r="320" spans="2:76" collapsed="1">
      <c r="F320" s="330"/>
      <c r="G320" s="330"/>
      <c r="H320" s="330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  <c r="S320" s="330"/>
      <c r="T320" s="330"/>
      <c r="U320" s="330"/>
      <c r="V320" s="330"/>
      <c r="W320" s="330"/>
      <c r="X320" s="330"/>
      <c r="Y320" s="330"/>
      <c r="Z320" s="330"/>
      <c r="AA320" s="330"/>
      <c r="AB320" s="330"/>
      <c r="AC320" s="330"/>
      <c r="AD320" s="330"/>
      <c r="AE320" s="330"/>
      <c r="AF320" s="330"/>
      <c r="AG320" s="330"/>
      <c r="AH320" s="330"/>
      <c r="AI320" s="330"/>
      <c r="AJ320" s="330"/>
    </row>
    <row r="321" spans="2:76">
      <c r="B321" s="259" t="str">
        <f>D321</f>
        <v>B&amp;O Tax Rate</v>
      </c>
      <c r="D321" s="259" t="s">
        <v>141</v>
      </c>
      <c r="F321" s="259"/>
      <c r="G321" s="259"/>
      <c r="H321" s="259"/>
      <c r="I321" s="259"/>
      <c r="J321" s="259"/>
      <c r="K321" s="259"/>
      <c r="L321" s="259"/>
      <c r="M321" s="259"/>
      <c r="N321" s="259"/>
      <c r="O321" s="259"/>
      <c r="P321" s="259"/>
      <c r="Q321" s="259"/>
      <c r="R321" s="259"/>
      <c r="S321" s="259"/>
      <c r="T321" s="259"/>
      <c r="U321" s="259"/>
      <c r="V321" s="259"/>
      <c r="W321" s="259"/>
      <c r="X321" s="259"/>
      <c r="Y321" s="259"/>
      <c r="Z321" s="259"/>
      <c r="AA321" s="259"/>
      <c r="AB321" s="259"/>
      <c r="AC321" s="259"/>
      <c r="AD321" s="259"/>
      <c r="AE321" s="259"/>
      <c r="AF321" s="259"/>
      <c r="AG321" s="259"/>
      <c r="AH321" s="259"/>
      <c r="AI321" s="259"/>
      <c r="AJ321" s="259"/>
      <c r="AK321" s="259"/>
      <c r="AL321" s="259"/>
      <c r="AM321" s="259"/>
      <c r="AN321" s="259"/>
      <c r="AO321" s="259"/>
      <c r="AP321" s="259"/>
      <c r="AQ321" s="259"/>
      <c r="AR321" s="259"/>
      <c r="AS321" s="259"/>
      <c r="AT321" s="259"/>
      <c r="AU321" s="259"/>
      <c r="AV321" s="259"/>
      <c r="AW321" s="259"/>
      <c r="AX321" s="259"/>
      <c r="AY321" s="259"/>
      <c r="AZ321" s="259"/>
      <c r="BA321" s="259"/>
      <c r="BB321" s="259"/>
      <c r="BC321" s="259"/>
      <c r="BD321" s="259"/>
      <c r="BE321" s="259"/>
      <c r="BF321" s="259"/>
      <c r="BG321" s="259"/>
      <c r="BH321" s="259"/>
      <c r="BI321" s="259"/>
      <c r="BJ321" s="259"/>
      <c r="BK321" s="259"/>
      <c r="BL321" s="259"/>
      <c r="BM321" s="259"/>
      <c r="BN321" s="259"/>
      <c r="BO321" s="259"/>
      <c r="BP321" s="259"/>
      <c r="BQ321" s="259"/>
      <c r="BR321" s="259"/>
      <c r="BS321" s="259"/>
      <c r="BT321" s="259"/>
      <c r="BU321" s="259"/>
      <c r="BV321" s="259"/>
      <c r="BW321" s="259"/>
      <c r="BX321" s="259"/>
    </row>
    <row r="322" spans="2:76" hidden="1" outlineLevel="1">
      <c r="B322" s="352"/>
      <c r="C322" s="352" t="s">
        <v>231</v>
      </c>
      <c r="D322" s="352" t="s">
        <v>141</v>
      </c>
      <c r="E322" s="352" t="s">
        <v>130</v>
      </c>
      <c r="F322" s="336">
        <v>0</v>
      </c>
      <c r="G322" s="336">
        <v>0</v>
      </c>
      <c r="H322" s="336">
        <v>0</v>
      </c>
      <c r="I322" s="336">
        <v>0</v>
      </c>
      <c r="J322" s="336">
        <v>0</v>
      </c>
      <c r="K322" s="336">
        <v>0</v>
      </c>
      <c r="L322" s="336">
        <v>0</v>
      </c>
      <c r="M322" s="336">
        <v>0</v>
      </c>
      <c r="N322" s="336">
        <v>0</v>
      </c>
      <c r="O322" s="336">
        <v>0</v>
      </c>
      <c r="P322" s="336">
        <v>0</v>
      </c>
      <c r="Q322" s="336">
        <v>0</v>
      </c>
      <c r="R322" s="336">
        <v>0</v>
      </c>
      <c r="S322" s="336">
        <v>0</v>
      </c>
      <c r="T322" s="336">
        <v>0</v>
      </c>
      <c r="U322" s="336">
        <v>0</v>
      </c>
      <c r="V322" s="336">
        <v>0</v>
      </c>
      <c r="W322" s="336">
        <v>0</v>
      </c>
      <c r="X322" s="336">
        <v>0</v>
      </c>
      <c r="Y322" s="336">
        <v>0</v>
      </c>
      <c r="Z322" s="336">
        <v>0</v>
      </c>
      <c r="AA322" s="336">
        <v>0</v>
      </c>
      <c r="AB322" s="336">
        <v>0</v>
      </c>
      <c r="AC322" s="336">
        <v>0</v>
      </c>
      <c r="AD322" s="336">
        <v>0</v>
      </c>
      <c r="AE322" s="336">
        <v>0</v>
      </c>
      <c r="AF322" s="336">
        <v>0</v>
      </c>
      <c r="AG322" s="336">
        <v>0</v>
      </c>
      <c r="AH322" s="336">
        <v>0</v>
      </c>
      <c r="AI322" s="336">
        <v>0</v>
      </c>
      <c r="AJ322" s="336">
        <v>0</v>
      </c>
      <c r="AK322" s="336">
        <v>0</v>
      </c>
      <c r="AL322" s="336">
        <v>0</v>
      </c>
      <c r="AM322" s="336">
        <v>0</v>
      </c>
      <c r="AN322" s="336">
        <v>0</v>
      </c>
      <c r="AO322" s="336">
        <v>0</v>
      </c>
      <c r="AP322" s="336">
        <v>0</v>
      </c>
      <c r="AQ322" s="336">
        <v>0</v>
      </c>
      <c r="AR322" s="336">
        <v>0</v>
      </c>
      <c r="AS322" s="336">
        <v>0</v>
      </c>
      <c r="AT322" s="336">
        <v>0</v>
      </c>
      <c r="AU322" s="336">
        <v>0</v>
      </c>
      <c r="AV322" s="336">
        <v>0</v>
      </c>
      <c r="AW322" s="336">
        <v>0</v>
      </c>
      <c r="AX322" s="336">
        <v>0</v>
      </c>
      <c r="AY322" s="336">
        <v>0</v>
      </c>
      <c r="AZ322" s="336">
        <v>0</v>
      </c>
      <c r="BA322" s="336">
        <v>0</v>
      </c>
      <c r="BB322" s="336">
        <v>0</v>
      </c>
      <c r="BC322" s="336">
        <v>0</v>
      </c>
      <c r="BD322" s="336">
        <v>0</v>
      </c>
      <c r="BE322" s="336">
        <v>0</v>
      </c>
      <c r="BF322" s="336">
        <v>0</v>
      </c>
      <c r="BG322" s="336">
        <v>0</v>
      </c>
      <c r="BH322" s="336">
        <v>0</v>
      </c>
      <c r="BI322" s="336">
        <v>0</v>
      </c>
      <c r="BJ322" s="336">
        <v>0</v>
      </c>
      <c r="BK322" s="336">
        <v>0</v>
      </c>
      <c r="BL322" s="336">
        <v>0</v>
      </c>
      <c r="BM322" s="336">
        <v>0</v>
      </c>
      <c r="BN322" s="336">
        <v>0</v>
      </c>
      <c r="BO322" s="336">
        <v>0</v>
      </c>
      <c r="BP322" s="336">
        <v>0</v>
      </c>
      <c r="BQ322" s="336">
        <v>0</v>
      </c>
      <c r="BR322" s="336">
        <v>0</v>
      </c>
      <c r="BS322" s="336">
        <v>0</v>
      </c>
      <c r="BT322" s="336">
        <v>0</v>
      </c>
      <c r="BU322" s="336">
        <v>0</v>
      </c>
      <c r="BV322" s="336">
        <v>0</v>
      </c>
      <c r="BW322" s="336">
        <v>0</v>
      </c>
      <c r="BX322" s="336">
        <v>0</v>
      </c>
    </row>
    <row r="323" spans="2:76" hidden="1" outlineLevel="1">
      <c r="B323" s="352"/>
      <c r="C323" s="352" t="s">
        <v>231</v>
      </c>
      <c r="D323" s="352" t="s">
        <v>141</v>
      </c>
      <c r="E323" s="352" t="s">
        <v>139</v>
      </c>
      <c r="F323" s="336">
        <v>0</v>
      </c>
      <c r="G323" s="336">
        <v>0</v>
      </c>
      <c r="H323" s="336">
        <v>0</v>
      </c>
      <c r="I323" s="336">
        <v>0</v>
      </c>
      <c r="J323" s="336">
        <v>0</v>
      </c>
      <c r="K323" s="336">
        <v>0</v>
      </c>
      <c r="L323" s="336">
        <v>0</v>
      </c>
      <c r="M323" s="336">
        <v>0</v>
      </c>
      <c r="N323" s="336">
        <v>0</v>
      </c>
      <c r="O323" s="336">
        <v>0</v>
      </c>
      <c r="P323" s="336">
        <v>0</v>
      </c>
      <c r="Q323" s="336">
        <v>0</v>
      </c>
      <c r="R323" s="336">
        <v>0</v>
      </c>
      <c r="S323" s="336">
        <v>0</v>
      </c>
      <c r="T323" s="336">
        <v>0</v>
      </c>
      <c r="U323" s="336">
        <v>0</v>
      </c>
      <c r="V323" s="336">
        <v>0</v>
      </c>
      <c r="W323" s="336">
        <v>0</v>
      </c>
      <c r="X323" s="336">
        <v>0</v>
      </c>
      <c r="Y323" s="336">
        <v>0</v>
      </c>
      <c r="Z323" s="336">
        <v>0</v>
      </c>
      <c r="AA323" s="336">
        <v>0</v>
      </c>
      <c r="AB323" s="336">
        <v>0</v>
      </c>
      <c r="AC323" s="336">
        <v>0</v>
      </c>
      <c r="AD323" s="336">
        <v>0</v>
      </c>
      <c r="AE323" s="336">
        <v>0</v>
      </c>
      <c r="AF323" s="336">
        <v>0</v>
      </c>
      <c r="AG323" s="336">
        <v>0</v>
      </c>
      <c r="AH323" s="336">
        <v>0</v>
      </c>
      <c r="AI323" s="336">
        <v>0</v>
      </c>
      <c r="AJ323" s="336">
        <v>0</v>
      </c>
      <c r="AK323" s="336">
        <v>0</v>
      </c>
      <c r="AL323" s="336">
        <v>0</v>
      </c>
      <c r="AM323" s="336">
        <v>0</v>
      </c>
      <c r="AN323" s="336">
        <v>0</v>
      </c>
      <c r="AO323" s="336">
        <v>0</v>
      </c>
      <c r="AP323" s="336">
        <v>0</v>
      </c>
      <c r="AQ323" s="336">
        <v>0</v>
      </c>
      <c r="AR323" s="336">
        <v>0</v>
      </c>
      <c r="AS323" s="336">
        <v>0</v>
      </c>
      <c r="AT323" s="336">
        <v>0</v>
      </c>
      <c r="AU323" s="336">
        <v>0</v>
      </c>
      <c r="AV323" s="336">
        <v>0</v>
      </c>
      <c r="AW323" s="336">
        <v>0</v>
      </c>
      <c r="AX323" s="336">
        <v>0</v>
      </c>
      <c r="AY323" s="336">
        <v>0</v>
      </c>
      <c r="AZ323" s="336">
        <v>0</v>
      </c>
      <c r="BA323" s="336">
        <v>0</v>
      </c>
      <c r="BB323" s="336">
        <v>0</v>
      </c>
      <c r="BC323" s="336">
        <v>0</v>
      </c>
      <c r="BD323" s="336">
        <v>0</v>
      </c>
      <c r="BE323" s="336">
        <v>0</v>
      </c>
      <c r="BF323" s="336">
        <v>0</v>
      </c>
      <c r="BG323" s="336">
        <v>0</v>
      </c>
      <c r="BH323" s="336">
        <v>0</v>
      </c>
      <c r="BI323" s="336">
        <v>0</v>
      </c>
      <c r="BJ323" s="336">
        <v>0</v>
      </c>
      <c r="BK323" s="336">
        <v>0</v>
      </c>
      <c r="BL323" s="336">
        <v>0</v>
      </c>
      <c r="BM323" s="336">
        <v>0</v>
      </c>
      <c r="BN323" s="336">
        <v>0</v>
      </c>
      <c r="BO323" s="336">
        <v>0</v>
      </c>
      <c r="BP323" s="336">
        <v>0</v>
      </c>
      <c r="BQ323" s="336">
        <v>0</v>
      </c>
      <c r="BR323" s="336">
        <v>0</v>
      </c>
      <c r="BS323" s="336">
        <v>0</v>
      </c>
      <c r="BT323" s="336">
        <v>0</v>
      </c>
      <c r="BU323" s="336">
        <v>0</v>
      </c>
      <c r="BV323" s="336">
        <v>0</v>
      </c>
      <c r="BW323" s="336">
        <v>0</v>
      </c>
      <c r="BX323" s="336">
        <v>0</v>
      </c>
    </row>
    <row r="324" spans="2:76" hidden="1" outlineLevel="1">
      <c r="B324" s="352"/>
      <c r="C324" s="352" t="s">
        <v>231</v>
      </c>
      <c r="D324" s="352" t="s">
        <v>141</v>
      </c>
      <c r="E324" s="352" t="s">
        <v>131</v>
      </c>
      <c r="F324" s="336">
        <v>0</v>
      </c>
      <c r="G324" s="336">
        <v>0</v>
      </c>
      <c r="H324" s="336">
        <v>0</v>
      </c>
      <c r="I324" s="336">
        <v>0</v>
      </c>
      <c r="J324" s="336">
        <v>0</v>
      </c>
      <c r="K324" s="336">
        <v>0</v>
      </c>
      <c r="L324" s="336">
        <v>0</v>
      </c>
      <c r="M324" s="336">
        <v>0</v>
      </c>
      <c r="N324" s="336">
        <v>0</v>
      </c>
      <c r="O324" s="336">
        <v>0</v>
      </c>
      <c r="P324" s="336">
        <v>0</v>
      </c>
      <c r="Q324" s="336">
        <v>0</v>
      </c>
      <c r="R324" s="336">
        <v>0</v>
      </c>
      <c r="S324" s="336">
        <v>0</v>
      </c>
      <c r="T324" s="336">
        <v>0</v>
      </c>
      <c r="U324" s="336">
        <v>0</v>
      </c>
      <c r="V324" s="336">
        <v>0</v>
      </c>
      <c r="W324" s="336">
        <v>0</v>
      </c>
      <c r="X324" s="336">
        <v>0</v>
      </c>
      <c r="Y324" s="336">
        <v>0</v>
      </c>
      <c r="Z324" s="336">
        <v>0</v>
      </c>
      <c r="AA324" s="336">
        <v>0</v>
      </c>
      <c r="AB324" s="336">
        <v>0</v>
      </c>
      <c r="AC324" s="336">
        <v>0</v>
      </c>
      <c r="AD324" s="336">
        <v>0</v>
      </c>
      <c r="AE324" s="336">
        <v>0</v>
      </c>
      <c r="AF324" s="336">
        <v>0</v>
      </c>
      <c r="AG324" s="336">
        <v>0</v>
      </c>
      <c r="AH324" s="336">
        <v>0</v>
      </c>
      <c r="AI324" s="336">
        <v>0</v>
      </c>
      <c r="AJ324" s="336">
        <v>0</v>
      </c>
      <c r="AK324" s="336">
        <v>0</v>
      </c>
      <c r="AL324" s="336">
        <v>0</v>
      </c>
      <c r="AM324" s="336">
        <v>0</v>
      </c>
      <c r="AN324" s="336">
        <v>0</v>
      </c>
      <c r="AO324" s="336">
        <v>0</v>
      </c>
      <c r="AP324" s="336">
        <v>0</v>
      </c>
      <c r="AQ324" s="336">
        <v>0</v>
      </c>
      <c r="AR324" s="336">
        <v>0</v>
      </c>
      <c r="AS324" s="336">
        <v>0</v>
      </c>
      <c r="AT324" s="336">
        <v>0</v>
      </c>
      <c r="AU324" s="336">
        <v>0</v>
      </c>
      <c r="AV324" s="336">
        <v>0</v>
      </c>
      <c r="AW324" s="336">
        <v>0</v>
      </c>
      <c r="AX324" s="336">
        <v>0</v>
      </c>
      <c r="AY324" s="336">
        <v>0</v>
      </c>
      <c r="AZ324" s="336">
        <v>0</v>
      </c>
      <c r="BA324" s="336">
        <v>0</v>
      </c>
      <c r="BB324" s="336">
        <v>0</v>
      </c>
      <c r="BC324" s="336">
        <v>0</v>
      </c>
      <c r="BD324" s="336">
        <v>0</v>
      </c>
      <c r="BE324" s="336">
        <v>0</v>
      </c>
      <c r="BF324" s="336">
        <v>0</v>
      </c>
      <c r="BG324" s="336">
        <v>0</v>
      </c>
      <c r="BH324" s="336">
        <v>0</v>
      </c>
      <c r="BI324" s="336">
        <v>0</v>
      </c>
      <c r="BJ324" s="336">
        <v>0</v>
      </c>
      <c r="BK324" s="336">
        <v>0</v>
      </c>
      <c r="BL324" s="336">
        <v>0</v>
      </c>
      <c r="BM324" s="336">
        <v>0</v>
      </c>
      <c r="BN324" s="336">
        <v>0</v>
      </c>
      <c r="BO324" s="336">
        <v>0</v>
      </c>
      <c r="BP324" s="336">
        <v>0</v>
      </c>
      <c r="BQ324" s="336">
        <v>0</v>
      </c>
      <c r="BR324" s="336">
        <v>0</v>
      </c>
      <c r="BS324" s="336">
        <v>0</v>
      </c>
      <c r="BT324" s="336">
        <v>0</v>
      </c>
      <c r="BU324" s="336">
        <v>0</v>
      </c>
      <c r="BV324" s="336">
        <v>0</v>
      </c>
      <c r="BW324" s="336">
        <v>0</v>
      </c>
      <c r="BX324" s="336">
        <v>0</v>
      </c>
    </row>
    <row r="325" spans="2:76" hidden="1" outlineLevel="1">
      <c r="B325" s="352"/>
      <c r="C325" s="352" t="s">
        <v>231</v>
      </c>
      <c r="D325" s="352" t="s">
        <v>141</v>
      </c>
      <c r="E325" s="352" t="s">
        <v>132</v>
      </c>
      <c r="F325" s="336">
        <v>0</v>
      </c>
      <c r="G325" s="336">
        <v>0</v>
      </c>
      <c r="H325" s="336">
        <v>0</v>
      </c>
      <c r="I325" s="336">
        <v>0</v>
      </c>
      <c r="J325" s="336">
        <v>0</v>
      </c>
      <c r="K325" s="336">
        <v>0</v>
      </c>
      <c r="L325" s="336">
        <v>0</v>
      </c>
      <c r="M325" s="336">
        <v>0</v>
      </c>
      <c r="N325" s="336">
        <v>0</v>
      </c>
      <c r="O325" s="336">
        <v>0</v>
      </c>
      <c r="P325" s="336">
        <v>0</v>
      </c>
      <c r="Q325" s="336">
        <v>0</v>
      </c>
      <c r="R325" s="336">
        <v>0</v>
      </c>
      <c r="S325" s="336">
        <v>0</v>
      </c>
      <c r="T325" s="336">
        <v>0</v>
      </c>
      <c r="U325" s="336">
        <v>0</v>
      </c>
      <c r="V325" s="336">
        <v>0</v>
      </c>
      <c r="W325" s="336">
        <v>0</v>
      </c>
      <c r="X325" s="336">
        <v>0</v>
      </c>
      <c r="Y325" s="336">
        <v>0</v>
      </c>
      <c r="Z325" s="336">
        <v>0</v>
      </c>
      <c r="AA325" s="336">
        <v>0</v>
      </c>
      <c r="AB325" s="336">
        <v>0</v>
      </c>
      <c r="AC325" s="336">
        <v>0</v>
      </c>
      <c r="AD325" s="336">
        <v>0</v>
      </c>
      <c r="AE325" s="336">
        <v>0</v>
      </c>
      <c r="AF325" s="336">
        <v>0</v>
      </c>
      <c r="AG325" s="336">
        <v>0</v>
      </c>
      <c r="AH325" s="336">
        <v>0</v>
      </c>
      <c r="AI325" s="336">
        <v>0</v>
      </c>
      <c r="AJ325" s="336">
        <v>0</v>
      </c>
      <c r="AK325" s="336">
        <v>0</v>
      </c>
      <c r="AL325" s="336">
        <v>0</v>
      </c>
      <c r="AM325" s="336">
        <v>0</v>
      </c>
      <c r="AN325" s="336">
        <v>0</v>
      </c>
      <c r="AO325" s="336">
        <v>0</v>
      </c>
      <c r="AP325" s="336">
        <v>0</v>
      </c>
      <c r="AQ325" s="336">
        <v>0</v>
      </c>
      <c r="AR325" s="336">
        <v>0</v>
      </c>
      <c r="AS325" s="336">
        <v>0</v>
      </c>
      <c r="AT325" s="336">
        <v>0</v>
      </c>
      <c r="AU325" s="336">
        <v>0</v>
      </c>
      <c r="AV325" s="336">
        <v>0</v>
      </c>
      <c r="AW325" s="336">
        <v>0</v>
      </c>
      <c r="AX325" s="336">
        <v>0</v>
      </c>
      <c r="AY325" s="336">
        <v>0</v>
      </c>
      <c r="AZ325" s="336">
        <v>0</v>
      </c>
      <c r="BA325" s="336">
        <v>0</v>
      </c>
      <c r="BB325" s="336">
        <v>0</v>
      </c>
      <c r="BC325" s="336">
        <v>0</v>
      </c>
      <c r="BD325" s="336">
        <v>0</v>
      </c>
      <c r="BE325" s="336">
        <v>0</v>
      </c>
      <c r="BF325" s="336">
        <v>0</v>
      </c>
      <c r="BG325" s="336">
        <v>0</v>
      </c>
      <c r="BH325" s="336">
        <v>0</v>
      </c>
      <c r="BI325" s="336">
        <v>0</v>
      </c>
      <c r="BJ325" s="336">
        <v>0</v>
      </c>
      <c r="BK325" s="336">
        <v>0</v>
      </c>
      <c r="BL325" s="336">
        <v>0</v>
      </c>
      <c r="BM325" s="336">
        <v>0</v>
      </c>
      <c r="BN325" s="336">
        <v>0</v>
      </c>
      <c r="BO325" s="336">
        <v>0</v>
      </c>
      <c r="BP325" s="336">
        <v>0</v>
      </c>
      <c r="BQ325" s="336">
        <v>0</v>
      </c>
      <c r="BR325" s="336">
        <v>0</v>
      </c>
      <c r="BS325" s="336">
        <v>0</v>
      </c>
      <c r="BT325" s="336">
        <v>0</v>
      </c>
      <c r="BU325" s="336">
        <v>0</v>
      </c>
      <c r="BV325" s="336">
        <v>0</v>
      </c>
      <c r="BW325" s="336">
        <v>0</v>
      </c>
      <c r="BX325" s="336">
        <v>0</v>
      </c>
    </row>
    <row r="326" spans="2:76" hidden="1" outlineLevel="1">
      <c r="B326" s="352"/>
      <c r="C326" s="352" t="s">
        <v>231</v>
      </c>
      <c r="D326" s="352" t="s">
        <v>141</v>
      </c>
      <c r="E326" s="352" t="s">
        <v>133</v>
      </c>
      <c r="F326" s="336">
        <v>0</v>
      </c>
      <c r="G326" s="336">
        <v>0</v>
      </c>
      <c r="H326" s="336">
        <v>0</v>
      </c>
      <c r="I326" s="336">
        <v>0</v>
      </c>
      <c r="J326" s="336">
        <v>0</v>
      </c>
      <c r="K326" s="336">
        <v>0</v>
      </c>
      <c r="L326" s="336">
        <v>0</v>
      </c>
      <c r="M326" s="336">
        <v>0</v>
      </c>
      <c r="N326" s="336">
        <v>0</v>
      </c>
      <c r="O326" s="336">
        <v>0</v>
      </c>
      <c r="P326" s="336">
        <v>0</v>
      </c>
      <c r="Q326" s="336">
        <v>0</v>
      </c>
      <c r="R326" s="336">
        <v>0</v>
      </c>
      <c r="S326" s="336">
        <v>0</v>
      </c>
      <c r="T326" s="336">
        <v>0</v>
      </c>
      <c r="U326" s="336">
        <v>0</v>
      </c>
      <c r="V326" s="336">
        <v>0</v>
      </c>
      <c r="W326" s="336">
        <v>0</v>
      </c>
      <c r="X326" s="336">
        <v>0</v>
      </c>
      <c r="Y326" s="336">
        <v>0</v>
      </c>
      <c r="Z326" s="336">
        <v>0</v>
      </c>
      <c r="AA326" s="336">
        <v>0</v>
      </c>
      <c r="AB326" s="336">
        <v>0</v>
      </c>
      <c r="AC326" s="336">
        <v>0</v>
      </c>
      <c r="AD326" s="336">
        <v>0</v>
      </c>
      <c r="AE326" s="336">
        <v>0</v>
      </c>
      <c r="AF326" s="336">
        <v>0</v>
      </c>
      <c r="AG326" s="336">
        <v>0</v>
      </c>
      <c r="AH326" s="336">
        <v>0</v>
      </c>
      <c r="AI326" s="336">
        <v>0</v>
      </c>
      <c r="AJ326" s="336">
        <v>0</v>
      </c>
      <c r="AK326" s="336">
        <v>0</v>
      </c>
      <c r="AL326" s="336">
        <v>0</v>
      </c>
      <c r="AM326" s="336">
        <v>0</v>
      </c>
      <c r="AN326" s="336">
        <v>0</v>
      </c>
      <c r="AO326" s="336">
        <v>0</v>
      </c>
      <c r="AP326" s="336">
        <v>0</v>
      </c>
      <c r="AQ326" s="336">
        <v>0</v>
      </c>
      <c r="AR326" s="336">
        <v>0</v>
      </c>
      <c r="AS326" s="336">
        <v>0</v>
      </c>
      <c r="AT326" s="336">
        <v>0</v>
      </c>
      <c r="AU326" s="336">
        <v>0</v>
      </c>
      <c r="AV326" s="336">
        <v>0</v>
      </c>
      <c r="AW326" s="336">
        <v>0</v>
      </c>
      <c r="AX326" s="336">
        <v>0</v>
      </c>
      <c r="AY326" s="336">
        <v>0</v>
      </c>
      <c r="AZ326" s="336">
        <v>0</v>
      </c>
      <c r="BA326" s="336">
        <v>0</v>
      </c>
      <c r="BB326" s="336">
        <v>0</v>
      </c>
      <c r="BC326" s="336">
        <v>0</v>
      </c>
      <c r="BD326" s="336">
        <v>0</v>
      </c>
      <c r="BE326" s="336">
        <v>0</v>
      </c>
      <c r="BF326" s="336">
        <v>0</v>
      </c>
      <c r="BG326" s="336">
        <v>0</v>
      </c>
      <c r="BH326" s="336">
        <v>0</v>
      </c>
      <c r="BI326" s="336">
        <v>0</v>
      </c>
      <c r="BJ326" s="336">
        <v>0</v>
      </c>
      <c r="BK326" s="336">
        <v>0</v>
      </c>
      <c r="BL326" s="336">
        <v>0</v>
      </c>
      <c r="BM326" s="336">
        <v>0</v>
      </c>
      <c r="BN326" s="336">
        <v>0</v>
      </c>
      <c r="BO326" s="336">
        <v>0</v>
      </c>
      <c r="BP326" s="336">
        <v>0</v>
      </c>
      <c r="BQ326" s="336">
        <v>0</v>
      </c>
      <c r="BR326" s="336">
        <v>0</v>
      </c>
      <c r="BS326" s="336">
        <v>0</v>
      </c>
      <c r="BT326" s="336">
        <v>0</v>
      </c>
      <c r="BU326" s="336">
        <v>0</v>
      </c>
      <c r="BV326" s="336">
        <v>0</v>
      </c>
      <c r="BW326" s="336">
        <v>0</v>
      </c>
      <c r="BX326" s="336">
        <v>0</v>
      </c>
    </row>
    <row r="327" spans="2:76" hidden="1" outlineLevel="1">
      <c r="B327" s="352"/>
      <c r="C327" s="352" t="s">
        <v>231</v>
      </c>
      <c r="D327" s="352" t="s">
        <v>141</v>
      </c>
      <c r="E327" s="352" t="s">
        <v>134</v>
      </c>
      <c r="F327" s="336">
        <v>0</v>
      </c>
      <c r="G327" s="336">
        <v>0</v>
      </c>
      <c r="H327" s="336">
        <v>0</v>
      </c>
      <c r="I327" s="336">
        <v>0</v>
      </c>
      <c r="J327" s="336">
        <v>0</v>
      </c>
      <c r="K327" s="336">
        <v>0</v>
      </c>
      <c r="L327" s="336">
        <v>0</v>
      </c>
      <c r="M327" s="336">
        <v>0</v>
      </c>
      <c r="N327" s="336">
        <v>0</v>
      </c>
      <c r="O327" s="336">
        <v>0</v>
      </c>
      <c r="P327" s="336">
        <v>0</v>
      </c>
      <c r="Q327" s="336">
        <v>0</v>
      </c>
      <c r="R327" s="336">
        <v>0</v>
      </c>
      <c r="S327" s="336">
        <v>0</v>
      </c>
      <c r="T327" s="336">
        <v>0</v>
      </c>
      <c r="U327" s="336">
        <v>0</v>
      </c>
      <c r="V327" s="336">
        <v>0</v>
      </c>
      <c r="W327" s="336">
        <v>0</v>
      </c>
      <c r="X327" s="336">
        <v>0</v>
      </c>
      <c r="Y327" s="336">
        <v>0</v>
      </c>
      <c r="Z327" s="336">
        <v>0</v>
      </c>
      <c r="AA327" s="336">
        <v>0</v>
      </c>
      <c r="AB327" s="336">
        <v>0</v>
      </c>
      <c r="AC327" s="336">
        <v>0</v>
      </c>
      <c r="AD327" s="336">
        <v>0</v>
      </c>
      <c r="AE327" s="336">
        <v>0</v>
      </c>
      <c r="AF327" s="336">
        <v>0</v>
      </c>
      <c r="AG327" s="336">
        <v>0</v>
      </c>
      <c r="AH327" s="336">
        <v>0</v>
      </c>
      <c r="AI327" s="336">
        <v>0</v>
      </c>
      <c r="AJ327" s="336">
        <v>0</v>
      </c>
      <c r="AK327" s="336">
        <v>0</v>
      </c>
      <c r="AL327" s="336">
        <v>0</v>
      </c>
      <c r="AM327" s="336">
        <v>0</v>
      </c>
      <c r="AN327" s="336">
        <v>0</v>
      </c>
      <c r="AO327" s="336">
        <v>0</v>
      </c>
      <c r="AP327" s="336">
        <v>0</v>
      </c>
      <c r="AQ327" s="336">
        <v>0</v>
      </c>
      <c r="AR327" s="336">
        <v>0</v>
      </c>
      <c r="AS327" s="336">
        <v>0</v>
      </c>
      <c r="AT327" s="336">
        <v>0</v>
      </c>
      <c r="AU327" s="336">
        <v>0</v>
      </c>
      <c r="AV327" s="336">
        <v>0</v>
      </c>
      <c r="AW327" s="336">
        <v>0</v>
      </c>
      <c r="AX327" s="336">
        <v>0</v>
      </c>
      <c r="AY327" s="336">
        <v>0</v>
      </c>
      <c r="AZ327" s="336">
        <v>0</v>
      </c>
      <c r="BA327" s="336">
        <v>0</v>
      </c>
      <c r="BB327" s="336">
        <v>0</v>
      </c>
      <c r="BC327" s="336">
        <v>0</v>
      </c>
      <c r="BD327" s="336">
        <v>0</v>
      </c>
      <c r="BE327" s="336">
        <v>0</v>
      </c>
      <c r="BF327" s="336">
        <v>0</v>
      </c>
      <c r="BG327" s="336">
        <v>0</v>
      </c>
      <c r="BH327" s="336">
        <v>0</v>
      </c>
      <c r="BI327" s="336">
        <v>0</v>
      </c>
      <c r="BJ327" s="336">
        <v>0</v>
      </c>
      <c r="BK327" s="336">
        <v>0</v>
      </c>
      <c r="BL327" s="336">
        <v>0</v>
      </c>
      <c r="BM327" s="336">
        <v>0</v>
      </c>
      <c r="BN327" s="336">
        <v>0</v>
      </c>
      <c r="BO327" s="336">
        <v>0</v>
      </c>
      <c r="BP327" s="336">
        <v>0</v>
      </c>
      <c r="BQ327" s="336">
        <v>0</v>
      </c>
      <c r="BR327" s="336">
        <v>0</v>
      </c>
      <c r="BS327" s="336">
        <v>0</v>
      </c>
      <c r="BT327" s="336">
        <v>0</v>
      </c>
      <c r="BU327" s="336">
        <v>0</v>
      </c>
      <c r="BV327" s="336">
        <v>0</v>
      </c>
      <c r="BW327" s="336">
        <v>0</v>
      </c>
      <c r="BX327" s="336">
        <v>0</v>
      </c>
    </row>
    <row r="328" spans="2:76" hidden="1" outlineLevel="1">
      <c r="B328" s="352"/>
      <c r="C328" s="352" t="s">
        <v>231</v>
      </c>
      <c r="D328" s="352" t="s">
        <v>141</v>
      </c>
      <c r="E328" s="352" t="s">
        <v>8</v>
      </c>
      <c r="F328" s="336">
        <v>2.7499999999999998E-3</v>
      </c>
      <c r="G328" s="336">
        <v>2.7499999999999998E-3</v>
      </c>
      <c r="H328" s="336">
        <v>2.7499999999999998E-3</v>
      </c>
      <c r="I328" s="336">
        <v>2.7499999999999998E-3</v>
      </c>
      <c r="J328" s="336">
        <v>2.7499999999999998E-3</v>
      </c>
      <c r="K328" s="336">
        <v>2.7499999999999998E-3</v>
      </c>
      <c r="L328" s="336">
        <v>2.7499999999999998E-3</v>
      </c>
      <c r="M328" s="336">
        <v>2.7499999999999998E-3</v>
      </c>
      <c r="N328" s="336">
        <v>2.7499999999999998E-3</v>
      </c>
      <c r="O328" s="336">
        <v>2.7499999999999998E-3</v>
      </c>
      <c r="P328" s="336">
        <v>2.7499999999999998E-3</v>
      </c>
      <c r="Q328" s="336">
        <v>2.7499999999999998E-3</v>
      </c>
      <c r="R328" s="336">
        <v>2.7499999999999998E-3</v>
      </c>
      <c r="S328" s="336">
        <v>2.7499999999999998E-3</v>
      </c>
      <c r="T328" s="336">
        <v>2.7499999999999998E-3</v>
      </c>
      <c r="U328" s="336">
        <v>2.7499999999999998E-3</v>
      </c>
      <c r="V328" s="336">
        <v>2.7499999999999998E-3</v>
      </c>
      <c r="W328" s="336">
        <v>2.7499999999999998E-3</v>
      </c>
      <c r="X328" s="336">
        <v>2.7499999999999998E-3</v>
      </c>
      <c r="Y328" s="336">
        <v>2.7499999999999998E-3</v>
      </c>
      <c r="Z328" s="336">
        <v>2.7499999999999998E-3</v>
      </c>
      <c r="AA328" s="336">
        <v>2.7499999999999998E-3</v>
      </c>
      <c r="AB328" s="336">
        <v>2.7499999999999998E-3</v>
      </c>
      <c r="AC328" s="336">
        <v>2.7499999999999998E-3</v>
      </c>
      <c r="AD328" s="336">
        <v>2.7499999999999998E-3</v>
      </c>
      <c r="AE328" s="336">
        <v>2.7499999999999998E-3</v>
      </c>
      <c r="AF328" s="336">
        <v>2.7499999999999998E-3</v>
      </c>
      <c r="AG328" s="336">
        <v>2.7499999999999998E-3</v>
      </c>
      <c r="AH328" s="336">
        <v>2.7499999999999998E-3</v>
      </c>
      <c r="AI328" s="336">
        <v>2.7499999999999998E-3</v>
      </c>
      <c r="AJ328" s="336">
        <v>2.7499999999999998E-3</v>
      </c>
      <c r="AK328" s="336">
        <v>2.7499999999999998E-3</v>
      </c>
      <c r="AL328" s="336">
        <v>2.7499999999999998E-3</v>
      </c>
      <c r="AM328" s="336">
        <v>2.7499999999999998E-3</v>
      </c>
      <c r="AN328" s="336">
        <v>2.7499999999999998E-3</v>
      </c>
      <c r="AO328" s="336">
        <v>2.7499999999999998E-3</v>
      </c>
      <c r="AP328" s="336">
        <v>2.7499999999999998E-3</v>
      </c>
      <c r="AQ328" s="336">
        <v>2.7499999999999998E-3</v>
      </c>
      <c r="AR328" s="336">
        <v>2.7499999999999998E-3</v>
      </c>
      <c r="AS328" s="336">
        <v>2.7499999999999998E-3</v>
      </c>
      <c r="AT328" s="336">
        <v>2.7499999999999998E-3</v>
      </c>
      <c r="AU328" s="336">
        <v>2.7499999999999998E-3</v>
      </c>
      <c r="AV328" s="336">
        <v>2.7499999999999998E-3</v>
      </c>
      <c r="AW328" s="336">
        <v>2.7499999999999998E-3</v>
      </c>
      <c r="AX328" s="336">
        <v>2.7499999999999998E-3</v>
      </c>
      <c r="AY328" s="336">
        <v>2.7499999999999998E-3</v>
      </c>
      <c r="AZ328" s="336">
        <v>2.7499999999999998E-3</v>
      </c>
      <c r="BA328" s="336">
        <v>2.7499999999999998E-3</v>
      </c>
      <c r="BB328" s="336">
        <v>2.7499999999999998E-3</v>
      </c>
      <c r="BC328" s="336">
        <v>2.7499999999999998E-3</v>
      </c>
      <c r="BD328" s="336">
        <v>2.7499999999999998E-3</v>
      </c>
      <c r="BE328" s="336">
        <v>2.7499999999999998E-3</v>
      </c>
      <c r="BF328" s="336">
        <v>2.7499999999999998E-3</v>
      </c>
      <c r="BG328" s="336">
        <v>2.7499999999999998E-3</v>
      </c>
      <c r="BH328" s="336">
        <v>2.7499999999999998E-3</v>
      </c>
      <c r="BI328" s="336">
        <v>2.7499999999999998E-3</v>
      </c>
      <c r="BJ328" s="336">
        <v>2.7499999999999998E-3</v>
      </c>
      <c r="BK328" s="336">
        <v>2.7499999999999998E-3</v>
      </c>
      <c r="BL328" s="336">
        <v>2.7499999999999998E-3</v>
      </c>
      <c r="BM328" s="336">
        <v>2.7499999999999998E-3</v>
      </c>
      <c r="BN328" s="336">
        <v>2.7499999999999998E-3</v>
      </c>
      <c r="BO328" s="336">
        <v>2.7499999999999998E-3</v>
      </c>
      <c r="BP328" s="336">
        <v>2.7499999999999998E-3</v>
      </c>
      <c r="BQ328" s="336">
        <v>2.7499999999999998E-3</v>
      </c>
      <c r="BR328" s="336">
        <v>2.7499999999999998E-3</v>
      </c>
      <c r="BS328" s="336">
        <v>2.7499999999999998E-3</v>
      </c>
      <c r="BT328" s="336">
        <v>2.7499999999999998E-3</v>
      </c>
      <c r="BU328" s="336">
        <v>2.7499999999999998E-3</v>
      </c>
      <c r="BV328" s="336">
        <v>2.7499999999999998E-3</v>
      </c>
      <c r="BW328" s="336">
        <v>2.7499999999999998E-3</v>
      </c>
      <c r="BX328" s="336">
        <v>2.7499999999999998E-3</v>
      </c>
    </row>
    <row r="329" spans="2:76" hidden="1" outlineLevel="1">
      <c r="B329" s="352"/>
      <c r="C329" s="352" t="s">
        <v>231</v>
      </c>
      <c r="D329" s="352" t="s">
        <v>141</v>
      </c>
      <c r="E329" s="352" t="s">
        <v>171</v>
      </c>
      <c r="F329" s="336">
        <v>2.7499999999999998E-3</v>
      </c>
      <c r="G329" s="336">
        <v>2.7499999999999998E-3</v>
      </c>
      <c r="H329" s="336">
        <v>2.7499999999999998E-3</v>
      </c>
      <c r="I329" s="336">
        <v>2.7499999999999998E-3</v>
      </c>
      <c r="J329" s="336">
        <v>2.7499999999999998E-3</v>
      </c>
      <c r="K329" s="336">
        <v>2.7499999999999998E-3</v>
      </c>
      <c r="L329" s="336">
        <v>2.7499999999999998E-3</v>
      </c>
      <c r="M329" s="336">
        <v>2.7499999999999998E-3</v>
      </c>
      <c r="N329" s="336">
        <v>2.7499999999999998E-3</v>
      </c>
      <c r="O329" s="336">
        <v>2.7499999999999998E-3</v>
      </c>
      <c r="P329" s="336">
        <v>2.7499999999999998E-3</v>
      </c>
      <c r="Q329" s="336">
        <v>2.7499999999999998E-3</v>
      </c>
      <c r="R329" s="336">
        <v>2.7499999999999998E-3</v>
      </c>
      <c r="S329" s="336">
        <v>2.7499999999999998E-3</v>
      </c>
      <c r="T329" s="336">
        <v>2.7499999999999998E-3</v>
      </c>
      <c r="U329" s="336">
        <v>2.7499999999999998E-3</v>
      </c>
      <c r="V329" s="336">
        <v>2.7499999999999998E-3</v>
      </c>
      <c r="W329" s="336">
        <v>2.7499999999999998E-3</v>
      </c>
      <c r="X329" s="336">
        <v>2.7499999999999998E-3</v>
      </c>
      <c r="Y329" s="336">
        <v>2.7499999999999998E-3</v>
      </c>
      <c r="Z329" s="336">
        <v>2.7499999999999998E-3</v>
      </c>
      <c r="AA329" s="336">
        <v>2.7499999999999998E-3</v>
      </c>
      <c r="AB329" s="336">
        <v>2.7499999999999998E-3</v>
      </c>
      <c r="AC329" s="336">
        <v>2.7499999999999998E-3</v>
      </c>
      <c r="AD329" s="336">
        <v>2.7499999999999998E-3</v>
      </c>
      <c r="AE329" s="336">
        <v>2.7499999999999998E-3</v>
      </c>
      <c r="AF329" s="336">
        <v>2.7499999999999998E-3</v>
      </c>
      <c r="AG329" s="336">
        <v>2.7499999999999998E-3</v>
      </c>
      <c r="AH329" s="336">
        <v>2.7499999999999998E-3</v>
      </c>
      <c r="AI329" s="336">
        <v>2.7499999999999998E-3</v>
      </c>
      <c r="AJ329" s="336">
        <v>2.7499999999999998E-3</v>
      </c>
      <c r="AK329" s="336">
        <v>2.7499999999999998E-3</v>
      </c>
      <c r="AL329" s="336">
        <v>2.7499999999999998E-3</v>
      </c>
      <c r="AM329" s="336">
        <v>2.7499999999999998E-3</v>
      </c>
      <c r="AN329" s="336">
        <v>2.7499999999999998E-3</v>
      </c>
      <c r="AO329" s="336">
        <v>2.7499999999999998E-3</v>
      </c>
      <c r="AP329" s="336">
        <v>2.7499999999999998E-3</v>
      </c>
      <c r="AQ329" s="336">
        <v>2.7499999999999998E-3</v>
      </c>
      <c r="AR329" s="336">
        <v>2.7499999999999998E-3</v>
      </c>
      <c r="AS329" s="336">
        <v>2.7499999999999998E-3</v>
      </c>
      <c r="AT329" s="336">
        <v>2.7499999999999998E-3</v>
      </c>
      <c r="AU329" s="336">
        <v>2.7499999999999998E-3</v>
      </c>
      <c r="AV329" s="336">
        <v>2.7499999999999998E-3</v>
      </c>
      <c r="AW329" s="336">
        <v>2.7499999999999998E-3</v>
      </c>
      <c r="AX329" s="336">
        <v>2.7499999999999998E-3</v>
      </c>
      <c r="AY329" s="336">
        <v>2.7499999999999998E-3</v>
      </c>
      <c r="AZ329" s="336">
        <v>2.7499999999999998E-3</v>
      </c>
      <c r="BA329" s="336">
        <v>2.7499999999999998E-3</v>
      </c>
      <c r="BB329" s="336">
        <v>2.7499999999999998E-3</v>
      </c>
      <c r="BC329" s="336">
        <v>2.7499999999999998E-3</v>
      </c>
      <c r="BD329" s="336">
        <v>2.7499999999999998E-3</v>
      </c>
      <c r="BE329" s="336">
        <v>2.7499999999999998E-3</v>
      </c>
      <c r="BF329" s="336">
        <v>2.7499999999999998E-3</v>
      </c>
      <c r="BG329" s="336">
        <v>2.7499999999999998E-3</v>
      </c>
      <c r="BH329" s="336">
        <v>2.7499999999999998E-3</v>
      </c>
      <c r="BI329" s="336">
        <v>2.7499999999999998E-3</v>
      </c>
      <c r="BJ329" s="336">
        <v>2.7499999999999998E-3</v>
      </c>
      <c r="BK329" s="336">
        <v>2.7499999999999998E-3</v>
      </c>
      <c r="BL329" s="336">
        <v>2.7499999999999998E-3</v>
      </c>
      <c r="BM329" s="336">
        <v>2.7499999999999998E-3</v>
      </c>
      <c r="BN329" s="336">
        <v>2.7499999999999998E-3</v>
      </c>
      <c r="BO329" s="336">
        <v>2.7499999999999998E-3</v>
      </c>
      <c r="BP329" s="336">
        <v>2.7499999999999998E-3</v>
      </c>
      <c r="BQ329" s="336">
        <v>2.7499999999999998E-3</v>
      </c>
      <c r="BR329" s="336">
        <v>2.7499999999999998E-3</v>
      </c>
      <c r="BS329" s="336">
        <v>2.7499999999999998E-3</v>
      </c>
      <c r="BT329" s="336">
        <v>2.7499999999999998E-3</v>
      </c>
      <c r="BU329" s="336">
        <v>2.7499999999999998E-3</v>
      </c>
      <c r="BV329" s="336">
        <v>2.7499999999999998E-3</v>
      </c>
      <c r="BW329" s="336">
        <v>2.7499999999999998E-3</v>
      </c>
      <c r="BX329" s="336">
        <v>2.7499999999999998E-3</v>
      </c>
    </row>
    <row r="330" spans="2:76" hidden="1" outlineLevel="1">
      <c r="B330" s="352"/>
      <c r="C330" s="352" t="s">
        <v>231</v>
      </c>
      <c r="D330" s="352" t="s">
        <v>141</v>
      </c>
      <c r="E330" s="352" t="s">
        <v>138</v>
      </c>
      <c r="F330" s="336">
        <v>2.7499999999999998E-3</v>
      </c>
      <c r="G330" s="336">
        <v>2.7499999999999998E-3</v>
      </c>
      <c r="H330" s="336">
        <v>2.7499999999999998E-3</v>
      </c>
      <c r="I330" s="336">
        <v>2.7499999999999998E-3</v>
      </c>
      <c r="J330" s="336">
        <v>2.7499999999999998E-3</v>
      </c>
      <c r="K330" s="336">
        <v>2.7499999999999998E-3</v>
      </c>
      <c r="L330" s="336">
        <v>2.7499999999999998E-3</v>
      </c>
      <c r="M330" s="336">
        <v>2.7499999999999998E-3</v>
      </c>
      <c r="N330" s="336">
        <v>2.7499999999999998E-3</v>
      </c>
      <c r="O330" s="336">
        <v>2.7499999999999998E-3</v>
      </c>
      <c r="P330" s="336">
        <v>2.7499999999999998E-3</v>
      </c>
      <c r="Q330" s="336">
        <v>2.7499999999999998E-3</v>
      </c>
      <c r="R330" s="336">
        <v>2.7499999999999998E-3</v>
      </c>
      <c r="S330" s="336">
        <v>2.7499999999999998E-3</v>
      </c>
      <c r="T330" s="336">
        <v>2.7499999999999998E-3</v>
      </c>
      <c r="U330" s="336">
        <v>2.7499999999999998E-3</v>
      </c>
      <c r="V330" s="336">
        <v>2.7499999999999998E-3</v>
      </c>
      <c r="W330" s="336">
        <v>2.7499999999999998E-3</v>
      </c>
      <c r="X330" s="336">
        <v>2.7499999999999998E-3</v>
      </c>
      <c r="Y330" s="336">
        <v>2.7499999999999998E-3</v>
      </c>
      <c r="Z330" s="336">
        <v>2.7499999999999998E-3</v>
      </c>
      <c r="AA330" s="336">
        <v>2.7499999999999998E-3</v>
      </c>
      <c r="AB330" s="336">
        <v>2.7499999999999998E-3</v>
      </c>
      <c r="AC330" s="336">
        <v>2.7499999999999998E-3</v>
      </c>
      <c r="AD330" s="336">
        <v>2.7499999999999998E-3</v>
      </c>
      <c r="AE330" s="336">
        <v>2.7499999999999998E-3</v>
      </c>
      <c r="AF330" s="336">
        <v>2.7499999999999998E-3</v>
      </c>
      <c r="AG330" s="336">
        <v>2.7499999999999998E-3</v>
      </c>
      <c r="AH330" s="336">
        <v>2.7499999999999998E-3</v>
      </c>
      <c r="AI330" s="336">
        <v>2.7499999999999998E-3</v>
      </c>
      <c r="AJ330" s="336">
        <v>2.7499999999999998E-3</v>
      </c>
      <c r="AK330" s="336">
        <v>2.7499999999999998E-3</v>
      </c>
      <c r="AL330" s="336">
        <v>2.7499999999999998E-3</v>
      </c>
      <c r="AM330" s="336">
        <v>2.7499999999999998E-3</v>
      </c>
      <c r="AN330" s="336">
        <v>2.7499999999999998E-3</v>
      </c>
      <c r="AO330" s="336">
        <v>2.7499999999999998E-3</v>
      </c>
      <c r="AP330" s="336">
        <v>2.7499999999999998E-3</v>
      </c>
      <c r="AQ330" s="336">
        <v>2.7499999999999998E-3</v>
      </c>
      <c r="AR330" s="336">
        <v>2.7499999999999998E-3</v>
      </c>
      <c r="AS330" s="336">
        <v>2.7499999999999998E-3</v>
      </c>
      <c r="AT330" s="336">
        <v>2.7499999999999998E-3</v>
      </c>
      <c r="AU330" s="336">
        <v>2.7499999999999998E-3</v>
      </c>
      <c r="AV330" s="336">
        <v>2.7499999999999998E-3</v>
      </c>
      <c r="AW330" s="336">
        <v>2.7499999999999998E-3</v>
      </c>
      <c r="AX330" s="336">
        <v>2.7499999999999998E-3</v>
      </c>
      <c r="AY330" s="336">
        <v>2.7499999999999998E-3</v>
      </c>
      <c r="AZ330" s="336">
        <v>2.7499999999999998E-3</v>
      </c>
      <c r="BA330" s="336">
        <v>2.7499999999999998E-3</v>
      </c>
      <c r="BB330" s="336">
        <v>2.7499999999999998E-3</v>
      </c>
      <c r="BC330" s="336">
        <v>2.7499999999999998E-3</v>
      </c>
      <c r="BD330" s="336">
        <v>2.7499999999999998E-3</v>
      </c>
      <c r="BE330" s="336">
        <v>2.7499999999999998E-3</v>
      </c>
      <c r="BF330" s="336">
        <v>2.7499999999999998E-3</v>
      </c>
      <c r="BG330" s="336">
        <v>2.7499999999999998E-3</v>
      </c>
      <c r="BH330" s="336">
        <v>2.7499999999999998E-3</v>
      </c>
      <c r="BI330" s="336">
        <v>2.7499999999999998E-3</v>
      </c>
      <c r="BJ330" s="336">
        <v>2.7499999999999998E-3</v>
      </c>
      <c r="BK330" s="336">
        <v>2.7499999999999998E-3</v>
      </c>
      <c r="BL330" s="336">
        <v>2.7499999999999998E-3</v>
      </c>
      <c r="BM330" s="336">
        <v>2.7499999999999998E-3</v>
      </c>
      <c r="BN330" s="336">
        <v>2.7499999999999998E-3</v>
      </c>
      <c r="BO330" s="336">
        <v>2.7499999999999998E-3</v>
      </c>
      <c r="BP330" s="336">
        <v>2.7499999999999998E-3</v>
      </c>
      <c r="BQ330" s="336">
        <v>2.7499999999999998E-3</v>
      </c>
      <c r="BR330" s="336">
        <v>2.7499999999999998E-3</v>
      </c>
      <c r="BS330" s="336">
        <v>2.7499999999999998E-3</v>
      </c>
      <c r="BT330" s="336">
        <v>2.7499999999999998E-3</v>
      </c>
      <c r="BU330" s="336">
        <v>2.7499999999999998E-3</v>
      </c>
      <c r="BV330" s="336">
        <v>2.7499999999999998E-3</v>
      </c>
      <c r="BW330" s="336">
        <v>2.7499999999999998E-3</v>
      </c>
      <c r="BX330" s="336">
        <v>2.7499999999999998E-3</v>
      </c>
    </row>
    <row r="331" spans="2:76" hidden="1" outlineLevel="1">
      <c r="B331" s="352"/>
      <c r="C331" s="352" t="s">
        <v>231</v>
      </c>
      <c r="D331" s="352" t="s">
        <v>141</v>
      </c>
      <c r="E331" s="352" t="s">
        <v>10</v>
      </c>
      <c r="F331" s="336">
        <v>0</v>
      </c>
      <c r="G331" s="336">
        <v>0</v>
      </c>
      <c r="H331" s="336">
        <v>0</v>
      </c>
      <c r="I331" s="336">
        <v>0</v>
      </c>
      <c r="J331" s="336">
        <v>0</v>
      </c>
      <c r="K331" s="336">
        <v>0</v>
      </c>
      <c r="L331" s="336">
        <v>0</v>
      </c>
      <c r="M331" s="336">
        <v>0</v>
      </c>
      <c r="N331" s="336">
        <v>0</v>
      </c>
      <c r="O331" s="336">
        <v>0</v>
      </c>
      <c r="P331" s="336">
        <v>0</v>
      </c>
      <c r="Q331" s="336">
        <v>0</v>
      </c>
      <c r="R331" s="336">
        <v>0</v>
      </c>
      <c r="S331" s="336">
        <v>0</v>
      </c>
      <c r="T331" s="336">
        <v>0</v>
      </c>
      <c r="U331" s="336">
        <v>0</v>
      </c>
      <c r="V331" s="336">
        <v>0</v>
      </c>
      <c r="W331" s="336">
        <v>0</v>
      </c>
      <c r="X331" s="336">
        <v>0</v>
      </c>
      <c r="Y331" s="336">
        <v>0</v>
      </c>
      <c r="Z331" s="336">
        <v>0</v>
      </c>
      <c r="AA331" s="336">
        <v>0</v>
      </c>
      <c r="AB331" s="336">
        <v>0</v>
      </c>
      <c r="AC331" s="336">
        <v>0</v>
      </c>
      <c r="AD331" s="336">
        <v>0</v>
      </c>
      <c r="AE331" s="336">
        <v>0</v>
      </c>
      <c r="AF331" s="336">
        <v>0</v>
      </c>
      <c r="AG331" s="336">
        <v>0</v>
      </c>
      <c r="AH331" s="336">
        <v>0</v>
      </c>
      <c r="AI331" s="336">
        <v>0</v>
      </c>
      <c r="AJ331" s="336">
        <v>0</v>
      </c>
      <c r="AK331" s="336">
        <v>0</v>
      </c>
      <c r="AL331" s="336">
        <v>0</v>
      </c>
      <c r="AM331" s="336">
        <v>0</v>
      </c>
      <c r="AN331" s="336">
        <v>0</v>
      </c>
      <c r="AO331" s="336">
        <v>0</v>
      </c>
      <c r="AP331" s="336">
        <v>0</v>
      </c>
      <c r="AQ331" s="336">
        <v>0</v>
      </c>
      <c r="AR331" s="336">
        <v>0</v>
      </c>
      <c r="AS331" s="336">
        <v>0</v>
      </c>
      <c r="AT331" s="336">
        <v>0</v>
      </c>
      <c r="AU331" s="336">
        <v>0</v>
      </c>
      <c r="AV331" s="336">
        <v>0</v>
      </c>
      <c r="AW331" s="336">
        <v>0</v>
      </c>
      <c r="AX331" s="336">
        <v>0</v>
      </c>
      <c r="AY331" s="336">
        <v>0</v>
      </c>
      <c r="AZ331" s="336">
        <v>0</v>
      </c>
      <c r="BA331" s="336">
        <v>0</v>
      </c>
      <c r="BB331" s="336">
        <v>0</v>
      </c>
      <c r="BC331" s="336">
        <v>0</v>
      </c>
      <c r="BD331" s="336">
        <v>0</v>
      </c>
      <c r="BE331" s="336">
        <v>0</v>
      </c>
      <c r="BF331" s="336">
        <v>0</v>
      </c>
      <c r="BG331" s="336">
        <v>0</v>
      </c>
      <c r="BH331" s="336">
        <v>0</v>
      </c>
      <c r="BI331" s="336">
        <v>0</v>
      </c>
      <c r="BJ331" s="336">
        <v>0</v>
      </c>
      <c r="BK331" s="336">
        <v>0</v>
      </c>
      <c r="BL331" s="336">
        <v>0</v>
      </c>
      <c r="BM331" s="336">
        <v>0</v>
      </c>
      <c r="BN331" s="336">
        <v>0</v>
      </c>
      <c r="BO331" s="336">
        <v>0</v>
      </c>
      <c r="BP331" s="336">
        <v>0</v>
      </c>
      <c r="BQ331" s="336">
        <v>0</v>
      </c>
      <c r="BR331" s="336">
        <v>0</v>
      </c>
      <c r="BS331" s="336">
        <v>0</v>
      </c>
      <c r="BT331" s="336">
        <v>0</v>
      </c>
      <c r="BU331" s="336">
        <v>0</v>
      </c>
      <c r="BV331" s="336">
        <v>0</v>
      </c>
      <c r="BW331" s="336">
        <v>0</v>
      </c>
      <c r="BX331" s="336">
        <v>0</v>
      </c>
    </row>
    <row r="332" spans="2:76" hidden="1" outlineLevel="1">
      <c r="B332" s="352"/>
      <c r="C332" s="352" t="s">
        <v>231</v>
      </c>
      <c r="D332" s="352" t="s">
        <v>141</v>
      </c>
      <c r="E332" s="352" t="s">
        <v>164</v>
      </c>
      <c r="F332" s="336">
        <v>2.7499999999999998E-3</v>
      </c>
      <c r="G332" s="336">
        <v>2.7499999999999998E-3</v>
      </c>
      <c r="H332" s="336">
        <v>2.7499999999999998E-3</v>
      </c>
      <c r="I332" s="336">
        <v>2.7499999999999998E-3</v>
      </c>
      <c r="J332" s="336">
        <v>2.7499999999999998E-3</v>
      </c>
      <c r="K332" s="336">
        <v>2.7499999999999998E-3</v>
      </c>
      <c r="L332" s="336">
        <v>2.7499999999999998E-3</v>
      </c>
      <c r="M332" s="336">
        <v>2.7499999999999998E-3</v>
      </c>
      <c r="N332" s="336">
        <v>2.7499999999999998E-3</v>
      </c>
      <c r="O332" s="336">
        <v>2.7499999999999998E-3</v>
      </c>
      <c r="P332" s="336">
        <v>2.7499999999999998E-3</v>
      </c>
      <c r="Q332" s="336">
        <v>2.7499999999999998E-3</v>
      </c>
      <c r="R332" s="336">
        <v>2.7499999999999998E-3</v>
      </c>
      <c r="S332" s="336">
        <v>2.7499999999999998E-3</v>
      </c>
      <c r="T332" s="336">
        <v>2.7499999999999998E-3</v>
      </c>
      <c r="U332" s="336">
        <v>2.7499999999999998E-3</v>
      </c>
      <c r="V332" s="336">
        <v>2.7499999999999998E-3</v>
      </c>
      <c r="W332" s="336">
        <v>2.7499999999999998E-3</v>
      </c>
      <c r="X332" s="336">
        <v>2.7499999999999998E-3</v>
      </c>
      <c r="Y332" s="336">
        <v>2.7499999999999998E-3</v>
      </c>
      <c r="Z332" s="336">
        <v>2.7499999999999998E-3</v>
      </c>
      <c r="AA332" s="336">
        <v>2.7499999999999998E-3</v>
      </c>
      <c r="AB332" s="336">
        <v>2.7499999999999998E-3</v>
      </c>
      <c r="AC332" s="336">
        <v>2.7499999999999998E-3</v>
      </c>
      <c r="AD332" s="336">
        <v>2.7499999999999998E-3</v>
      </c>
      <c r="AE332" s="336">
        <v>2.7499999999999998E-3</v>
      </c>
      <c r="AF332" s="336">
        <v>2.7499999999999998E-3</v>
      </c>
      <c r="AG332" s="336">
        <v>2.7499999999999998E-3</v>
      </c>
      <c r="AH332" s="336">
        <v>2.7499999999999998E-3</v>
      </c>
      <c r="AI332" s="336">
        <v>2.7499999999999998E-3</v>
      </c>
      <c r="AJ332" s="336">
        <v>2.7499999999999998E-3</v>
      </c>
      <c r="AK332" s="336">
        <v>2.7499999999999998E-3</v>
      </c>
      <c r="AL332" s="336">
        <v>2.7499999999999998E-3</v>
      </c>
      <c r="AM332" s="336">
        <v>2.7499999999999998E-3</v>
      </c>
      <c r="AN332" s="336">
        <v>2.7499999999999998E-3</v>
      </c>
      <c r="AO332" s="336">
        <v>2.7499999999999998E-3</v>
      </c>
      <c r="AP332" s="336">
        <v>2.7499999999999998E-3</v>
      </c>
      <c r="AQ332" s="336">
        <v>2.7499999999999998E-3</v>
      </c>
      <c r="AR332" s="336">
        <v>2.7499999999999998E-3</v>
      </c>
      <c r="AS332" s="336">
        <v>2.7499999999999998E-3</v>
      </c>
      <c r="AT332" s="336">
        <v>2.7499999999999998E-3</v>
      </c>
      <c r="AU332" s="336">
        <v>2.7499999999999998E-3</v>
      </c>
      <c r="AV332" s="336">
        <v>2.7499999999999998E-3</v>
      </c>
      <c r="AW332" s="336">
        <v>2.7499999999999998E-3</v>
      </c>
      <c r="AX332" s="336">
        <v>2.7499999999999998E-3</v>
      </c>
      <c r="AY332" s="336">
        <v>2.7499999999999998E-3</v>
      </c>
      <c r="AZ332" s="336">
        <v>2.7499999999999998E-3</v>
      </c>
      <c r="BA332" s="336">
        <v>2.7499999999999998E-3</v>
      </c>
      <c r="BB332" s="336">
        <v>2.7499999999999998E-3</v>
      </c>
      <c r="BC332" s="336">
        <v>2.7499999999999998E-3</v>
      </c>
      <c r="BD332" s="336">
        <v>2.7499999999999998E-3</v>
      </c>
      <c r="BE332" s="336">
        <v>2.7499999999999998E-3</v>
      </c>
      <c r="BF332" s="336">
        <v>2.7499999999999998E-3</v>
      </c>
      <c r="BG332" s="336">
        <v>2.7499999999999998E-3</v>
      </c>
      <c r="BH332" s="336">
        <v>2.7499999999999998E-3</v>
      </c>
      <c r="BI332" s="336">
        <v>2.7499999999999998E-3</v>
      </c>
      <c r="BJ332" s="336">
        <v>2.7499999999999998E-3</v>
      </c>
      <c r="BK332" s="336">
        <v>2.7499999999999998E-3</v>
      </c>
      <c r="BL332" s="336">
        <v>2.7499999999999998E-3</v>
      </c>
      <c r="BM332" s="336">
        <v>2.7499999999999998E-3</v>
      </c>
      <c r="BN332" s="336">
        <v>2.7499999999999998E-3</v>
      </c>
      <c r="BO332" s="336">
        <v>2.7499999999999998E-3</v>
      </c>
      <c r="BP332" s="336">
        <v>2.7499999999999998E-3</v>
      </c>
      <c r="BQ332" s="336">
        <v>2.7499999999999998E-3</v>
      </c>
      <c r="BR332" s="336">
        <v>2.7499999999999998E-3</v>
      </c>
      <c r="BS332" s="336">
        <v>2.7499999999999998E-3</v>
      </c>
      <c r="BT332" s="336">
        <v>2.7499999999999998E-3</v>
      </c>
      <c r="BU332" s="336">
        <v>2.7499999999999998E-3</v>
      </c>
      <c r="BV332" s="336">
        <v>2.7499999999999998E-3</v>
      </c>
      <c r="BW332" s="336">
        <v>2.7499999999999998E-3</v>
      </c>
      <c r="BX332" s="336">
        <v>2.7499999999999998E-3</v>
      </c>
    </row>
    <row r="333" spans="2:76" hidden="1" outlineLevel="1">
      <c r="B333" s="352"/>
      <c r="C333" s="352" t="s">
        <v>231</v>
      </c>
      <c r="D333" s="352" t="s">
        <v>141</v>
      </c>
      <c r="E333" s="352" t="s">
        <v>168</v>
      </c>
      <c r="F333" s="336">
        <v>2.7499999999999998E-3</v>
      </c>
      <c r="G333" s="336">
        <v>2.7499999999999998E-3</v>
      </c>
      <c r="H333" s="336">
        <v>2.7499999999999998E-3</v>
      </c>
      <c r="I333" s="336">
        <v>2.7499999999999998E-3</v>
      </c>
      <c r="J333" s="336">
        <v>2.7499999999999998E-3</v>
      </c>
      <c r="K333" s="336">
        <v>2.7499999999999998E-3</v>
      </c>
      <c r="L333" s="336">
        <v>2.7499999999999998E-3</v>
      </c>
      <c r="M333" s="336">
        <v>2.7499999999999998E-3</v>
      </c>
      <c r="N333" s="336">
        <v>2.7499999999999998E-3</v>
      </c>
      <c r="O333" s="336">
        <v>2.7499999999999998E-3</v>
      </c>
      <c r="P333" s="336">
        <v>2.7499999999999998E-3</v>
      </c>
      <c r="Q333" s="336">
        <v>2.7499999999999998E-3</v>
      </c>
      <c r="R333" s="336">
        <v>2.7499999999999998E-3</v>
      </c>
      <c r="S333" s="336">
        <v>2.7499999999999998E-3</v>
      </c>
      <c r="T333" s="336">
        <v>2.7499999999999998E-3</v>
      </c>
      <c r="U333" s="336">
        <v>2.7499999999999998E-3</v>
      </c>
      <c r="V333" s="336">
        <v>2.7499999999999998E-3</v>
      </c>
      <c r="W333" s="336">
        <v>2.7499999999999998E-3</v>
      </c>
      <c r="X333" s="336">
        <v>2.7499999999999998E-3</v>
      </c>
      <c r="Y333" s="336">
        <v>2.7499999999999998E-3</v>
      </c>
      <c r="Z333" s="336">
        <v>2.7499999999999998E-3</v>
      </c>
      <c r="AA333" s="336">
        <v>2.7499999999999998E-3</v>
      </c>
      <c r="AB333" s="336">
        <v>2.7499999999999998E-3</v>
      </c>
      <c r="AC333" s="336">
        <v>2.7499999999999998E-3</v>
      </c>
      <c r="AD333" s="336">
        <v>2.7499999999999998E-3</v>
      </c>
      <c r="AE333" s="336">
        <v>2.7499999999999998E-3</v>
      </c>
      <c r="AF333" s="336">
        <v>2.7499999999999998E-3</v>
      </c>
      <c r="AG333" s="336">
        <v>2.7499999999999998E-3</v>
      </c>
      <c r="AH333" s="336">
        <v>2.7499999999999998E-3</v>
      </c>
      <c r="AI333" s="336">
        <v>2.7499999999999998E-3</v>
      </c>
      <c r="AJ333" s="336">
        <v>2.7499999999999998E-3</v>
      </c>
      <c r="AK333" s="336">
        <v>2.7499999999999998E-3</v>
      </c>
      <c r="AL333" s="336">
        <v>2.7499999999999998E-3</v>
      </c>
      <c r="AM333" s="336">
        <v>2.7499999999999998E-3</v>
      </c>
      <c r="AN333" s="336">
        <v>2.7499999999999998E-3</v>
      </c>
      <c r="AO333" s="336">
        <v>2.7499999999999998E-3</v>
      </c>
      <c r="AP333" s="336">
        <v>2.7499999999999998E-3</v>
      </c>
      <c r="AQ333" s="336">
        <v>2.7499999999999998E-3</v>
      </c>
      <c r="AR333" s="336">
        <v>2.7499999999999998E-3</v>
      </c>
      <c r="AS333" s="336">
        <v>2.7499999999999998E-3</v>
      </c>
      <c r="AT333" s="336">
        <v>2.7499999999999998E-3</v>
      </c>
      <c r="AU333" s="336">
        <v>2.7499999999999998E-3</v>
      </c>
      <c r="AV333" s="336">
        <v>2.7499999999999998E-3</v>
      </c>
      <c r="AW333" s="336">
        <v>2.7499999999999998E-3</v>
      </c>
      <c r="AX333" s="336">
        <v>2.7499999999999998E-3</v>
      </c>
      <c r="AY333" s="336">
        <v>2.7499999999999998E-3</v>
      </c>
      <c r="AZ333" s="336">
        <v>2.7499999999999998E-3</v>
      </c>
      <c r="BA333" s="336">
        <v>2.7499999999999998E-3</v>
      </c>
      <c r="BB333" s="336">
        <v>2.7499999999999998E-3</v>
      </c>
      <c r="BC333" s="336">
        <v>2.7499999999999998E-3</v>
      </c>
      <c r="BD333" s="336">
        <v>2.7499999999999998E-3</v>
      </c>
      <c r="BE333" s="336">
        <v>2.7499999999999998E-3</v>
      </c>
      <c r="BF333" s="336">
        <v>2.7499999999999998E-3</v>
      </c>
      <c r="BG333" s="336">
        <v>2.7499999999999998E-3</v>
      </c>
      <c r="BH333" s="336">
        <v>2.7499999999999998E-3</v>
      </c>
      <c r="BI333" s="336">
        <v>2.7499999999999998E-3</v>
      </c>
      <c r="BJ333" s="336">
        <v>2.7499999999999998E-3</v>
      </c>
      <c r="BK333" s="336">
        <v>2.7499999999999998E-3</v>
      </c>
      <c r="BL333" s="336">
        <v>2.7499999999999998E-3</v>
      </c>
      <c r="BM333" s="336">
        <v>2.7499999999999998E-3</v>
      </c>
      <c r="BN333" s="336">
        <v>2.7499999999999998E-3</v>
      </c>
      <c r="BO333" s="336">
        <v>2.7499999999999998E-3</v>
      </c>
      <c r="BP333" s="336">
        <v>2.7499999999999998E-3</v>
      </c>
      <c r="BQ333" s="336">
        <v>2.7499999999999998E-3</v>
      </c>
      <c r="BR333" s="336">
        <v>2.7499999999999998E-3</v>
      </c>
      <c r="BS333" s="336">
        <v>2.7499999999999998E-3</v>
      </c>
      <c r="BT333" s="336">
        <v>2.7499999999999998E-3</v>
      </c>
      <c r="BU333" s="336">
        <v>2.7499999999999998E-3</v>
      </c>
      <c r="BV333" s="336">
        <v>2.7499999999999998E-3</v>
      </c>
      <c r="BW333" s="336">
        <v>2.7499999999999998E-3</v>
      </c>
      <c r="BX333" s="336">
        <v>2.7499999999999998E-3</v>
      </c>
    </row>
    <row r="334" spans="2:76" hidden="1" outlineLevel="1">
      <c r="B334" s="352"/>
      <c r="C334" s="352" t="s">
        <v>231</v>
      </c>
      <c r="D334" s="352" t="s">
        <v>141</v>
      </c>
      <c r="E334" s="352" t="s">
        <v>169</v>
      </c>
      <c r="F334" s="336">
        <v>2.7499999999999998E-3</v>
      </c>
      <c r="G334" s="336">
        <v>2.7499999999999998E-3</v>
      </c>
      <c r="H334" s="336">
        <v>2.7499999999999998E-3</v>
      </c>
      <c r="I334" s="336">
        <v>2.7499999999999998E-3</v>
      </c>
      <c r="J334" s="336">
        <v>2.7499999999999998E-3</v>
      </c>
      <c r="K334" s="336">
        <v>2.7499999999999998E-3</v>
      </c>
      <c r="L334" s="336">
        <v>2.7499999999999998E-3</v>
      </c>
      <c r="M334" s="336">
        <v>2.7499999999999998E-3</v>
      </c>
      <c r="N334" s="336">
        <v>2.7499999999999998E-3</v>
      </c>
      <c r="O334" s="336">
        <v>2.7499999999999998E-3</v>
      </c>
      <c r="P334" s="336">
        <v>2.7499999999999998E-3</v>
      </c>
      <c r="Q334" s="336">
        <v>2.7499999999999998E-3</v>
      </c>
      <c r="R334" s="336">
        <v>2.7499999999999998E-3</v>
      </c>
      <c r="S334" s="336">
        <v>2.7499999999999998E-3</v>
      </c>
      <c r="T334" s="336">
        <v>2.7499999999999998E-3</v>
      </c>
      <c r="U334" s="336">
        <v>2.7499999999999998E-3</v>
      </c>
      <c r="V334" s="336">
        <v>2.7499999999999998E-3</v>
      </c>
      <c r="W334" s="336">
        <v>2.7499999999999998E-3</v>
      </c>
      <c r="X334" s="336">
        <v>2.7499999999999998E-3</v>
      </c>
      <c r="Y334" s="336">
        <v>2.7499999999999998E-3</v>
      </c>
      <c r="Z334" s="336">
        <v>2.7499999999999998E-3</v>
      </c>
      <c r="AA334" s="336">
        <v>2.7499999999999998E-3</v>
      </c>
      <c r="AB334" s="336">
        <v>2.7499999999999998E-3</v>
      </c>
      <c r="AC334" s="336">
        <v>2.7499999999999998E-3</v>
      </c>
      <c r="AD334" s="336">
        <v>2.7499999999999998E-3</v>
      </c>
      <c r="AE334" s="336">
        <v>2.7499999999999998E-3</v>
      </c>
      <c r="AF334" s="336">
        <v>2.7499999999999998E-3</v>
      </c>
      <c r="AG334" s="336">
        <v>2.7499999999999998E-3</v>
      </c>
      <c r="AH334" s="336">
        <v>2.7499999999999998E-3</v>
      </c>
      <c r="AI334" s="336">
        <v>2.7499999999999998E-3</v>
      </c>
      <c r="AJ334" s="336">
        <v>2.7499999999999998E-3</v>
      </c>
      <c r="AK334" s="336">
        <v>2.7499999999999998E-3</v>
      </c>
      <c r="AL334" s="336">
        <v>2.7499999999999998E-3</v>
      </c>
      <c r="AM334" s="336">
        <v>2.7499999999999998E-3</v>
      </c>
      <c r="AN334" s="336">
        <v>2.7499999999999998E-3</v>
      </c>
      <c r="AO334" s="336">
        <v>2.7499999999999998E-3</v>
      </c>
      <c r="AP334" s="336">
        <v>2.7499999999999998E-3</v>
      </c>
      <c r="AQ334" s="336">
        <v>2.7499999999999998E-3</v>
      </c>
      <c r="AR334" s="336">
        <v>2.7499999999999998E-3</v>
      </c>
      <c r="AS334" s="336">
        <v>2.7499999999999998E-3</v>
      </c>
      <c r="AT334" s="336">
        <v>2.7499999999999998E-3</v>
      </c>
      <c r="AU334" s="336">
        <v>2.7499999999999998E-3</v>
      </c>
      <c r="AV334" s="336">
        <v>2.7499999999999998E-3</v>
      </c>
      <c r="AW334" s="336">
        <v>2.7499999999999998E-3</v>
      </c>
      <c r="AX334" s="336">
        <v>2.7499999999999998E-3</v>
      </c>
      <c r="AY334" s="336">
        <v>2.7499999999999998E-3</v>
      </c>
      <c r="AZ334" s="336">
        <v>2.7499999999999998E-3</v>
      </c>
      <c r="BA334" s="336">
        <v>2.7499999999999998E-3</v>
      </c>
      <c r="BB334" s="336">
        <v>2.7499999999999998E-3</v>
      </c>
      <c r="BC334" s="336">
        <v>2.7499999999999998E-3</v>
      </c>
      <c r="BD334" s="336">
        <v>2.7499999999999998E-3</v>
      </c>
      <c r="BE334" s="336">
        <v>2.7499999999999998E-3</v>
      </c>
      <c r="BF334" s="336">
        <v>2.7499999999999998E-3</v>
      </c>
      <c r="BG334" s="336">
        <v>2.7499999999999998E-3</v>
      </c>
      <c r="BH334" s="336">
        <v>2.7499999999999998E-3</v>
      </c>
      <c r="BI334" s="336">
        <v>2.7499999999999998E-3</v>
      </c>
      <c r="BJ334" s="336">
        <v>2.7499999999999998E-3</v>
      </c>
      <c r="BK334" s="336">
        <v>2.7499999999999998E-3</v>
      </c>
      <c r="BL334" s="336">
        <v>2.7499999999999998E-3</v>
      </c>
      <c r="BM334" s="336">
        <v>2.7499999999999998E-3</v>
      </c>
      <c r="BN334" s="336">
        <v>2.7499999999999998E-3</v>
      </c>
      <c r="BO334" s="336">
        <v>2.7499999999999998E-3</v>
      </c>
      <c r="BP334" s="336">
        <v>2.7499999999999998E-3</v>
      </c>
      <c r="BQ334" s="336">
        <v>2.7499999999999998E-3</v>
      </c>
      <c r="BR334" s="336">
        <v>2.7499999999999998E-3</v>
      </c>
      <c r="BS334" s="336">
        <v>2.7499999999999998E-3</v>
      </c>
      <c r="BT334" s="336">
        <v>2.7499999999999998E-3</v>
      </c>
      <c r="BU334" s="336">
        <v>2.7499999999999998E-3</v>
      </c>
      <c r="BV334" s="336">
        <v>2.7499999999999998E-3</v>
      </c>
      <c r="BW334" s="336">
        <v>2.7499999999999998E-3</v>
      </c>
      <c r="BX334" s="336">
        <v>2.7499999999999998E-3</v>
      </c>
    </row>
    <row r="335" spans="2:76" collapsed="1">
      <c r="F335" s="330"/>
      <c r="G335" s="330"/>
      <c r="H335" s="330"/>
      <c r="I335" s="330"/>
      <c r="J335" s="330"/>
      <c r="K335" s="330"/>
      <c r="L335" s="330"/>
      <c r="M335" s="330"/>
      <c r="N335" s="330"/>
      <c r="O335" s="330"/>
      <c r="P335" s="330"/>
      <c r="Q335" s="330"/>
      <c r="R335" s="330"/>
      <c r="S335" s="330"/>
      <c r="T335" s="330"/>
      <c r="U335" s="330"/>
      <c r="V335" s="330"/>
      <c r="W335" s="330"/>
      <c r="X335" s="330"/>
      <c r="Y335" s="330"/>
      <c r="Z335" s="330"/>
      <c r="AA335" s="330"/>
      <c r="AB335" s="330"/>
      <c r="AC335" s="330"/>
      <c r="AD335" s="330"/>
      <c r="AE335" s="330"/>
      <c r="AF335" s="330"/>
      <c r="AG335" s="330"/>
      <c r="AH335" s="330"/>
      <c r="AI335" s="330"/>
      <c r="AJ335" s="330"/>
    </row>
    <row r="336" spans="2:76">
      <c r="B336" s="259" t="str">
        <f>D336</f>
        <v>Tax Dep Rate</v>
      </c>
      <c r="D336" s="259" t="s">
        <v>143</v>
      </c>
      <c r="F336" s="259"/>
      <c r="G336" s="259"/>
      <c r="H336" s="259"/>
      <c r="I336" s="259"/>
      <c r="J336" s="259"/>
      <c r="K336" s="259"/>
      <c r="L336" s="259"/>
      <c r="M336" s="259"/>
      <c r="N336" s="259"/>
      <c r="O336" s="259"/>
      <c r="P336" s="259"/>
      <c r="Q336" s="259"/>
      <c r="R336" s="259"/>
      <c r="S336" s="259"/>
      <c r="T336" s="259"/>
      <c r="U336" s="259"/>
      <c r="V336" s="259"/>
      <c r="W336" s="259"/>
      <c r="X336" s="259"/>
      <c r="Y336" s="259"/>
      <c r="Z336" s="259"/>
      <c r="AA336" s="259"/>
      <c r="AB336" s="259"/>
      <c r="AC336" s="259"/>
      <c r="AD336" s="259"/>
      <c r="AE336" s="259"/>
      <c r="AF336" s="259"/>
      <c r="AG336" s="259"/>
      <c r="AH336" s="259"/>
      <c r="AI336" s="259"/>
      <c r="AJ336" s="259"/>
      <c r="AK336" s="259"/>
      <c r="AL336" s="259"/>
      <c r="AM336" s="259"/>
      <c r="AN336" s="259"/>
      <c r="AO336" s="259"/>
      <c r="AP336" s="259"/>
      <c r="AQ336" s="259"/>
      <c r="AR336" s="259"/>
      <c r="AS336" s="259"/>
      <c r="AT336" s="259"/>
      <c r="AU336" s="259"/>
      <c r="AV336" s="259"/>
      <c r="AW336" s="259"/>
      <c r="AX336" s="259"/>
      <c r="AY336" s="259"/>
      <c r="AZ336" s="259"/>
      <c r="BA336" s="259"/>
      <c r="BB336" s="259"/>
      <c r="BC336" s="259"/>
      <c r="BD336" s="259"/>
      <c r="BE336" s="259"/>
      <c r="BF336" s="259"/>
      <c r="BG336" s="259"/>
      <c r="BH336" s="259"/>
      <c r="BI336" s="259"/>
      <c r="BJ336" s="259"/>
      <c r="BK336" s="259"/>
      <c r="BL336" s="259"/>
      <c r="BM336" s="259"/>
      <c r="BN336" s="259"/>
      <c r="BO336" s="259"/>
      <c r="BP336" s="259"/>
      <c r="BQ336" s="259"/>
      <c r="BR336" s="259"/>
      <c r="BS336" s="259"/>
      <c r="BT336" s="259"/>
      <c r="BU336" s="259"/>
      <c r="BV336" s="259"/>
      <c r="BW336" s="259"/>
      <c r="BX336" s="259"/>
    </row>
    <row r="337" spans="2:76" hidden="1" outlineLevel="1">
      <c r="B337" s="352"/>
      <c r="C337" s="352" t="s">
        <v>231</v>
      </c>
      <c r="D337" s="352" t="s">
        <v>143</v>
      </c>
      <c r="E337" s="352" t="s">
        <v>130</v>
      </c>
      <c r="F337" s="339">
        <v>0</v>
      </c>
      <c r="G337" s="339">
        <v>0</v>
      </c>
      <c r="H337" s="339">
        <v>0.85</v>
      </c>
      <c r="I337" s="339">
        <v>0.85</v>
      </c>
      <c r="J337" s="339">
        <v>0.85</v>
      </c>
      <c r="K337" s="339">
        <v>0.85</v>
      </c>
      <c r="L337" s="339">
        <v>0.85</v>
      </c>
      <c r="M337" s="339">
        <v>0.85</v>
      </c>
      <c r="N337" s="339">
        <v>0.85</v>
      </c>
      <c r="O337" s="339">
        <v>0.85</v>
      </c>
      <c r="P337" s="339">
        <v>0.85</v>
      </c>
      <c r="Q337" s="339">
        <v>0.85</v>
      </c>
      <c r="R337" s="339">
        <v>0.85</v>
      </c>
      <c r="S337" s="339">
        <v>0.85</v>
      </c>
      <c r="T337" s="339">
        <v>0.85</v>
      </c>
      <c r="U337" s="339">
        <v>0.95</v>
      </c>
      <c r="V337" s="339">
        <v>0.95</v>
      </c>
      <c r="W337" s="339">
        <v>0.95</v>
      </c>
      <c r="X337" s="339">
        <v>0.95</v>
      </c>
      <c r="Y337" s="339">
        <v>0.95</v>
      </c>
      <c r="Z337" s="339">
        <v>0.95</v>
      </c>
      <c r="AA337" s="339">
        <v>0.95</v>
      </c>
      <c r="AB337" s="339">
        <v>0.95</v>
      </c>
      <c r="AC337" s="339">
        <v>0.95</v>
      </c>
      <c r="AD337" s="339">
        <v>0.95</v>
      </c>
      <c r="AE337" s="339">
        <v>0.95</v>
      </c>
      <c r="AF337" s="339">
        <v>0.95</v>
      </c>
      <c r="AG337" s="339">
        <v>0.95</v>
      </c>
      <c r="AH337" s="339">
        <v>0.95</v>
      </c>
      <c r="AI337" s="339">
        <v>0.95</v>
      </c>
      <c r="AJ337" s="339">
        <v>0.95</v>
      </c>
      <c r="AK337" s="339">
        <v>0.95</v>
      </c>
      <c r="AL337" s="339">
        <v>0.95</v>
      </c>
      <c r="AM337" s="339">
        <v>0.95</v>
      </c>
      <c r="AN337" s="339">
        <v>0.95</v>
      </c>
      <c r="AO337" s="339">
        <v>0.95</v>
      </c>
      <c r="AP337" s="339">
        <v>0.95</v>
      </c>
      <c r="AQ337" s="339">
        <v>0.95</v>
      </c>
      <c r="AR337" s="339">
        <v>0.95</v>
      </c>
      <c r="AS337" s="339">
        <v>0.95</v>
      </c>
      <c r="AT337" s="339">
        <v>0.95</v>
      </c>
      <c r="AU337" s="339">
        <v>0.95</v>
      </c>
      <c r="AV337" s="339">
        <v>0.95</v>
      </c>
      <c r="AW337" s="339">
        <v>0.95</v>
      </c>
      <c r="AX337" s="339">
        <v>0.95</v>
      </c>
      <c r="AY337" s="339">
        <v>0.95</v>
      </c>
      <c r="AZ337" s="339">
        <v>0.95</v>
      </c>
      <c r="BA337" s="339">
        <v>0.95</v>
      </c>
      <c r="BB337" s="339">
        <v>0.95</v>
      </c>
      <c r="BC337" s="339">
        <v>0.95</v>
      </c>
      <c r="BD337" s="339">
        <v>0.95</v>
      </c>
      <c r="BE337" s="339">
        <v>0.95</v>
      </c>
      <c r="BF337" s="339">
        <v>0.95</v>
      </c>
      <c r="BG337" s="339">
        <v>0.95</v>
      </c>
      <c r="BH337" s="339">
        <v>0.95</v>
      </c>
      <c r="BI337" s="339">
        <v>0.95</v>
      </c>
      <c r="BJ337" s="339">
        <v>0.95</v>
      </c>
      <c r="BK337" s="339">
        <v>0.95</v>
      </c>
      <c r="BL337" s="339">
        <v>0.95</v>
      </c>
      <c r="BM337" s="339">
        <v>0.95</v>
      </c>
      <c r="BN337" s="339">
        <v>0.95</v>
      </c>
      <c r="BO337" s="339">
        <v>0.95</v>
      </c>
      <c r="BP337" s="339">
        <v>0.95</v>
      </c>
      <c r="BQ337" s="339">
        <v>0.95</v>
      </c>
      <c r="BR337" s="339">
        <v>0.95</v>
      </c>
      <c r="BS337" s="339">
        <v>0.95</v>
      </c>
      <c r="BT337" s="339">
        <v>0.95</v>
      </c>
      <c r="BU337" s="339">
        <v>0.95</v>
      </c>
      <c r="BV337" s="339">
        <v>0.95</v>
      </c>
      <c r="BW337" s="339">
        <v>0.95</v>
      </c>
      <c r="BX337" s="339">
        <v>0.95</v>
      </c>
    </row>
    <row r="338" spans="2:76" hidden="1" outlineLevel="1">
      <c r="B338" s="352"/>
      <c r="C338" s="352" t="s">
        <v>231</v>
      </c>
      <c r="D338" s="352" t="s">
        <v>143</v>
      </c>
      <c r="E338" s="352" t="s">
        <v>139</v>
      </c>
      <c r="F338" s="339">
        <v>0</v>
      </c>
      <c r="G338" s="339">
        <v>0</v>
      </c>
      <c r="H338" s="339">
        <v>0.85</v>
      </c>
      <c r="I338" s="339">
        <v>0.85</v>
      </c>
      <c r="J338" s="339">
        <v>0.85</v>
      </c>
      <c r="K338" s="339">
        <v>0.85</v>
      </c>
      <c r="L338" s="339">
        <v>0.85</v>
      </c>
      <c r="M338" s="339">
        <v>0.85</v>
      </c>
      <c r="N338" s="339">
        <v>0.85</v>
      </c>
      <c r="O338" s="339">
        <v>0.85</v>
      </c>
      <c r="P338" s="339">
        <v>0.85</v>
      </c>
      <c r="Q338" s="339">
        <v>0.85</v>
      </c>
      <c r="R338" s="339">
        <v>0.85</v>
      </c>
      <c r="S338" s="339">
        <v>0.85</v>
      </c>
      <c r="T338" s="339">
        <v>0.85</v>
      </c>
      <c r="U338" s="339">
        <v>0.95</v>
      </c>
      <c r="V338" s="339">
        <v>0.95</v>
      </c>
      <c r="W338" s="339">
        <v>0.95</v>
      </c>
      <c r="X338" s="339">
        <v>0.95</v>
      </c>
      <c r="Y338" s="339">
        <v>0.95</v>
      </c>
      <c r="Z338" s="339">
        <v>0.95</v>
      </c>
      <c r="AA338" s="339">
        <v>0.95</v>
      </c>
      <c r="AB338" s="339">
        <v>0.95</v>
      </c>
      <c r="AC338" s="339">
        <v>0.95</v>
      </c>
      <c r="AD338" s="339">
        <v>0.95</v>
      </c>
      <c r="AE338" s="339">
        <v>0.95</v>
      </c>
      <c r="AF338" s="339">
        <v>0.95</v>
      </c>
      <c r="AG338" s="339">
        <v>0.95</v>
      </c>
      <c r="AH338" s="339">
        <v>0.95</v>
      </c>
      <c r="AI338" s="339">
        <v>0.95</v>
      </c>
      <c r="AJ338" s="339">
        <v>0.95</v>
      </c>
      <c r="AK338" s="339">
        <v>0.95</v>
      </c>
      <c r="AL338" s="339">
        <v>0.95</v>
      </c>
      <c r="AM338" s="339">
        <v>0.95</v>
      </c>
      <c r="AN338" s="339">
        <v>0.95</v>
      </c>
      <c r="AO338" s="339">
        <v>0.95</v>
      </c>
      <c r="AP338" s="339">
        <v>0.95</v>
      </c>
      <c r="AQ338" s="339">
        <v>0.95</v>
      </c>
      <c r="AR338" s="339">
        <v>0.95</v>
      </c>
      <c r="AS338" s="339">
        <v>0.95</v>
      </c>
      <c r="AT338" s="339">
        <v>0.95</v>
      </c>
      <c r="AU338" s="339">
        <v>0.95</v>
      </c>
      <c r="AV338" s="339">
        <v>0.95</v>
      </c>
      <c r="AW338" s="339">
        <v>0.95</v>
      </c>
      <c r="AX338" s="339">
        <v>0.95</v>
      </c>
      <c r="AY338" s="339">
        <v>0.95</v>
      </c>
      <c r="AZ338" s="339">
        <v>0.95</v>
      </c>
      <c r="BA338" s="339">
        <v>0.95</v>
      </c>
      <c r="BB338" s="339">
        <v>0.95</v>
      </c>
      <c r="BC338" s="339">
        <v>0.95</v>
      </c>
      <c r="BD338" s="339">
        <v>0.95</v>
      </c>
      <c r="BE338" s="339">
        <v>0.95</v>
      </c>
      <c r="BF338" s="339">
        <v>0.95</v>
      </c>
      <c r="BG338" s="339">
        <v>0.95</v>
      </c>
      <c r="BH338" s="339">
        <v>0.95</v>
      </c>
      <c r="BI338" s="339">
        <v>0.95</v>
      </c>
      <c r="BJ338" s="339">
        <v>0.95</v>
      </c>
      <c r="BK338" s="339">
        <v>0.95</v>
      </c>
      <c r="BL338" s="339">
        <v>0.95</v>
      </c>
      <c r="BM338" s="339">
        <v>0.95</v>
      </c>
      <c r="BN338" s="339">
        <v>0.95</v>
      </c>
      <c r="BO338" s="339">
        <v>0.95</v>
      </c>
      <c r="BP338" s="339">
        <v>0.95</v>
      </c>
      <c r="BQ338" s="339">
        <v>0.95</v>
      </c>
      <c r="BR338" s="339">
        <v>0.95</v>
      </c>
      <c r="BS338" s="339">
        <v>0.95</v>
      </c>
      <c r="BT338" s="339">
        <v>0.95</v>
      </c>
      <c r="BU338" s="339">
        <v>0.95</v>
      </c>
      <c r="BV338" s="339">
        <v>0.95</v>
      </c>
      <c r="BW338" s="339">
        <v>0.95</v>
      </c>
      <c r="BX338" s="339">
        <v>0.95</v>
      </c>
    </row>
    <row r="339" spans="2:76" hidden="1" outlineLevel="1">
      <c r="B339" s="352"/>
      <c r="C339" s="352" t="s">
        <v>231</v>
      </c>
      <c r="D339" s="352" t="s">
        <v>143</v>
      </c>
      <c r="E339" s="352" t="s">
        <v>131</v>
      </c>
      <c r="F339" s="339">
        <v>0</v>
      </c>
      <c r="G339" s="339">
        <v>0</v>
      </c>
      <c r="H339" s="339">
        <v>0.85</v>
      </c>
      <c r="I339" s="339">
        <v>0.85</v>
      </c>
      <c r="J339" s="339">
        <v>0.85</v>
      </c>
      <c r="K339" s="339">
        <v>0.85</v>
      </c>
      <c r="L339" s="339">
        <v>0.85</v>
      </c>
      <c r="M339" s="339">
        <v>0.85</v>
      </c>
      <c r="N339" s="339">
        <v>0.85</v>
      </c>
      <c r="O339" s="339">
        <v>0.85</v>
      </c>
      <c r="P339" s="339">
        <v>0.85</v>
      </c>
      <c r="Q339" s="339">
        <v>0.85</v>
      </c>
      <c r="R339" s="339">
        <v>0.85</v>
      </c>
      <c r="S339" s="339">
        <v>0.85</v>
      </c>
      <c r="T339" s="339">
        <v>0.85</v>
      </c>
      <c r="U339" s="339">
        <v>0.95</v>
      </c>
      <c r="V339" s="339">
        <v>0.95</v>
      </c>
      <c r="W339" s="339">
        <v>0.95</v>
      </c>
      <c r="X339" s="339">
        <v>0.95</v>
      </c>
      <c r="Y339" s="339">
        <v>0.95</v>
      </c>
      <c r="Z339" s="339">
        <v>0.95</v>
      </c>
      <c r="AA339" s="339">
        <v>0.95</v>
      </c>
      <c r="AB339" s="339">
        <v>0.95</v>
      </c>
      <c r="AC339" s="339">
        <v>0.95</v>
      </c>
      <c r="AD339" s="339">
        <v>0.95</v>
      </c>
      <c r="AE339" s="339">
        <v>0.95</v>
      </c>
      <c r="AF339" s="339">
        <v>0.95</v>
      </c>
      <c r="AG339" s="339">
        <v>0.95</v>
      </c>
      <c r="AH339" s="339">
        <v>0.95</v>
      </c>
      <c r="AI339" s="339">
        <v>0.95</v>
      </c>
      <c r="AJ339" s="339">
        <v>0.95</v>
      </c>
      <c r="AK339" s="339">
        <v>0.95</v>
      </c>
      <c r="AL339" s="339">
        <v>0.95</v>
      </c>
      <c r="AM339" s="339">
        <v>0.95</v>
      </c>
      <c r="AN339" s="339">
        <v>0.95</v>
      </c>
      <c r="AO339" s="339">
        <v>0.95</v>
      </c>
      <c r="AP339" s="339">
        <v>0.95</v>
      </c>
      <c r="AQ339" s="339">
        <v>0.95</v>
      </c>
      <c r="AR339" s="339">
        <v>0.95</v>
      </c>
      <c r="AS339" s="339">
        <v>0.95</v>
      </c>
      <c r="AT339" s="339">
        <v>0.95</v>
      </c>
      <c r="AU339" s="339">
        <v>0.95</v>
      </c>
      <c r="AV339" s="339">
        <v>0.95</v>
      </c>
      <c r="AW339" s="339">
        <v>0.95</v>
      </c>
      <c r="AX339" s="339">
        <v>0.95</v>
      </c>
      <c r="AY339" s="339">
        <v>0.95</v>
      </c>
      <c r="AZ339" s="339">
        <v>0.95</v>
      </c>
      <c r="BA339" s="339">
        <v>0.95</v>
      </c>
      <c r="BB339" s="339">
        <v>0.95</v>
      </c>
      <c r="BC339" s="339">
        <v>0.95</v>
      </c>
      <c r="BD339" s="339">
        <v>0.95</v>
      </c>
      <c r="BE339" s="339">
        <v>0.95</v>
      </c>
      <c r="BF339" s="339">
        <v>0.95</v>
      </c>
      <c r="BG339" s="339">
        <v>0.95</v>
      </c>
      <c r="BH339" s="339">
        <v>0.95</v>
      </c>
      <c r="BI339" s="339">
        <v>0.95</v>
      </c>
      <c r="BJ339" s="339">
        <v>0.95</v>
      </c>
      <c r="BK339" s="339">
        <v>0.95</v>
      </c>
      <c r="BL339" s="339">
        <v>0.95</v>
      </c>
      <c r="BM339" s="339">
        <v>0.95</v>
      </c>
      <c r="BN339" s="339">
        <v>0.95</v>
      </c>
      <c r="BO339" s="339">
        <v>0.95</v>
      </c>
      <c r="BP339" s="339">
        <v>0.95</v>
      </c>
      <c r="BQ339" s="339">
        <v>0.95</v>
      </c>
      <c r="BR339" s="339">
        <v>0.95</v>
      </c>
      <c r="BS339" s="339">
        <v>0.95</v>
      </c>
      <c r="BT339" s="339">
        <v>0.95</v>
      </c>
      <c r="BU339" s="339">
        <v>0.95</v>
      </c>
      <c r="BV339" s="339">
        <v>0.95</v>
      </c>
      <c r="BW339" s="339">
        <v>0.95</v>
      </c>
      <c r="BX339" s="339">
        <v>0.95</v>
      </c>
    </row>
    <row r="340" spans="2:76" hidden="1" outlineLevel="1">
      <c r="B340" s="352"/>
      <c r="C340" s="352" t="s">
        <v>231</v>
      </c>
      <c r="D340" s="352" t="s">
        <v>143</v>
      </c>
      <c r="E340" s="352" t="s">
        <v>132</v>
      </c>
      <c r="F340" s="339">
        <v>0</v>
      </c>
      <c r="G340" s="339">
        <v>0</v>
      </c>
      <c r="H340" s="339">
        <v>0.85</v>
      </c>
      <c r="I340" s="339">
        <v>0.85</v>
      </c>
      <c r="J340" s="339">
        <v>0.85</v>
      </c>
      <c r="K340" s="339">
        <v>0.85</v>
      </c>
      <c r="L340" s="339">
        <v>0.85</v>
      </c>
      <c r="M340" s="339">
        <v>0.85</v>
      </c>
      <c r="N340" s="339">
        <v>0.85</v>
      </c>
      <c r="O340" s="339">
        <v>0.85</v>
      </c>
      <c r="P340" s="339">
        <v>0.85</v>
      </c>
      <c r="Q340" s="339">
        <v>0.85</v>
      </c>
      <c r="R340" s="339">
        <v>0.85</v>
      </c>
      <c r="S340" s="339">
        <v>0.85</v>
      </c>
      <c r="T340" s="339">
        <v>0.85</v>
      </c>
      <c r="U340" s="339">
        <v>0.95</v>
      </c>
      <c r="V340" s="339">
        <v>0.95</v>
      </c>
      <c r="W340" s="339">
        <v>0.95</v>
      </c>
      <c r="X340" s="339">
        <v>0.95</v>
      </c>
      <c r="Y340" s="339">
        <v>0.95</v>
      </c>
      <c r="Z340" s="339">
        <v>0.95</v>
      </c>
      <c r="AA340" s="339">
        <v>0.95</v>
      </c>
      <c r="AB340" s="339">
        <v>0.95</v>
      </c>
      <c r="AC340" s="339">
        <v>0.95</v>
      </c>
      <c r="AD340" s="339">
        <v>0.95</v>
      </c>
      <c r="AE340" s="339">
        <v>0.95</v>
      </c>
      <c r="AF340" s="339">
        <v>0.95</v>
      </c>
      <c r="AG340" s="339">
        <v>0.95</v>
      </c>
      <c r="AH340" s="339">
        <v>0.95</v>
      </c>
      <c r="AI340" s="339">
        <v>0.95</v>
      </c>
      <c r="AJ340" s="339">
        <v>0.95</v>
      </c>
      <c r="AK340" s="339">
        <v>0.95</v>
      </c>
      <c r="AL340" s="339">
        <v>0.95</v>
      </c>
      <c r="AM340" s="339">
        <v>0.95</v>
      </c>
      <c r="AN340" s="339">
        <v>0.95</v>
      </c>
      <c r="AO340" s="339">
        <v>0.95</v>
      </c>
      <c r="AP340" s="339">
        <v>0.95</v>
      </c>
      <c r="AQ340" s="339">
        <v>0.95</v>
      </c>
      <c r="AR340" s="339">
        <v>0.95</v>
      </c>
      <c r="AS340" s="339">
        <v>0.95</v>
      </c>
      <c r="AT340" s="339">
        <v>0.95</v>
      </c>
      <c r="AU340" s="339">
        <v>0.95</v>
      </c>
      <c r="AV340" s="339">
        <v>0.95</v>
      </c>
      <c r="AW340" s="339">
        <v>0.95</v>
      </c>
      <c r="AX340" s="339">
        <v>0.95</v>
      </c>
      <c r="AY340" s="339">
        <v>0.95</v>
      </c>
      <c r="AZ340" s="339">
        <v>0.95</v>
      </c>
      <c r="BA340" s="339">
        <v>0.95</v>
      </c>
      <c r="BB340" s="339">
        <v>0.95</v>
      </c>
      <c r="BC340" s="339">
        <v>0.95</v>
      </c>
      <c r="BD340" s="339">
        <v>0.95</v>
      </c>
      <c r="BE340" s="339">
        <v>0.95</v>
      </c>
      <c r="BF340" s="339">
        <v>0.95</v>
      </c>
      <c r="BG340" s="339">
        <v>0.95</v>
      </c>
      <c r="BH340" s="339">
        <v>0.95</v>
      </c>
      <c r="BI340" s="339">
        <v>0.95</v>
      </c>
      <c r="BJ340" s="339">
        <v>0.95</v>
      </c>
      <c r="BK340" s="339">
        <v>0.95</v>
      </c>
      <c r="BL340" s="339">
        <v>0.95</v>
      </c>
      <c r="BM340" s="339">
        <v>0.95</v>
      </c>
      <c r="BN340" s="339">
        <v>0.95</v>
      </c>
      <c r="BO340" s="339">
        <v>0.95</v>
      </c>
      <c r="BP340" s="339">
        <v>0.95</v>
      </c>
      <c r="BQ340" s="339">
        <v>0.95</v>
      </c>
      <c r="BR340" s="339">
        <v>0.95</v>
      </c>
      <c r="BS340" s="339">
        <v>0.95</v>
      </c>
      <c r="BT340" s="339">
        <v>0.95</v>
      </c>
      <c r="BU340" s="339">
        <v>0.95</v>
      </c>
      <c r="BV340" s="339">
        <v>0.95</v>
      </c>
      <c r="BW340" s="339">
        <v>0.95</v>
      </c>
      <c r="BX340" s="339">
        <v>0.95</v>
      </c>
    </row>
    <row r="341" spans="2:76" hidden="1" outlineLevel="1">
      <c r="B341" s="352"/>
      <c r="C341" s="352" t="s">
        <v>231</v>
      </c>
      <c r="D341" s="352" t="s">
        <v>143</v>
      </c>
      <c r="E341" s="352" t="s">
        <v>133</v>
      </c>
      <c r="F341" s="339">
        <v>0</v>
      </c>
      <c r="G341" s="339">
        <v>0</v>
      </c>
      <c r="H341" s="339">
        <v>0.85</v>
      </c>
      <c r="I341" s="339">
        <v>0.85</v>
      </c>
      <c r="J341" s="339">
        <v>0.85</v>
      </c>
      <c r="K341" s="339">
        <v>0.85</v>
      </c>
      <c r="L341" s="339">
        <v>0.85</v>
      </c>
      <c r="M341" s="339">
        <v>0.85</v>
      </c>
      <c r="N341" s="339">
        <v>0.85</v>
      </c>
      <c r="O341" s="339">
        <v>0.85</v>
      </c>
      <c r="P341" s="339">
        <v>0.85</v>
      </c>
      <c r="Q341" s="339">
        <v>0.85</v>
      </c>
      <c r="R341" s="339">
        <v>0.85</v>
      </c>
      <c r="S341" s="339">
        <v>0.85</v>
      </c>
      <c r="T341" s="339">
        <v>0.85</v>
      </c>
      <c r="U341" s="339">
        <v>0.95</v>
      </c>
      <c r="V341" s="339">
        <v>0.95</v>
      </c>
      <c r="W341" s="339">
        <v>0.95</v>
      </c>
      <c r="X341" s="339">
        <v>0.95</v>
      </c>
      <c r="Y341" s="339">
        <v>0.95</v>
      </c>
      <c r="Z341" s="339">
        <v>0.95</v>
      </c>
      <c r="AA341" s="339">
        <v>0.95</v>
      </c>
      <c r="AB341" s="339">
        <v>0.95</v>
      </c>
      <c r="AC341" s="339">
        <v>0.95</v>
      </c>
      <c r="AD341" s="339">
        <v>0.95</v>
      </c>
      <c r="AE341" s="339">
        <v>0.95</v>
      </c>
      <c r="AF341" s="339">
        <v>0.95</v>
      </c>
      <c r="AG341" s="339">
        <v>0.95</v>
      </c>
      <c r="AH341" s="339">
        <v>0.95</v>
      </c>
      <c r="AI341" s="339">
        <v>0.95</v>
      </c>
      <c r="AJ341" s="339">
        <v>0.95</v>
      </c>
      <c r="AK341" s="339">
        <v>0.95</v>
      </c>
      <c r="AL341" s="339">
        <v>0.95</v>
      </c>
      <c r="AM341" s="339">
        <v>0.95</v>
      </c>
      <c r="AN341" s="339">
        <v>0.95</v>
      </c>
      <c r="AO341" s="339">
        <v>0.95</v>
      </c>
      <c r="AP341" s="339">
        <v>0.95</v>
      </c>
      <c r="AQ341" s="339">
        <v>0.95</v>
      </c>
      <c r="AR341" s="339">
        <v>0.95</v>
      </c>
      <c r="AS341" s="339">
        <v>0.95</v>
      </c>
      <c r="AT341" s="339">
        <v>0.95</v>
      </c>
      <c r="AU341" s="339">
        <v>0.95</v>
      </c>
      <c r="AV341" s="339">
        <v>0.95</v>
      </c>
      <c r="AW341" s="339">
        <v>0.95</v>
      </c>
      <c r="AX341" s="339">
        <v>0.95</v>
      </c>
      <c r="AY341" s="339">
        <v>0.95</v>
      </c>
      <c r="AZ341" s="339">
        <v>0.95</v>
      </c>
      <c r="BA341" s="339">
        <v>0.95</v>
      </c>
      <c r="BB341" s="339">
        <v>0.95</v>
      </c>
      <c r="BC341" s="339">
        <v>0.95</v>
      </c>
      <c r="BD341" s="339">
        <v>0.95</v>
      </c>
      <c r="BE341" s="339">
        <v>0.95</v>
      </c>
      <c r="BF341" s="339">
        <v>0.95</v>
      </c>
      <c r="BG341" s="339">
        <v>0.95</v>
      </c>
      <c r="BH341" s="339">
        <v>0.95</v>
      </c>
      <c r="BI341" s="339">
        <v>0.95</v>
      </c>
      <c r="BJ341" s="339">
        <v>0.95</v>
      </c>
      <c r="BK341" s="339">
        <v>0.95</v>
      </c>
      <c r="BL341" s="339">
        <v>0.95</v>
      </c>
      <c r="BM341" s="339">
        <v>0.95</v>
      </c>
      <c r="BN341" s="339">
        <v>0.95</v>
      </c>
      <c r="BO341" s="339">
        <v>0.95</v>
      </c>
      <c r="BP341" s="339">
        <v>0.95</v>
      </c>
      <c r="BQ341" s="339">
        <v>0.95</v>
      </c>
      <c r="BR341" s="339">
        <v>0.95</v>
      </c>
      <c r="BS341" s="339">
        <v>0.95</v>
      </c>
      <c r="BT341" s="339">
        <v>0.95</v>
      </c>
      <c r="BU341" s="339">
        <v>0.95</v>
      </c>
      <c r="BV341" s="339">
        <v>0.95</v>
      </c>
      <c r="BW341" s="339">
        <v>0.95</v>
      </c>
      <c r="BX341" s="339">
        <v>0.95</v>
      </c>
    </row>
    <row r="342" spans="2:76" hidden="1" outlineLevel="1">
      <c r="B342" s="352"/>
      <c r="C342" s="352" t="s">
        <v>231</v>
      </c>
      <c r="D342" s="352" t="s">
        <v>143</v>
      </c>
      <c r="E342" s="352" t="s">
        <v>134</v>
      </c>
      <c r="F342" s="339">
        <v>0</v>
      </c>
      <c r="G342" s="339">
        <v>0</v>
      </c>
      <c r="H342" s="339">
        <v>0.85</v>
      </c>
      <c r="I342" s="339">
        <v>0.85</v>
      </c>
      <c r="J342" s="339">
        <v>0.85</v>
      </c>
      <c r="K342" s="339">
        <v>0.85</v>
      </c>
      <c r="L342" s="339">
        <v>0.85</v>
      </c>
      <c r="M342" s="339">
        <v>0.85</v>
      </c>
      <c r="N342" s="339">
        <v>0.85</v>
      </c>
      <c r="O342" s="339">
        <v>0.85</v>
      </c>
      <c r="P342" s="339">
        <v>0.85</v>
      </c>
      <c r="Q342" s="339">
        <v>0.85</v>
      </c>
      <c r="R342" s="339">
        <v>0.85</v>
      </c>
      <c r="S342" s="339">
        <v>0.85</v>
      </c>
      <c r="T342" s="339">
        <v>0.85</v>
      </c>
      <c r="U342" s="339">
        <v>0.95</v>
      </c>
      <c r="V342" s="339">
        <v>0.95</v>
      </c>
      <c r="W342" s="339">
        <v>0.95</v>
      </c>
      <c r="X342" s="339">
        <v>0.95</v>
      </c>
      <c r="Y342" s="339">
        <v>0.95</v>
      </c>
      <c r="Z342" s="339">
        <v>0.95</v>
      </c>
      <c r="AA342" s="339">
        <v>0.95</v>
      </c>
      <c r="AB342" s="339">
        <v>0.95</v>
      </c>
      <c r="AC342" s="339">
        <v>0.95</v>
      </c>
      <c r="AD342" s="339">
        <v>0.95</v>
      </c>
      <c r="AE342" s="339">
        <v>0.95</v>
      </c>
      <c r="AF342" s="339">
        <v>0.95</v>
      </c>
      <c r="AG342" s="339">
        <v>0.95</v>
      </c>
      <c r="AH342" s="339">
        <v>0.95</v>
      </c>
      <c r="AI342" s="339">
        <v>0.95</v>
      </c>
      <c r="AJ342" s="339">
        <v>0.95</v>
      </c>
      <c r="AK342" s="339">
        <v>0.95</v>
      </c>
      <c r="AL342" s="339">
        <v>0.95</v>
      </c>
      <c r="AM342" s="339">
        <v>0.95</v>
      </c>
      <c r="AN342" s="339">
        <v>0.95</v>
      </c>
      <c r="AO342" s="339">
        <v>0.95</v>
      </c>
      <c r="AP342" s="339">
        <v>0.95</v>
      </c>
      <c r="AQ342" s="339">
        <v>0.95</v>
      </c>
      <c r="AR342" s="339">
        <v>0.95</v>
      </c>
      <c r="AS342" s="339">
        <v>0.95</v>
      </c>
      <c r="AT342" s="339">
        <v>0.95</v>
      </c>
      <c r="AU342" s="339">
        <v>0.95</v>
      </c>
      <c r="AV342" s="339">
        <v>0.95</v>
      </c>
      <c r="AW342" s="339">
        <v>0.95</v>
      </c>
      <c r="AX342" s="339">
        <v>0.95</v>
      </c>
      <c r="AY342" s="339">
        <v>0.95</v>
      </c>
      <c r="AZ342" s="339">
        <v>0.95</v>
      </c>
      <c r="BA342" s="339">
        <v>0.95</v>
      </c>
      <c r="BB342" s="339">
        <v>0.95</v>
      </c>
      <c r="BC342" s="339">
        <v>0.95</v>
      </c>
      <c r="BD342" s="339">
        <v>0.95</v>
      </c>
      <c r="BE342" s="339">
        <v>0.95</v>
      </c>
      <c r="BF342" s="339">
        <v>0.95</v>
      </c>
      <c r="BG342" s="339">
        <v>0.95</v>
      </c>
      <c r="BH342" s="339">
        <v>0.95</v>
      </c>
      <c r="BI342" s="339">
        <v>0.95</v>
      </c>
      <c r="BJ342" s="339">
        <v>0.95</v>
      </c>
      <c r="BK342" s="339">
        <v>0.95</v>
      </c>
      <c r="BL342" s="339">
        <v>0.95</v>
      </c>
      <c r="BM342" s="339">
        <v>0.95</v>
      </c>
      <c r="BN342" s="339">
        <v>0.95</v>
      </c>
      <c r="BO342" s="339">
        <v>0.95</v>
      </c>
      <c r="BP342" s="339">
        <v>0.95</v>
      </c>
      <c r="BQ342" s="339">
        <v>0.95</v>
      </c>
      <c r="BR342" s="339">
        <v>0.95</v>
      </c>
      <c r="BS342" s="339">
        <v>0.95</v>
      </c>
      <c r="BT342" s="339">
        <v>0.95</v>
      </c>
      <c r="BU342" s="339">
        <v>0.95</v>
      </c>
      <c r="BV342" s="339">
        <v>0.95</v>
      </c>
      <c r="BW342" s="339">
        <v>0.95</v>
      </c>
      <c r="BX342" s="339">
        <v>0.95</v>
      </c>
    </row>
    <row r="343" spans="2:76" hidden="1" outlineLevel="1">
      <c r="B343" s="352"/>
      <c r="C343" s="352" t="s">
        <v>231</v>
      </c>
      <c r="D343" s="352" t="s">
        <v>143</v>
      </c>
      <c r="E343" s="352" t="s">
        <v>8</v>
      </c>
      <c r="F343" s="339">
        <v>0</v>
      </c>
      <c r="G343" s="339">
        <v>0</v>
      </c>
      <c r="H343" s="339">
        <v>0.85</v>
      </c>
      <c r="I343" s="339">
        <v>0.85</v>
      </c>
      <c r="J343" s="339">
        <v>0.85</v>
      </c>
      <c r="K343" s="339">
        <v>0.85</v>
      </c>
      <c r="L343" s="339">
        <v>0.85</v>
      </c>
      <c r="M343" s="339">
        <v>0.85</v>
      </c>
      <c r="N343" s="339">
        <v>0.85</v>
      </c>
      <c r="O343" s="339">
        <v>0.85</v>
      </c>
      <c r="P343" s="339">
        <v>0.85</v>
      </c>
      <c r="Q343" s="339">
        <v>0.85</v>
      </c>
      <c r="R343" s="339">
        <v>0.85</v>
      </c>
      <c r="S343" s="339">
        <v>0.85</v>
      </c>
      <c r="T343" s="339">
        <v>0.85</v>
      </c>
      <c r="U343" s="339">
        <v>0.95</v>
      </c>
      <c r="V343" s="339">
        <v>0.95</v>
      </c>
      <c r="W343" s="339">
        <v>0.95</v>
      </c>
      <c r="X343" s="339">
        <v>0.95</v>
      </c>
      <c r="Y343" s="339">
        <v>0.95</v>
      </c>
      <c r="Z343" s="339">
        <v>0.95</v>
      </c>
      <c r="AA343" s="339">
        <v>0.95</v>
      </c>
      <c r="AB343" s="339">
        <v>0.95</v>
      </c>
      <c r="AC343" s="339">
        <v>0.95</v>
      </c>
      <c r="AD343" s="339">
        <v>0.95</v>
      </c>
      <c r="AE343" s="339">
        <v>0.95</v>
      </c>
      <c r="AF343" s="339">
        <v>0.95</v>
      </c>
      <c r="AG343" s="339">
        <v>0.95</v>
      </c>
      <c r="AH343" s="339">
        <v>0.95</v>
      </c>
      <c r="AI343" s="339">
        <v>0.95</v>
      </c>
      <c r="AJ343" s="339">
        <v>0.95</v>
      </c>
      <c r="AK343" s="339">
        <v>0.95</v>
      </c>
      <c r="AL343" s="339">
        <v>0.95</v>
      </c>
      <c r="AM343" s="339">
        <v>0.95</v>
      </c>
      <c r="AN343" s="339">
        <v>0.95</v>
      </c>
      <c r="AO343" s="339">
        <v>0.95</v>
      </c>
      <c r="AP343" s="339">
        <v>0.95</v>
      </c>
      <c r="AQ343" s="339">
        <v>0.95</v>
      </c>
      <c r="AR343" s="339">
        <v>0.95</v>
      </c>
      <c r="AS343" s="339">
        <v>0.95</v>
      </c>
      <c r="AT343" s="339">
        <v>0.95</v>
      </c>
      <c r="AU343" s="339">
        <v>0.95</v>
      </c>
      <c r="AV343" s="339">
        <v>0.95</v>
      </c>
      <c r="AW343" s="339">
        <v>0.95</v>
      </c>
      <c r="AX343" s="339">
        <v>0.95</v>
      </c>
      <c r="AY343" s="339">
        <v>0.95</v>
      </c>
      <c r="AZ343" s="339">
        <v>0.95</v>
      </c>
      <c r="BA343" s="339">
        <v>0.95</v>
      </c>
      <c r="BB343" s="339">
        <v>0.95</v>
      </c>
      <c r="BC343" s="339">
        <v>0.95</v>
      </c>
      <c r="BD343" s="339">
        <v>0.95</v>
      </c>
      <c r="BE343" s="339">
        <v>0.95</v>
      </c>
      <c r="BF343" s="339">
        <v>0.95</v>
      </c>
      <c r="BG343" s="339">
        <v>0.95</v>
      </c>
      <c r="BH343" s="339">
        <v>0.95</v>
      </c>
      <c r="BI343" s="339">
        <v>0.95</v>
      </c>
      <c r="BJ343" s="339">
        <v>0.95</v>
      </c>
      <c r="BK343" s="339">
        <v>0.95</v>
      </c>
      <c r="BL343" s="339">
        <v>0.95</v>
      </c>
      <c r="BM343" s="339">
        <v>0.95</v>
      </c>
      <c r="BN343" s="339">
        <v>0.95</v>
      </c>
      <c r="BO343" s="339">
        <v>0.95</v>
      </c>
      <c r="BP343" s="339">
        <v>0.95</v>
      </c>
      <c r="BQ343" s="339">
        <v>0.95</v>
      </c>
      <c r="BR343" s="339">
        <v>0.95</v>
      </c>
      <c r="BS343" s="339">
        <v>0.95</v>
      </c>
      <c r="BT343" s="339">
        <v>0.95</v>
      </c>
      <c r="BU343" s="339">
        <v>0.95</v>
      </c>
      <c r="BV343" s="339">
        <v>0.95</v>
      </c>
      <c r="BW343" s="339">
        <v>0.95</v>
      </c>
      <c r="BX343" s="339">
        <v>0.95</v>
      </c>
    </row>
    <row r="344" spans="2:76" hidden="1" outlineLevel="1">
      <c r="B344" s="352"/>
      <c r="C344" s="352" t="s">
        <v>231</v>
      </c>
      <c r="D344" s="352" t="s">
        <v>143</v>
      </c>
      <c r="E344" s="352" t="s">
        <v>9</v>
      </c>
      <c r="F344" s="339">
        <v>0</v>
      </c>
      <c r="G344" s="339">
        <v>0</v>
      </c>
      <c r="H344" s="339">
        <v>0.85</v>
      </c>
      <c r="I344" s="339">
        <v>0.85</v>
      </c>
      <c r="J344" s="339">
        <v>0.85</v>
      </c>
      <c r="K344" s="339">
        <v>0.85</v>
      </c>
      <c r="L344" s="339">
        <v>0.85</v>
      </c>
      <c r="M344" s="339">
        <v>0.85</v>
      </c>
      <c r="N344" s="339">
        <v>0.85</v>
      </c>
      <c r="O344" s="339">
        <v>0.85</v>
      </c>
      <c r="P344" s="339">
        <v>0.85</v>
      </c>
      <c r="Q344" s="339">
        <v>0.85</v>
      </c>
      <c r="R344" s="339">
        <v>0.85</v>
      </c>
      <c r="S344" s="339">
        <v>0.85</v>
      </c>
      <c r="T344" s="339">
        <v>0.85</v>
      </c>
      <c r="U344" s="339">
        <v>0.95</v>
      </c>
      <c r="V344" s="339">
        <v>0.95</v>
      </c>
      <c r="W344" s="339">
        <v>0.95</v>
      </c>
      <c r="X344" s="339">
        <v>0.95</v>
      </c>
      <c r="Y344" s="339">
        <v>0.95</v>
      </c>
      <c r="Z344" s="339">
        <v>0.95</v>
      </c>
      <c r="AA344" s="339">
        <v>0.95</v>
      </c>
      <c r="AB344" s="339">
        <v>0.95</v>
      </c>
      <c r="AC344" s="339">
        <v>0.95</v>
      </c>
      <c r="AD344" s="339">
        <v>0.95</v>
      </c>
      <c r="AE344" s="339">
        <v>0.95</v>
      </c>
      <c r="AF344" s="339">
        <v>0.95</v>
      </c>
      <c r="AG344" s="339">
        <v>0.95</v>
      </c>
      <c r="AH344" s="339">
        <v>0.95</v>
      </c>
      <c r="AI344" s="339">
        <v>0.95</v>
      </c>
      <c r="AJ344" s="339">
        <v>0.95</v>
      </c>
      <c r="AK344" s="339">
        <v>0.95</v>
      </c>
      <c r="AL344" s="339">
        <v>0.95</v>
      </c>
      <c r="AM344" s="339">
        <v>0.95</v>
      </c>
      <c r="AN344" s="339">
        <v>0.95</v>
      </c>
      <c r="AO344" s="339">
        <v>0.95</v>
      </c>
      <c r="AP344" s="339">
        <v>0.95</v>
      </c>
      <c r="AQ344" s="339">
        <v>0.95</v>
      </c>
      <c r="AR344" s="339">
        <v>0.95</v>
      </c>
      <c r="AS344" s="339">
        <v>0.95</v>
      </c>
      <c r="AT344" s="339">
        <v>0.95</v>
      </c>
      <c r="AU344" s="339">
        <v>0.95</v>
      </c>
      <c r="AV344" s="339">
        <v>0.95</v>
      </c>
      <c r="AW344" s="339">
        <v>0.95</v>
      </c>
      <c r="AX344" s="339">
        <v>0.95</v>
      </c>
      <c r="AY344" s="339">
        <v>0.95</v>
      </c>
      <c r="AZ344" s="339">
        <v>0.95</v>
      </c>
      <c r="BA344" s="339">
        <v>0.95</v>
      </c>
      <c r="BB344" s="339">
        <v>0.95</v>
      </c>
      <c r="BC344" s="339">
        <v>0.95</v>
      </c>
      <c r="BD344" s="339">
        <v>0.95</v>
      </c>
      <c r="BE344" s="339">
        <v>0.95</v>
      </c>
      <c r="BF344" s="339">
        <v>0.95</v>
      </c>
      <c r="BG344" s="339">
        <v>0.95</v>
      </c>
      <c r="BH344" s="339">
        <v>0.95</v>
      </c>
      <c r="BI344" s="339">
        <v>0.95</v>
      </c>
      <c r="BJ344" s="339">
        <v>0.95</v>
      </c>
      <c r="BK344" s="339">
        <v>0.95</v>
      </c>
      <c r="BL344" s="339">
        <v>0.95</v>
      </c>
      <c r="BM344" s="339">
        <v>0.95</v>
      </c>
      <c r="BN344" s="339">
        <v>0.95</v>
      </c>
      <c r="BO344" s="339">
        <v>0.95</v>
      </c>
      <c r="BP344" s="339">
        <v>0.95</v>
      </c>
      <c r="BQ344" s="339">
        <v>0.95</v>
      </c>
      <c r="BR344" s="339">
        <v>0.95</v>
      </c>
      <c r="BS344" s="339">
        <v>0.95</v>
      </c>
      <c r="BT344" s="339">
        <v>0.95</v>
      </c>
      <c r="BU344" s="339">
        <v>0.95</v>
      </c>
      <c r="BV344" s="339">
        <v>0.95</v>
      </c>
      <c r="BW344" s="339">
        <v>0.95</v>
      </c>
      <c r="BX344" s="339">
        <v>0.95</v>
      </c>
    </row>
    <row r="345" spans="2:76" hidden="1" outlineLevel="1">
      <c r="B345" s="352"/>
      <c r="C345" s="352" t="s">
        <v>231</v>
      </c>
      <c r="D345" s="352" t="s">
        <v>143</v>
      </c>
      <c r="E345" s="352" t="s">
        <v>138</v>
      </c>
      <c r="F345" s="339">
        <v>0</v>
      </c>
      <c r="G345" s="339">
        <v>0</v>
      </c>
      <c r="H345" s="339">
        <v>0.85</v>
      </c>
      <c r="I345" s="339">
        <v>0.85</v>
      </c>
      <c r="J345" s="339">
        <v>0.85</v>
      </c>
      <c r="K345" s="339">
        <v>0.85</v>
      </c>
      <c r="L345" s="339">
        <v>0.85</v>
      </c>
      <c r="M345" s="339">
        <v>0.85</v>
      </c>
      <c r="N345" s="339">
        <v>0.85</v>
      </c>
      <c r="O345" s="339">
        <v>0.85</v>
      </c>
      <c r="P345" s="339">
        <v>0.85</v>
      </c>
      <c r="Q345" s="339">
        <v>0.85</v>
      </c>
      <c r="R345" s="339">
        <v>0.85</v>
      </c>
      <c r="S345" s="339">
        <v>0.85</v>
      </c>
      <c r="T345" s="339">
        <v>0.85</v>
      </c>
      <c r="U345" s="339">
        <v>0.95</v>
      </c>
      <c r="V345" s="339">
        <v>0.95</v>
      </c>
      <c r="W345" s="339">
        <v>0.95</v>
      </c>
      <c r="X345" s="339">
        <v>0.95</v>
      </c>
      <c r="Y345" s="339">
        <v>0.95</v>
      </c>
      <c r="Z345" s="339">
        <v>0.95</v>
      </c>
      <c r="AA345" s="339">
        <v>0.95</v>
      </c>
      <c r="AB345" s="339">
        <v>0.95</v>
      </c>
      <c r="AC345" s="339">
        <v>0.95</v>
      </c>
      <c r="AD345" s="339">
        <v>0.95</v>
      </c>
      <c r="AE345" s="339">
        <v>0.95</v>
      </c>
      <c r="AF345" s="339">
        <v>0.95</v>
      </c>
      <c r="AG345" s="339">
        <v>0.95</v>
      </c>
      <c r="AH345" s="339">
        <v>0.95</v>
      </c>
      <c r="AI345" s="339">
        <v>0.95</v>
      </c>
      <c r="AJ345" s="339">
        <v>0.95</v>
      </c>
      <c r="AK345" s="339">
        <v>0.95</v>
      </c>
      <c r="AL345" s="339">
        <v>0.95</v>
      </c>
      <c r="AM345" s="339">
        <v>0.95</v>
      </c>
      <c r="AN345" s="339">
        <v>0.95</v>
      </c>
      <c r="AO345" s="339">
        <v>0.95</v>
      </c>
      <c r="AP345" s="339">
        <v>0.95</v>
      </c>
      <c r="AQ345" s="339">
        <v>0.95</v>
      </c>
      <c r="AR345" s="339">
        <v>0.95</v>
      </c>
      <c r="AS345" s="339">
        <v>0.95</v>
      </c>
      <c r="AT345" s="339">
        <v>0.95</v>
      </c>
      <c r="AU345" s="339">
        <v>0.95</v>
      </c>
      <c r="AV345" s="339">
        <v>0.95</v>
      </c>
      <c r="AW345" s="339">
        <v>0.95</v>
      </c>
      <c r="AX345" s="339">
        <v>0.95</v>
      </c>
      <c r="AY345" s="339">
        <v>0.95</v>
      </c>
      <c r="AZ345" s="339">
        <v>0.95</v>
      </c>
      <c r="BA345" s="339">
        <v>0.95</v>
      </c>
      <c r="BB345" s="339">
        <v>0.95</v>
      </c>
      <c r="BC345" s="339">
        <v>0.95</v>
      </c>
      <c r="BD345" s="339">
        <v>0.95</v>
      </c>
      <c r="BE345" s="339">
        <v>0.95</v>
      </c>
      <c r="BF345" s="339">
        <v>0.95</v>
      </c>
      <c r="BG345" s="339">
        <v>0.95</v>
      </c>
      <c r="BH345" s="339">
        <v>0.95</v>
      </c>
      <c r="BI345" s="339">
        <v>0.95</v>
      </c>
      <c r="BJ345" s="339">
        <v>0.95</v>
      </c>
      <c r="BK345" s="339">
        <v>0.95</v>
      </c>
      <c r="BL345" s="339">
        <v>0.95</v>
      </c>
      <c r="BM345" s="339">
        <v>0.95</v>
      </c>
      <c r="BN345" s="339">
        <v>0.95</v>
      </c>
      <c r="BO345" s="339">
        <v>0.95</v>
      </c>
      <c r="BP345" s="339">
        <v>0.95</v>
      </c>
      <c r="BQ345" s="339">
        <v>0.95</v>
      </c>
      <c r="BR345" s="339">
        <v>0.95</v>
      </c>
      <c r="BS345" s="339">
        <v>0.95</v>
      </c>
      <c r="BT345" s="339">
        <v>0.95</v>
      </c>
      <c r="BU345" s="339">
        <v>0.95</v>
      </c>
      <c r="BV345" s="339">
        <v>0.95</v>
      </c>
      <c r="BW345" s="339">
        <v>0.95</v>
      </c>
      <c r="BX345" s="339">
        <v>0.95</v>
      </c>
    </row>
    <row r="346" spans="2:76" hidden="1" outlineLevel="1">
      <c r="B346" s="352"/>
      <c r="C346" s="352" t="s">
        <v>231</v>
      </c>
      <c r="D346" s="352" t="s">
        <v>143</v>
      </c>
      <c r="E346" s="352" t="s">
        <v>10</v>
      </c>
      <c r="F346" s="339">
        <v>0</v>
      </c>
      <c r="G346" s="339">
        <v>0</v>
      </c>
      <c r="H346" s="339">
        <v>0.85</v>
      </c>
      <c r="I346" s="339">
        <v>0.85</v>
      </c>
      <c r="J346" s="339">
        <v>0.85</v>
      </c>
      <c r="K346" s="339">
        <v>0.85</v>
      </c>
      <c r="L346" s="339">
        <v>0.85</v>
      </c>
      <c r="M346" s="339">
        <v>0.85</v>
      </c>
      <c r="N346" s="339">
        <v>0.85</v>
      </c>
      <c r="O346" s="339">
        <v>0.85</v>
      </c>
      <c r="P346" s="339">
        <v>0.85</v>
      </c>
      <c r="Q346" s="339">
        <v>0.85</v>
      </c>
      <c r="R346" s="339">
        <v>0.85</v>
      </c>
      <c r="S346" s="339">
        <v>0.85</v>
      </c>
      <c r="T346" s="339">
        <v>0.85</v>
      </c>
      <c r="U346" s="339">
        <v>0.95</v>
      </c>
      <c r="V346" s="339">
        <v>0.95</v>
      </c>
      <c r="W346" s="339">
        <v>0.95</v>
      </c>
      <c r="X346" s="339">
        <v>0.95</v>
      </c>
      <c r="Y346" s="339">
        <v>0.95</v>
      </c>
      <c r="Z346" s="339">
        <v>0.95</v>
      </c>
      <c r="AA346" s="339">
        <v>0.95</v>
      </c>
      <c r="AB346" s="339">
        <v>0.95</v>
      </c>
      <c r="AC346" s="339">
        <v>0.95</v>
      </c>
      <c r="AD346" s="339">
        <v>0.95</v>
      </c>
      <c r="AE346" s="339">
        <v>0.95</v>
      </c>
      <c r="AF346" s="339">
        <v>0.95</v>
      </c>
      <c r="AG346" s="339">
        <v>0.95</v>
      </c>
      <c r="AH346" s="339">
        <v>0.95</v>
      </c>
      <c r="AI346" s="339">
        <v>0.95</v>
      </c>
      <c r="AJ346" s="339">
        <v>0.95</v>
      </c>
      <c r="AK346" s="339">
        <v>0.95</v>
      </c>
      <c r="AL346" s="339">
        <v>0.95</v>
      </c>
      <c r="AM346" s="339">
        <v>0.95</v>
      </c>
      <c r="AN346" s="339">
        <v>0.95</v>
      </c>
      <c r="AO346" s="339">
        <v>0.95</v>
      </c>
      <c r="AP346" s="339">
        <v>0.95</v>
      </c>
      <c r="AQ346" s="339">
        <v>0.95</v>
      </c>
      <c r="AR346" s="339">
        <v>0.95</v>
      </c>
      <c r="AS346" s="339">
        <v>0.95</v>
      </c>
      <c r="AT346" s="339">
        <v>0.95</v>
      </c>
      <c r="AU346" s="339">
        <v>0.95</v>
      </c>
      <c r="AV346" s="339">
        <v>0.95</v>
      </c>
      <c r="AW346" s="339">
        <v>0.95</v>
      </c>
      <c r="AX346" s="339">
        <v>0.95</v>
      </c>
      <c r="AY346" s="339">
        <v>0.95</v>
      </c>
      <c r="AZ346" s="339">
        <v>0.95</v>
      </c>
      <c r="BA346" s="339">
        <v>0.95</v>
      </c>
      <c r="BB346" s="339">
        <v>0.95</v>
      </c>
      <c r="BC346" s="339">
        <v>0.95</v>
      </c>
      <c r="BD346" s="339">
        <v>0.95</v>
      </c>
      <c r="BE346" s="339">
        <v>0.95</v>
      </c>
      <c r="BF346" s="339">
        <v>0.95</v>
      </c>
      <c r="BG346" s="339">
        <v>0.95</v>
      </c>
      <c r="BH346" s="339">
        <v>0.95</v>
      </c>
      <c r="BI346" s="339">
        <v>0.95</v>
      </c>
      <c r="BJ346" s="339">
        <v>0.95</v>
      </c>
      <c r="BK346" s="339">
        <v>0.95</v>
      </c>
      <c r="BL346" s="339">
        <v>0.95</v>
      </c>
      <c r="BM346" s="339">
        <v>0.95</v>
      </c>
      <c r="BN346" s="339">
        <v>0.95</v>
      </c>
      <c r="BO346" s="339">
        <v>0.95</v>
      </c>
      <c r="BP346" s="339">
        <v>0.95</v>
      </c>
      <c r="BQ346" s="339">
        <v>0.95</v>
      </c>
      <c r="BR346" s="339">
        <v>0.95</v>
      </c>
      <c r="BS346" s="339">
        <v>0.95</v>
      </c>
      <c r="BT346" s="339">
        <v>0.95</v>
      </c>
      <c r="BU346" s="339">
        <v>0.95</v>
      </c>
      <c r="BV346" s="339">
        <v>0.95</v>
      </c>
      <c r="BW346" s="339">
        <v>0.95</v>
      </c>
      <c r="BX346" s="339">
        <v>0.95</v>
      </c>
    </row>
    <row r="347" spans="2:76" hidden="1" outlineLevel="1">
      <c r="B347" s="352"/>
      <c r="C347" s="352" t="s">
        <v>231</v>
      </c>
      <c r="D347" s="352" t="s">
        <v>143</v>
      </c>
      <c r="E347" s="352" t="s">
        <v>135</v>
      </c>
      <c r="F347" s="339">
        <v>0</v>
      </c>
      <c r="G347" s="339">
        <v>0</v>
      </c>
      <c r="H347" s="339">
        <v>0.85</v>
      </c>
      <c r="I347" s="339">
        <v>0.85</v>
      </c>
      <c r="J347" s="339">
        <v>0.85</v>
      </c>
      <c r="K347" s="339">
        <v>0.85</v>
      </c>
      <c r="L347" s="339">
        <v>0.85</v>
      </c>
      <c r="M347" s="339">
        <v>0.85</v>
      </c>
      <c r="N347" s="339">
        <v>0.85</v>
      </c>
      <c r="O347" s="339">
        <v>0.85</v>
      </c>
      <c r="P347" s="339">
        <v>0.85</v>
      </c>
      <c r="Q347" s="339">
        <v>0.85</v>
      </c>
      <c r="R347" s="339">
        <v>0.85</v>
      </c>
      <c r="S347" s="339">
        <v>0.85</v>
      </c>
      <c r="T347" s="339">
        <v>0.85</v>
      </c>
      <c r="U347" s="339">
        <v>0.95</v>
      </c>
      <c r="V347" s="339">
        <v>0.95</v>
      </c>
      <c r="W347" s="339">
        <v>0.95</v>
      </c>
      <c r="X347" s="339">
        <v>0.95</v>
      </c>
      <c r="Y347" s="339">
        <v>0.95</v>
      </c>
      <c r="Z347" s="339">
        <v>0.95</v>
      </c>
      <c r="AA347" s="339">
        <v>0.95</v>
      </c>
      <c r="AB347" s="339">
        <v>0.95</v>
      </c>
      <c r="AC347" s="339">
        <v>0.95</v>
      </c>
      <c r="AD347" s="339">
        <v>0.95</v>
      </c>
      <c r="AE347" s="339">
        <v>0.95</v>
      </c>
      <c r="AF347" s="339">
        <v>0.95</v>
      </c>
      <c r="AG347" s="339">
        <v>0.95</v>
      </c>
      <c r="AH347" s="339">
        <v>0.95</v>
      </c>
      <c r="AI347" s="339">
        <v>0.95</v>
      </c>
      <c r="AJ347" s="339">
        <v>0.95</v>
      </c>
      <c r="AK347" s="339">
        <v>0.95</v>
      </c>
      <c r="AL347" s="339">
        <v>0.95</v>
      </c>
      <c r="AM347" s="339">
        <v>0.95</v>
      </c>
      <c r="AN347" s="339">
        <v>0.95</v>
      </c>
      <c r="AO347" s="339">
        <v>0.95</v>
      </c>
      <c r="AP347" s="339">
        <v>0.95</v>
      </c>
      <c r="AQ347" s="339">
        <v>0.95</v>
      </c>
      <c r="AR347" s="339">
        <v>0.95</v>
      </c>
      <c r="AS347" s="339">
        <v>0.95</v>
      </c>
      <c r="AT347" s="339">
        <v>0.95</v>
      </c>
      <c r="AU347" s="339">
        <v>0.95</v>
      </c>
      <c r="AV347" s="339">
        <v>0.95</v>
      </c>
      <c r="AW347" s="339">
        <v>0.95</v>
      </c>
      <c r="AX347" s="339">
        <v>0.95</v>
      </c>
      <c r="AY347" s="339">
        <v>0.95</v>
      </c>
      <c r="AZ347" s="339">
        <v>0.95</v>
      </c>
      <c r="BA347" s="339">
        <v>0.95</v>
      </c>
      <c r="BB347" s="339">
        <v>0.95</v>
      </c>
      <c r="BC347" s="339">
        <v>0.95</v>
      </c>
      <c r="BD347" s="339">
        <v>0.95</v>
      </c>
      <c r="BE347" s="339">
        <v>0.95</v>
      </c>
      <c r="BF347" s="339">
        <v>0.95</v>
      </c>
      <c r="BG347" s="339">
        <v>0.95</v>
      </c>
      <c r="BH347" s="339">
        <v>0.95</v>
      </c>
      <c r="BI347" s="339">
        <v>0.95</v>
      </c>
      <c r="BJ347" s="339">
        <v>0.95</v>
      </c>
      <c r="BK347" s="339">
        <v>0.95</v>
      </c>
      <c r="BL347" s="339">
        <v>0.95</v>
      </c>
      <c r="BM347" s="339">
        <v>0.95</v>
      </c>
      <c r="BN347" s="339">
        <v>0.95</v>
      </c>
      <c r="BO347" s="339">
        <v>0.95</v>
      </c>
      <c r="BP347" s="339">
        <v>0.95</v>
      </c>
      <c r="BQ347" s="339">
        <v>0.95</v>
      </c>
      <c r="BR347" s="339">
        <v>0.95</v>
      </c>
      <c r="BS347" s="339">
        <v>0.95</v>
      </c>
      <c r="BT347" s="339">
        <v>0.95</v>
      </c>
      <c r="BU347" s="339">
        <v>0.95</v>
      </c>
      <c r="BV347" s="339">
        <v>0.95</v>
      </c>
      <c r="BW347" s="339">
        <v>0.95</v>
      </c>
      <c r="BX347" s="339">
        <v>0.95</v>
      </c>
    </row>
    <row r="348" spans="2:76" hidden="1" outlineLevel="1">
      <c r="B348" s="352"/>
      <c r="C348" s="352" t="s">
        <v>231</v>
      </c>
      <c r="D348" s="352" t="s">
        <v>143</v>
      </c>
      <c r="E348" s="352" t="s">
        <v>136</v>
      </c>
      <c r="F348" s="339">
        <v>0</v>
      </c>
      <c r="G348" s="339">
        <v>0</v>
      </c>
      <c r="H348" s="339">
        <v>0.85</v>
      </c>
      <c r="I348" s="339">
        <v>0.85</v>
      </c>
      <c r="J348" s="339">
        <v>0.85</v>
      </c>
      <c r="K348" s="339">
        <v>0.85</v>
      </c>
      <c r="L348" s="339">
        <v>0.85</v>
      </c>
      <c r="M348" s="339">
        <v>0.85</v>
      </c>
      <c r="N348" s="339">
        <v>0.85</v>
      </c>
      <c r="O348" s="339">
        <v>0.85</v>
      </c>
      <c r="P348" s="339">
        <v>0.85</v>
      </c>
      <c r="Q348" s="339">
        <v>0.85</v>
      </c>
      <c r="R348" s="339">
        <v>0.85</v>
      </c>
      <c r="S348" s="339">
        <v>0.85</v>
      </c>
      <c r="T348" s="339">
        <v>0.85</v>
      </c>
      <c r="U348" s="339">
        <v>0.95</v>
      </c>
      <c r="V348" s="339">
        <v>0.95</v>
      </c>
      <c r="W348" s="339">
        <v>0.95</v>
      </c>
      <c r="X348" s="339">
        <v>0.95</v>
      </c>
      <c r="Y348" s="339">
        <v>0.95</v>
      </c>
      <c r="Z348" s="339">
        <v>0.95</v>
      </c>
      <c r="AA348" s="339">
        <v>0.95</v>
      </c>
      <c r="AB348" s="339">
        <v>0.95</v>
      </c>
      <c r="AC348" s="339">
        <v>0.95</v>
      </c>
      <c r="AD348" s="339">
        <v>0.95</v>
      </c>
      <c r="AE348" s="339">
        <v>0.95</v>
      </c>
      <c r="AF348" s="339">
        <v>0.95</v>
      </c>
      <c r="AG348" s="339">
        <v>0.95</v>
      </c>
      <c r="AH348" s="339">
        <v>0.95</v>
      </c>
      <c r="AI348" s="339">
        <v>0.95</v>
      </c>
      <c r="AJ348" s="339">
        <v>0.95</v>
      </c>
      <c r="AK348" s="339">
        <v>0.95</v>
      </c>
      <c r="AL348" s="339">
        <v>0.95</v>
      </c>
      <c r="AM348" s="339">
        <v>0.95</v>
      </c>
      <c r="AN348" s="339">
        <v>0.95</v>
      </c>
      <c r="AO348" s="339">
        <v>0.95</v>
      </c>
      <c r="AP348" s="339">
        <v>0.95</v>
      </c>
      <c r="AQ348" s="339">
        <v>0.95</v>
      </c>
      <c r="AR348" s="339">
        <v>0.95</v>
      </c>
      <c r="AS348" s="339">
        <v>0.95</v>
      </c>
      <c r="AT348" s="339">
        <v>0.95</v>
      </c>
      <c r="AU348" s="339">
        <v>0.95</v>
      </c>
      <c r="AV348" s="339">
        <v>0.95</v>
      </c>
      <c r="AW348" s="339">
        <v>0.95</v>
      </c>
      <c r="AX348" s="339">
        <v>0.95</v>
      </c>
      <c r="AY348" s="339">
        <v>0.95</v>
      </c>
      <c r="AZ348" s="339">
        <v>0.95</v>
      </c>
      <c r="BA348" s="339">
        <v>0.95</v>
      </c>
      <c r="BB348" s="339">
        <v>0.95</v>
      </c>
      <c r="BC348" s="339">
        <v>0.95</v>
      </c>
      <c r="BD348" s="339">
        <v>0.95</v>
      </c>
      <c r="BE348" s="339">
        <v>0.95</v>
      </c>
      <c r="BF348" s="339">
        <v>0.95</v>
      </c>
      <c r="BG348" s="339">
        <v>0.95</v>
      </c>
      <c r="BH348" s="339">
        <v>0.95</v>
      </c>
      <c r="BI348" s="339">
        <v>0.95</v>
      </c>
      <c r="BJ348" s="339">
        <v>0.95</v>
      </c>
      <c r="BK348" s="339">
        <v>0.95</v>
      </c>
      <c r="BL348" s="339">
        <v>0.95</v>
      </c>
      <c r="BM348" s="339">
        <v>0.95</v>
      </c>
      <c r="BN348" s="339">
        <v>0.95</v>
      </c>
      <c r="BO348" s="339">
        <v>0.95</v>
      </c>
      <c r="BP348" s="339">
        <v>0.95</v>
      </c>
      <c r="BQ348" s="339">
        <v>0.95</v>
      </c>
      <c r="BR348" s="339">
        <v>0.95</v>
      </c>
      <c r="BS348" s="339">
        <v>0.95</v>
      </c>
      <c r="BT348" s="339">
        <v>0.95</v>
      </c>
      <c r="BU348" s="339">
        <v>0.95</v>
      </c>
      <c r="BV348" s="339">
        <v>0.95</v>
      </c>
      <c r="BW348" s="339">
        <v>0.95</v>
      </c>
      <c r="BX348" s="339">
        <v>0.95</v>
      </c>
    </row>
    <row r="349" spans="2:76" hidden="1" outlineLevel="1">
      <c r="B349" s="352"/>
      <c r="C349" s="352" t="s">
        <v>231</v>
      </c>
      <c r="D349" s="352" t="s">
        <v>143</v>
      </c>
      <c r="E349" s="352" t="s">
        <v>137</v>
      </c>
      <c r="F349" s="339">
        <v>0</v>
      </c>
      <c r="G349" s="339">
        <v>0</v>
      </c>
      <c r="H349" s="339">
        <v>0.85</v>
      </c>
      <c r="I349" s="339">
        <v>0.85</v>
      </c>
      <c r="J349" s="339">
        <v>0.85</v>
      </c>
      <c r="K349" s="339">
        <v>0.85</v>
      </c>
      <c r="L349" s="339">
        <v>0.85</v>
      </c>
      <c r="M349" s="339">
        <v>0.85</v>
      </c>
      <c r="N349" s="339">
        <v>0.85</v>
      </c>
      <c r="O349" s="339">
        <v>0.85</v>
      </c>
      <c r="P349" s="339">
        <v>0.85</v>
      </c>
      <c r="Q349" s="339">
        <v>0.85</v>
      </c>
      <c r="R349" s="339">
        <v>0.85</v>
      </c>
      <c r="S349" s="339">
        <v>0.85</v>
      </c>
      <c r="T349" s="339">
        <v>0.85</v>
      </c>
      <c r="U349" s="339">
        <v>0.95</v>
      </c>
      <c r="V349" s="339">
        <v>0.95</v>
      </c>
      <c r="W349" s="339">
        <v>0.95</v>
      </c>
      <c r="X349" s="339">
        <v>0.95</v>
      </c>
      <c r="Y349" s="339">
        <v>0.95</v>
      </c>
      <c r="Z349" s="339">
        <v>0.95</v>
      </c>
      <c r="AA349" s="339">
        <v>0.95</v>
      </c>
      <c r="AB349" s="339">
        <v>0.95</v>
      </c>
      <c r="AC349" s="339">
        <v>0.95</v>
      </c>
      <c r="AD349" s="339">
        <v>0.95</v>
      </c>
      <c r="AE349" s="339">
        <v>0.95</v>
      </c>
      <c r="AF349" s="339">
        <v>0.95</v>
      </c>
      <c r="AG349" s="339">
        <v>0.95</v>
      </c>
      <c r="AH349" s="339">
        <v>0.95</v>
      </c>
      <c r="AI349" s="339">
        <v>0.95</v>
      </c>
      <c r="AJ349" s="339">
        <v>0.95</v>
      </c>
      <c r="AK349" s="339">
        <v>0.95</v>
      </c>
      <c r="AL349" s="339">
        <v>0.95</v>
      </c>
      <c r="AM349" s="339">
        <v>0.95</v>
      </c>
      <c r="AN349" s="339">
        <v>0.95</v>
      </c>
      <c r="AO349" s="339">
        <v>0.95</v>
      </c>
      <c r="AP349" s="339">
        <v>0.95</v>
      </c>
      <c r="AQ349" s="339">
        <v>0.95</v>
      </c>
      <c r="AR349" s="339">
        <v>0.95</v>
      </c>
      <c r="AS349" s="339">
        <v>0.95</v>
      </c>
      <c r="AT349" s="339">
        <v>0.95</v>
      </c>
      <c r="AU349" s="339">
        <v>0.95</v>
      </c>
      <c r="AV349" s="339">
        <v>0.95</v>
      </c>
      <c r="AW349" s="339">
        <v>0.95</v>
      </c>
      <c r="AX349" s="339">
        <v>0.95</v>
      </c>
      <c r="AY349" s="339">
        <v>0.95</v>
      </c>
      <c r="AZ349" s="339">
        <v>0.95</v>
      </c>
      <c r="BA349" s="339">
        <v>0.95</v>
      </c>
      <c r="BB349" s="339">
        <v>0.95</v>
      </c>
      <c r="BC349" s="339">
        <v>0.95</v>
      </c>
      <c r="BD349" s="339">
        <v>0.95</v>
      </c>
      <c r="BE349" s="339">
        <v>0.95</v>
      </c>
      <c r="BF349" s="339">
        <v>0.95</v>
      </c>
      <c r="BG349" s="339">
        <v>0.95</v>
      </c>
      <c r="BH349" s="339">
        <v>0.95</v>
      </c>
      <c r="BI349" s="339">
        <v>0.95</v>
      </c>
      <c r="BJ349" s="339">
        <v>0.95</v>
      </c>
      <c r="BK349" s="339">
        <v>0.95</v>
      </c>
      <c r="BL349" s="339">
        <v>0.95</v>
      </c>
      <c r="BM349" s="339">
        <v>0.95</v>
      </c>
      <c r="BN349" s="339">
        <v>0.95</v>
      </c>
      <c r="BO349" s="339">
        <v>0.95</v>
      </c>
      <c r="BP349" s="339">
        <v>0.95</v>
      </c>
      <c r="BQ349" s="339">
        <v>0.95</v>
      </c>
      <c r="BR349" s="339">
        <v>0.95</v>
      </c>
      <c r="BS349" s="339">
        <v>0.95</v>
      </c>
      <c r="BT349" s="339">
        <v>0.95</v>
      </c>
      <c r="BU349" s="339">
        <v>0.95</v>
      </c>
      <c r="BV349" s="339">
        <v>0.95</v>
      </c>
      <c r="BW349" s="339">
        <v>0.95</v>
      </c>
      <c r="BX349" s="339">
        <v>0.95</v>
      </c>
    </row>
    <row r="350" spans="2:76" collapsed="1"/>
    <row r="351" spans="2:76">
      <c r="B351" s="259" t="str">
        <f>D351</f>
        <v>Annual Avg "Real" Cost Improvement</v>
      </c>
      <c r="D351" s="259" t="s">
        <v>246</v>
      </c>
      <c r="F351" s="259"/>
      <c r="G351" s="259"/>
      <c r="H351" s="259"/>
      <c r="I351" s="259"/>
      <c r="J351" s="259"/>
      <c r="K351" s="259"/>
      <c r="L351" s="259"/>
      <c r="M351" s="259"/>
      <c r="N351" s="259"/>
      <c r="O351" s="259"/>
      <c r="P351" s="259"/>
      <c r="Q351" s="259"/>
      <c r="R351" s="259"/>
      <c r="S351" s="259"/>
      <c r="T351" s="259"/>
      <c r="U351" s="259"/>
      <c r="V351" s="259"/>
      <c r="W351" s="259"/>
      <c r="X351" s="259"/>
      <c r="Y351" s="259"/>
      <c r="Z351" s="259"/>
      <c r="AA351" s="259"/>
      <c r="AB351" s="259"/>
      <c r="AC351" s="259"/>
      <c r="AD351" s="259"/>
      <c r="AE351" s="259"/>
      <c r="AF351" s="259"/>
      <c r="AG351" s="259"/>
      <c r="AH351" s="259"/>
      <c r="AI351" s="259"/>
      <c r="AJ351" s="259"/>
      <c r="AK351" s="259"/>
      <c r="AL351" s="259"/>
      <c r="AM351" s="259"/>
      <c r="AN351" s="259"/>
      <c r="AO351" s="259"/>
      <c r="AP351" s="259"/>
      <c r="AQ351" s="259"/>
      <c r="AR351" s="259"/>
      <c r="AS351" s="259"/>
      <c r="AT351" s="259"/>
      <c r="AU351" s="259"/>
      <c r="AV351" s="259"/>
      <c r="AW351" s="259"/>
      <c r="AX351" s="259"/>
      <c r="AY351" s="259"/>
      <c r="AZ351" s="259"/>
      <c r="BA351" s="259"/>
      <c r="BB351" s="259"/>
      <c r="BC351" s="259"/>
      <c r="BD351" s="259"/>
      <c r="BE351" s="259"/>
      <c r="BF351" s="259"/>
      <c r="BG351" s="259"/>
      <c r="BH351" s="259"/>
      <c r="BI351" s="259"/>
      <c r="BJ351" s="259"/>
      <c r="BK351" s="259"/>
      <c r="BL351" s="259"/>
      <c r="BM351" s="259"/>
      <c r="BN351" s="259"/>
      <c r="BO351" s="259"/>
      <c r="BP351" s="259"/>
      <c r="BQ351" s="259"/>
      <c r="BR351" s="259"/>
      <c r="BS351" s="259"/>
      <c r="BT351" s="259"/>
      <c r="BU351" s="259"/>
      <c r="BV351" s="259"/>
      <c r="BW351" s="259"/>
      <c r="BX351" s="259"/>
    </row>
    <row r="352" spans="2:76" hidden="1" outlineLevel="1">
      <c r="B352" s="348"/>
      <c r="C352" s="348" t="s">
        <v>157</v>
      </c>
      <c r="D352" s="348" t="s">
        <v>246</v>
      </c>
      <c r="E352" s="348" t="s">
        <v>16</v>
      </c>
      <c r="F352" s="339"/>
      <c r="G352" s="339">
        <v>-0.11</v>
      </c>
      <c r="H352" s="339">
        <v>-0.11</v>
      </c>
      <c r="I352" s="339">
        <v>-6.0043272662077381E-2</v>
      </c>
      <c r="J352" s="339">
        <v>-5.9426669078313753E-2</v>
      </c>
      <c r="K352" s="339">
        <v>-4.1129461814790574E-2</v>
      </c>
      <c r="L352" s="339">
        <v>-4.0335147208248878E-2</v>
      </c>
      <c r="M352" s="339">
        <v>-3.6757948070717889E-2</v>
      </c>
      <c r="N352" s="339">
        <v>-3.5752717108667433E-2</v>
      </c>
      <c r="O352" s="339">
        <v>-3.3704583380752225E-2</v>
      </c>
      <c r="P352" s="339">
        <v>-3.5155995603022988E-2</v>
      </c>
      <c r="Q352" s="339">
        <v>-3.4646010585608449E-2</v>
      </c>
      <c r="R352" s="339">
        <v>-3.3795837218907186E-2</v>
      </c>
      <c r="S352" s="339">
        <v>-3.219187637098906E-2</v>
      </c>
      <c r="T352" s="339">
        <v>-3.0108280530647593E-2</v>
      </c>
      <c r="U352" s="339">
        <v>-2.6934341016737567E-2</v>
      </c>
      <c r="V352" s="339">
        <v>-2.4916525192957631E-2</v>
      </c>
      <c r="W352" s="339">
        <v>-2.3125910765127853E-2</v>
      </c>
      <c r="X352" s="339">
        <v>-2.0864434914116357E-2</v>
      </c>
      <c r="Y352" s="339">
        <v>-2.1256319057735711E-2</v>
      </c>
      <c r="Z352" s="339">
        <v>-2.1648203201355101E-2</v>
      </c>
      <c r="AA352" s="339">
        <v>-2.20400873449744E-2</v>
      </c>
      <c r="AB352" s="339">
        <v>-2.2431971488593799E-2</v>
      </c>
      <c r="AC352" s="339">
        <v>-2.2823855632213098E-2</v>
      </c>
      <c r="AD352" s="339">
        <v>-2.3215739775832502E-2</v>
      </c>
      <c r="AE352" s="339">
        <v>-2.3607623919451801E-2</v>
      </c>
      <c r="AF352" s="339">
        <v>-2.39995080630712E-2</v>
      </c>
      <c r="AG352" s="339">
        <v>-2.4391392206690499E-2</v>
      </c>
      <c r="AH352" s="339">
        <v>-2.4783276350309899E-2</v>
      </c>
      <c r="AI352" s="339">
        <v>-2.5175160493929299E-2</v>
      </c>
      <c r="AJ352" s="339">
        <v>-2.4391392206690499E-2</v>
      </c>
      <c r="AK352" s="339">
        <v>-2.4783276350309899E-2</v>
      </c>
      <c r="AL352" s="339">
        <v>-2.5175160493929299E-2</v>
      </c>
      <c r="AM352" s="339">
        <v>-2.5175160493929299E-2</v>
      </c>
      <c r="AN352" s="339">
        <v>-2.5175160493929299E-2</v>
      </c>
      <c r="AO352" s="339">
        <v>-2.5175160493929299E-2</v>
      </c>
      <c r="AP352" s="339">
        <v>-2.5175160493929299E-2</v>
      </c>
      <c r="AQ352" s="339">
        <v>-2.5175160493929299E-2</v>
      </c>
      <c r="AR352" s="339">
        <v>-2.5175160493929299E-2</v>
      </c>
      <c r="AS352" s="339">
        <v>-2.5175160493929299E-2</v>
      </c>
      <c r="AT352" s="339">
        <v>-2.5175160493929299E-2</v>
      </c>
      <c r="AU352" s="339">
        <v>-2.5175160493929299E-2</v>
      </c>
      <c r="AV352" s="339">
        <v>-2.5175160493929299E-2</v>
      </c>
      <c r="AW352" s="339">
        <v>-2.5175160493929299E-2</v>
      </c>
      <c r="AX352" s="339">
        <v>-2.5175160493929299E-2</v>
      </c>
      <c r="AY352" s="339">
        <v>-2.5175160493929299E-2</v>
      </c>
      <c r="AZ352" s="339">
        <v>-2.5175160493929299E-2</v>
      </c>
      <c r="BA352" s="339">
        <v>-2.5175160493929299E-2</v>
      </c>
      <c r="BB352" s="339">
        <v>-2.5175160493929299E-2</v>
      </c>
      <c r="BC352" s="339">
        <v>-2.5175160493929299E-2</v>
      </c>
      <c r="BD352" s="339">
        <v>-2.5175160493929299E-2</v>
      </c>
      <c r="BE352" s="339">
        <v>-2.5175160493929299E-2</v>
      </c>
      <c r="BF352" s="339">
        <v>-2.5175160493929299E-2</v>
      </c>
      <c r="BG352" s="339">
        <v>-2.5175160493929299E-2</v>
      </c>
      <c r="BH352" s="339">
        <v>-2.5175160493929299E-2</v>
      </c>
      <c r="BI352" s="339">
        <v>-2.5175160493929299E-2</v>
      </c>
      <c r="BJ352" s="339">
        <v>-2.5175160493929299E-2</v>
      </c>
      <c r="BK352" s="339">
        <v>-2.5175160493929299E-2</v>
      </c>
      <c r="BL352" s="339">
        <v>-2.5175160493929299E-2</v>
      </c>
      <c r="BM352" s="339">
        <v>-2.5175160493929299E-2</v>
      </c>
      <c r="BN352" s="339">
        <v>-2.5175160493929299E-2</v>
      </c>
      <c r="BO352" s="339">
        <v>-2.5175160493929299E-2</v>
      </c>
      <c r="BP352" s="339">
        <v>-2.5175160493929299E-2</v>
      </c>
      <c r="BQ352" s="339">
        <v>-2.5175160493929299E-2</v>
      </c>
      <c r="BR352" s="339">
        <v>-2.5175160493929299E-2</v>
      </c>
      <c r="BS352" s="339">
        <v>-2.5175160493929299E-2</v>
      </c>
      <c r="BT352" s="339">
        <v>-2.5175160493929299E-2</v>
      </c>
      <c r="BU352" s="339">
        <v>-2.5175160493929299E-2</v>
      </c>
      <c r="BV352" s="339">
        <v>-2.5175160493929299E-2</v>
      </c>
      <c r="BW352" s="339">
        <v>-2.5175160493929299E-2</v>
      </c>
      <c r="BX352" s="339">
        <v>-2.5175160493929299E-2</v>
      </c>
    </row>
    <row r="353" spans="2:76" hidden="1" outlineLevel="1">
      <c r="B353" s="348"/>
      <c r="C353" s="348" t="s">
        <v>157</v>
      </c>
      <c r="D353" s="348" t="s">
        <v>246</v>
      </c>
      <c r="E353" s="348" t="s">
        <v>17</v>
      </c>
      <c r="F353" s="339"/>
      <c r="G353" s="339">
        <v>-0.14000000000000001</v>
      </c>
      <c r="H353" s="339">
        <v>-0.14000000000000001</v>
      </c>
      <c r="I353" s="339">
        <v>-6.0043272662077381E-2</v>
      </c>
      <c r="J353" s="339">
        <v>-5.9426669078313753E-2</v>
      </c>
      <c r="K353" s="339">
        <v>-4.1129461814790574E-2</v>
      </c>
      <c r="L353" s="339">
        <v>-4.0335147208248878E-2</v>
      </c>
      <c r="M353" s="339">
        <v>-3.6757948070717889E-2</v>
      </c>
      <c r="N353" s="339">
        <v>-3.5752717108667433E-2</v>
      </c>
      <c r="O353" s="339">
        <v>-3.3704583380752225E-2</v>
      </c>
      <c r="P353" s="339">
        <v>-3.5155995603022988E-2</v>
      </c>
      <c r="Q353" s="339">
        <v>-3.4646010585608449E-2</v>
      </c>
      <c r="R353" s="339">
        <v>-3.3795837218907186E-2</v>
      </c>
      <c r="S353" s="339">
        <v>-3.219187637098906E-2</v>
      </c>
      <c r="T353" s="339">
        <v>-3.0108280530647593E-2</v>
      </c>
      <c r="U353" s="339">
        <v>-2.6934341016737567E-2</v>
      </c>
      <c r="V353" s="339">
        <v>-2.4916525192957631E-2</v>
      </c>
      <c r="W353" s="339">
        <v>-2.3125910765127853E-2</v>
      </c>
      <c r="X353" s="339">
        <v>-2.0864434914116357E-2</v>
      </c>
      <c r="Y353" s="339">
        <v>-2.1256319057735711E-2</v>
      </c>
      <c r="Z353" s="339">
        <v>-2.1648203201355101E-2</v>
      </c>
      <c r="AA353" s="339">
        <v>-2.20400873449744E-2</v>
      </c>
      <c r="AB353" s="339">
        <v>-2.2431971488593799E-2</v>
      </c>
      <c r="AC353" s="339">
        <v>-2.2823855632213098E-2</v>
      </c>
      <c r="AD353" s="339">
        <v>-2.3215739775832502E-2</v>
      </c>
      <c r="AE353" s="339">
        <v>-2.3607623919451801E-2</v>
      </c>
      <c r="AF353" s="339">
        <v>-2.39995080630712E-2</v>
      </c>
      <c r="AG353" s="339">
        <v>-2.4391392206690499E-2</v>
      </c>
      <c r="AH353" s="339">
        <v>-2.4783276350309899E-2</v>
      </c>
      <c r="AI353" s="339">
        <v>-2.5175160493929299E-2</v>
      </c>
      <c r="AJ353" s="339">
        <v>-2.4391392206690499E-2</v>
      </c>
      <c r="AK353" s="339">
        <v>-2.4783276350309899E-2</v>
      </c>
      <c r="AL353" s="339">
        <v>-2.5175160493929299E-2</v>
      </c>
      <c r="AM353" s="339">
        <v>-2.5175160493929299E-2</v>
      </c>
      <c r="AN353" s="339">
        <v>-2.5175160493929299E-2</v>
      </c>
      <c r="AO353" s="339">
        <v>-2.5175160493929299E-2</v>
      </c>
      <c r="AP353" s="339">
        <v>-2.5175160493929299E-2</v>
      </c>
      <c r="AQ353" s="339">
        <v>-2.5175160493929299E-2</v>
      </c>
      <c r="AR353" s="339">
        <v>-2.5175160493929299E-2</v>
      </c>
      <c r="AS353" s="339">
        <v>-2.5175160493929299E-2</v>
      </c>
      <c r="AT353" s="339">
        <v>-2.5175160493929299E-2</v>
      </c>
      <c r="AU353" s="339">
        <v>-2.5175160493929299E-2</v>
      </c>
      <c r="AV353" s="339">
        <v>-2.5175160493929299E-2</v>
      </c>
      <c r="AW353" s="339">
        <v>-2.5175160493929299E-2</v>
      </c>
      <c r="AX353" s="339">
        <v>-2.5175160493929299E-2</v>
      </c>
      <c r="AY353" s="339">
        <v>-2.5175160493929299E-2</v>
      </c>
      <c r="AZ353" s="339">
        <v>-2.5175160493929299E-2</v>
      </c>
      <c r="BA353" s="339">
        <v>-2.5175160493929299E-2</v>
      </c>
      <c r="BB353" s="339">
        <v>-2.5175160493929299E-2</v>
      </c>
      <c r="BC353" s="339">
        <v>-2.5175160493929299E-2</v>
      </c>
      <c r="BD353" s="339">
        <v>-2.5175160493929299E-2</v>
      </c>
      <c r="BE353" s="339">
        <v>-2.5175160493929299E-2</v>
      </c>
      <c r="BF353" s="339">
        <v>-2.5175160493929299E-2</v>
      </c>
      <c r="BG353" s="339">
        <v>-2.5175160493929299E-2</v>
      </c>
      <c r="BH353" s="339">
        <v>-2.5175160493929299E-2</v>
      </c>
      <c r="BI353" s="339">
        <v>-2.5175160493929299E-2</v>
      </c>
      <c r="BJ353" s="339">
        <v>-2.5175160493929299E-2</v>
      </c>
      <c r="BK353" s="339">
        <v>-2.5175160493929299E-2</v>
      </c>
      <c r="BL353" s="339">
        <v>-2.5175160493929299E-2</v>
      </c>
      <c r="BM353" s="339">
        <v>-2.5175160493929299E-2</v>
      </c>
      <c r="BN353" s="339">
        <v>-2.5175160493929299E-2</v>
      </c>
      <c r="BO353" s="339">
        <v>-2.5175160493929299E-2</v>
      </c>
      <c r="BP353" s="339">
        <v>-2.5175160493929299E-2</v>
      </c>
      <c r="BQ353" s="339">
        <v>-2.5175160493929299E-2</v>
      </c>
      <c r="BR353" s="339">
        <v>-2.5175160493929299E-2</v>
      </c>
      <c r="BS353" s="339">
        <v>-2.5175160493929299E-2</v>
      </c>
      <c r="BT353" s="339">
        <v>-2.5175160493929299E-2</v>
      </c>
      <c r="BU353" s="339">
        <v>-2.5175160493929299E-2</v>
      </c>
      <c r="BV353" s="339">
        <v>-2.5175160493929299E-2</v>
      </c>
      <c r="BW353" s="339">
        <v>-2.5175160493929299E-2</v>
      </c>
      <c r="BX353" s="339">
        <v>-2.5175160493929299E-2</v>
      </c>
    </row>
    <row r="354" spans="2:76" hidden="1" outlineLevel="1">
      <c r="B354" s="348"/>
      <c r="C354" s="348" t="s">
        <v>157</v>
      </c>
      <c r="D354" s="348" t="s">
        <v>246</v>
      </c>
      <c r="E354" s="348" t="s">
        <v>18</v>
      </c>
      <c r="F354" s="339"/>
      <c r="G354" s="339"/>
      <c r="H354" s="339"/>
      <c r="I354" s="339">
        <f>-2%</f>
        <v>-0.02</v>
      </c>
      <c r="J354" s="339">
        <f t="shared" ref="J354:BU354" si="323">-2%</f>
        <v>-0.02</v>
      </c>
      <c r="K354" s="339">
        <f t="shared" si="323"/>
        <v>-0.02</v>
      </c>
      <c r="L354" s="339">
        <f t="shared" si="323"/>
        <v>-0.02</v>
      </c>
      <c r="M354" s="339">
        <f t="shared" si="323"/>
        <v>-0.02</v>
      </c>
      <c r="N354" s="339">
        <f t="shared" si="323"/>
        <v>-0.02</v>
      </c>
      <c r="O354" s="339">
        <f t="shared" si="323"/>
        <v>-0.02</v>
      </c>
      <c r="P354" s="339">
        <f t="shared" si="323"/>
        <v>-0.02</v>
      </c>
      <c r="Q354" s="339">
        <f t="shared" si="323"/>
        <v>-0.02</v>
      </c>
      <c r="R354" s="339">
        <f t="shared" si="323"/>
        <v>-0.02</v>
      </c>
      <c r="S354" s="339">
        <f t="shared" si="323"/>
        <v>-0.02</v>
      </c>
      <c r="T354" s="339">
        <f t="shared" si="323"/>
        <v>-0.02</v>
      </c>
      <c r="U354" s="339">
        <f t="shared" si="323"/>
        <v>-0.02</v>
      </c>
      <c r="V354" s="339">
        <f t="shared" si="323"/>
        <v>-0.02</v>
      </c>
      <c r="W354" s="339">
        <f t="shared" si="323"/>
        <v>-0.02</v>
      </c>
      <c r="X354" s="339">
        <f t="shared" si="323"/>
        <v>-0.02</v>
      </c>
      <c r="Y354" s="339">
        <f t="shared" si="323"/>
        <v>-0.02</v>
      </c>
      <c r="Z354" s="339">
        <f t="shared" si="323"/>
        <v>-0.02</v>
      </c>
      <c r="AA354" s="339">
        <f t="shared" si="323"/>
        <v>-0.02</v>
      </c>
      <c r="AB354" s="339">
        <f t="shared" si="323"/>
        <v>-0.02</v>
      </c>
      <c r="AC354" s="339">
        <f t="shared" si="323"/>
        <v>-0.02</v>
      </c>
      <c r="AD354" s="339">
        <f t="shared" si="323"/>
        <v>-0.02</v>
      </c>
      <c r="AE354" s="339">
        <f t="shared" si="323"/>
        <v>-0.02</v>
      </c>
      <c r="AF354" s="339">
        <f t="shared" si="323"/>
        <v>-0.02</v>
      </c>
      <c r="AG354" s="339">
        <f t="shared" si="323"/>
        <v>-0.02</v>
      </c>
      <c r="AH354" s="339">
        <f t="shared" si="323"/>
        <v>-0.02</v>
      </c>
      <c r="AI354" s="339">
        <f t="shared" si="323"/>
        <v>-0.02</v>
      </c>
      <c r="AJ354" s="339">
        <f t="shared" si="323"/>
        <v>-0.02</v>
      </c>
      <c r="AK354" s="339">
        <f t="shared" si="323"/>
        <v>-0.02</v>
      </c>
      <c r="AL354" s="339">
        <f t="shared" si="323"/>
        <v>-0.02</v>
      </c>
      <c r="AM354" s="339">
        <f t="shared" si="323"/>
        <v>-0.02</v>
      </c>
      <c r="AN354" s="339">
        <f t="shared" si="323"/>
        <v>-0.02</v>
      </c>
      <c r="AO354" s="339">
        <f t="shared" si="323"/>
        <v>-0.02</v>
      </c>
      <c r="AP354" s="339">
        <f t="shared" si="323"/>
        <v>-0.02</v>
      </c>
      <c r="AQ354" s="339">
        <f t="shared" si="323"/>
        <v>-0.02</v>
      </c>
      <c r="AR354" s="339">
        <f t="shared" si="323"/>
        <v>-0.02</v>
      </c>
      <c r="AS354" s="339">
        <f t="shared" si="323"/>
        <v>-0.02</v>
      </c>
      <c r="AT354" s="339">
        <f t="shared" si="323"/>
        <v>-0.02</v>
      </c>
      <c r="AU354" s="339">
        <f t="shared" si="323"/>
        <v>-0.02</v>
      </c>
      <c r="AV354" s="339">
        <f t="shared" si="323"/>
        <v>-0.02</v>
      </c>
      <c r="AW354" s="339">
        <f t="shared" si="323"/>
        <v>-0.02</v>
      </c>
      <c r="AX354" s="339">
        <f t="shared" si="323"/>
        <v>-0.02</v>
      </c>
      <c r="AY354" s="339">
        <f t="shared" si="323"/>
        <v>-0.02</v>
      </c>
      <c r="AZ354" s="339">
        <f t="shared" si="323"/>
        <v>-0.02</v>
      </c>
      <c r="BA354" s="339">
        <f t="shared" si="323"/>
        <v>-0.02</v>
      </c>
      <c r="BB354" s="339">
        <f t="shared" si="323"/>
        <v>-0.02</v>
      </c>
      <c r="BC354" s="339">
        <f t="shared" si="323"/>
        <v>-0.02</v>
      </c>
      <c r="BD354" s="339">
        <f t="shared" si="323"/>
        <v>-0.02</v>
      </c>
      <c r="BE354" s="339">
        <f t="shared" si="323"/>
        <v>-0.02</v>
      </c>
      <c r="BF354" s="339">
        <f t="shared" si="323"/>
        <v>-0.02</v>
      </c>
      <c r="BG354" s="339">
        <f t="shared" si="323"/>
        <v>-0.02</v>
      </c>
      <c r="BH354" s="339">
        <f t="shared" si="323"/>
        <v>-0.02</v>
      </c>
      <c r="BI354" s="339">
        <f t="shared" si="323"/>
        <v>-0.02</v>
      </c>
      <c r="BJ354" s="339">
        <f t="shared" si="323"/>
        <v>-0.02</v>
      </c>
      <c r="BK354" s="339">
        <f t="shared" si="323"/>
        <v>-0.02</v>
      </c>
      <c r="BL354" s="339">
        <f t="shared" si="323"/>
        <v>-0.02</v>
      </c>
      <c r="BM354" s="339">
        <f t="shared" si="323"/>
        <v>-0.02</v>
      </c>
      <c r="BN354" s="339">
        <f t="shared" si="323"/>
        <v>-0.02</v>
      </c>
      <c r="BO354" s="339">
        <f t="shared" si="323"/>
        <v>-0.02</v>
      </c>
      <c r="BP354" s="339">
        <f t="shared" si="323"/>
        <v>-0.02</v>
      </c>
      <c r="BQ354" s="339">
        <f t="shared" si="323"/>
        <v>-0.02</v>
      </c>
      <c r="BR354" s="339">
        <f t="shared" si="323"/>
        <v>-0.02</v>
      </c>
      <c r="BS354" s="339">
        <f t="shared" si="323"/>
        <v>-0.02</v>
      </c>
      <c r="BT354" s="339">
        <f t="shared" si="323"/>
        <v>-0.02</v>
      </c>
      <c r="BU354" s="339">
        <f t="shared" si="323"/>
        <v>-0.02</v>
      </c>
      <c r="BV354" s="339">
        <f t="shared" ref="BV354:BX354" si="324">-2%</f>
        <v>-0.02</v>
      </c>
      <c r="BW354" s="339">
        <f t="shared" si="324"/>
        <v>-0.02</v>
      </c>
      <c r="BX354" s="339">
        <f t="shared" si="324"/>
        <v>-0.02</v>
      </c>
    </row>
    <row r="355" spans="2:76" hidden="1" outlineLevel="1">
      <c r="B355" s="353"/>
      <c r="C355" s="353" t="s">
        <v>157</v>
      </c>
      <c r="D355" s="353" t="s">
        <v>246</v>
      </c>
      <c r="E355" s="353" t="s">
        <v>20</v>
      </c>
      <c r="F355" s="339"/>
      <c r="G355" s="339">
        <v>0</v>
      </c>
      <c r="H355" s="339">
        <v>0</v>
      </c>
      <c r="I355" s="339">
        <v>0</v>
      </c>
      <c r="J355" s="339">
        <v>0</v>
      </c>
      <c r="K355" s="339">
        <v>0</v>
      </c>
      <c r="L355" s="339">
        <v>0</v>
      </c>
      <c r="M355" s="339">
        <v>0</v>
      </c>
      <c r="N355" s="339">
        <v>0</v>
      </c>
      <c r="O355" s="339">
        <v>0</v>
      </c>
      <c r="P355" s="339">
        <v>0</v>
      </c>
      <c r="Q355" s="339">
        <v>0</v>
      </c>
      <c r="R355" s="339">
        <v>0</v>
      </c>
      <c r="S355" s="339">
        <v>0</v>
      </c>
      <c r="T355" s="339">
        <v>0</v>
      </c>
      <c r="U355" s="339">
        <v>0</v>
      </c>
      <c r="V355" s="339">
        <v>0</v>
      </c>
      <c r="W355" s="339">
        <v>0</v>
      </c>
      <c r="X355" s="339">
        <v>0</v>
      </c>
      <c r="Y355" s="339">
        <v>0</v>
      </c>
      <c r="Z355" s="339">
        <v>0</v>
      </c>
      <c r="AA355" s="339">
        <v>0</v>
      </c>
      <c r="AB355" s="339">
        <v>0</v>
      </c>
      <c r="AC355" s="339">
        <v>0</v>
      </c>
      <c r="AD355" s="339">
        <v>0</v>
      </c>
      <c r="AE355" s="339">
        <v>0</v>
      </c>
      <c r="AF355" s="339">
        <v>0</v>
      </c>
      <c r="AG355" s="339">
        <v>0</v>
      </c>
      <c r="AH355" s="339">
        <v>0</v>
      </c>
      <c r="AI355" s="339">
        <v>0</v>
      </c>
      <c r="AJ355" s="339">
        <v>0</v>
      </c>
      <c r="AK355" s="339">
        <v>0</v>
      </c>
      <c r="AL355" s="339">
        <v>0</v>
      </c>
      <c r="AM355" s="339">
        <v>0</v>
      </c>
      <c r="AN355" s="339">
        <v>0</v>
      </c>
      <c r="AO355" s="339">
        <v>0</v>
      </c>
      <c r="AP355" s="339">
        <v>0</v>
      </c>
      <c r="AQ355" s="339">
        <v>0</v>
      </c>
      <c r="AR355" s="339">
        <v>0</v>
      </c>
      <c r="AS355" s="339">
        <v>0</v>
      </c>
      <c r="AT355" s="339">
        <v>0</v>
      </c>
      <c r="AU355" s="339">
        <v>0</v>
      </c>
      <c r="AV355" s="339">
        <v>0</v>
      </c>
      <c r="AW355" s="339">
        <v>0</v>
      </c>
      <c r="AX355" s="339">
        <v>0</v>
      </c>
      <c r="AY355" s="339">
        <v>0</v>
      </c>
      <c r="AZ355" s="339">
        <v>0</v>
      </c>
      <c r="BA355" s="339">
        <v>0</v>
      </c>
      <c r="BB355" s="339">
        <v>0</v>
      </c>
      <c r="BC355" s="339">
        <v>0</v>
      </c>
      <c r="BD355" s="339">
        <v>0</v>
      </c>
      <c r="BE355" s="339">
        <v>0</v>
      </c>
      <c r="BF355" s="339">
        <v>0</v>
      </c>
      <c r="BG355" s="339">
        <v>0</v>
      </c>
      <c r="BH355" s="339">
        <v>0</v>
      </c>
      <c r="BI355" s="339">
        <v>0</v>
      </c>
      <c r="BJ355" s="339">
        <v>0</v>
      </c>
      <c r="BK355" s="339">
        <v>0</v>
      </c>
      <c r="BL355" s="339">
        <v>0</v>
      </c>
      <c r="BM355" s="339">
        <v>0</v>
      </c>
      <c r="BN355" s="339">
        <v>0</v>
      </c>
      <c r="BO355" s="339">
        <v>0</v>
      </c>
      <c r="BP355" s="339">
        <v>0</v>
      </c>
      <c r="BQ355" s="339">
        <v>0</v>
      </c>
      <c r="BR355" s="339">
        <v>0</v>
      </c>
      <c r="BS355" s="339">
        <v>0</v>
      </c>
      <c r="BT355" s="339">
        <v>0</v>
      </c>
      <c r="BU355" s="339">
        <v>0</v>
      </c>
      <c r="BV355" s="339">
        <v>0</v>
      </c>
      <c r="BW355" s="339">
        <v>0</v>
      </c>
      <c r="BX355" s="339">
        <v>0</v>
      </c>
    </row>
    <row r="356" spans="2:76" collapsed="1"/>
  </sheetData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F799E-37AB-410E-9D83-AAE9862A0041}">
  <sheetPr codeName="Sheet18">
    <tabColor rgb="FFB9F8FF"/>
  </sheetPr>
  <dimension ref="A1:AA46"/>
  <sheetViews>
    <sheetView topLeftCell="B1" workbookViewId="0">
      <selection activeCell="AA3" sqref="AA3:AA17"/>
    </sheetView>
  </sheetViews>
  <sheetFormatPr defaultRowHeight="15"/>
  <cols>
    <col min="1" max="1" width="9.5703125" bestFit="1" customWidth="1"/>
    <col min="2" max="2" width="11.5703125" style="263" bestFit="1" customWidth="1"/>
    <col min="3" max="3" width="41" bestFit="1" customWidth="1"/>
    <col min="4" max="4" width="19" bestFit="1" customWidth="1"/>
    <col min="5" max="5" width="6.7109375" bestFit="1" customWidth="1"/>
    <col min="6" max="6" width="8.28515625" style="263" bestFit="1" customWidth="1"/>
    <col min="7" max="12" width="8.28515625" bestFit="1" customWidth="1"/>
    <col min="13" max="13" width="8.5703125" bestFit="1" customWidth="1"/>
    <col min="14" max="16" width="8.28515625" bestFit="1" customWidth="1"/>
    <col min="17" max="26" width="8.5703125" bestFit="1" customWidth="1"/>
    <col min="27" max="27" width="8.5703125" style="263" bestFit="1" customWidth="1"/>
  </cols>
  <sheetData>
    <row r="1" spans="1:27" s="263" customFormat="1" ht="15.75" thickBot="1"/>
    <row r="2" spans="1:27" s="263" customFormat="1" ht="15.75" thickBot="1">
      <c r="B2" s="230" t="s">
        <v>208</v>
      </c>
      <c r="C2" s="1"/>
      <c r="D2" s="1"/>
      <c r="E2" s="274">
        <v>2023</v>
      </c>
      <c r="F2" s="275">
        <f>E2+1</f>
        <v>2024</v>
      </c>
      <c r="G2" s="275">
        <f>F2+1</f>
        <v>2025</v>
      </c>
      <c r="H2" s="275">
        <f t="shared" ref="H2:AA2" si="0">G2+1</f>
        <v>2026</v>
      </c>
      <c r="I2" s="275">
        <f t="shared" si="0"/>
        <v>2027</v>
      </c>
      <c r="J2" s="275">
        <f t="shared" si="0"/>
        <v>2028</v>
      </c>
      <c r="K2" s="275">
        <f t="shared" si="0"/>
        <v>2029</v>
      </c>
      <c r="L2" s="275">
        <f t="shared" si="0"/>
        <v>2030</v>
      </c>
      <c r="M2" s="275">
        <f t="shared" si="0"/>
        <v>2031</v>
      </c>
      <c r="N2" s="275">
        <f t="shared" si="0"/>
        <v>2032</v>
      </c>
      <c r="O2" s="275">
        <f t="shared" si="0"/>
        <v>2033</v>
      </c>
      <c r="P2" s="275">
        <f t="shared" si="0"/>
        <v>2034</v>
      </c>
      <c r="Q2" s="275">
        <f t="shared" si="0"/>
        <v>2035</v>
      </c>
      <c r="R2" s="275">
        <f t="shared" si="0"/>
        <v>2036</v>
      </c>
      <c r="S2" s="275">
        <f t="shared" si="0"/>
        <v>2037</v>
      </c>
      <c r="T2" s="275">
        <f t="shared" si="0"/>
        <v>2038</v>
      </c>
      <c r="U2" s="275">
        <f t="shared" si="0"/>
        <v>2039</v>
      </c>
      <c r="V2" s="275">
        <f t="shared" si="0"/>
        <v>2040</v>
      </c>
      <c r="W2" s="275">
        <f t="shared" si="0"/>
        <v>2041</v>
      </c>
      <c r="X2" s="275">
        <f t="shared" si="0"/>
        <v>2042</v>
      </c>
      <c r="Y2" s="275">
        <f t="shared" si="0"/>
        <v>2043</v>
      </c>
      <c r="Z2" s="275">
        <f t="shared" si="0"/>
        <v>2044</v>
      </c>
      <c r="AA2" s="276">
        <f t="shared" si="0"/>
        <v>2045</v>
      </c>
    </row>
    <row r="3" spans="1:27" s="263" customFormat="1">
      <c r="A3" s="277">
        <f>'Fuel Gen'!D32</f>
        <v>59.853497677863764</v>
      </c>
      <c r="B3" s="518" t="s">
        <v>210</v>
      </c>
      <c r="C3" s="521" t="s">
        <v>0</v>
      </c>
      <c r="D3" s="272" t="s">
        <v>101</v>
      </c>
      <c r="E3" s="278">
        <v>60.307186212912377</v>
      </c>
      <c r="F3" s="278">
        <v>59.573047693918348</v>
      </c>
      <c r="G3" s="278">
        <v>59.853497677863764</v>
      </c>
      <c r="H3" s="278">
        <v>60.760808312198847</v>
      </c>
      <c r="I3" s="278">
        <v>62.072159986364127</v>
      </c>
      <c r="J3" s="278">
        <v>63.636801218434442</v>
      </c>
      <c r="K3" s="278">
        <v>65.32809343388324</v>
      </c>
      <c r="L3" s="278">
        <v>67.068558312124523</v>
      </c>
      <c r="M3" s="83">
        <v>68.790108131639087</v>
      </c>
      <c r="N3" s="278">
        <v>68.739622261751919</v>
      </c>
      <c r="O3" s="278">
        <v>68.572865942459714</v>
      </c>
      <c r="P3" s="278">
        <v>68.234781847679386</v>
      </c>
      <c r="Q3" s="83">
        <v>67.809720191581334</v>
      </c>
      <c r="R3" s="83">
        <v>67.229567720999384</v>
      </c>
      <c r="S3" s="83">
        <v>66.514301749821882</v>
      </c>
      <c r="T3" s="83">
        <v>65.640822510249038</v>
      </c>
      <c r="U3" s="83">
        <v>64.628939223654044</v>
      </c>
      <c r="V3" s="83">
        <v>63.392630262175352</v>
      </c>
      <c r="W3" s="83">
        <v>61.837683639694916</v>
      </c>
      <c r="X3" s="83">
        <v>60.049120092908886</v>
      </c>
      <c r="Y3" s="83">
        <v>58.032052074003246</v>
      </c>
      <c r="Z3" s="83">
        <v>55.67959629243262</v>
      </c>
      <c r="AA3" s="279">
        <v>53.044591419813379</v>
      </c>
    </row>
    <row r="4" spans="1:27" s="263" customFormat="1">
      <c r="A4" s="277">
        <f>'Fuel Gen'!D33</f>
        <v>106.50416817171551</v>
      </c>
      <c r="B4" s="519"/>
      <c r="C4" s="522"/>
      <c r="D4" s="270" t="s">
        <v>102</v>
      </c>
      <c r="E4" s="278">
        <v>101.79327534829017</v>
      </c>
      <c r="F4" s="278">
        <v>104.17921120259645</v>
      </c>
      <c r="G4" s="278">
        <v>106.50416817171551</v>
      </c>
      <c r="H4" s="278">
        <v>108.88086525397611</v>
      </c>
      <c r="I4" s="278">
        <v>111.31044441067387</v>
      </c>
      <c r="J4" s="278">
        <v>113.75927418770873</v>
      </c>
      <c r="K4" s="278">
        <v>116.26197821983826</v>
      </c>
      <c r="L4" s="278">
        <v>118.81974174067474</v>
      </c>
      <c r="M4" s="83">
        <v>121.43377605896954</v>
      </c>
      <c r="N4" s="278">
        <v>124.10531913226693</v>
      </c>
      <c r="O4" s="278">
        <v>126.83563615317678</v>
      </c>
      <c r="P4" s="278">
        <v>129.62602014854673</v>
      </c>
      <c r="Q4" s="83">
        <v>132.47779259181473</v>
      </c>
      <c r="R4" s="83">
        <v>135.39230402883462</v>
      </c>
      <c r="S4" s="83">
        <v>138.37093471746894</v>
      </c>
      <c r="T4" s="83">
        <v>141.41509528125331</v>
      </c>
      <c r="U4" s="83">
        <v>144.5262273774409</v>
      </c>
      <c r="V4" s="83">
        <v>147.70580437974456</v>
      </c>
      <c r="W4" s="83">
        <v>150.95533207609895</v>
      </c>
      <c r="X4" s="83">
        <v>154.27634938177312</v>
      </c>
      <c r="Y4" s="83">
        <v>157.67042906817215</v>
      </c>
      <c r="Z4" s="83">
        <v>161.13917850767189</v>
      </c>
      <c r="AA4" s="279">
        <v>164.68424043484075</v>
      </c>
    </row>
    <row r="5" spans="1:27" s="263" customFormat="1">
      <c r="A5" s="277">
        <f>'Fuel Gen'!D34</f>
        <v>47.319466682745876</v>
      </c>
      <c r="B5" s="519"/>
      <c r="C5" s="522"/>
      <c r="D5" s="270" t="s">
        <v>103</v>
      </c>
      <c r="E5" s="278">
        <v>48.327560530535798</v>
      </c>
      <c r="F5" s="278">
        <v>47.312631179937696</v>
      </c>
      <c r="G5" s="278">
        <v>47.319466682745876</v>
      </c>
      <c r="H5" s="278">
        <v>47.947073757995561</v>
      </c>
      <c r="I5" s="278">
        <v>48.972498402468993</v>
      </c>
      <c r="J5" s="278">
        <v>50.248947079693622</v>
      </c>
      <c r="K5" s="278">
        <v>51.645706504090086</v>
      </c>
      <c r="L5" s="278">
        <v>53.085158869875954</v>
      </c>
      <c r="M5" s="83">
        <v>54.499073901661014</v>
      </c>
      <c r="N5" s="278">
        <v>54.134185278714305</v>
      </c>
      <c r="O5" s="278">
        <v>53.646109345795317</v>
      </c>
      <c r="P5" s="278">
        <v>52.979636605888373</v>
      </c>
      <c r="Q5" s="83">
        <v>52.21896175447089</v>
      </c>
      <c r="R5" s="83">
        <v>51.295812598272519</v>
      </c>
      <c r="S5" s="83">
        <v>50.230004014395064</v>
      </c>
      <c r="T5" s="83">
        <v>48.998270224642809</v>
      </c>
      <c r="U5" s="83">
        <v>47.620250787764469</v>
      </c>
      <c r="V5" s="83">
        <v>46.009750680696222</v>
      </c>
      <c r="W5" s="83">
        <v>44.072380707423228</v>
      </c>
      <c r="X5" s="83">
        <v>41.892980496127244</v>
      </c>
      <c r="Y5" s="83">
        <v>39.476477406092386</v>
      </c>
      <c r="Z5" s="83">
        <v>36.715798981827731</v>
      </c>
      <c r="AA5" s="279">
        <v>33.663590568375163</v>
      </c>
    </row>
    <row r="6" spans="1:27" s="263" customFormat="1">
      <c r="A6" s="277">
        <f>'Fuel Gen'!D64</f>
        <v>61.714204639874801</v>
      </c>
      <c r="B6" s="519"/>
      <c r="C6" s="523" t="s">
        <v>1</v>
      </c>
      <c r="D6" s="269" t="s">
        <v>101</v>
      </c>
      <c r="E6" s="280">
        <v>61.519724297073964</v>
      </c>
      <c r="F6" s="280">
        <v>61.204989766813547</v>
      </c>
      <c r="G6" s="280">
        <v>61.714204639874801</v>
      </c>
      <c r="H6" s="280">
        <v>62.740911479251515</v>
      </c>
      <c r="I6" s="280">
        <v>64.103475968316559</v>
      </c>
      <c r="J6" s="280">
        <v>65.676127928096889</v>
      </c>
      <c r="K6" s="280">
        <v>67.358612742613445</v>
      </c>
      <c r="L6" s="280">
        <v>69.087871892062424</v>
      </c>
      <c r="M6" s="281">
        <v>70.808510271411436</v>
      </c>
      <c r="N6" s="280">
        <v>71.090592222727651</v>
      </c>
      <c r="O6" s="280">
        <v>71.284939893647049</v>
      </c>
      <c r="P6" s="280">
        <v>71.346797443641591</v>
      </c>
      <c r="Q6" s="281">
        <v>71.345132370194733</v>
      </c>
      <c r="R6" s="281">
        <v>71.224545589292646</v>
      </c>
      <c r="S6" s="281">
        <v>71.001500351628337</v>
      </c>
      <c r="T6" s="281">
        <v>70.657324010620641</v>
      </c>
      <c r="U6" s="281">
        <v>70.208350127189988</v>
      </c>
      <c r="V6" s="281">
        <v>69.58458595510487</v>
      </c>
      <c r="W6" s="281">
        <v>68.709361491659621</v>
      </c>
      <c r="X6" s="281">
        <v>67.652217515554099</v>
      </c>
      <c r="Y6" s="281">
        <v>66.417514753767037</v>
      </c>
      <c r="Z6" s="281">
        <v>64.918259043115128</v>
      </c>
      <c r="AA6" s="282">
        <v>63.197751621872186</v>
      </c>
    </row>
    <row r="7" spans="1:27" s="263" customFormat="1">
      <c r="A7" s="277">
        <f>'Fuel Gen'!D65</f>
        <v>159.43572059510592</v>
      </c>
      <c r="B7" s="519"/>
      <c r="C7" s="522"/>
      <c r="D7" s="270" t="s">
        <v>102</v>
      </c>
      <c r="E7" s="278">
        <v>152.37852896413463</v>
      </c>
      <c r="F7" s="278">
        <v>155.9544380832337</v>
      </c>
      <c r="G7" s="278">
        <v>159.43572059510592</v>
      </c>
      <c r="H7" s="278">
        <v>162.9945691283464</v>
      </c>
      <c r="I7" s="278">
        <v>166.63270251909407</v>
      </c>
      <c r="J7" s="278">
        <v>170.29862197451416</v>
      </c>
      <c r="K7" s="278">
        <v>174.04519165795352</v>
      </c>
      <c r="L7" s="278">
        <v>177.87418587442843</v>
      </c>
      <c r="M7" s="83">
        <v>181.78741796366583</v>
      </c>
      <c r="N7" s="278">
        <v>185.78674115886648</v>
      </c>
      <c r="O7" s="278">
        <v>189.87404946436152</v>
      </c>
      <c r="P7" s="278">
        <v>194.05127855257754</v>
      </c>
      <c r="Q7" s="83">
        <v>198.32040668073421</v>
      </c>
      <c r="R7" s="83">
        <v>202.68345562771034</v>
      </c>
      <c r="S7" s="83">
        <v>207.14249165151998</v>
      </c>
      <c r="T7" s="83">
        <v>211.69962646785345</v>
      </c>
      <c r="U7" s="83">
        <v>216.35701825014621</v>
      </c>
      <c r="V7" s="83">
        <v>221.1168726516494</v>
      </c>
      <c r="W7" s="83">
        <v>225.98144384998577</v>
      </c>
      <c r="X7" s="83">
        <v>230.95303561468532</v>
      </c>
      <c r="Y7" s="83">
        <v>236.03400239820849</v>
      </c>
      <c r="Z7" s="83">
        <v>241.22675045096904</v>
      </c>
      <c r="AA7" s="279">
        <v>246.53373896089042</v>
      </c>
    </row>
    <row r="8" spans="1:27" s="263" customFormat="1">
      <c r="A8" s="277">
        <f>'Fuel Gen'!D66</f>
        <v>42.950880180628737</v>
      </c>
      <c r="B8" s="519"/>
      <c r="C8" s="524"/>
      <c r="D8" s="271" t="s">
        <v>103</v>
      </c>
      <c r="E8" s="283">
        <v>43.586931263588298</v>
      </c>
      <c r="F8" s="283">
        <v>42.851362915234951</v>
      </c>
      <c r="G8" s="283">
        <v>42.950880180628737</v>
      </c>
      <c r="H8" s="283">
        <v>43.55876099104993</v>
      </c>
      <c r="I8" s="283">
        <v>44.493168747220913</v>
      </c>
      <c r="J8" s="283">
        <v>45.634393948137131</v>
      </c>
      <c r="K8" s="283">
        <v>46.875960615094563</v>
      </c>
      <c r="L8" s="283">
        <v>48.154601417738121</v>
      </c>
      <c r="M8" s="284">
        <v>49.414707846652021</v>
      </c>
      <c r="N8" s="283">
        <v>49.226126144623507</v>
      </c>
      <c r="O8" s="283">
        <v>48.939455561824616</v>
      </c>
      <c r="P8" s="283">
        <v>48.509712456519075</v>
      </c>
      <c r="Q8" s="284">
        <v>48.005631513355517</v>
      </c>
      <c r="R8" s="284">
        <v>47.371575713603001</v>
      </c>
      <c r="S8" s="284">
        <v>46.623765138673477</v>
      </c>
      <c r="T8" s="284">
        <v>45.743278622980796</v>
      </c>
      <c r="U8" s="284">
        <v>44.746195741022063</v>
      </c>
      <c r="V8" s="284">
        <v>43.562264172441246</v>
      </c>
      <c r="W8" s="284">
        <v>42.114548629777417</v>
      </c>
      <c r="X8" s="284">
        <v>40.472318770710444</v>
      </c>
      <c r="Y8" s="284">
        <v>38.639658236536825</v>
      </c>
      <c r="Z8" s="284">
        <v>36.529289682505855</v>
      </c>
      <c r="AA8" s="285">
        <v>34.184224935329524</v>
      </c>
    </row>
    <row r="9" spans="1:27" s="263" customFormat="1">
      <c r="A9" s="277">
        <f>'Fuel Gen'!D96</f>
        <v>58.086318417465101</v>
      </c>
      <c r="B9" s="519"/>
      <c r="C9" s="523" t="s">
        <v>2</v>
      </c>
      <c r="D9" s="269" t="s">
        <v>101</v>
      </c>
      <c r="E9" s="280">
        <v>57.633148241642552</v>
      </c>
      <c r="F9" s="280">
        <v>57.516950698170326</v>
      </c>
      <c r="G9" s="280">
        <v>58.086318417465101</v>
      </c>
      <c r="H9" s="280">
        <v>59.089756793745003</v>
      </c>
      <c r="I9" s="280">
        <v>60.376077424032978</v>
      </c>
      <c r="J9" s="280">
        <v>61.839564904091318</v>
      </c>
      <c r="K9" s="280">
        <v>63.397898604346544</v>
      </c>
      <c r="L9" s="280">
        <v>64.99864274523442</v>
      </c>
      <c r="M9" s="281">
        <v>66.59574468642019</v>
      </c>
      <c r="N9" s="280">
        <v>66.998542159491379</v>
      </c>
      <c r="O9" s="280">
        <v>67.331975124676902</v>
      </c>
      <c r="P9" s="280">
        <v>67.558855635944823</v>
      </c>
      <c r="Q9" s="281">
        <v>67.736697555252874</v>
      </c>
      <c r="R9" s="281">
        <v>67.819453679664306</v>
      </c>
      <c r="S9" s="281">
        <v>67.820920080508444</v>
      </c>
      <c r="T9" s="281">
        <v>67.72563627363121</v>
      </c>
      <c r="U9" s="281">
        <v>67.547294193561868</v>
      </c>
      <c r="V9" s="281">
        <v>67.227701881118861</v>
      </c>
      <c r="W9" s="281">
        <v>66.703109110366697</v>
      </c>
      <c r="X9" s="281">
        <v>66.031520793426182</v>
      </c>
      <c r="Y9" s="281">
        <v>65.216667052905819</v>
      </c>
      <c r="Z9" s="281">
        <v>64.186206883100141</v>
      </c>
      <c r="AA9" s="282">
        <v>62.976301456542252</v>
      </c>
    </row>
    <row r="10" spans="1:27" s="263" customFormat="1">
      <c r="A10" s="277">
        <f>'Fuel Gen'!D97</f>
        <v>191.76473241757932</v>
      </c>
      <c r="B10" s="519"/>
      <c r="C10" s="522"/>
      <c r="D10" s="270" t="s">
        <v>102</v>
      </c>
      <c r="E10" s="278">
        <v>183.32329882681694</v>
      </c>
      <c r="F10" s="278">
        <v>187.58539179124369</v>
      </c>
      <c r="G10" s="278">
        <v>191.76473241757932</v>
      </c>
      <c r="H10" s="278">
        <v>196.03633022960017</v>
      </c>
      <c r="I10" s="278">
        <v>200.40216586314156</v>
      </c>
      <c r="J10" s="278">
        <v>204.81101351213067</v>
      </c>
      <c r="K10" s="278">
        <v>209.31685580939757</v>
      </c>
      <c r="L10" s="278">
        <v>213.92182663720425</v>
      </c>
      <c r="M10" s="83">
        <v>218.62810682322277</v>
      </c>
      <c r="N10" s="278">
        <v>223.43792517333372</v>
      </c>
      <c r="O10" s="278">
        <v>228.35355952714707</v>
      </c>
      <c r="P10" s="278">
        <v>233.3773378367442</v>
      </c>
      <c r="Q10" s="83">
        <v>238.51163926915268</v>
      </c>
      <c r="R10" s="83">
        <v>243.75889533307401</v>
      </c>
      <c r="S10" s="83">
        <v>249.12159103040159</v>
      </c>
      <c r="T10" s="83">
        <v>254.60226603307058</v>
      </c>
      <c r="U10" s="83">
        <v>260.20351588579808</v>
      </c>
      <c r="V10" s="83">
        <v>265.92799323528556</v>
      </c>
      <c r="W10" s="83">
        <v>271.77840908646203</v>
      </c>
      <c r="X10" s="83">
        <v>277.7575340863641</v>
      </c>
      <c r="Y10" s="83">
        <v>283.86819983626401</v>
      </c>
      <c r="Z10" s="83">
        <v>290.11330023266191</v>
      </c>
      <c r="AA10" s="279">
        <v>296.49579283778036</v>
      </c>
    </row>
    <row r="11" spans="1:27" s="263" customFormat="1">
      <c r="A11" s="277">
        <f>'Fuel Gen'!D98</f>
        <v>35.518327500742018</v>
      </c>
      <c r="B11" s="519"/>
      <c r="C11" s="524"/>
      <c r="D11" s="271" t="s">
        <v>103</v>
      </c>
      <c r="E11" s="283">
        <v>36.058594408989798</v>
      </c>
      <c r="F11" s="283">
        <v>35.440808934854893</v>
      </c>
      <c r="G11" s="283">
        <v>35.518327500742018</v>
      </c>
      <c r="H11" s="283">
        <v>36.019059360519911</v>
      </c>
      <c r="I11" s="283">
        <v>36.791583018447405</v>
      </c>
      <c r="J11" s="283">
        <v>37.736211621582875</v>
      </c>
      <c r="K11" s="283">
        <v>38.764271549622912</v>
      </c>
      <c r="L11" s="283">
        <v>39.823075895306843</v>
      </c>
      <c r="M11" s="284">
        <v>40.866315365794243</v>
      </c>
      <c r="N11" s="283">
        <v>40.703065393811656</v>
      </c>
      <c r="O11" s="283">
        <v>40.457997870152219</v>
      </c>
      <c r="P11" s="283">
        <v>40.093650881820608</v>
      </c>
      <c r="Q11" s="284">
        <v>39.667258296537923</v>
      </c>
      <c r="R11" s="284">
        <v>39.132486757257603</v>
      </c>
      <c r="S11" s="284">
        <v>38.502839885808818</v>
      </c>
      <c r="T11" s="284">
        <v>37.762558314648167</v>
      </c>
      <c r="U11" s="284">
        <v>36.925028519481224</v>
      </c>
      <c r="V11" s="284">
        <v>35.93174636220845</v>
      </c>
      <c r="W11" s="284">
        <v>34.718642570040231</v>
      </c>
      <c r="X11" s="284">
        <v>33.343395989212553</v>
      </c>
      <c r="Y11" s="284">
        <v>31.809403502999469</v>
      </c>
      <c r="Z11" s="284">
        <v>30.043983535095819</v>
      </c>
      <c r="AA11" s="285">
        <v>28.082949194881881</v>
      </c>
    </row>
    <row r="12" spans="1:27" s="263" customFormat="1">
      <c r="A12" s="277">
        <f>'Fuel Gen'!D129</f>
        <v>259.52056748495141</v>
      </c>
      <c r="B12" s="519"/>
      <c r="C12" s="525" t="s">
        <v>20</v>
      </c>
      <c r="D12" s="269" t="s">
        <v>101</v>
      </c>
      <c r="E12" s="280">
        <v>270.84172206730568</v>
      </c>
      <c r="F12" s="280">
        <v>265.16007578838173</v>
      </c>
      <c r="G12" s="280">
        <v>259.52056748495141</v>
      </c>
      <c r="H12" s="280">
        <v>254.22865597438832</v>
      </c>
      <c r="I12" s="280">
        <v>249.52260684786376</v>
      </c>
      <c r="J12" s="280">
        <v>245.44623511377671</v>
      </c>
      <c r="K12" s="280">
        <v>242.11494061430011</v>
      </c>
      <c r="L12" s="280">
        <v>239.62095265877423</v>
      </c>
      <c r="M12" s="281">
        <v>238.06372602085253</v>
      </c>
      <c r="N12" s="280">
        <v>237.55832951047336</v>
      </c>
      <c r="O12" s="280">
        <v>238.23797269365215</v>
      </c>
      <c r="P12" s="280">
        <v>239.10821000937241</v>
      </c>
      <c r="Q12" s="281">
        <v>240.19504464312934</v>
      </c>
      <c r="R12" s="281">
        <v>241.52669995703164</v>
      </c>
      <c r="S12" s="281">
        <v>243.13378064731978</v>
      </c>
      <c r="T12" s="281">
        <v>245.04944486944899</v>
      </c>
      <c r="U12" s="281">
        <v>247.30958805763268</v>
      </c>
      <c r="V12" s="281">
        <v>249.95303921340019</v>
      </c>
      <c r="W12" s="281">
        <v>253.02177048849251</v>
      </c>
      <c r="X12" s="281">
        <v>256.56112094150194</v>
      </c>
      <c r="Y12" s="281">
        <v>260.62003540527877</v>
      </c>
      <c r="Z12" s="281">
        <v>265.25131946349404</v>
      </c>
      <c r="AA12" s="282">
        <v>270.5119116001336</v>
      </c>
    </row>
    <row r="13" spans="1:27" s="263" customFormat="1">
      <c r="A13" s="277">
        <f>'Fuel Gen'!D130</f>
        <v>1020.8418371556054</v>
      </c>
      <c r="B13" s="519"/>
      <c r="C13" s="526"/>
      <c r="D13" s="270" t="s">
        <v>102</v>
      </c>
      <c r="E13" s="278">
        <v>975.94089601649068</v>
      </c>
      <c r="F13" s="278">
        <v>998.59958715085804</v>
      </c>
      <c r="G13" s="278">
        <v>1020.8418371556054</v>
      </c>
      <c r="H13" s="278">
        <v>1043.5744057363281</v>
      </c>
      <c r="I13" s="278">
        <v>1066.8077693792882</v>
      </c>
      <c r="J13" s="278">
        <v>1090.2775403056332</v>
      </c>
      <c r="K13" s="278">
        <v>1114.2636461923571</v>
      </c>
      <c r="L13" s="278">
        <v>1138.7774464085892</v>
      </c>
      <c r="M13" s="83">
        <v>1163.8305502295777</v>
      </c>
      <c r="N13" s="278">
        <v>1189.4348223346292</v>
      </c>
      <c r="O13" s="278">
        <v>1215.6023884259903</v>
      </c>
      <c r="P13" s="278">
        <v>1242.3456409713624</v>
      </c>
      <c r="Q13" s="83">
        <v>1269.6772450727319</v>
      </c>
      <c r="R13" s="83">
        <v>1297.6101444643323</v>
      </c>
      <c r="S13" s="83">
        <v>1326.157567642548</v>
      </c>
      <c r="T13" s="83">
        <v>1355.3330341306832</v>
      </c>
      <c r="U13" s="83">
        <v>1385.1503608815583</v>
      </c>
      <c r="V13" s="83">
        <v>1415.6236688209535</v>
      </c>
      <c r="W13" s="83">
        <v>1446.767389535014</v>
      </c>
      <c r="X13" s="83">
        <v>1478.5962721047847</v>
      </c>
      <c r="Y13" s="83">
        <v>1511.1253900910892</v>
      </c>
      <c r="Z13" s="83">
        <v>1544.3701486730934</v>
      </c>
      <c r="AA13" s="279">
        <v>1578.3462919439014</v>
      </c>
    </row>
    <row r="14" spans="1:27" s="263" customFormat="1">
      <c r="A14" s="277">
        <f>'Fuel Gen'!D131</f>
        <v>139.38195274649567</v>
      </c>
      <c r="B14" s="519"/>
      <c r="C14" s="527"/>
      <c r="D14" s="271" t="s">
        <v>103</v>
      </c>
      <c r="E14" s="283">
        <v>155.98731167135284</v>
      </c>
      <c r="F14" s="283">
        <v>147.63905861203446</v>
      </c>
      <c r="G14" s="283">
        <v>139.38195274649567</v>
      </c>
      <c r="H14" s="283">
        <v>131.41474012724723</v>
      </c>
      <c r="I14" s="283">
        <v>123.97445341152137</v>
      </c>
      <c r="J14" s="283">
        <v>117.13602230183473</v>
      </c>
      <c r="K14" s="283">
        <v>110.98190312049552</v>
      </c>
      <c r="L14" s="283">
        <v>105.60298834010574</v>
      </c>
      <c r="M14" s="284">
        <v>101.09736648717347</v>
      </c>
      <c r="N14" s="283">
        <v>97.578710067053308</v>
      </c>
      <c r="O14" s="283">
        <v>95.178801622476882</v>
      </c>
      <c r="P14" s="283">
        <v>92.901737174631293</v>
      </c>
      <c r="Q14" s="284">
        <v>90.772029406023933</v>
      </c>
      <c r="R14" s="284">
        <v>88.816378384709921</v>
      </c>
      <c r="S14" s="284">
        <v>87.06383200040699</v>
      </c>
      <c r="T14" s="284">
        <v>85.5459573523041</v>
      </c>
      <c r="U14" s="284">
        <v>84.297023815110649</v>
      </c>
      <c r="V14" s="284">
        <v>83.354198557542674</v>
      </c>
      <c r="W14" s="284">
        <v>82.757755338205982</v>
      </c>
      <c r="X14" s="284">
        <v>82.551297457909172</v>
      </c>
      <c r="Y14" s="284">
        <v>82.781995805046989</v>
      </c>
      <c r="Z14" s="284">
        <v>83.500842992057173</v>
      </c>
      <c r="AA14" s="285">
        <v>84.762924646325132</v>
      </c>
    </row>
    <row r="15" spans="1:27">
      <c r="A15" s="277">
        <f>'Fuel Gen'!D160</f>
        <v>273.61517480767804</v>
      </c>
      <c r="B15" s="519"/>
      <c r="C15" s="522" t="s">
        <v>21</v>
      </c>
      <c r="D15" s="270" t="s">
        <v>101</v>
      </c>
      <c r="E15" s="278">
        <v>302.33066114893177</v>
      </c>
      <c r="F15" s="278">
        <v>287.88033057091752</v>
      </c>
      <c r="G15" s="278">
        <v>273.61517480767804</v>
      </c>
      <c r="H15" s="278">
        <v>259.90414934704319</v>
      </c>
      <c r="I15" s="278">
        <v>247.16399391365672</v>
      </c>
      <c r="J15" s="278">
        <v>235.52106127766629</v>
      </c>
      <c r="K15" s="278">
        <v>225.12408041750126</v>
      </c>
      <c r="L15" s="278">
        <v>216.13170729596624</v>
      </c>
      <c r="M15" s="83">
        <v>208.71493859198955</v>
      </c>
      <c r="N15" s="278">
        <v>203.07191126150192</v>
      </c>
      <c r="O15" s="278">
        <v>199.43227492688595</v>
      </c>
      <c r="P15" s="278">
        <v>196.03487895037273</v>
      </c>
      <c r="Q15" s="83">
        <v>192.9230098477025</v>
      </c>
      <c r="R15" s="83">
        <v>190.14371550651299</v>
      </c>
      <c r="S15" s="83">
        <v>187.74807751928213</v>
      </c>
      <c r="T15" s="83">
        <v>185.79150198227109</v>
      </c>
      <c r="U15" s="83">
        <v>184.33402998143777</v>
      </c>
      <c r="V15" s="83">
        <v>183.440669066244</v>
      </c>
      <c r="W15" s="83">
        <v>183.18174709744883</v>
      </c>
      <c r="X15" s="83">
        <v>183.63328994569815</v>
      </c>
      <c r="Y15" s="83">
        <v>184.87742461436787</v>
      </c>
      <c r="Z15" s="83">
        <v>187.00280946305625</v>
      </c>
      <c r="AA15" s="279">
        <v>190.10509331778579</v>
      </c>
    </row>
    <row r="16" spans="1:27">
      <c r="A16" s="277">
        <f>'Fuel Gen'!D161</f>
        <v>134.50839507290107</v>
      </c>
      <c r="B16" s="519"/>
      <c r="C16" s="522"/>
      <c r="D16" s="270" t="s">
        <v>102</v>
      </c>
      <c r="E16" s="278">
        <v>128.57599427003049</v>
      </c>
      <c r="F16" s="278">
        <v>131.57499584455451</v>
      </c>
      <c r="G16" s="278">
        <v>134.50839507290107</v>
      </c>
      <c r="H16" s="278">
        <v>137.50675803188949</v>
      </c>
      <c r="I16" s="278">
        <v>140.57149509027769</v>
      </c>
      <c r="J16" s="278">
        <v>143.66406798226382</v>
      </c>
      <c r="K16" s="278">
        <v>146.82467747787359</v>
      </c>
      <c r="L16" s="278">
        <v>150.05482038238682</v>
      </c>
      <c r="M16" s="83">
        <v>153.35602643079935</v>
      </c>
      <c r="N16" s="278">
        <v>156.72985901227696</v>
      </c>
      <c r="O16" s="278">
        <v>160.177915910547</v>
      </c>
      <c r="P16" s="278">
        <v>163.70183006057903</v>
      </c>
      <c r="Q16" s="83">
        <v>167.30327032191181</v>
      </c>
      <c r="R16" s="83">
        <v>170.98394226899384</v>
      </c>
      <c r="S16" s="83">
        <v>174.74558899891164</v>
      </c>
      <c r="T16" s="83">
        <v>178.58999195688776</v>
      </c>
      <c r="U16" s="83">
        <v>182.51897177993925</v>
      </c>
      <c r="V16" s="83">
        <v>186.53438915909797</v>
      </c>
      <c r="W16" s="83">
        <v>190.63814572059809</v>
      </c>
      <c r="X16" s="83">
        <v>194.8321849264513</v>
      </c>
      <c r="Y16" s="83">
        <v>199.11849299483313</v>
      </c>
      <c r="Z16" s="83">
        <v>203.49909984071954</v>
      </c>
      <c r="AA16" s="279">
        <v>207.97608003721538</v>
      </c>
    </row>
    <row r="17" spans="1:27" ht="15.75" thickBot="1">
      <c r="A17" s="277">
        <f>'Fuel Gen'!D162</f>
        <v>257.78544324046749</v>
      </c>
      <c r="B17" s="520"/>
      <c r="C17" s="528"/>
      <c r="D17" s="273" t="s">
        <v>103</v>
      </c>
      <c r="E17" s="286">
        <v>287.19908906989053</v>
      </c>
      <c r="F17" s="286">
        <v>272.39581851464561</v>
      </c>
      <c r="G17" s="286">
        <v>257.78544324046749</v>
      </c>
      <c r="H17" s="286">
        <v>243.72155295859883</v>
      </c>
      <c r="I17" s="286">
        <v>230.6207214132711</v>
      </c>
      <c r="J17" s="286">
        <v>218.61383678227202</v>
      </c>
      <c r="K17" s="286">
        <v>207.8448969832084</v>
      </c>
      <c r="L17" s="286">
        <v>198.47238182611895</v>
      </c>
      <c r="M17" s="287">
        <v>190.66710796180556</v>
      </c>
      <c r="N17" s="286">
        <v>184.62702835745387</v>
      </c>
      <c r="O17" s="286">
        <v>180.58160459894884</v>
      </c>
      <c r="P17" s="286">
        <v>176.76949387522103</v>
      </c>
      <c r="Q17" s="287">
        <v>173.23378630089749</v>
      </c>
      <c r="R17" s="287">
        <v>170.02132904167823</v>
      </c>
      <c r="S17" s="287">
        <v>167.18299855222099</v>
      </c>
      <c r="T17" s="287">
        <v>164.77399127793467</v>
      </c>
      <c r="U17" s="287">
        <v>162.85413404160593</v>
      </c>
      <c r="V17" s="287">
        <v>161.48821541573579</v>
      </c>
      <c r="W17" s="287">
        <v>160.74633946662948</v>
      </c>
      <c r="X17" s="287">
        <v>160.7043033470008</v>
      </c>
      <c r="Y17" s="287">
        <v>161.44400031049915</v>
      </c>
      <c r="Z17" s="287">
        <v>163.05384982450246</v>
      </c>
      <c r="AA17" s="288">
        <v>165.6292565671838</v>
      </c>
    </row>
    <row r="18" spans="1:27">
      <c r="B18" s="518" t="s">
        <v>209</v>
      </c>
      <c r="C18" s="521" t="s">
        <v>0</v>
      </c>
      <c r="D18" s="272" t="s">
        <v>101</v>
      </c>
      <c r="E18" s="278">
        <v>62.314299445578996</v>
      </c>
      <c r="F18" s="278">
        <v>61.544685574083324</v>
      </c>
      <c r="G18" s="278">
        <v>61.82876935706561</v>
      </c>
      <c r="H18" s="278">
        <v>62.763705414163638</v>
      </c>
      <c r="I18" s="278">
        <v>64.118088034094157</v>
      </c>
      <c r="J18" s="278">
        <v>65.73540723221501</v>
      </c>
      <c r="K18" s="278">
        <v>67.484088985281517</v>
      </c>
      <c r="L18" s="278">
        <v>69.283666833263837</v>
      </c>
      <c r="M18" s="83">
        <v>71.063426560235143</v>
      </c>
      <c r="N18" s="278">
        <v>71.002713490833941</v>
      </c>
      <c r="O18" s="278">
        <v>70.821069019672905</v>
      </c>
      <c r="P18" s="278">
        <v>70.461311003746061</v>
      </c>
      <c r="Q18" s="83">
        <v>70.01103473055953</v>
      </c>
      <c r="R18" s="83">
        <v>69.399499037389177</v>
      </c>
      <c r="S18" s="83">
        <v>68.64744648509307</v>
      </c>
      <c r="T18" s="83">
        <v>67.730883129512932</v>
      </c>
      <c r="U18" s="83">
        <v>66.670376773713969</v>
      </c>
      <c r="V18" s="83">
        <v>65.376587668884795</v>
      </c>
      <c r="W18" s="83">
        <v>63.751670114864631</v>
      </c>
      <c r="X18" s="83">
        <v>61.883915076086517</v>
      </c>
      <c r="Y18" s="83">
        <v>59.778627060390995</v>
      </c>
      <c r="Z18" s="83">
        <v>57.324800649605208</v>
      </c>
      <c r="AA18" s="279">
        <v>54.577304768068394</v>
      </c>
    </row>
    <row r="19" spans="1:27">
      <c r="A19" s="263"/>
      <c r="B19" s="519"/>
      <c r="C19" s="522"/>
      <c r="D19" s="270" t="s">
        <v>102</v>
      </c>
      <c r="E19" s="278">
        <v>104.26800339205585</v>
      </c>
      <c r="F19" s="278">
        <v>106.71215206790829</v>
      </c>
      <c r="G19" s="278">
        <v>109.09367804968599</v>
      </c>
      <c r="H19" s="278">
        <v>111.52820751922124</v>
      </c>
      <c r="I19" s="278">
        <v>114.01691065317623</v>
      </c>
      <c r="J19" s="278">
        <v>116.5252826875461</v>
      </c>
      <c r="K19" s="278">
        <v>119.08883890667202</v>
      </c>
      <c r="L19" s="278">
        <v>121.70879336261886</v>
      </c>
      <c r="M19" s="83">
        <v>124.38638681659648</v>
      </c>
      <c r="N19" s="278">
        <v>127.12288732656162</v>
      </c>
      <c r="O19" s="278">
        <v>129.91959084774595</v>
      </c>
      <c r="P19" s="278">
        <v>132.77782184639634</v>
      </c>
      <c r="Q19" s="83">
        <v>135.69893392701707</v>
      </c>
      <c r="R19" s="83">
        <v>138.68431047341147</v>
      </c>
      <c r="S19" s="83">
        <v>141.73536530382646</v>
      </c>
      <c r="T19" s="83">
        <v>144.85354334051067</v>
      </c>
      <c r="U19" s="83">
        <v>148.04032129400196</v>
      </c>
      <c r="V19" s="83">
        <v>151.29720836246995</v>
      </c>
      <c r="W19" s="83">
        <v>154.62574694644439</v>
      </c>
      <c r="X19" s="83">
        <v>158.02751337926608</v>
      </c>
      <c r="Y19" s="83">
        <v>161.50411867360987</v>
      </c>
      <c r="Z19" s="83">
        <v>165.0572092844294</v>
      </c>
      <c r="AA19" s="279">
        <v>168.68846788868683</v>
      </c>
    </row>
    <row r="20" spans="1:27">
      <c r="A20" s="263"/>
      <c r="B20" s="519"/>
      <c r="C20" s="522"/>
      <c r="D20" s="270" t="s">
        <v>103</v>
      </c>
      <c r="E20" s="278">
        <v>50.043433349446666</v>
      </c>
      <c r="F20" s="278">
        <v>48.986177822364148</v>
      </c>
      <c r="G20" s="278">
        <v>48.989989753233068</v>
      </c>
      <c r="H20" s="278">
        <v>49.638416198984359</v>
      </c>
      <c r="I20" s="278">
        <v>50.6999137351279</v>
      </c>
      <c r="J20" s="278">
        <v>52.0220330986715</v>
      </c>
      <c r="K20" s="278">
        <v>53.469020620800038</v>
      </c>
      <c r="L20" s="278">
        <v>54.960266964763754</v>
      </c>
      <c r="M20" s="83">
        <v>56.424911894628053</v>
      </c>
      <c r="N20" s="278">
        <v>56.042151502583494</v>
      </c>
      <c r="O20" s="278">
        <v>55.531374667680964</v>
      </c>
      <c r="P20" s="278">
        <v>54.835243376010297</v>
      </c>
      <c r="Q20" s="83">
        <v>54.041193615013604</v>
      </c>
      <c r="R20" s="83">
        <v>53.078321417301218</v>
      </c>
      <c r="S20" s="83">
        <v>51.967202957363163</v>
      </c>
      <c r="T20" s="83">
        <v>50.68367424417297</v>
      </c>
      <c r="U20" s="83">
        <v>49.248129292896557</v>
      </c>
      <c r="V20" s="83">
        <v>47.57105074348938</v>
      </c>
      <c r="W20" s="83">
        <v>45.554411377110505</v>
      </c>
      <c r="X20" s="83">
        <v>43.28631664610181</v>
      </c>
      <c r="Y20" s="83">
        <v>40.771881464946624</v>
      </c>
      <c r="Z20" s="83">
        <v>37.899906651061066</v>
      </c>
      <c r="AA20" s="279">
        <v>34.72506310155628</v>
      </c>
    </row>
    <row r="21" spans="1:27">
      <c r="A21" s="263"/>
      <c r="B21" s="519"/>
      <c r="C21" s="523" t="s">
        <v>1</v>
      </c>
      <c r="D21" s="269" t="s">
        <v>101</v>
      </c>
      <c r="E21" s="280">
        <v>63.36514170278933</v>
      </c>
      <c r="F21" s="280">
        <v>63.026364691165675</v>
      </c>
      <c r="G21" s="280">
        <v>63.543301611785637</v>
      </c>
      <c r="H21" s="280">
        <v>64.59740761317498</v>
      </c>
      <c r="I21" s="280">
        <v>66.000046751312368</v>
      </c>
      <c r="J21" s="280">
        <v>67.620677972134729</v>
      </c>
      <c r="K21" s="280">
        <v>69.355095624823903</v>
      </c>
      <c r="L21" s="280">
        <v>71.137806077335668</v>
      </c>
      <c r="M21" s="281">
        <v>72.911274172977016</v>
      </c>
      <c r="N21" s="280">
        <v>73.190476762947995</v>
      </c>
      <c r="O21" s="280">
        <v>73.378263154562759</v>
      </c>
      <c r="P21" s="280">
        <v>73.428146859659833</v>
      </c>
      <c r="Q21" s="281">
        <v>73.411745204710513</v>
      </c>
      <c r="R21" s="281">
        <v>73.271518184391709</v>
      </c>
      <c r="S21" s="281">
        <v>73.024556112350496</v>
      </c>
      <c r="T21" s="281">
        <v>72.651459813965133</v>
      </c>
      <c r="U21" s="281">
        <v>72.169184601558712</v>
      </c>
      <c r="V21" s="281">
        <v>71.505034027769199</v>
      </c>
      <c r="W21" s="281">
        <v>70.579377014068882</v>
      </c>
      <c r="X21" s="281">
        <v>69.464425132194236</v>
      </c>
      <c r="Y21" s="281">
        <v>68.164698992377879</v>
      </c>
      <c r="Z21" s="281">
        <v>66.589845146298146</v>
      </c>
      <c r="AA21" s="282">
        <v>64.784824344015476</v>
      </c>
    </row>
    <row r="22" spans="1:27">
      <c r="A22" s="263"/>
      <c r="B22" s="519"/>
      <c r="C22" s="522"/>
      <c r="D22" s="270" t="s">
        <v>102</v>
      </c>
      <c r="E22" s="278">
        <v>156.16587011320217</v>
      </c>
      <c r="F22" s="278">
        <v>159.83086854253904</v>
      </c>
      <c r="G22" s="278">
        <v>163.39872466800244</v>
      </c>
      <c r="H22" s="278">
        <v>167.04608029220429</v>
      </c>
      <c r="I22" s="278">
        <v>170.77469743227803</v>
      </c>
      <c r="J22" s="278">
        <v>174.53174077578819</v>
      </c>
      <c r="K22" s="278">
        <v>178.37143907285559</v>
      </c>
      <c r="L22" s="278">
        <v>182.29561073245836</v>
      </c>
      <c r="M22" s="83">
        <v>186.30611416857244</v>
      </c>
      <c r="N22" s="278">
        <v>190.40484868028102</v>
      </c>
      <c r="O22" s="278">
        <v>194.59375535124721</v>
      </c>
      <c r="P22" s="278">
        <v>198.87481796897475</v>
      </c>
      <c r="Q22" s="83">
        <v>203.25006396429208</v>
      </c>
      <c r="R22" s="83">
        <v>207.7215653715065</v>
      </c>
      <c r="S22" s="83">
        <v>212.29143980967962</v>
      </c>
      <c r="T22" s="83">
        <v>216.96185148549262</v>
      </c>
      <c r="U22" s="83">
        <v>221.73501221817341</v>
      </c>
      <c r="V22" s="83">
        <v>226.61318248697327</v>
      </c>
      <c r="W22" s="83">
        <v>231.59867250168671</v>
      </c>
      <c r="X22" s="83">
        <v>236.69384329672386</v>
      </c>
      <c r="Y22" s="83">
        <v>241.90110784925179</v>
      </c>
      <c r="Z22" s="83">
        <v>247.22293222193528</v>
      </c>
      <c r="AA22" s="279">
        <v>252.66183673081787</v>
      </c>
    </row>
    <row r="23" spans="1:27">
      <c r="A23" s="263"/>
      <c r="B23" s="519"/>
      <c r="C23" s="524"/>
      <c r="D23" s="271" t="s">
        <v>103</v>
      </c>
      <c r="E23" s="283">
        <v>44.986632298138126</v>
      </c>
      <c r="F23" s="283">
        <v>44.216536919365673</v>
      </c>
      <c r="G23" s="283">
        <v>44.313587745099852</v>
      </c>
      <c r="H23" s="283">
        <v>44.938451687434217</v>
      </c>
      <c r="I23" s="283">
        <v>45.902285437905824</v>
      </c>
      <c r="J23" s="283">
        <v>47.080765909833261</v>
      </c>
      <c r="K23" s="283">
        <v>48.363305497151785</v>
      </c>
      <c r="L23" s="283">
        <v>49.68419656685478</v>
      </c>
      <c r="M23" s="284">
        <v>50.985685253265544</v>
      </c>
      <c r="N23" s="283">
        <v>50.782524887002836</v>
      </c>
      <c r="O23" s="283">
        <v>50.477336337346891</v>
      </c>
      <c r="P23" s="283">
        <v>50.023399652465159</v>
      </c>
      <c r="Q23" s="284">
        <v>49.492093558957592</v>
      </c>
      <c r="R23" s="284">
        <v>48.82563420243217</v>
      </c>
      <c r="S23" s="284">
        <v>48.040862682787882</v>
      </c>
      <c r="T23" s="284">
        <v>47.118125128952101</v>
      </c>
      <c r="U23" s="284">
        <v>46.07411655347542</v>
      </c>
      <c r="V23" s="284">
        <v>44.835874482628086</v>
      </c>
      <c r="W23" s="284">
        <v>43.323495958934664</v>
      </c>
      <c r="X23" s="284">
        <v>41.608914693847076</v>
      </c>
      <c r="Y23" s="284">
        <v>39.696367324387055</v>
      </c>
      <c r="Z23" s="284">
        <v>37.495210181611533</v>
      </c>
      <c r="AA23" s="285">
        <v>35.050107410105753</v>
      </c>
    </row>
    <row r="24" spans="1:27">
      <c r="B24" s="519"/>
      <c r="C24" s="523" t="s">
        <v>2</v>
      </c>
      <c r="D24" s="269" t="s">
        <v>101</v>
      </c>
      <c r="E24" s="280">
        <v>59.244345368790825</v>
      </c>
      <c r="F24" s="280">
        <v>59.109878992933297</v>
      </c>
      <c r="G24" s="280">
        <v>59.687379458597739</v>
      </c>
      <c r="H24" s="280">
        <v>60.71537418447204</v>
      </c>
      <c r="I24" s="280">
        <v>62.036845201711515</v>
      </c>
      <c r="J24" s="280">
        <v>63.542078007558388</v>
      </c>
      <c r="K24" s="280">
        <v>65.145488689341406</v>
      </c>
      <c r="L24" s="280">
        <v>66.792614561212901</v>
      </c>
      <c r="M24" s="281">
        <v>68.435621799316678</v>
      </c>
      <c r="N24" s="280">
        <v>68.837976429657218</v>
      </c>
      <c r="O24" s="280">
        <v>69.16794354203769</v>
      </c>
      <c r="P24" s="280">
        <v>69.386894986781954</v>
      </c>
      <c r="Q24" s="281">
        <v>69.554552165920043</v>
      </c>
      <c r="R24" s="281">
        <v>69.623086070702229</v>
      </c>
      <c r="S24" s="281">
        <v>69.606815952083451</v>
      </c>
      <c r="T24" s="281">
        <v>69.489677361626917</v>
      </c>
      <c r="U24" s="281">
        <v>69.285881035365477</v>
      </c>
      <c r="V24" s="281">
        <v>68.934984658575459</v>
      </c>
      <c r="W24" s="281">
        <v>68.370773351715854</v>
      </c>
      <c r="X24" s="281">
        <v>67.653477183331958</v>
      </c>
      <c r="Y24" s="281">
        <v>66.786960565323483</v>
      </c>
      <c r="Z24" s="281">
        <v>65.696086314722749</v>
      </c>
      <c r="AA24" s="282">
        <v>64.418398719468556</v>
      </c>
    </row>
    <row r="25" spans="1:27">
      <c r="B25" s="519"/>
      <c r="C25" s="522"/>
      <c r="D25" s="270" t="s">
        <v>102</v>
      </c>
      <c r="E25" s="278">
        <v>187.10994104317956</v>
      </c>
      <c r="F25" s="278">
        <v>191.46110687690842</v>
      </c>
      <c r="G25" s="278">
        <v>195.72700514015713</v>
      </c>
      <c r="H25" s="278">
        <v>200.08709370964883</v>
      </c>
      <c r="I25" s="278">
        <v>204.54339639424461</v>
      </c>
      <c r="J25" s="278">
        <v>209.04335111491812</v>
      </c>
      <c r="K25" s="278">
        <v>213.6423048394463</v>
      </c>
      <c r="L25" s="278">
        <v>218.34243554591413</v>
      </c>
      <c r="M25" s="83">
        <v>223.14596912792422</v>
      </c>
      <c r="N25" s="278">
        <v>228.0551804487385</v>
      </c>
      <c r="O25" s="278">
        <v>233.07239441861083</v>
      </c>
      <c r="P25" s="278">
        <v>238.19998709582029</v>
      </c>
      <c r="Q25" s="83">
        <v>243.44038681192833</v>
      </c>
      <c r="R25" s="83">
        <v>248.79607532179074</v>
      </c>
      <c r="S25" s="83">
        <v>254.26958897887008</v>
      </c>
      <c r="T25" s="83">
        <v>259.86351993640534</v>
      </c>
      <c r="U25" s="83">
        <v>265.58051737500614</v>
      </c>
      <c r="V25" s="83">
        <v>271.42328875725633</v>
      </c>
      <c r="W25" s="83">
        <v>277.39460110991604</v>
      </c>
      <c r="X25" s="83">
        <v>283.49728233433416</v>
      </c>
      <c r="Y25" s="83">
        <v>289.73422254568942</v>
      </c>
      <c r="Z25" s="83">
        <v>296.10837544169465</v>
      </c>
      <c r="AA25" s="279">
        <v>302.62275970141201</v>
      </c>
    </row>
    <row r="26" spans="1:27">
      <c r="B26" s="519"/>
      <c r="C26" s="524"/>
      <c r="D26" s="271" t="s">
        <v>103</v>
      </c>
      <c r="E26" s="283">
        <v>37.224157419445191</v>
      </c>
      <c r="F26" s="283">
        <v>36.577620498734213</v>
      </c>
      <c r="G26" s="283">
        <v>36.65308520400125</v>
      </c>
      <c r="H26" s="283">
        <v>37.167959305494378</v>
      </c>
      <c r="I26" s="283">
        <v>37.964986660751556</v>
      </c>
      <c r="J26" s="283">
        <v>38.940638578697346</v>
      </c>
      <c r="K26" s="283">
        <v>40.002817593045414</v>
      </c>
      <c r="L26" s="283">
        <v>41.096804700798373</v>
      </c>
      <c r="M26" s="284">
        <v>42.17450412197303</v>
      </c>
      <c r="N26" s="283">
        <v>41.999114163412038</v>
      </c>
      <c r="O26" s="283">
        <v>41.738626305935107</v>
      </c>
      <c r="P26" s="283">
        <v>41.354132771485112</v>
      </c>
      <c r="Q26" s="284">
        <v>40.905069181886667</v>
      </c>
      <c r="R26" s="284">
        <v>40.343314461020121</v>
      </c>
      <c r="S26" s="284">
        <v>39.682889366988313</v>
      </c>
      <c r="T26" s="284">
        <v>38.907424391659674</v>
      </c>
      <c r="U26" s="284">
        <v>38.030818500058999</v>
      </c>
      <c r="V26" s="284">
        <v>36.99231074749224</v>
      </c>
      <c r="W26" s="284">
        <v>35.725360614588759</v>
      </c>
      <c r="X26" s="284">
        <v>34.289865365988099</v>
      </c>
      <c r="Y26" s="284">
        <v>32.689349287998063</v>
      </c>
      <c r="Z26" s="284">
        <v>30.848327589296158</v>
      </c>
      <c r="AA26" s="285">
        <v>28.803989302082602</v>
      </c>
    </row>
    <row r="27" spans="1:27">
      <c r="B27" s="519"/>
      <c r="C27" s="525" t="s">
        <v>20</v>
      </c>
      <c r="D27" s="269" t="s">
        <v>101</v>
      </c>
      <c r="E27" s="280">
        <v>273.14387679528789</v>
      </c>
      <c r="F27" s="280">
        <v>267.51638391018406</v>
      </c>
      <c r="G27" s="280">
        <v>261.92949982147394</v>
      </c>
      <c r="H27" s="280">
        <v>256.69138779975998</v>
      </c>
      <c r="I27" s="280">
        <v>252.04033968400208</v>
      </c>
      <c r="J27" s="280">
        <v>248.01935807230996</v>
      </c>
      <c r="K27" s="280">
        <v>244.7446722779213</v>
      </c>
      <c r="L27" s="280">
        <v>242.30853841899483</v>
      </c>
      <c r="M27" s="281">
        <v>240.81043866779808</v>
      </c>
      <c r="N27" s="280">
        <v>240.36546983565182</v>
      </c>
      <c r="O27" s="280">
        <v>241.10687010598446</v>
      </c>
      <c r="P27" s="280">
        <v>242.04022316477597</v>
      </c>
      <c r="Q27" s="281">
        <v>243.19156208795181</v>
      </c>
      <c r="R27" s="281">
        <v>244.58914078564021</v>
      </c>
      <c r="S27" s="281">
        <v>246.26359517415776</v>
      </c>
      <c r="T27" s="281">
        <v>248.24811531587739</v>
      </c>
      <c r="U27" s="281">
        <v>250.57862925388253</v>
      </c>
      <c r="V27" s="281">
        <v>253.29399931596762</v>
      </c>
      <c r="W27" s="281">
        <v>256.43623171331626</v>
      </c>
      <c r="X27" s="281">
        <v>260.05070031327188</v>
      </c>
      <c r="Y27" s="281">
        <v>264.18638552322773</v>
      </c>
      <c r="Z27" s="281">
        <v>268.89612928403784</v>
      </c>
      <c r="AA27" s="282">
        <v>274.23690723672939</v>
      </c>
    </row>
    <row r="28" spans="1:27">
      <c r="B28" s="519"/>
      <c r="C28" s="526"/>
      <c r="D28" s="270" t="s">
        <v>102</v>
      </c>
      <c r="E28" s="278">
        <v>995.50276517110149</v>
      </c>
      <c r="F28" s="278">
        <v>1018.6216085234369</v>
      </c>
      <c r="G28" s="278">
        <v>1041.3110170055063</v>
      </c>
      <c r="H28" s="278">
        <v>1064.5007306028758</v>
      </c>
      <c r="I28" s="278">
        <v>1088.2014488345228</v>
      </c>
      <c r="J28" s="278">
        <v>1112.1418807088821</v>
      </c>
      <c r="K28" s="278">
        <v>1136.6090020844779</v>
      </c>
      <c r="L28" s="278">
        <v>1161.6144001303364</v>
      </c>
      <c r="M28" s="83">
        <v>1187.1699169332037</v>
      </c>
      <c r="N28" s="278">
        <v>1213.2876551057343</v>
      </c>
      <c r="O28" s="278">
        <v>1239.9799835180606</v>
      </c>
      <c r="P28" s="278">
        <v>1267.259543155458</v>
      </c>
      <c r="Q28" s="83">
        <v>1295.1392531048782</v>
      </c>
      <c r="R28" s="83">
        <v>1323.6323166731854</v>
      </c>
      <c r="S28" s="83">
        <v>1352.7522276399948</v>
      </c>
      <c r="T28" s="83">
        <v>1382.5127766480753</v>
      </c>
      <c r="U28" s="83">
        <v>1412.9280577343329</v>
      </c>
      <c r="V28" s="83">
        <v>1444.0124750044877</v>
      </c>
      <c r="W28" s="83">
        <v>1475.7807494545871</v>
      </c>
      <c r="X28" s="83">
        <v>1508.2479259425879</v>
      </c>
      <c r="Y28" s="83">
        <v>1541.4293803133251</v>
      </c>
      <c r="Z28" s="83">
        <v>1575.3408266802176</v>
      </c>
      <c r="AA28" s="279">
        <v>1609.9983248671822</v>
      </c>
    </row>
    <row r="29" spans="1:27">
      <c r="B29" s="519"/>
      <c r="C29" s="527"/>
      <c r="D29" s="271" t="s">
        <v>103</v>
      </c>
      <c r="E29" s="283">
        <v>155.98731167135284</v>
      </c>
      <c r="F29" s="283">
        <v>147.63905861203446</v>
      </c>
      <c r="G29" s="283">
        <v>139.38195274649567</v>
      </c>
      <c r="H29" s="283">
        <v>131.41474012724723</v>
      </c>
      <c r="I29" s="283">
        <v>123.97445341152137</v>
      </c>
      <c r="J29" s="283">
        <v>117.13602230183473</v>
      </c>
      <c r="K29" s="283">
        <v>110.98190312049552</v>
      </c>
      <c r="L29" s="283">
        <v>105.60298834010574</v>
      </c>
      <c r="M29" s="284">
        <v>101.09736648717347</v>
      </c>
      <c r="N29" s="283">
        <v>97.578710067053308</v>
      </c>
      <c r="O29" s="283">
        <v>95.178801622476882</v>
      </c>
      <c r="P29" s="283">
        <v>92.901737174631293</v>
      </c>
      <c r="Q29" s="284">
        <v>90.772029406023933</v>
      </c>
      <c r="R29" s="284">
        <v>88.816378384709921</v>
      </c>
      <c r="S29" s="284">
        <v>87.06383200040699</v>
      </c>
      <c r="T29" s="284">
        <v>85.5459573523041</v>
      </c>
      <c r="U29" s="284">
        <v>84.297023815110649</v>
      </c>
      <c r="V29" s="284">
        <v>83.354198557542674</v>
      </c>
      <c r="W29" s="284">
        <v>82.757755338205982</v>
      </c>
      <c r="X29" s="284">
        <v>82.551297457909172</v>
      </c>
      <c r="Y29" s="284">
        <v>82.781995805046989</v>
      </c>
      <c r="Z29" s="284">
        <v>83.500842992057173</v>
      </c>
      <c r="AA29" s="285">
        <v>84.762924646325132</v>
      </c>
    </row>
    <row r="30" spans="1:27">
      <c r="B30" s="519"/>
      <c r="C30" s="522" t="s">
        <v>21</v>
      </c>
      <c r="D30" s="270" t="s">
        <v>101</v>
      </c>
      <c r="E30" s="278">
        <v>302.665250263487</v>
      </c>
      <c r="F30" s="278">
        <v>288.22279019733202</v>
      </c>
      <c r="G30" s="278">
        <v>273.96528269908237</v>
      </c>
      <c r="H30" s="278">
        <v>260.2620763146889</v>
      </c>
      <c r="I30" s="278">
        <v>247.52991458357991</v>
      </c>
      <c r="J30" s="278">
        <v>235.89503220232768</v>
      </c>
      <c r="K30" s="278">
        <v>225.5062787025052</v>
      </c>
      <c r="L30" s="278">
        <v>216.52231394324033</v>
      </c>
      <c r="M30" s="83">
        <v>209.11413858550355</v>
      </c>
      <c r="N30" s="278">
        <v>203.47989365487331</v>
      </c>
      <c r="O30" s="278">
        <v>199.84923293291152</v>
      </c>
      <c r="P30" s="278">
        <v>196.46101003253091</v>
      </c>
      <c r="Q30" s="83">
        <v>193.35851581366819</v>
      </c>
      <c r="R30" s="83">
        <v>190.58880260372979</v>
      </c>
      <c r="S30" s="83">
        <v>188.20295653263781</v>
      </c>
      <c r="T30" s="83">
        <v>186.25638833392065</v>
      </c>
      <c r="U30" s="83">
        <v>184.80914383282351</v>
      </c>
      <c r="V30" s="83">
        <v>183.92623542236026</v>
      </c>
      <c r="W30" s="83">
        <v>183.67799591339963</v>
      </c>
      <c r="X30" s="83">
        <v>184.14045623560003</v>
      </c>
      <c r="Y30" s="83">
        <v>185.39574856264736</v>
      </c>
      <c r="Z30" s="83">
        <v>187.53253653819795</v>
      </c>
      <c r="AA30" s="279">
        <v>190.6464743885806</v>
      </c>
    </row>
    <row r="31" spans="1:27">
      <c r="B31" s="519"/>
      <c r="C31" s="522"/>
      <c r="D31" s="270" t="s">
        <v>102</v>
      </c>
      <c r="E31" s="278">
        <v>131.41906489422888</v>
      </c>
      <c r="F31" s="278">
        <v>134.48494378212328</v>
      </c>
      <c r="G31" s="278">
        <v>137.48333184774228</v>
      </c>
      <c r="H31" s="278">
        <v>140.54813506136875</v>
      </c>
      <c r="I31" s="278">
        <v>143.68079620674865</v>
      </c>
      <c r="J31" s="278">
        <v>146.84177372329717</v>
      </c>
      <c r="K31" s="278">
        <v>150.07229274520969</v>
      </c>
      <c r="L31" s="278">
        <v>153.37388318560429</v>
      </c>
      <c r="M31" s="83">
        <v>156.74810861568761</v>
      </c>
      <c r="N31" s="278">
        <v>160.19656700523279</v>
      </c>
      <c r="O31" s="278">
        <v>163.72089147934787</v>
      </c>
      <c r="P31" s="278">
        <v>167.32275109189348</v>
      </c>
      <c r="Q31" s="83">
        <v>171.00385161591515</v>
      </c>
      <c r="R31" s="83">
        <v>174.76593635146534</v>
      </c>
      <c r="S31" s="83">
        <v>178.61078695119744</v>
      </c>
      <c r="T31" s="83">
        <v>182.54022426412391</v>
      </c>
      <c r="U31" s="83">
        <v>186.55610919793457</v>
      </c>
      <c r="V31" s="83">
        <v>190.66034360028914</v>
      </c>
      <c r="W31" s="83">
        <v>194.8548711594955</v>
      </c>
      <c r="X31" s="83">
        <v>199.14167832500439</v>
      </c>
      <c r="Y31" s="83">
        <v>203.52279524815447</v>
      </c>
      <c r="Z31" s="83">
        <v>208.00029674361397</v>
      </c>
      <c r="AA31" s="279">
        <v>212.57630327197342</v>
      </c>
    </row>
    <row r="32" spans="1:27" ht="15.75" thickBot="1">
      <c r="B32" s="520"/>
      <c r="C32" s="528"/>
      <c r="D32" s="273" t="s">
        <v>103</v>
      </c>
      <c r="E32" s="286">
        <v>287.19908906989053</v>
      </c>
      <c r="F32" s="286">
        <v>272.39581851464561</v>
      </c>
      <c r="G32" s="286">
        <v>257.78544324046749</v>
      </c>
      <c r="H32" s="286">
        <v>243.72155295859883</v>
      </c>
      <c r="I32" s="286">
        <v>230.6207214132711</v>
      </c>
      <c r="J32" s="286">
        <v>218.61383678227202</v>
      </c>
      <c r="K32" s="286">
        <v>207.8448969832084</v>
      </c>
      <c r="L32" s="286">
        <v>198.47238182611895</v>
      </c>
      <c r="M32" s="287">
        <v>190.66710796180556</v>
      </c>
      <c r="N32" s="286">
        <v>184.62702835745387</v>
      </c>
      <c r="O32" s="286">
        <v>180.58160459894884</v>
      </c>
      <c r="P32" s="286">
        <v>176.76949387522103</v>
      </c>
      <c r="Q32" s="287">
        <v>173.23378630089749</v>
      </c>
      <c r="R32" s="287">
        <v>170.02132904167823</v>
      </c>
      <c r="S32" s="287">
        <v>167.18299855222099</v>
      </c>
      <c r="T32" s="287">
        <v>164.77399127793467</v>
      </c>
      <c r="U32" s="287">
        <v>162.85413404160593</v>
      </c>
      <c r="V32" s="287">
        <v>161.48821541573579</v>
      </c>
      <c r="W32" s="287">
        <v>160.74633946662948</v>
      </c>
      <c r="X32" s="287">
        <v>160.7043033470008</v>
      </c>
      <c r="Y32" s="287">
        <v>161.44400031049915</v>
      </c>
      <c r="Z32" s="287">
        <v>163.05384982450246</v>
      </c>
      <c r="AA32" s="288">
        <v>165.6292565671838</v>
      </c>
    </row>
    <row r="35" spans="4:18">
      <c r="D35" s="263"/>
      <c r="E35" s="263"/>
      <c r="G35" s="263"/>
      <c r="H35" s="263"/>
    </row>
    <row r="36" spans="4:18">
      <c r="D36" s="263"/>
      <c r="E36" s="263"/>
      <c r="G36" s="263"/>
      <c r="H36" s="263"/>
    </row>
    <row r="37" spans="4:18">
      <c r="D37" s="263"/>
      <c r="E37" s="263"/>
      <c r="G37" s="263"/>
      <c r="H37" s="263"/>
      <c r="I37" s="263"/>
      <c r="J37" s="263"/>
      <c r="K37" s="263"/>
      <c r="L37" s="263"/>
      <c r="M37" s="263"/>
      <c r="N37" s="263"/>
      <c r="O37" s="263"/>
      <c r="P37" s="263"/>
      <c r="Q37" s="263"/>
      <c r="R37" s="263"/>
    </row>
    <row r="38" spans="4:18">
      <c r="D38" s="263"/>
      <c r="E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</row>
    <row r="39" spans="4:18">
      <c r="D39" s="263"/>
      <c r="E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</row>
    <row r="40" spans="4:18">
      <c r="D40" s="263"/>
      <c r="E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</row>
    <row r="41" spans="4:18">
      <c r="D41" s="263"/>
      <c r="E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</row>
    <row r="42" spans="4:18">
      <c r="D42" s="263"/>
      <c r="E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</row>
    <row r="43" spans="4:18">
      <c r="D43" s="263"/>
      <c r="E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</row>
    <row r="44" spans="4:18">
      <c r="D44" s="263"/>
      <c r="E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263"/>
      <c r="R44" s="263"/>
    </row>
    <row r="45" spans="4:18">
      <c r="D45" s="263"/>
      <c r="E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</row>
    <row r="46" spans="4:18">
      <c r="D46" s="263"/>
      <c r="E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</row>
  </sheetData>
  <sortState xmlns:xlrd2="http://schemas.microsoft.com/office/spreadsheetml/2017/richdata2" ref="F35:F50">
    <sortCondition ref="F35:F50"/>
  </sortState>
  <mergeCells count="12">
    <mergeCell ref="B3:B17"/>
    <mergeCell ref="C3:C5"/>
    <mergeCell ref="C6:C8"/>
    <mergeCell ref="C9:C11"/>
    <mergeCell ref="C12:C14"/>
    <mergeCell ref="C15:C17"/>
    <mergeCell ref="B18:B32"/>
    <mergeCell ref="C18:C20"/>
    <mergeCell ref="C21:C23"/>
    <mergeCell ref="C24:C26"/>
    <mergeCell ref="C27:C29"/>
    <mergeCell ref="C30:C3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1E8FF-EF57-496A-A4B7-A90E46D7ADFF}">
  <sheetPr codeName="Sheet3"/>
  <dimension ref="A1:BX402"/>
  <sheetViews>
    <sheetView topLeftCell="W1" zoomScale="70" zoomScaleNormal="70" workbookViewId="0">
      <pane ySplit="5" topLeftCell="A119" activePane="bottomLeft" state="frozen"/>
      <selection activeCell="A2" sqref="A2"/>
      <selection pane="bottomLeft" activeCell="W142" sqref="W142"/>
    </sheetView>
  </sheetViews>
  <sheetFormatPr defaultRowHeight="15" outlineLevelRow="1"/>
  <cols>
    <col min="1" max="1" width="9.140625" style="38" customWidth="1"/>
    <col min="2" max="2" width="22.42578125" style="38" bestFit="1" customWidth="1"/>
    <col min="3" max="3" width="40" style="38" customWidth="1"/>
    <col min="4" max="4" width="48.5703125" style="38" customWidth="1"/>
    <col min="5" max="5" width="65.140625" style="38" bestFit="1" customWidth="1"/>
    <col min="6" max="8" width="8.85546875" style="317" bestFit="1" customWidth="1"/>
    <col min="9" max="9" width="11" style="317" bestFit="1" customWidth="1"/>
    <col min="10" max="13" width="8.85546875" style="317" bestFit="1" customWidth="1"/>
    <col min="14" max="15" width="9.28515625" style="317" bestFit="1" customWidth="1"/>
    <col min="16" max="17" width="8.85546875" style="317" bestFit="1" customWidth="1"/>
    <col min="18" max="20" width="9.28515625" style="317" bestFit="1" customWidth="1"/>
    <col min="21" max="21" width="8.85546875" style="317" bestFit="1" customWidth="1"/>
    <col min="22" max="23" width="9.28515625" style="317" bestFit="1" customWidth="1"/>
    <col min="24" max="24" width="8.85546875" style="317" bestFit="1" customWidth="1"/>
    <col min="25" max="25" width="9.28515625" style="317" bestFit="1" customWidth="1"/>
    <col min="26" max="26" width="8.85546875" style="317" bestFit="1" customWidth="1"/>
    <col min="27" max="27" width="9.28515625" style="317" bestFit="1" customWidth="1"/>
    <col min="28" max="28" width="8.85546875" style="317" bestFit="1" customWidth="1"/>
    <col min="29" max="32" width="9.28515625" style="317" bestFit="1" customWidth="1"/>
    <col min="33" max="33" width="8.85546875" style="317" bestFit="1" customWidth="1"/>
    <col min="34" max="34" width="9.28515625" style="317" bestFit="1" customWidth="1"/>
    <col min="35" max="35" width="8.85546875" style="317" bestFit="1" customWidth="1"/>
    <col min="36" max="76" width="9.28515625" style="317" bestFit="1" customWidth="1"/>
    <col min="77" max="16384" width="9.140625" style="38"/>
  </cols>
  <sheetData>
    <row r="1" spans="1:76">
      <c r="B1" s="259" t="s">
        <v>229</v>
      </c>
      <c r="C1" s="259" t="s">
        <v>247</v>
      </c>
      <c r="D1" s="259" t="s">
        <v>150</v>
      </c>
      <c r="E1" s="257" t="s">
        <v>37</v>
      </c>
      <c r="F1" s="320">
        <v>2020</v>
      </c>
      <c r="G1" s="320">
        <f>F1+1</f>
        <v>2021</v>
      </c>
      <c r="H1" s="320">
        <f t="shared" ref="H1:BS1" si="0">G1+1</f>
        <v>2022</v>
      </c>
      <c r="I1" s="320">
        <f t="shared" si="0"/>
        <v>2023</v>
      </c>
      <c r="J1" s="320">
        <f t="shared" si="0"/>
        <v>2024</v>
      </c>
      <c r="K1" s="320">
        <f t="shared" si="0"/>
        <v>2025</v>
      </c>
      <c r="L1" s="320">
        <f t="shared" si="0"/>
        <v>2026</v>
      </c>
      <c r="M1" s="320">
        <f t="shared" si="0"/>
        <v>2027</v>
      </c>
      <c r="N1" s="320">
        <f t="shared" si="0"/>
        <v>2028</v>
      </c>
      <c r="O1" s="320">
        <f t="shared" si="0"/>
        <v>2029</v>
      </c>
      <c r="P1" s="320">
        <f t="shared" si="0"/>
        <v>2030</v>
      </c>
      <c r="Q1" s="320">
        <f t="shared" si="0"/>
        <v>2031</v>
      </c>
      <c r="R1" s="320">
        <f t="shared" si="0"/>
        <v>2032</v>
      </c>
      <c r="S1" s="320">
        <f t="shared" si="0"/>
        <v>2033</v>
      </c>
      <c r="T1" s="320">
        <f t="shared" si="0"/>
        <v>2034</v>
      </c>
      <c r="U1" s="320">
        <f t="shared" si="0"/>
        <v>2035</v>
      </c>
      <c r="V1" s="320">
        <f t="shared" si="0"/>
        <v>2036</v>
      </c>
      <c r="W1" s="320">
        <f t="shared" si="0"/>
        <v>2037</v>
      </c>
      <c r="X1" s="320">
        <f t="shared" si="0"/>
        <v>2038</v>
      </c>
      <c r="Y1" s="320">
        <f t="shared" si="0"/>
        <v>2039</v>
      </c>
      <c r="Z1" s="320">
        <f t="shared" si="0"/>
        <v>2040</v>
      </c>
      <c r="AA1" s="320">
        <f t="shared" si="0"/>
        <v>2041</v>
      </c>
      <c r="AB1" s="320">
        <f t="shared" si="0"/>
        <v>2042</v>
      </c>
      <c r="AC1" s="320">
        <f t="shared" si="0"/>
        <v>2043</v>
      </c>
      <c r="AD1" s="320">
        <f t="shared" si="0"/>
        <v>2044</v>
      </c>
      <c r="AE1" s="320">
        <f t="shared" si="0"/>
        <v>2045</v>
      </c>
      <c r="AF1" s="320">
        <f t="shared" si="0"/>
        <v>2046</v>
      </c>
      <c r="AG1" s="320">
        <f t="shared" si="0"/>
        <v>2047</v>
      </c>
      <c r="AH1" s="320">
        <f t="shared" si="0"/>
        <v>2048</v>
      </c>
      <c r="AI1" s="320">
        <f t="shared" si="0"/>
        <v>2049</v>
      </c>
      <c r="AJ1" s="320">
        <f t="shared" si="0"/>
        <v>2050</v>
      </c>
      <c r="AK1" s="320">
        <f t="shared" si="0"/>
        <v>2051</v>
      </c>
      <c r="AL1" s="320">
        <f t="shared" si="0"/>
        <v>2052</v>
      </c>
      <c r="AM1" s="320">
        <f t="shared" si="0"/>
        <v>2053</v>
      </c>
      <c r="AN1" s="320">
        <f t="shared" si="0"/>
        <v>2054</v>
      </c>
      <c r="AO1" s="320">
        <f t="shared" si="0"/>
        <v>2055</v>
      </c>
      <c r="AP1" s="320">
        <f t="shared" si="0"/>
        <v>2056</v>
      </c>
      <c r="AQ1" s="320">
        <f t="shared" si="0"/>
        <v>2057</v>
      </c>
      <c r="AR1" s="320">
        <f t="shared" si="0"/>
        <v>2058</v>
      </c>
      <c r="AS1" s="320">
        <f t="shared" si="0"/>
        <v>2059</v>
      </c>
      <c r="AT1" s="320">
        <f t="shared" si="0"/>
        <v>2060</v>
      </c>
      <c r="AU1" s="320">
        <f t="shared" si="0"/>
        <v>2061</v>
      </c>
      <c r="AV1" s="320">
        <f t="shared" si="0"/>
        <v>2062</v>
      </c>
      <c r="AW1" s="320">
        <f t="shared" si="0"/>
        <v>2063</v>
      </c>
      <c r="AX1" s="320">
        <f t="shared" si="0"/>
        <v>2064</v>
      </c>
      <c r="AY1" s="320">
        <f t="shared" si="0"/>
        <v>2065</v>
      </c>
      <c r="AZ1" s="320">
        <f t="shared" si="0"/>
        <v>2066</v>
      </c>
      <c r="BA1" s="320">
        <f t="shared" si="0"/>
        <v>2067</v>
      </c>
      <c r="BB1" s="320">
        <f t="shared" si="0"/>
        <v>2068</v>
      </c>
      <c r="BC1" s="320">
        <f t="shared" si="0"/>
        <v>2069</v>
      </c>
      <c r="BD1" s="320">
        <f t="shared" si="0"/>
        <v>2070</v>
      </c>
      <c r="BE1" s="320">
        <f t="shared" si="0"/>
        <v>2071</v>
      </c>
      <c r="BF1" s="320">
        <f t="shared" si="0"/>
        <v>2072</v>
      </c>
      <c r="BG1" s="320">
        <f t="shared" si="0"/>
        <v>2073</v>
      </c>
      <c r="BH1" s="320">
        <f t="shared" si="0"/>
        <v>2074</v>
      </c>
      <c r="BI1" s="320">
        <f t="shared" si="0"/>
        <v>2075</v>
      </c>
      <c r="BJ1" s="320">
        <f t="shared" si="0"/>
        <v>2076</v>
      </c>
      <c r="BK1" s="320">
        <f t="shared" si="0"/>
        <v>2077</v>
      </c>
      <c r="BL1" s="320">
        <f t="shared" si="0"/>
        <v>2078</v>
      </c>
      <c r="BM1" s="320">
        <f t="shared" si="0"/>
        <v>2079</v>
      </c>
      <c r="BN1" s="320">
        <f t="shared" si="0"/>
        <v>2080</v>
      </c>
      <c r="BO1" s="320">
        <f t="shared" si="0"/>
        <v>2081</v>
      </c>
      <c r="BP1" s="320">
        <f t="shared" si="0"/>
        <v>2082</v>
      </c>
      <c r="BQ1" s="320">
        <f t="shared" si="0"/>
        <v>2083</v>
      </c>
      <c r="BR1" s="320">
        <f t="shared" si="0"/>
        <v>2084</v>
      </c>
      <c r="BS1" s="320">
        <f t="shared" si="0"/>
        <v>2085</v>
      </c>
      <c r="BT1" s="320">
        <f t="shared" ref="BT1:BX1" si="1">BS1+1</f>
        <v>2086</v>
      </c>
      <c r="BU1" s="320">
        <f t="shared" si="1"/>
        <v>2087</v>
      </c>
      <c r="BV1" s="320">
        <f t="shared" si="1"/>
        <v>2088</v>
      </c>
      <c r="BW1" s="320">
        <f t="shared" si="1"/>
        <v>2089</v>
      </c>
      <c r="BX1" s="320">
        <f t="shared" si="1"/>
        <v>2090</v>
      </c>
    </row>
    <row r="2" spans="1:76">
      <c r="E2" s="387" t="s">
        <v>225</v>
      </c>
      <c r="F2" s="321"/>
      <c r="G2" s="321">
        <v>2.5000000000000001E-2</v>
      </c>
      <c r="H2" s="322">
        <v>7.1911202185792347E-2</v>
      </c>
      <c r="I2" s="322">
        <v>3.1719999999999998E-2</v>
      </c>
      <c r="J2" s="322">
        <v>2.3522916666666661E-2</v>
      </c>
      <c r="K2" s="322">
        <v>2.2333333333333334E-2</v>
      </c>
      <c r="L2" s="322">
        <v>2.2333333333333334E-2</v>
      </c>
      <c r="M2" s="322">
        <v>2.2333333333333334E-2</v>
      </c>
      <c r="N2" s="322">
        <v>2.1999999999999999E-2</v>
      </c>
      <c r="O2" s="322">
        <v>2.1999999999999999E-2</v>
      </c>
      <c r="P2" s="322">
        <v>2.1999999999999999E-2</v>
      </c>
      <c r="Q2" s="322">
        <v>2.1999999999999999E-2</v>
      </c>
      <c r="R2" s="322">
        <v>2.1999999999999999E-2</v>
      </c>
      <c r="S2" s="322">
        <v>2.1999999999999999E-2</v>
      </c>
      <c r="T2" s="322">
        <v>2.1999999999999999E-2</v>
      </c>
      <c r="U2" s="322">
        <v>2.1999999999999999E-2</v>
      </c>
      <c r="V2" s="322">
        <v>2.1999999999999999E-2</v>
      </c>
      <c r="W2" s="322">
        <v>2.1999999999999999E-2</v>
      </c>
      <c r="X2" s="322">
        <v>2.1999999999999999E-2</v>
      </c>
      <c r="Y2" s="322">
        <v>2.1999999999999999E-2</v>
      </c>
      <c r="Z2" s="322">
        <v>2.1999999999999999E-2</v>
      </c>
      <c r="AA2" s="322">
        <v>2.1999999999999999E-2</v>
      </c>
      <c r="AB2" s="322">
        <v>2.1999999999999999E-2</v>
      </c>
      <c r="AC2" s="322">
        <v>2.1999999999999999E-2</v>
      </c>
      <c r="AD2" s="322">
        <v>2.1999999999999999E-2</v>
      </c>
      <c r="AE2" s="322">
        <v>2.1999999999999999E-2</v>
      </c>
      <c r="AF2" s="322">
        <v>2.1999999999999999E-2</v>
      </c>
      <c r="AG2" s="322">
        <v>2.1999999999999999E-2</v>
      </c>
      <c r="AH2" s="322">
        <v>2.1999999999999999E-2</v>
      </c>
      <c r="AI2" s="322">
        <v>2.1999999999999999E-2</v>
      </c>
      <c r="AJ2" s="322">
        <v>2.1999999999999999E-2</v>
      </c>
      <c r="AK2" s="322">
        <v>2.1999999999999999E-2</v>
      </c>
      <c r="AL2" s="322">
        <v>2.1999999999999999E-2</v>
      </c>
      <c r="AM2" s="322">
        <v>2.1999999999999999E-2</v>
      </c>
      <c r="AN2" s="322">
        <v>2.1999999999999999E-2</v>
      </c>
      <c r="AO2" s="322">
        <v>2.1999999999999999E-2</v>
      </c>
      <c r="AP2" s="322">
        <v>2.1999999999999999E-2</v>
      </c>
      <c r="AQ2" s="322">
        <v>2.1999999999999999E-2</v>
      </c>
      <c r="AR2" s="322">
        <v>2.1999999999999999E-2</v>
      </c>
      <c r="AS2" s="322">
        <v>2.1999999999999999E-2</v>
      </c>
      <c r="AT2" s="322">
        <v>2.1999999999999999E-2</v>
      </c>
      <c r="AU2" s="322">
        <v>2.1999999999999999E-2</v>
      </c>
      <c r="AV2" s="322">
        <v>2.1999999999999999E-2</v>
      </c>
      <c r="AW2" s="322">
        <v>2.1999999999999999E-2</v>
      </c>
      <c r="AX2" s="322">
        <v>2.1999999999999999E-2</v>
      </c>
      <c r="AY2" s="322">
        <v>2.1999999999999999E-2</v>
      </c>
      <c r="AZ2" s="322">
        <v>2.1999999999999999E-2</v>
      </c>
      <c r="BA2" s="322">
        <v>2.1999999999999999E-2</v>
      </c>
      <c r="BB2" s="322">
        <v>2.1999999999999999E-2</v>
      </c>
      <c r="BC2" s="322">
        <v>2.1999999999999999E-2</v>
      </c>
      <c r="BD2" s="322">
        <v>2.1999999999999999E-2</v>
      </c>
      <c r="BE2" s="322">
        <v>2.1999999999999999E-2</v>
      </c>
      <c r="BF2" s="322">
        <v>2.1999999999999999E-2</v>
      </c>
      <c r="BG2" s="322">
        <v>2.1999999999999999E-2</v>
      </c>
      <c r="BH2" s="322">
        <v>2.1999999999999999E-2</v>
      </c>
      <c r="BI2" s="322">
        <v>2.1999999999999999E-2</v>
      </c>
      <c r="BJ2" s="322">
        <v>2.1999999999999999E-2</v>
      </c>
      <c r="BK2" s="322">
        <v>2.1999999999999999E-2</v>
      </c>
      <c r="BL2" s="322">
        <v>2.1999999999999999E-2</v>
      </c>
      <c r="BM2" s="322">
        <v>2.1999999999999999E-2</v>
      </c>
      <c r="BN2" s="322">
        <v>2.1999999999999999E-2</v>
      </c>
      <c r="BO2" s="322">
        <v>2.1999999999999999E-2</v>
      </c>
      <c r="BP2" s="322">
        <v>2.1999999999999999E-2</v>
      </c>
      <c r="BQ2" s="322">
        <v>2.1999999999999999E-2</v>
      </c>
      <c r="BR2" s="322">
        <v>2.1999999999999999E-2</v>
      </c>
      <c r="BS2" s="322">
        <v>2.1999999999999999E-2</v>
      </c>
      <c r="BT2" s="322">
        <v>2.1999999999999999E-2</v>
      </c>
      <c r="BU2" s="322">
        <v>2.1999999999999999E-2</v>
      </c>
      <c r="BV2" s="322">
        <v>2.1999999999999999E-2</v>
      </c>
      <c r="BW2" s="322">
        <v>2.1999999999999999E-2</v>
      </c>
      <c r="BX2" s="322">
        <v>2.1999999999999999E-2</v>
      </c>
    </row>
    <row r="3" spans="1:76">
      <c r="E3" s="388" t="s">
        <v>227</v>
      </c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  <c r="AM3" s="355"/>
      <c r="AN3" s="355"/>
      <c r="AO3" s="355"/>
      <c r="AP3" s="355"/>
      <c r="AQ3" s="355"/>
      <c r="AR3" s="355"/>
      <c r="AS3" s="355"/>
      <c r="AT3" s="355"/>
      <c r="AU3" s="355"/>
      <c r="AV3" s="355"/>
      <c r="AW3" s="355"/>
      <c r="AX3" s="355"/>
      <c r="AY3" s="355"/>
      <c r="AZ3" s="355"/>
      <c r="BA3" s="355"/>
      <c r="BB3" s="355"/>
      <c r="BC3" s="355"/>
      <c r="BD3" s="355"/>
      <c r="BE3" s="355"/>
      <c r="BF3" s="355"/>
      <c r="BG3" s="355"/>
      <c r="BH3" s="355"/>
      <c r="BI3" s="355"/>
      <c r="BJ3" s="355"/>
      <c r="BK3" s="355"/>
      <c r="BL3" s="355"/>
      <c r="BM3" s="355"/>
      <c r="BN3" s="355"/>
      <c r="BO3" s="355"/>
      <c r="BP3" s="355"/>
      <c r="BQ3" s="355"/>
      <c r="BR3" s="355"/>
      <c r="BS3" s="355"/>
      <c r="BT3" s="355"/>
      <c r="BU3" s="355"/>
      <c r="BV3" s="355"/>
      <c r="BW3" s="355"/>
      <c r="BX3" s="355"/>
    </row>
    <row r="4" spans="1:76">
      <c r="E4" s="388" t="s">
        <v>226</v>
      </c>
      <c r="F4" s="314">
        <v>100</v>
      </c>
      <c r="G4" s="314">
        <f t="shared" ref="G4:AL4" si="2">F4*(1+G2)</f>
        <v>102.49999999999999</v>
      </c>
      <c r="H4" s="314">
        <f t="shared" si="2"/>
        <v>109.8708982240437</v>
      </c>
      <c r="I4" s="314">
        <f t="shared" si="2"/>
        <v>113.35600311571037</v>
      </c>
      <c r="J4" s="314">
        <f t="shared" si="2"/>
        <v>116.02246693066762</v>
      </c>
      <c r="K4" s="314">
        <f t="shared" si="2"/>
        <v>118.61363535878586</v>
      </c>
      <c r="L4" s="314">
        <f t="shared" si="2"/>
        <v>121.26267321513207</v>
      </c>
      <c r="M4" s="314">
        <f t="shared" si="2"/>
        <v>123.97087291693668</v>
      </c>
      <c r="N4" s="314">
        <f t="shared" si="2"/>
        <v>126.6982321211093</v>
      </c>
      <c r="O4" s="314">
        <f t="shared" si="2"/>
        <v>129.48559322777371</v>
      </c>
      <c r="P4" s="314">
        <f t="shared" si="2"/>
        <v>132.33427627878473</v>
      </c>
      <c r="Q4" s="314">
        <f t="shared" si="2"/>
        <v>135.24563035691799</v>
      </c>
      <c r="R4" s="314">
        <f t="shared" si="2"/>
        <v>138.22103422477019</v>
      </c>
      <c r="S4" s="314">
        <f t="shared" si="2"/>
        <v>141.26189697771514</v>
      </c>
      <c r="T4" s="314">
        <f t="shared" si="2"/>
        <v>144.36965871122487</v>
      </c>
      <c r="U4" s="314">
        <f t="shared" si="2"/>
        <v>147.54579120287181</v>
      </c>
      <c r="V4" s="314">
        <f t="shared" si="2"/>
        <v>150.79179860933499</v>
      </c>
      <c r="W4" s="314">
        <f t="shared" si="2"/>
        <v>154.10921817874035</v>
      </c>
      <c r="X4" s="314">
        <f t="shared" si="2"/>
        <v>157.49962097867265</v>
      </c>
      <c r="Y4" s="314">
        <f t="shared" si="2"/>
        <v>160.96461264020346</v>
      </c>
      <c r="Z4" s="314">
        <f t="shared" si="2"/>
        <v>164.50583411828794</v>
      </c>
      <c r="AA4" s="314">
        <f t="shared" si="2"/>
        <v>168.12496246889026</v>
      </c>
      <c r="AB4" s="314">
        <f t="shared" si="2"/>
        <v>171.82371164320585</v>
      </c>
      <c r="AC4" s="314">
        <f t="shared" si="2"/>
        <v>175.60383329935638</v>
      </c>
      <c r="AD4" s="314">
        <f t="shared" si="2"/>
        <v>179.46711763194222</v>
      </c>
      <c r="AE4" s="314">
        <f t="shared" si="2"/>
        <v>183.41539421984496</v>
      </c>
      <c r="AF4" s="314">
        <f t="shared" si="2"/>
        <v>187.45053289268154</v>
      </c>
      <c r="AG4" s="314">
        <f t="shared" si="2"/>
        <v>191.57444461632053</v>
      </c>
      <c r="AH4" s="314">
        <f t="shared" si="2"/>
        <v>195.78908239787958</v>
      </c>
      <c r="AI4" s="314">
        <f t="shared" si="2"/>
        <v>200.09644221063294</v>
      </c>
      <c r="AJ4" s="314">
        <f t="shared" si="2"/>
        <v>204.49856393926686</v>
      </c>
      <c r="AK4" s="314">
        <f t="shared" si="2"/>
        <v>208.99753234593072</v>
      </c>
      <c r="AL4" s="314">
        <f t="shared" si="2"/>
        <v>213.59547805754121</v>
      </c>
      <c r="AM4" s="314">
        <f t="shared" ref="AM4:BR4" si="3">AL4*(1+AM2)</f>
        <v>218.29457857480713</v>
      </c>
      <c r="AN4" s="314">
        <f t="shared" si="3"/>
        <v>223.09705930345288</v>
      </c>
      <c r="AO4" s="314">
        <f t="shared" si="3"/>
        <v>228.00519460812885</v>
      </c>
      <c r="AP4" s="314">
        <f t="shared" si="3"/>
        <v>233.02130888950768</v>
      </c>
      <c r="AQ4" s="314">
        <f t="shared" si="3"/>
        <v>238.14777768507685</v>
      </c>
      <c r="AR4" s="314">
        <f t="shared" si="3"/>
        <v>243.38702879414853</v>
      </c>
      <c r="AS4" s="314">
        <f t="shared" si="3"/>
        <v>248.7415434276198</v>
      </c>
      <c r="AT4" s="314">
        <f t="shared" si="3"/>
        <v>254.21385738302743</v>
      </c>
      <c r="AU4" s="314">
        <f t="shared" si="3"/>
        <v>259.80656224545402</v>
      </c>
      <c r="AV4" s="314">
        <f t="shared" si="3"/>
        <v>265.52230661485402</v>
      </c>
      <c r="AW4" s="314">
        <f t="shared" si="3"/>
        <v>271.36379736038083</v>
      </c>
      <c r="AX4" s="314">
        <f t="shared" si="3"/>
        <v>277.33380090230924</v>
      </c>
      <c r="AY4" s="314">
        <f t="shared" si="3"/>
        <v>283.43514452216004</v>
      </c>
      <c r="AZ4" s="314">
        <f t="shared" si="3"/>
        <v>289.67071770164756</v>
      </c>
      <c r="BA4" s="314">
        <f t="shared" si="3"/>
        <v>296.04347349108383</v>
      </c>
      <c r="BB4" s="314">
        <f t="shared" si="3"/>
        <v>302.55642990788766</v>
      </c>
      <c r="BC4" s="314">
        <f t="shared" si="3"/>
        <v>309.21267136586118</v>
      </c>
      <c r="BD4" s="314">
        <f t="shared" si="3"/>
        <v>316.01535013591013</v>
      </c>
      <c r="BE4" s="314">
        <f t="shared" si="3"/>
        <v>322.96768783890013</v>
      </c>
      <c r="BF4" s="314">
        <f t="shared" si="3"/>
        <v>330.07297697135596</v>
      </c>
      <c r="BG4" s="314">
        <f t="shared" si="3"/>
        <v>337.33458246472577</v>
      </c>
      <c r="BH4" s="314">
        <f t="shared" si="3"/>
        <v>344.75594327894976</v>
      </c>
      <c r="BI4" s="314">
        <f t="shared" si="3"/>
        <v>352.34057403108665</v>
      </c>
      <c r="BJ4" s="314">
        <f t="shared" si="3"/>
        <v>360.09206665977058</v>
      </c>
      <c r="BK4" s="314">
        <f t="shared" si="3"/>
        <v>368.01409212628556</v>
      </c>
      <c r="BL4" s="314">
        <f t="shared" si="3"/>
        <v>376.11040215306383</v>
      </c>
      <c r="BM4" s="314">
        <f t="shared" si="3"/>
        <v>384.38483100043123</v>
      </c>
      <c r="BN4" s="314">
        <f t="shared" si="3"/>
        <v>392.84129728244073</v>
      </c>
      <c r="BO4" s="314">
        <f t="shared" si="3"/>
        <v>401.48380582265446</v>
      </c>
      <c r="BP4" s="314">
        <f t="shared" si="3"/>
        <v>410.31644955075285</v>
      </c>
      <c r="BQ4" s="314">
        <f t="shared" si="3"/>
        <v>419.34341144086943</v>
      </c>
      <c r="BR4" s="314">
        <f t="shared" si="3"/>
        <v>428.56896649256856</v>
      </c>
      <c r="BS4" s="314">
        <f t="shared" ref="BS4:BX4" si="4">BR4*(1+BS2)</f>
        <v>437.99748375540509</v>
      </c>
      <c r="BT4" s="314">
        <f t="shared" si="4"/>
        <v>447.63342839802402</v>
      </c>
      <c r="BU4" s="314">
        <f t="shared" si="4"/>
        <v>457.48136382278057</v>
      </c>
      <c r="BV4" s="314">
        <f t="shared" si="4"/>
        <v>467.54595382688177</v>
      </c>
      <c r="BW4" s="314">
        <f t="shared" si="4"/>
        <v>477.83196481107319</v>
      </c>
      <c r="BX4" s="314">
        <f t="shared" si="4"/>
        <v>488.34426803691679</v>
      </c>
    </row>
    <row r="5" spans="1:76">
      <c r="E5" s="387" t="s">
        <v>228</v>
      </c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314"/>
      <c r="AO5" s="314"/>
      <c r="AP5" s="314"/>
      <c r="AQ5" s="314"/>
      <c r="AR5" s="314"/>
      <c r="AS5" s="314"/>
      <c r="AT5" s="314"/>
      <c r="AU5" s="314"/>
      <c r="AV5" s="314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  <c r="BX5" s="314"/>
    </row>
    <row r="6" spans="1:76">
      <c r="F6" s="321"/>
      <c r="G6" s="321"/>
      <c r="H6" s="321"/>
    </row>
    <row r="7" spans="1:76">
      <c r="B7" s="259" t="str">
        <f>D7</f>
        <v>Net Capacity Factor (%)</v>
      </c>
      <c r="D7" s="259" t="str">
        <f>'DATA (Real)'!D3</f>
        <v>Net Capacity Factor (%)</v>
      </c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8"/>
      <c r="BG7" s="318"/>
      <c r="BH7" s="318"/>
      <c r="BI7" s="318"/>
      <c r="BJ7" s="318"/>
      <c r="BK7" s="318"/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18"/>
      <c r="BW7" s="318"/>
      <c r="BX7" s="318"/>
    </row>
    <row r="8" spans="1:76" hidden="1" outlineLevel="1">
      <c r="B8" s="349"/>
      <c r="C8" s="349" t="str">
        <f>'DATA (Real)'!C4</f>
        <v>Internal</v>
      </c>
      <c r="D8" s="349" t="str">
        <f>'DATA (Real)'!D4</f>
        <v>Net Capacity Factor (%)</v>
      </c>
      <c r="E8" s="349" t="str">
        <f>'DATA (Real)'!E4</f>
        <v>Wood Biomass</v>
      </c>
      <c r="F8" s="316">
        <f>'DATA (Real)'!F4</f>
        <v>0.5</v>
      </c>
      <c r="G8" s="316">
        <f>'DATA (Real)'!G4</f>
        <v>0.5</v>
      </c>
      <c r="H8" s="316">
        <f>'DATA (Real)'!H4</f>
        <v>0.5</v>
      </c>
      <c r="I8" s="316">
        <f>'DATA (Real)'!I4</f>
        <v>0.5</v>
      </c>
      <c r="J8" s="316">
        <f>'DATA (Real)'!J4</f>
        <v>0.5</v>
      </c>
      <c r="K8" s="316">
        <f>'DATA (Real)'!K4</f>
        <v>0.5</v>
      </c>
      <c r="L8" s="316">
        <f>'DATA (Real)'!L4</f>
        <v>0.5</v>
      </c>
      <c r="M8" s="316">
        <f>'DATA (Real)'!M4</f>
        <v>0.5</v>
      </c>
      <c r="N8" s="316">
        <f>'DATA (Real)'!N4</f>
        <v>0.5</v>
      </c>
      <c r="O8" s="316">
        <f>'DATA (Real)'!O4</f>
        <v>0.5</v>
      </c>
      <c r="P8" s="316">
        <f>'DATA (Real)'!P4</f>
        <v>0.5</v>
      </c>
      <c r="Q8" s="316">
        <f>'DATA (Real)'!Q4</f>
        <v>0.5</v>
      </c>
      <c r="R8" s="316">
        <f>'DATA (Real)'!R4</f>
        <v>0.5</v>
      </c>
      <c r="S8" s="316">
        <f>'DATA (Real)'!S4</f>
        <v>0.5</v>
      </c>
      <c r="T8" s="316">
        <f>'DATA (Real)'!T4</f>
        <v>0.5</v>
      </c>
      <c r="U8" s="316">
        <f>'DATA (Real)'!U4</f>
        <v>0.5</v>
      </c>
      <c r="V8" s="316">
        <f>'DATA (Real)'!V4</f>
        <v>0.5</v>
      </c>
      <c r="W8" s="316">
        <f>'DATA (Real)'!W4</f>
        <v>0.5</v>
      </c>
      <c r="X8" s="316">
        <f>'DATA (Real)'!X4</f>
        <v>0.5</v>
      </c>
      <c r="Y8" s="316">
        <f>'DATA (Real)'!Y4</f>
        <v>0.5</v>
      </c>
      <c r="Z8" s="316">
        <f>'DATA (Real)'!Z4</f>
        <v>0.5</v>
      </c>
      <c r="AA8" s="316">
        <f>'DATA (Real)'!AA4</f>
        <v>0.5</v>
      </c>
      <c r="AB8" s="316">
        <f>'DATA (Real)'!AB4</f>
        <v>0.5</v>
      </c>
      <c r="AC8" s="316">
        <f>'DATA (Real)'!AC4</f>
        <v>0.5</v>
      </c>
      <c r="AD8" s="316">
        <f>'DATA (Real)'!AD4</f>
        <v>0.5</v>
      </c>
      <c r="AE8" s="316">
        <f>'DATA (Real)'!AE4</f>
        <v>0.5</v>
      </c>
      <c r="AF8" s="316">
        <f>'DATA (Real)'!AF4</f>
        <v>0.5</v>
      </c>
      <c r="AG8" s="316">
        <f>'DATA (Real)'!AG4</f>
        <v>0.5</v>
      </c>
      <c r="AH8" s="316">
        <f>'DATA (Real)'!AH4</f>
        <v>0.5</v>
      </c>
      <c r="AI8" s="316">
        <f>'DATA (Real)'!AI4</f>
        <v>0.5</v>
      </c>
      <c r="AJ8" s="316">
        <f>'DATA (Real)'!AJ4</f>
        <v>0.5</v>
      </c>
      <c r="AK8" s="316">
        <f>'DATA (Real)'!AK4</f>
        <v>0.5</v>
      </c>
      <c r="AL8" s="316">
        <f>'DATA (Real)'!AL4</f>
        <v>0.5</v>
      </c>
      <c r="AM8" s="316">
        <f>'DATA (Real)'!AM4</f>
        <v>0.5</v>
      </c>
      <c r="AN8" s="316">
        <f>'DATA (Real)'!AN4</f>
        <v>0.5</v>
      </c>
      <c r="AO8" s="316">
        <f>'DATA (Real)'!AO4</f>
        <v>0.5</v>
      </c>
      <c r="AP8" s="316">
        <f>'DATA (Real)'!AP4</f>
        <v>0.5</v>
      </c>
      <c r="AQ8" s="316">
        <f>'DATA (Real)'!AQ4</f>
        <v>0.5</v>
      </c>
      <c r="AR8" s="316">
        <f>'DATA (Real)'!AR4</f>
        <v>0.5</v>
      </c>
      <c r="AS8" s="316">
        <f>'DATA (Real)'!AS4</f>
        <v>0.5</v>
      </c>
      <c r="AT8" s="316">
        <f>'DATA (Real)'!AT4</f>
        <v>0.5</v>
      </c>
      <c r="AU8" s="316">
        <f>'DATA (Real)'!AU4</f>
        <v>0.5</v>
      </c>
      <c r="AV8" s="316">
        <f>'DATA (Real)'!AV4</f>
        <v>0.5</v>
      </c>
      <c r="AW8" s="316">
        <f>'DATA (Real)'!AW4</f>
        <v>0.5</v>
      </c>
      <c r="AX8" s="316">
        <f>'DATA (Real)'!AX4</f>
        <v>0.5</v>
      </c>
      <c r="AY8" s="316">
        <f>'DATA (Real)'!AY4</f>
        <v>0.5</v>
      </c>
      <c r="AZ8" s="316">
        <f>'DATA (Real)'!AZ4</f>
        <v>0.5</v>
      </c>
      <c r="BA8" s="316">
        <f>'DATA (Real)'!BA4</f>
        <v>0.5</v>
      </c>
      <c r="BB8" s="316">
        <f>'DATA (Real)'!BB4</f>
        <v>0.5</v>
      </c>
      <c r="BC8" s="316">
        <f>'DATA (Real)'!BC4</f>
        <v>0.5</v>
      </c>
      <c r="BD8" s="316">
        <f>'DATA (Real)'!BD4</f>
        <v>0.5</v>
      </c>
      <c r="BE8" s="316">
        <f>'DATA (Real)'!BE4</f>
        <v>0.5</v>
      </c>
      <c r="BF8" s="316">
        <f>'DATA (Real)'!BF4</f>
        <v>0.5</v>
      </c>
      <c r="BG8" s="316">
        <f>'DATA (Real)'!BG4</f>
        <v>0.5</v>
      </c>
      <c r="BH8" s="316">
        <f>'DATA (Real)'!BH4</f>
        <v>0.5</v>
      </c>
      <c r="BI8" s="316">
        <f>'DATA (Real)'!BI4</f>
        <v>0.5</v>
      </c>
      <c r="BJ8" s="316">
        <f>'DATA (Real)'!BJ4</f>
        <v>0.5</v>
      </c>
      <c r="BK8" s="316">
        <f>'DATA (Real)'!BK4</f>
        <v>0.5</v>
      </c>
      <c r="BL8" s="316">
        <f>'DATA (Real)'!BL4</f>
        <v>0.5</v>
      </c>
      <c r="BM8" s="316">
        <f>'DATA (Real)'!BM4</f>
        <v>0.5</v>
      </c>
      <c r="BN8" s="316">
        <f>'DATA (Real)'!BN4</f>
        <v>0.5</v>
      </c>
      <c r="BO8" s="316">
        <f>'DATA (Real)'!BO4</f>
        <v>0.5</v>
      </c>
      <c r="BP8" s="316">
        <f>'DATA (Real)'!BP4</f>
        <v>0.5</v>
      </c>
      <c r="BQ8" s="316">
        <f>'DATA (Real)'!BQ4</f>
        <v>0.5</v>
      </c>
      <c r="BR8" s="316">
        <f>'DATA (Real)'!BR4</f>
        <v>0.5</v>
      </c>
      <c r="BS8" s="316">
        <f>'DATA (Real)'!BS4</f>
        <v>0.5</v>
      </c>
      <c r="BT8" s="316">
        <f>'DATA (Real)'!BT4</f>
        <v>0.5</v>
      </c>
      <c r="BU8" s="316">
        <f>'DATA (Real)'!BU4</f>
        <v>0.5</v>
      </c>
      <c r="BV8" s="316">
        <f>'DATA (Real)'!BV4</f>
        <v>0.5</v>
      </c>
      <c r="BW8" s="316">
        <f>'DATA (Real)'!BW4</f>
        <v>0.5</v>
      </c>
      <c r="BX8" s="316">
        <f>'DATA (Real)'!BX4</f>
        <v>0.5</v>
      </c>
    </row>
    <row r="9" spans="1:76" hidden="1" outlineLevel="1">
      <c r="B9" s="349"/>
      <c r="C9" s="349" t="str">
        <f>'DATA (Real)'!C5</f>
        <v>Internal</v>
      </c>
      <c r="D9" s="349" t="str">
        <f>'DATA (Real)'!D5</f>
        <v>Net Capacity Factor (%)</v>
      </c>
      <c r="E9" s="349" t="str">
        <f>'DATA (Real)'!E5</f>
        <v>Rathdrum CT 2055 Uprates two unit operation</v>
      </c>
      <c r="F9" s="316">
        <f>'DATA (Real)'!F5</f>
        <v>0.91324200913242004</v>
      </c>
      <c r="G9" s="316">
        <f>'DATA (Real)'!G5</f>
        <v>0.91324200913242004</v>
      </c>
      <c r="H9" s="316">
        <f>'DATA (Real)'!H5</f>
        <v>0.91324200913242004</v>
      </c>
      <c r="I9" s="316">
        <f>'DATA (Real)'!I5</f>
        <v>0.91324200913242004</v>
      </c>
      <c r="J9" s="316">
        <f>'DATA (Real)'!J5</f>
        <v>0.91324200913242004</v>
      </c>
      <c r="K9" s="316">
        <f>'DATA (Real)'!K5</f>
        <v>0.91324200913242004</v>
      </c>
      <c r="L9" s="316">
        <f>'DATA (Real)'!L5</f>
        <v>0.91324200913242004</v>
      </c>
      <c r="M9" s="316">
        <f>'DATA (Real)'!M5</f>
        <v>0.91324200913242004</v>
      </c>
      <c r="N9" s="316">
        <f>'DATA (Real)'!N5</f>
        <v>0.91324200913242004</v>
      </c>
      <c r="O9" s="316">
        <f>'DATA (Real)'!O5</f>
        <v>0.91324200913242004</v>
      </c>
      <c r="P9" s="316">
        <f>'DATA (Real)'!P5</f>
        <v>0.91324200913242004</v>
      </c>
      <c r="Q9" s="316">
        <f>'DATA (Real)'!Q5</f>
        <v>0.91324200913242004</v>
      </c>
      <c r="R9" s="316">
        <f>'DATA (Real)'!R5</f>
        <v>0.91324200913242004</v>
      </c>
      <c r="S9" s="316">
        <f>'DATA (Real)'!S5</f>
        <v>0.91324200913242004</v>
      </c>
      <c r="T9" s="316">
        <f>'DATA (Real)'!T5</f>
        <v>0.91324200913242004</v>
      </c>
      <c r="U9" s="316">
        <f>'DATA (Real)'!U5</f>
        <v>0.91324200913242004</v>
      </c>
      <c r="V9" s="316">
        <f>'DATA (Real)'!V5</f>
        <v>0.91324200913242004</v>
      </c>
      <c r="W9" s="316">
        <f>'DATA (Real)'!W5</f>
        <v>0.91324200913242004</v>
      </c>
      <c r="X9" s="316">
        <f>'DATA (Real)'!X5</f>
        <v>0.91324200913242004</v>
      </c>
      <c r="Y9" s="316">
        <f>'DATA (Real)'!Y5</f>
        <v>0.91324200913242004</v>
      </c>
      <c r="Z9" s="316">
        <f>'DATA (Real)'!Z5</f>
        <v>0.91324200913242004</v>
      </c>
      <c r="AA9" s="316">
        <f>'DATA (Real)'!AA5</f>
        <v>0.91324200913242004</v>
      </c>
      <c r="AB9" s="316">
        <f>'DATA (Real)'!AB5</f>
        <v>0.91324200913242004</v>
      </c>
      <c r="AC9" s="316">
        <f>'DATA (Real)'!AC5</f>
        <v>0.91324200913242004</v>
      </c>
      <c r="AD9" s="316">
        <f>'DATA (Real)'!AD5</f>
        <v>0.91324200913242004</v>
      </c>
      <c r="AE9" s="316">
        <f>'DATA (Real)'!AE5</f>
        <v>0.91324200913242004</v>
      </c>
      <c r="AF9" s="316">
        <f>'DATA (Real)'!AF5</f>
        <v>0.91324200913242004</v>
      </c>
      <c r="AG9" s="316">
        <f>'DATA (Real)'!AG5</f>
        <v>0.91324200913242004</v>
      </c>
      <c r="AH9" s="316">
        <f>'DATA (Real)'!AH5</f>
        <v>0.91324200913242004</v>
      </c>
      <c r="AI9" s="316">
        <f>'DATA (Real)'!AI5</f>
        <v>0.91324200913242004</v>
      </c>
      <c r="AJ9" s="316">
        <f>'DATA (Real)'!AJ5</f>
        <v>0.91324200913242004</v>
      </c>
      <c r="AK9" s="316">
        <f>'DATA (Real)'!AK5</f>
        <v>0.91324200913242004</v>
      </c>
      <c r="AL9" s="316">
        <f>'DATA (Real)'!AL5</f>
        <v>0.91324200913242004</v>
      </c>
      <c r="AM9" s="316">
        <f>'DATA (Real)'!AM5</f>
        <v>0.91324200913242004</v>
      </c>
      <c r="AN9" s="316">
        <f>'DATA (Real)'!AN5</f>
        <v>0.91324200913242004</v>
      </c>
      <c r="AO9" s="316">
        <f>'DATA (Real)'!AO5</f>
        <v>0.91324200913242004</v>
      </c>
      <c r="AP9" s="316">
        <f>'DATA (Real)'!AP5</f>
        <v>0.91324200913242004</v>
      </c>
      <c r="AQ9" s="316">
        <f>'DATA (Real)'!AQ5</f>
        <v>0.91324200913242004</v>
      </c>
      <c r="AR9" s="316">
        <f>'DATA (Real)'!AR5</f>
        <v>0.91324200913242004</v>
      </c>
      <c r="AS9" s="316">
        <f>'DATA (Real)'!AS5</f>
        <v>0.91324200913242004</v>
      </c>
      <c r="AT9" s="316">
        <f>'DATA (Real)'!AT5</f>
        <v>0.91324200913242004</v>
      </c>
      <c r="AU9" s="316">
        <f>'DATA (Real)'!AU5</f>
        <v>0.91324200913242004</v>
      </c>
      <c r="AV9" s="316">
        <f>'DATA (Real)'!AV5</f>
        <v>0.91324200913242004</v>
      </c>
      <c r="AW9" s="316">
        <f>'DATA (Real)'!AW5</f>
        <v>0.91324200913242004</v>
      </c>
      <c r="AX9" s="316">
        <f>'DATA (Real)'!AX5</f>
        <v>0.91324200913242004</v>
      </c>
      <c r="AY9" s="316">
        <f>'DATA (Real)'!AY5</f>
        <v>0.91324200913242004</v>
      </c>
      <c r="AZ9" s="316">
        <f>'DATA (Real)'!AZ5</f>
        <v>0.91324200913242004</v>
      </c>
      <c r="BA9" s="316">
        <f>'DATA (Real)'!BA5</f>
        <v>0.91324200913242004</v>
      </c>
      <c r="BB9" s="316">
        <f>'DATA (Real)'!BB5</f>
        <v>0.91324200913242004</v>
      </c>
      <c r="BC9" s="316">
        <f>'DATA (Real)'!BC5</f>
        <v>0.91324200913242004</v>
      </c>
      <c r="BD9" s="316">
        <f>'DATA (Real)'!BD5</f>
        <v>0.91324200913242004</v>
      </c>
      <c r="BE9" s="316">
        <f>'DATA (Real)'!BE5</f>
        <v>0.91324200913242004</v>
      </c>
      <c r="BF9" s="316">
        <f>'DATA (Real)'!BF5</f>
        <v>0.91324200913242004</v>
      </c>
      <c r="BG9" s="316">
        <f>'DATA (Real)'!BG5</f>
        <v>0.91324200913242004</v>
      </c>
      <c r="BH9" s="316">
        <f>'DATA (Real)'!BH5</f>
        <v>0.91324200913242004</v>
      </c>
      <c r="BI9" s="316">
        <f>'DATA (Real)'!BI5</f>
        <v>0.91324200913242004</v>
      </c>
      <c r="BJ9" s="316">
        <f>'DATA (Real)'!BJ5</f>
        <v>0.91324200913242004</v>
      </c>
      <c r="BK9" s="316">
        <f>'DATA (Real)'!BK5</f>
        <v>0.91324200913242004</v>
      </c>
      <c r="BL9" s="316">
        <f>'DATA (Real)'!BL5</f>
        <v>0.91324200913242004</v>
      </c>
      <c r="BM9" s="316">
        <f>'DATA (Real)'!BM5</f>
        <v>0.91324200913242004</v>
      </c>
      <c r="BN9" s="316">
        <f>'DATA (Real)'!BN5</f>
        <v>0.91324200913242004</v>
      </c>
      <c r="BO9" s="316">
        <f>'DATA (Real)'!BO5</f>
        <v>0.91324200913242004</v>
      </c>
      <c r="BP9" s="316">
        <f>'DATA (Real)'!BP5</f>
        <v>0.91324200913242004</v>
      </c>
      <c r="BQ9" s="316">
        <f>'DATA (Real)'!BQ5</f>
        <v>0.91324200913242004</v>
      </c>
      <c r="BR9" s="316">
        <f>'DATA (Real)'!BR5</f>
        <v>0.91324200913242004</v>
      </c>
      <c r="BS9" s="316">
        <f>'DATA (Real)'!BS5</f>
        <v>0.91324200913242004</v>
      </c>
      <c r="BT9" s="316">
        <f>'DATA (Real)'!BT5</f>
        <v>0.91324200913242004</v>
      </c>
      <c r="BU9" s="316">
        <f>'DATA (Real)'!BU5</f>
        <v>0.91324200913242004</v>
      </c>
      <c r="BV9" s="316">
        <f>'DATA (Real)'!BV5</f>
        <v>0.91324200913242004</v>
      </c>
      <c r="BW9" s="316">
        <f>'DATA (Real)'!BW5</f>
        <v>0.91324200913242004</v>
      </c>
      <c r="BX9" s="316">
        <f>'DATA (Real)'!BX5</f>
        <v>0.91324200913242004</v>
      </c>
    </row>
    <row r="10" spans="1:76" hidden="1" outlineLevel="1">
      <c r="B10" s="349"/>
      <c r="C10" s="349" t="str">
        <f>'DATA (Real)'!C6</f>
        <v>Internal</v>
      </c>
      <c r="D10" s="349" t="str">
        <f>'DATA (Real)'!D6</f>
        <v>Net Capacity Factor (%)</v>
      </c>
      <c r="E10" s="349" t="str">
        <f>'DATA (Real)'!E6</f>
        <v>Rathdrum CT: Inlet Evaporation 2 unit operation</v>
      </c>
      <c r="F10" s="316">
        <f>'DATA (Real)'!F6</f>
        <v>0.91324200913242004</v>
      </c>
      <c r="G10" s="316">
        <f>'DATA (Real)'!G6</f>
        <v>0.91324200913242004</v>
      </c>
      <c r="H10" s="316">
        <f>'DATA (Real)'!H6</f>
        <v>0.91324200913242004</v>
      </c>
      <c r="I10" s="316">
        <f>'DATA (Real)'!I6</f>
        <v>0.91324200913242004</v>
      </c>
      <c r="J10" s="316">
        <f>'DATA (Real)'!J6</f>
        <v>0.91324200913242004</v>
      </c>
      <c r="K10" s="316">
        <f>'DATA (Real)'!K6</f>
        <v>0.91324200913242004</v>
      </c>
      <c r="L10" s="316">
        <f>'DATA (Real)'!L6</f>
        <v>0.91324200913242004</v>
      </c>
      <c r="M10" s="316">
        <f>'DATA (Real)'!M6</f>
        <v>0.91324200913242004</v>
      </c>
      <c r="N10" s="316">
        <f>'DATA (Real)'!N6</f>
        <v>0.91324200913242004</v>
      </c>
      <c r="O10" s="316">
        <f>'DATA (Real)'!O6</f>
        <v>0.91324200913242004</v>
      </c>
      <c r="P10" s="316">
        <f>'DATA (Real)'!P6</f>
        <v>0.91324200913242004</v>
      </c>
      <c r="Q10" s="316">
        <f>'DATA (Real)'!Q6</f>
        <v>0.91324200913242004</v>
      </c>
      <c r="R10" s="316">
        <f>'DATA (Real)'!R6</f>
        <v>0.91324200913242004</v>
      </c>
      <c r="S10" s="316">
        <f>'DATA (Real)'!S6</f>
        <v>0.91324200913242004</v>
      </c>
      <c r="T10" s="316">
        <f>'DATA (Real)'!T6</f>
        <v>0.91324200913242004</v>
      </c>
      <c r="U10" s="316">
        <f>'DATA (Real)'!U6</f>
        <v>0.91324200913242004</v>
      </c>
      <c r="V10" s="316">
        <f>'DATA (Real)'!V6</f>
        <v>0.91324200913242004</v>
      </c>
      <c r="W10" s="316">
        <f>'DATA (Real)'!W6</f>
        <v>0.91324200913242004</v>
      </c>
      <c r="X10" s="316">
        <f>'DATA (Real)'!X6</f>
        <v>0.91324200913242004</v>
      </c>
      <c r="Y10" s="316">
        <f>'DATA (Real)'!Y6</f>
        <v>0.91324200913242004</v>
      </c>
      <c r="Z10" s="316">
        <f>'DATA (Real)'!Z6</f>
        <v>0.91324200913242004</v>
      </c>
      <c r="AA10" s="316">
        <f>'DATA (Real)'!AA6</f>
        <v>0.91324200913242004</v>
      </c>
      <c r="AB10" s="316">
        <f>'DATA (Real)'!AB6</f>
        <v>0.91324200913242004</v>
      </c>
      <c r="AC10" s="316">
        <f>'DATA (Real)'!AC6</f>
        <v>0.91324200913242004</v>
      </c>
      <c r="AD10" s="316">
        <f>'DATA (Real)'!AD6</f>
        <v>0.91324200913242004</v>
      </c>
      <c r="AE10" s="316">
        <f>'DATA (Real)'!AE6</f>
        <v>0.91324200913242004</v>
      </c>
      <c r="AF10" s="316">
        <f>'DATA (Real)'!AF6</f>
        <v>0.91324200913242004</v>
      </c>
      <c r="AG10" s="316">
        <f>'DATA (Real)'!AG6</f>
        <v>0.91324200913242004</v>
      </c>
      <c r="AH10" s="316">
        <f>'DATA (Real)'!AH6</f>
        <v>0.91324200913242004</v>
      </c>
      <c r="AI10" s="316">
        <f>'DATA (Real)'!AI6</f>
        <v>0.91324200913242004</v>
      </c>
      <c r="AJ10" s="316">
        <f>'DATA (Real)'!AJ6</f>
        <v>0.91324200913242004</v>
      </c>
      <c r="AK10" s="316">
        <f>'DATA (Real)'!AK6</f>
        <v>0.91324200913242004</v>
      </c>
      <c r="AL10" s="316">
        <f>'DATA (Real)'!AL6</f>
        <v>0.91324200913242004</v>
      </c>
      <c r="AM10" s="316">
        <f>'DATA (Real)'!AM6</f>
        <v>0.91324200913242004</v>
      </c>
      <c r="AN10" s="316">
        <f>'DATA (Real)'!AN6</f>
        <v>0.91324200913242004</v>
      </c>
      <c r="AO10" s="316">
        <f>'DATA (Real)'!AO6</f>
        <v>0.91324200913242004</v>
      </c>
      <c r="AP10" s="316">
        <f>'DATA (Real)'!AP6</f>
        <v>0.91324200913242004</v>
      </c>
      <c r="AQ10" s="316">
        <f>'DATA (Real)'!AQ6</f>
        <v>0.91324200913242004</v>
      </c>
      <c r="AR10" s="316">
        <f>'DATA (Real)'!AR6</f>
        <v>0.91324200913242004</v>
      </c>
      <c r="AS10" s="316">
        <f>'DATA (Real)'!AS6</f>
        <v>0.91324200913242004</v>
      </c>
      <c r="AT10" s="316">
        <f>'DATA (Real)'!AT6</f>
        <v>0.91324200913242004</v>
      </c>
      <c r="AU10" s="316">
        <f>'DATA (Real)'!AU6</f>
        <v>0.91324200913242004</v>
      </c>
      <c r="AV10" s="316">
        <f>'DATA (Real)'!AV6</f>
        <v>0.91324200913242004</v>
      </c>
      <c r="AW10" s="316">
        <f>'DATA (Real)'!AW6</f>
        <v>0.91324200913242004</v>
      </c>
      <c r="AX10" s="316">
        <f>'DATA (Real)'!AX6</f>
        <v>0.91324200913242004</v>
      </c>
      <c r="AY10" s="316">
        <f>'DATA (Real)'!AY6</f>
        <v>0.91324200913242004</v>
      </c>
      <c r="AZ10" s="316">
        <f>'DATA (Real)'!AZ6</f>
        <v>0.91324200913242004</v>
      </c>
      <c r="BA10" s="316">
        <f>'DATA (Real)'!BA6</f>
        <v>0.91324200913242004</v>
      </c>
      <c r="BB10" s="316">
        <f>'DATA (Real)'!BB6</f>
        <v>0.91324200913242004</v>
      </c>
      <c r="BC10" s="316">
        <f>'DATA (Real)'!BC6</f>
        <v>0.91324200913242004</v>
      </c>
      <c r="BD10" s="316">
        <f>'DATA (Real)'!BD6</f>
        <v>0.91324200913242004</v>
      </c>
      <c r="BE10" s="316">
        <f>'DATA (Real)'!BE6</f>
        <v>0.91324200913242004</v>
      </c>
      <c r="BF10" s="316">
        <f>'DATA (Real)'!BF6</f>
        <v>0.91324200913242004</v>
      </c>
      <c r="BG10" s="316">
        <f>'DATA (Real)'!BG6</f>
        <v>0.91324200913242004</v>
      </c>
      <c r="BH10" s="316">
        <f>'DATA (Real)'!BH6</f>
        <v>0.91324200913242004</v>
      </c>
      <c r="BI10" s="316">
        <f>'DATA (Real)'!BI6</f>
        <v>0.91324200913242004</v>
      </c>
      <c r="BJ10" s="316">
        <f>'DATA (Real)'!BJ6</f>
        <v>0.91324200913242004</v>
      </c>
      <c r="BK10" s="316">
        <f>'DATA (Real)'!BK6</f>
        <v>0.91324200913242004</v>
      </c>
      <c r="BL10" s="316">
        <f>'DATA (Real)'!BL6</f>
        <v>0.91324200913242004</v>
      </c>
      <c r="BM10" s="316">
        <f>'DATA (Real)'!BM6</f>
        <v>0.91324200913242004</v>
      </c>
      <c r="BN10" s="316">
        <f>'DATA (Real)'!BN6</f>
        <v>0.91324200913242004</v>
      </c>
      <c r="BO10" s="316">
        <f>'DATA (Real)'!BO6</f>
        <v>0.91324200913242004</v>
      </c>
      <c r="BP10" s="316">
        <f>'DATA (Real)'!BP6</f>
        <v>0.91324200913242004</v>
      </c>
      <c r="BQ10" s="316">
        <f>'DATA (Real)'!BQ6</f>
        <v>0.91324200913242004</v>
      </c>
      <c r="BR10" s="316">
        <f>'DATA (Real)'!BR6</f>
        <v>0.91324200913242004</v>
      </c>
      <c r="BS10" s="316">
        <f>'DATA (Real)'!BS6</f>
        <v>0.91324200913242004</v>
      </c>
      <c r="BT10" s="316">
        <f>'DATA (Real)'!BT6</f>
        <v>0.91324200913242004</v>
      </c>
      <c r="BU10" s="316">
        <f>'DATA (Real)'!BU6</f>
        <v>0.91324200913242004</v>
      </c>
      <c r="BV10" s="316">
        <f>'DATA (Real)'!BV6</f>
        <v>0.91324200913242004</v>
      </c>
      <c r="BW10" s="316">
        <f>'DATA (Real)'!BW6</f>
        <v>0.91324200913242004</v>
      </c>
      <c r="BX10" s="316">
        <f>'DATA (Real)'!BX6</f>
        <v>0.91324200913242004</v>
      </c>
    </row>
    <row r="11" spans="1:76" hidden="1" outlineLevel="1">
      <c r="A11" s="385"/>
      <c r="B11" s="352"/>
      <c r="C11" s="352" t="str">
        <f>'DATA (Real)'!C7</f>
        <v>Internal/NREL Residential PV - Class 8</v>
      </c>
      <c r="D11" s="352" t="str">
        <f>'DATA (Real)'!D7</f>
        <v>Net Capacity Factor (%)</v>
      </c>
      <c r="E11" s="352" t="str">
        <f>'DATA (Real)'!E7</f>
        <v>New Residential Solar</v>
      </c>
      <c r="F11" s="386">
        <f>'DATA (Real)'!F7/0.85</f>
        <v>0.16083976043705792</v>
      </c>
      <c r="G11" s="386">
        <f>'DATA (Real)'!G7/0.85</f>
        <v>0.16108822265895384</v>
      </c>
      <c r="H11" s="386">
        <f>'DATA (Real)'!H7/0.85</f>
        <v>0.16133668488084979</v>
      </c>
      <c r="I11" s="386">
        <f>'DATA (Real)'!I7/0.85</f>
        <v>0.16158514710274571</v>
      </c>
      <c r="J11" s="386">
        <f>'DATA (Real)'!J7/0.85</f>
        <v>0.16183360932464164</v>
      </c>
      <c r="K11" s="386">
        <f>'DATA (Real)'!K7/0.85</f>
        <v>0.16208207154653759</v>
      </c>
      <c r="L11" s="386">
        <f>'DATA (Real)'!L7/0.85</f>
        <v>0.16233053376843351</v>
      </c>
      <c r="M11" s="386">
        <f>'DATA (Real)'!M7/0.85</f>
        <v>0.16257899599032946</v>
      </c>
      <c r="N11" s="386">
        <f>'DATA (Real)'!N7/0.85</f>
        <v>0.16282745821222538</v>
      </c>
      <c r="O11" s="386">
        <f>'DATA (Real)'!O7/0.85</f>
        <v>0.16307592043412131</v>
      </c>
      <c r="P11" s="386">
        <f>'DATA (Real)'!P7/0.85</f>
        <v>0.1633243826560172</v>
      </c>
      <c r="Q11" s="386">
        <f>'DATA (Real)'!Q7/0.85</f>
        <v>0.16353526724576567</v>
      </c>
      <c r="R11" s="386">
        <f>'DATA (Real)'!R7/0.85</f>
        <v>0.16374615183551414</v>
      </c>
      <c r="S11" s="386">
        <f>'DATA (Real)'!S7/0.85</f>
        <v>0.1639570364252626</v>
      </c>
      <c r="T11" s="386">
        <f>'DATA (Real)'!T7/0.85</f>
        <v>0.1641679210150111</v>
      </c>
      <c r="U11" s="386">
        <f>'DATA (Real)'!U7/0.85</f>
        <v>0.16437880560475956</v>
      </c>
      <c r="V11" s="386">
        <f>'DATA (Real)'!V7/0.85</f>
        <v>0.16458969019450803</v>
      </c>
      <c r="W11" s="386">
        <f>'DATA (Real)'!W7/0.85</f>
        <v>0.16480057478425653</v>
      </c>
      <c r="X11" s="386">
        <f>'DATA (Real)'!X7/0.85</f>
        <v>0.16501145937400499</v>
      </c>
      <c r="Y11" s="386">
        <f>'DATA (Real)'!Y7/0.85</f>
        <v>0.16522234396375346</v>
      </c>
      <c r="Z11" s="386">
        <f>'DATA (Real)'!Z7/0.85</f>
        <v>0.16543322855350193</v>
      </c>
      <c r="AA11" s="386">
        <f>'DATA (Real)'!AA7/0.85</f>
        <v>0.16564411314325042</v>
      </c>
      <c r="AB11" s="386">
        <f>'DATA (Real)'!AB7/0.85</f>
        <v>0.16585499773299889</v>
      </c>
      <c r="AC11" s="386">
        <f>'DATA (Real)'!AC7/0.85</f>
        <v>0.16606588232274735</v>
      </c>
      <c r="AD11" s="386">
        <f>'DATA (Real)'!AD7/0.85</f>
        <v>0.16627676691249585</v>
      </c>
      <c r="AE11" s="386">
        <f>'DATA (Real)'!AE7/0.85</f>
        <v>0.16648765150224432</v>
      </c>
      <c r="AF11" s="386">
        <f>'DATA (Real)'!AF7/0.85</f>
        <v>0.16669853609199278</v>
      </c>
      <c r="AG11" s="386">
        <f>'DATA (Real)'!AG7/0.85</f>
        <v>0.16690942068174128</v>
      </c>
      <c r="AH11" s="386">
        <f>'DATA (Real)'!AH7/0.85</f>
        <v>0.16712030527148974</v>
      </c>
      <c r="AI11" s="386">
        <f>'DATA (Real)'!AI7/0.85</f>
        <v>0.16733118986123821</v>
      </c>
      <c r="AJ11" s="386">
        <f>'DATA (Real)'!AJ7/0.85</f>
        <v>0.16754207445098646</v>
      </c>
      <c r="AK11" s="386">
        <f>'DATA (Real)'!AK7/0.85</f>
        <v>0.16787715859988842</v>
      </c>
      <c r="AL11" s="386">
        <f>'DATA (Real)'!AL7/0.85</f>
        <v>0.1682129129170882</v>
      </c>
      <c r="AM11" s="386">
        <f>'DATA (Real)'!AM7/0.85</f>
        <v>0.16854933874292238</v>
      </c>
      <c r="AN11" s="386">
        <f>'DATA (Real)'!AN7/0.85</f>
        <v>0.16888643742040821</v>
      </c>
      <c r="AO11" s="386">
        <f>'DATA (Real)'!AO7/0.85</f>
        <v>0.16922421029524903</v>
      </c>
      <c r="AP11" s="386">
        <f>'DATA (Real)'!AP7/0.85</f>
        <v>0.16956265871583953</v>
      </c>
      <c r="AQ11" s="386">
        <f>'DATA (Real)'!AQ7/0.85</f>
        <v>0.16990178403327119</v>
      </c>
      <c r="AR11" s="386">
        <f>'DATA (Real)'!AR7/0.85</f>
        <v>0.17024158760133776</v>
      </c>
      <c r="AS11" s="386">
        <f>'DATA (Real)'!AS7/0.85</f>
        <v>0.17058207077654042</v>
      </c>
      <c r="AT11" s="386">
        <f>'DATA (Real)'!AT7/0.85</f>
        <v>0.1709232349180935</v>
      </c>
      <c r="AU11" s="386">
        <f>'DATA (Real)'!AU7/0.85</f>
        <v>0.1712650813879297</v>
      </c>
      <c r="AV11" s="386">
        <f>'DATA (Real)'!AV7/0.85</f>
        <v>0.17160761155070556</v>
      </c>
      <c r="AW11" s="386">
        <f>'DATA (Real)'!AW7/0.85</f>
        <v>0.17195082677380696</v>
      </c>
      <c r="AX11" s="386">
        <f>'DATA (Real)'!AX7/0.85</f>
        <v>0.17229472842735458</v>
      </c>
      <c r="AY11" s="386">
        <f>'DATA (Real)'!AY7/0.85</f>
        <v>0.17263931788420928</v>
      </c>
      <c r="AZ11" s="386">
        <f>'DATA (Real)'!AZ7/0.85</f>
        <v>0.17298459651997769</v>
      </c>
      <c r="BA11" s="386">
        <f>'DATA (Real)'!BA7/0.85</f>
        <v>0.17333056571301764</v>
      </c>
      <c r="BB11" s="386">
        <f>'DATA (Real)'!BB7/0.85</f>
        <v>0.17367722684444367</v>
      </c>
      <c r="BC11" s="386">
        <f>'DATA (Real)'!BC7/0.85</f>
        <v>0.17402458129813259</v>
      </c>
      <c r="BD11" s="386">
        <f>'DATA (Real)'!BD7/0.85</f>
        <v>0.17437263046072884</v>
      </c>
      <c r="BE11" s="386">
        <f>'DATA (Real)'!BE7/0.85</f>
        <v>0.17472137572165031</v>
      </c>
      <c r="BF11" s="386">
        <f>'DATA (Real)'!BF7/0.85</f>
        <v>0.17507081847309361</v>
      </c>
      <c r="BG11" s="386">
        <f>'DATA (Real)'!BG7/0.85</f>
        <v>0.1754209601100398</v>
      </c>
      <c r="BH11" s="386">
        <f>'DATA (Real)'!BH7/0.85</f>
        <v>0.17577180203025988</v>
      </c>
      <c r="BI11" s="386">
        <f>'DATA (Real)'!BI7/0.85</f>
        <v>0.17612334563432042</v>
      </c>
      <c r="BJ11" s="386">
        <f>'DATA (Real)'!BJ7/0.85</f>
        <v>0.17647559232558907</v>
      </c>
      <c r="BK11" s="386">
        <f>'DATA (Real)'!BK7/0.85</f>
        <v>0.17682854351024024</v>
      </c>
      <c r="BL11" s="386">
        <f>'DATA (Real)'!BL7/0.85</f>
        <v>0.17718220059726073</v>
      </c>
      <c r="BM11" s="386">
        <f>'DATA (Real)'!BM7/0.85</f>
        <v>0.17753656499845524</v>
      </c>
      <c r="BN11" s="386">
        <f>'DATA (Real)'!BN7/0.85</f>
        <v>0.17789163812845216</v>
      </c>
      <c r="BO11" s="386">
        <f>'DATA (Real)'!BO7/0.85</f>
        <v>0.17824742140470909</v>
      </c>
      <c r="BP11" s="386">
        <f>'DATA (Real)'!BP7/0.85</f>
        <v>0.17860391624751851</v>
      </c>
      <c r="BQ11" s="386">
        <f>'DATA (Real)'!BQ7/0.85</f>
        <v>0.17896112408001355</v>
      </c>
      <c r="BR11" s="386">
        <f>'DATA (Real)'!BR7/0.85</f>
        <v>0.17931904632817361</v>
      </c>
      <c r="BS11" s="386">
        <f>'DATA (Real)'!BS7/0.85</f>
        <v>0.17967768442082993</v>
      </c>
      <c r="BT11" s="386">
        <f>'DATA (Real)'!BT7/0.85</f>
        <v>0.18003703978967159</v>
      </c>
      <c r="BU11" s="386">
        <f>'DATA (Real)'!BU7/0.85</f>
        <v>0.18039711386925092</v>
      </c>
      <c r="BV11" s="386">
        <f>'DATA (Real)'!BV7/0.85</f>
        <v>0.18075790809698941</v>
      </c>
      <c r="BW11" s="386">
        <f>'DATA (Real)'!BW7/0.85</f>
        <v>0.18111942391318339</v>
      </c>
      <c r="BX11" s="386">
        <f>'DATA (Real)'!BX7/0.85</f>
        <v>0.18148166276100977</v>
      </c>
    </row>
    <row r="12" spans="1:76" hidden="1" outlineLevel="1">
      <c r="B12" s="352"/>
      <c r="C12" s="352" t="str">
        <f>'DATA (Real)'!C8</f>
        <v>Internal/NREL Residential PV - Class 8</v>
      </c>
      <c r="D12" s="352" t="str">
        <f>'DATA (Real)'!D8</f>
        <v>Net Capacity Factor (%)</v>
      </c>
      <c r="E12" s="352" t="str">
        <f>'DATA (Real)'!E8</f>
        <v>New Residential Solar + Storage (Solar Only)</v>
      </c>
      <c r="F12" s="386">
        <f>F11</f>
        <v>0.16083976043705792</v>
      </c>
      <c r="G12" s="386">
        <f t="shared" ref="G12:BR12" si="5">G11</f>
        <v>0.16108822265895384</v>
      </c>
      <c r="H12" s="386">
        <f t="shared" si="5"/>
        <v>0.16133668488084979</v>
      </c>
      <c r="I12" s="386">
        <f t="shared" si="5"/>
        <v>0.16158514710274571</v>
      </c>
      <c r="J12" s="386">
        <f t="shared" si="5"/>
        <v>0.16183360932464164</v>
      </c>
      <c r="K12" s="386">
        <f t="shared" si="5"/>
        <v>0.16208207154653759</v>
      </c>
      <c r="L12" s="386">
        <f t="shared" si="5"/>
        <v>0.16233053376843351</v>
      </c>
      <c r="M12" s="386">
        <f t="shared" si="5"/>
        <v>0.16257899599032946</v>
      </c>
      <c r="N12" s="386">
        <f t="shared" si="5"/>
        <v>0.16282745821222538</v>
      </c>
      <c r="O12" s="386">
        <f t="shared" si="5"/>
        <v>0.16307592043412131</v>
      </c>
      <c r="P12" s="386">
        <f t="shared" si="5"/>
        <v>0.1633243826560172</v>
      </c>
      <c r="Q12" s="386">
        <f t="shared" si="5"/>
        <v>0.16353526724576567</v>
      </c>
      <c r="R12" s="386">
        <f t="shared" si="5"/>
        <v>0.16374615183551414</v>
      </c>
      <c r="S12" s="386">
        <f t="shared" si="5"/>
        <v>0.1639570364252626</v>
      </c>
      <c r="T12" s="386">
        <f t="shared" si="5"/>
        <v>0.1641679210150111</v>
      </c>
      <c r="U12" s="386">
        <f t="shared" si="5"/>
        <v>0.16437880560475956</v>
      </c>
      <c r="V12" s="386">
        <f t="shared" si="5"/>
        <v>0.16458969019450803</v>
      </c>
      <c r="W12" s="386">
        <f t="shared" si="5"/>
        <v>0.16480057478425653</v>
      </c>
      <c r="X12" s="386">
        <f t="shared" si="5"/>
        <v>0.16501145937400499</v>
      </c>
      <c r="Y12" s="386">
        <f t="shared" si="5"/>
        <v>0.16522234396375346</v>
      </c>
      <c r="Z12" s="386">
        <f t="shared" si="5"/>
        <v>0.16543322855350193</v>
      </c>
      <c r="AA12" s="386">
        <f t="shared" si="5"/>
        <v>0.16564411314325042</v>
      </c>
      <c r="AB12" s="386">
        <f t="shared" si="5"/>
        <v>0.16585499773299889</v>
      </c>
      <c r="AC12" s="386">
        <f t="shared" si="5"/>
        <v>0.16606588232274735</v>
      </c>
      <c r="AD12" s="386">
        <f t="shared" si="5"/>
        <v>0.16627676691249585</v>
      </c>
      <c r="AE12" s="386">
        <f t="shared" si="5"/>
        <v>0.16648765150224432</v>
      </c>
      <c r="AF12" s="386">
        <f t="shared" si="5"/>
        <v>0.16669853609199278</v>
      </c>
      <c r="AG12" s="386">
        <f t="shared" si="5"/>
        <v>0.16690942068174128</v>
      </c>
      <c r="AH12" s="386">
        <f t="shared" si="5"/>
        <v>0.16712030527148974</v>
      </c>
      <c r="AI12" s="386">
        <f t="shared" si="5"/>
        <v>0.16733118986123821</v>
      </c>
      <c r="AJ12" s="386">
        <f t="shared" si="5"/>
        <v>0.16754207445098646</v>
      </c>
      <c r="AK12" s="386">
        <f t="shared" si="5"/>
        <v>0.16787715859988842</v>
      </c>
      <c r="AL12" s="386">
        <f t="shared" si="5"/>
        <v>0.1682129129170882</v>
      </c>
      <c r="AM12" s="386">
        <f t="shared" si="5"/>
        <v>0.16854933874292238</v>
      </c>
      <c r="AN12" s="386">
        <f t="shared" si="5"/>
        <v>0.16888643742040821</v>
      </c>
      <c r="AO12" s="386">
        <f t="shared" si="5"/>
        <v>0.16922421029524903</v>
      </c>
      <c r="AP12" s="386">
        <f t="shared" si="5"/>
        <v>0.16956265871583953</v>
      </c>
      <c r="AQ12" s="386">
        <f t="shared" si="5"/>
        <v>0.16990178403327119</v>
      </c>
      <c r="AR12" s="386">
        <f t="shared" si="5"/>
        <v>0.17024158760133776</v>
      </c>
      <c r="AS12" s="386">
        <f t="shared" si="5"/>
        <v>0.17058207077654042</v>
      </c>
      <c r="AT12" s="386">
        <f t="shared" si="5"/>
        <v>0.1709232349180935</v>
      </c>
      <c r="AU12" s="386">
        <f t="shared" si="5"/>
        <v>0.1712650813879297</v>
      </c>
      <c r="AV12" s="386">
        <f t="shared" si="5"/>
        <v>0.17160761155070556</v>
      </c>
      <c r="AW12" s="386">
        <f t="shared" si="5"/>
        <v>0.17195082677380696</v>
      </c>
      <c r="AX12" s="386">
        <f t="shared" si="5"/>
        <v>0.17229472842735458</v>
      </c>
      <c r="AY12" s="386">
        <f t="shared" si="5"/>
        <v>0.17263931788420928</v>
      </c>
      <c r="AZ12" s="386">
        <f t="shared" si="5"/>
        <v>0.17298459651997769</v>
      </c>
      <c r="BA12" s="386">
        <f t="shared" si="5"/>
        <v>0.17333056571301764</v>
      </c>
      <c r="BB12" s="386">
        <f t="shared" si="5"/>
        <v>0.17367722684444367</v>
      </c>
      <c r="BC12" s="386">
        <f t="shared" si="5"/>
        <v>0.17402458129813259</v>
      </c>
      <c r="BD12" s="386">
        <f t="shared" si="5"/>
        <v>0.17437263046072884</v>
      </c>
      <c r="BE12" s="386">
        <f t="shared" si="5"/>
        <v>0.17472137572165031</v>
      </c>
      <c r="BF12" s="386">
        <f t="shared" si="5"/>
        <v>0.17507081847309361</v>
      </c>
      <c r="BG12" s="386">
        <f t="shared" si="5"/>
        <v>0.1754209601100398</v>
      </c>
      <c r="BH12" s="386">
        <f t="shared" si="5"/>
        <v>0.17577180203025988</v>
      </c>
      <c r="BI12" s="386">
        <f t="shared" si="5"/>
        <v>0.17612334563432042</v>
      </c>
      <c r="BJ12" s="386">
        <f t="shared" si="5"/>
        <v>0.17647559232558907</v>
      </c>
      <c r="BK12" s="386">
        <f t="shared" si="5"/>
        <v>0.17682854351024024</v>
      </c>
      <c r="BL12" s="386">
        <f t="shared" si="5"/>
        <v>0.17718220059726073</v>
      </c>
      <c r="BM12" s="386">
        <f t="shared" si="5"/>
        <v>0.17753656499845524</v>
      </c>
      <c r="BN12" s="386">
        <f t="shared" si="5"/>
        <v>0.17789163812845216</v>
      </c>
      <c r="BO12" s="386">
        <f t="shared" si="5"/>
        <v>0.17824742140470909</v>
      </c>
      <c r="BP12" s="386">
        <f t="shared" si="5"/>
        <v>0.17860391624751851</v>
      </c>
      <c r="BQ12" s="386">
        <f t="shared" si="5"/>
        <v>0.17896112408001355</v>
      </c>
      <c r="BR12" s="386">
        <f t="shared" si="5"/>
        <v>0.17931904632817361</v>
      </c>
      <c r="BS12" s="386">
        <f t="shared" ref="BS12:BX12" si="6">BS11</f>
        <v>0.17967768442082993</v>
      </c>
      <c r="BT12" s="386">
        <f t="shared" si="6"/>
        <v>0.18003703978967159</v>
      </c>
      <c r="BU12" s="386">
        <f t="shared" si="6"/>
        <v>0.18039711386925092</v>
      </c>
      <c r="BV12" s="386">
        <f t="shared" si="6"/>
        <v>0.18075790809698941</v>
      </c>
      <c r="BW12" s="386">
        <f t="shared" si="6"/>
        <v>0.18111942391318339</v>
      </c>
      <c r="BX12" s="386">
        <f t="shared" si="6"/>
        <v>0.18148166276100977</v>
      </c>
    </row>
    <row r="13" spans="1:76" hidden="1" outlineLevel="1">
      <c r="B13" s="352"/>
      <c r="C13" s="352" t="str">
        <f>'DATA (Real)'!C9</f>
        <v>Internal/NREL Residential PV - Class 8</v>
      </c>
      <c r="D13" s="352" t="str">
        <f>'DATA (Real)'!D9</f>
        <v>Net Capacity Factor (%)</v>
      </c>
      <c r="E13" s="352" t="str">
        <f>'DATA (Real)'!E9</f>
        <v>Existing Residential Solar</v>
      </c>
      <c r="F13" s="386">
        <f>F11</f>
        <v>0.16083976043705792</v>
      </c>
      <c r="G13" s="386">
        <f t="shared" ref="G13:BR13" si="7">G11</f>
        <v>0.16108822265895384</v>
      </c>
      <c r="H13" s="386">
        <f t="shared" si="7"/>
        <v>0.16133668488084979</v>
      </c>
      <c r="I13" s="386">
        <f t="shared" si="7"/>
        <v>0.16158514710274571</v>
      </c>
      <c r="J13" s="386">
        <f t="shared" si="7"/>
        <v>0.16183360932464164</v>
      </c>
      <c r="K13" s="386">
        <f t="shared" si="7"/>
        <v>0.16208207154653759</v>
      </c>
      <c r="L13" s="386">
        <f t="shared" si="7"/>
        <v>0.16233053376843351</v>
      </c>
      <c r="M13" s="386">
        <f t="shared" si="7"/>
        <v>0.16257899599032946</v>
      </c>
      <c r="N13" s="386">
        <f t="shared" si="7"/>
        <v>0.16282745821222538</v>
      </c>
      <c r="O13" s="386">
        <f t="shared" si="7"/>
        <v>0.16307592043412131</v>
      </c>
      <c r="P13" s="386">
        <f t="shared" si="7"/>
        <v>0.1633243826560172</v>
      </c>
      <c r="Q13" s="386">
        <f t="shared" si="7"/>
        <v>0.16353526724576567</v>
      </c>
      <c r="R13" s="386">
        <f t="shared" si="7"/>
        <v>0.16374615183551414</v>
      </c>
      <c r="S13" s="386">
        <f t="shared" si="7"/>
        <v>0.1639570364252626</v>
      </c>
      <c r="T13" s="386">
        <f t="shared" si="7"/>
        <v>0.1641679210150111</v>
      </c>
      <c r="U13" s="386">
        <f t="shared" si="7"/>
        <v>0.16437880560475956</v>
      </c>
      <c r="V13" s="386">
        <f t="shared" si="7"/>
        <v>0.16458969019450803</v>
      </c>
      <c r="W13" s="386">
        <f t="shared" si="7"/>
        <v>0.16480057478425653</v>
      </c>
      <c r="X13" s="386">
        <f t="shared" si="7"/>
        <v>0.16501145937400499</v>
      </c>
      <c r="Y13" s="386">
        <f t="shared" si="7"/>
        <v>0.16522234396375346</v>
      </c>
      <c r="Z13" s="386">
        <f t="shared" si="7"/>
        <v>0.16543322855350193</v>
      </c>
      <c r="AA13" s="386">
        <f t="shared" si="7"/>
        <v>0.16564411314325042</v>
      </c>
      <c r="AB13" s="386">
        <f t="shared" si="7"/>
        <v>0.16585499773299889</v>
      </c>
      <c r="AC13" s="386">
        <f t="shared" si="7"/>
        <v>0.16606588232274735</v>
      </c>
      <c r="AD13" s="386">
        <f t="shared" si="7"/>
        <v>0.16627676691249585</v>
      </c>
      <c r="AE13" s="386">
        <f t="shared" si="7"/>
        <v>0.16648765150224432</v>
      </c>
      <c r="AF13" s="386">
        <f t="shared" si="7"/>
        <v>0.16669853609199278</v>
      </c>
      <c r="AG13" s="386">
        <f t="shared" si="7"/>
        <v>0.16690942068174128</v>
      </c>
      <c r="AH13" s="386">
        <f t="shared" si="7"/>
        <v>0.16712030527148974</v>
      </c>
      <c r="AI13" s="386">
        <f t="shared" si="7"/>
        <v>0.16733118986123821</v>
      </c>
      <c r="AJ13" s="386">
        <f t="shared" si="7"/>
        <v>0.16754207445098646</v>
      </c>
      <c r="AK13" s="386">
        <f t="shared" si="7"/>
        <v>0.16787715859988842</v>
      </c>
      <c r="AL13" s="386">
        <f t="shared" si="7"/>
        <v>0.1682129129170882</v>
      </c>
      <c r="AM13" s="386">
        <f t="shared" si="7"/>
        <v>0.16854933874292238</v>
      </c>
      <c r="AN13" s="386">
        <f t="shared" si="7"/>
        <v>0.16888643742040821</v>
      </c>
      <c r="AO13" s="386">
        <f t="shared" si="7"/>
        <v>0.16922421029524903</v>
      </c>
      <c r="AP13" s="386">
        <f t="shared" si="7"/>
        <v>0.16956265871583953</v>
      </c>
      <c r="AQ13" s="386">
        <f t="shared" si="7"/>
        <v>0.16990178403327119</v>
      </c>
      <c r="AR13" s="386">
        <f t="shared" si="7"/>
        <v>0.17024158760133776</v>
      </c>
      <c r="AS13" s="386">
        <f t="shared" si="7"/>
        <v>0.17058207077654042</v>
      </c>
      <c r="AT13" s="386">
        <f t="shared" si="7"/>
        <v>0.1709232349180935</v>
      </c>
      <c r="AU13" s="386">
        <f t="shared" si="7"/>
        <v>0.1712650813879297</v>
      </c>
      <c r="AV13" s="386">
        <f t="shared" si="7"/>
        <v>0.17160761155070556</v>
      </c>
      <c r="AW13" s="386">
        <f t="shared" si="7"/>
        <v>0.17195082677380696</v>
      </c>
      <c r="AX13" s="386">
        <f t="shared" si="7"/>
        <v>0.17229472842735458</v>
      </c>
      <c r="AY13" s="386">
        <f t="shared" si="7"/>
        <v>0.17263931788420928</v>
      </c>
      <c r="AZ13" s="386">
        <f t="shared" si="7"/>
        <v>0.17298459651997769</v>
      </c>
      <c r="BA13" s="386">
        <f t="shared" si="7"/>
        <v>0.17333056571301764</v>
      </c>
      <c r="BB13" s="386">
        <f t="shared" si="7"/>
        <v>0.17367722684444367</v>
      </c>
      <c r="BC13" s="386">
        <f t="shared" si="7"/>
        <v>0.17402458129813259</v>
      </c>
      <c r="BD13" s="386">
        <f t="shared" si="7"/>
        <v>0.17437263046072884</v>
      </c>
      <c r="BE13" s="386">
        <f t="shared" si="7"/>
        <v>0.17472137572165031</v>
      </c>
      <c r="BF13" s="386">
        <f t="shared" si="7"/>
        <v>0.17507081847309361</v>
      </c>
      <c r="BG13" s="386">
        <f t="shared" si="7"/>
        <v>0.1754209601100398</v>
      </c>
      <c r="BH13" s="386">
        <f t="shared" si="7"/>
        <v>0.17577180203025988</v>
      </c>
      <c r="BI13" s="386">
        <f t="shared" si="7"/>
        <v>0.17612334563432042</v>
      </c>
      <c r="BJ13" s="386">
        <f t="shared" si="7"/>
        <v>0.17647559232558907</v>
      </c>
      <c r="BK13" s="386">
        <f t="shared" si="7"/>
        <v>0.17682854351024024</v>
      </c>
      <c r="BL13" s="386">
        <f t="shared" si="7"/>
        <v>0.17718220059726073</v>
      </c>
      <c r="BM13" s="386">
        <f t="shared" si="7"/>
        <v>0.17753656499845524</v>
      </c>
      <c r="BN13" s="386">
        <f t="shared" si="7"/>
        <v>0.17789163812845216</v>
      </c>
      <c r="BO13" s="386">
        <f t="shared" si="7"/>
        <v>0.17824742140470909</v>
      </c>
      <c r="BP13" s="386">
        <f t="shared" si="7"/>
        <v>0.17860391624751851</v>
      </c>
      <c r="BQ13" s="386">
        <f t="shared" si="7"/>
        <v>0.17896112408001355</v>
      </c>
      <c r="BR13" s="386">
        <f t="shared" si="7"/>
        <v>0.17931904632817361</v>
      </c>
      <c r="BS13" s="386">
        <f t="shared" ref="BS13:BX13" si="8">BS11</f>
        <v>0.17967768442082993</v>
      </c>
      <c r="BT13" s="386">
        <f t="shared" si="8"/>
        <v>0.18003703978967159</v>
      </c>
      <c r="BU13" s="386">
        <f t="shared" si="8"/>
        <v>0.18039711386925092</v>
      </c>
      <c r="BV13" s="386">
        <f t="shared" si="8"/>
        <v>0.18075790809698941</v>
      </c>
      <c r="BW13" s="386">
        <f t="shared" si="8"/>
        <v>0.18111942391318339</v>
      </c>
      <c r="BX13" s="386">
        <f t="shared" si="8"/>
        <v>0.18148166276100977</v>
      </c>
    </row>
    <row r="14" spans="1:76" hidden="1" outlineLevel="1">
      <c r="B14" s="352"/>
      <c r="C14" s="352" t="str">
        <f>'DATA (Real)'!C10</f>
        <v>Internal/NREL Residential PV - Class 8</v>
      </c>
      <c r="D14" s="352" t="str">
        <f>'DATA (Real)'!D10</f>
        <v>Net Capacity Factor (%)</v>
      </c>
      <c r="E14" s="352" t="str">
        <f>'DATA (Real)'!E10</f>
        <v>Existing Residential Solar + Storage (Solar Only)</v>
      </c>
      <c r="F14" s="386">
        <f>F13</f>
        <v>0.16083976043705792</v>
      </c>
      <c r="G14" s="386">
        <f t="shared" ref="G14:BR14" si="9">G13</f>
        <v>0.16108822265895384</v>
      </c>
      <c r="H14" s="386">
        <f t="shared" si="9"/>
        <v>0.16133668488084979</v>
      </c>
      <c r="I14" s="386">
        <f t="shared" si="9"/>
        <v>0.16158514710274571</v>
      </c>
      <c r="J14" s="386">
        <f t="shared" si="9"/>
        <v>0.16183360932464164</v>
      </c>
      <c r="K14" s="386">
        <f t="shared" si="9"/>
        <v>0.16208207154653759</v>
      </c>
      <c r="L14" s="386">
        <f t="shared" si="9"/>
        <v>0.16233053376843351</v>
      </c>
      <c r="M14" s="386">
        <f t="shared" si="9"/>
        <v>0.16257899599032946</v>
      </c>
      <c r="N14" s="386">
        <f t="shared" si="9"/>
        <v>0.16282745821222538</v>
      </c>
      <c r="O14" s="386">
        <f t="shared" si="9"/>
        <v>0.16307592043412131</v>
      </c>
      <c r="P14" s="386">
        <f t="shared" si="9"/>
        <v>0.1633243826560172</v>
      </c>
      <c r="Q14" s="386">
        <f t="shared" si="9"/>
        <v>0.16353526724576567</v>
      </c>
      <c r="R14" s="386">
        <f t="shared" si="9"/>
        <v>0.16374615183551414</v>
      </c>
      <c r="S14" s="386">
        <f t="shared" si="9"/>
        <v>0.1639570364252626</v>
      </c>
      <c r="T14" s="386">
        <f t="shared" si="9"/>
        <v>0.1641679210150111</v>
      </c>
      <c r="U14" s="386">
        <f t="shared" si="9"/>
        <v>0.16437880560475956</v>
      </c>
      <c r="V14" s="386">
        <f t="shared" si="9"/>
        <v>0.16458969019450803</v>
      </c>
      <c r="W14" s="386">
        <f t="shared" si="9"/>
        <v>0.16480057478425653</v>
      </c>
      <c r="X14" s="386">
        <f t="shared" si="9"/>
        <v>0.16501145937400499</v>
      </c>
      <c r="Y14" s="386">
        <f t="shared" si="9"/>
        <v>0.16522234396375346</v>
      </c>
      <c r="Z14" s="386">
        <f t="shared" si="9"/>
        <v>0.16543322855350193</v>
      </c>
      <c r="AA14" s="386">
        <f t="shared" si="9"/>
        <v>0.16564411314325042</v>
      </c>
      <c r="AB14" s="386">
        <f t="shared" si="9"/>
        <v>0.16585499773299889</v>
      </c>
      <c r="AC14" s="386">
        <f t="shared" si="9"/>
        <v>0.16606588232274735</v>
      </c>
      <c r="AD14" s="386">
        <f t="shared" si="9"/>
        <v>0.16627676691249585</v>
      </c>
      <c r="AE14" s="386">
        <f t="shared" si="9"/>
        <v>0.16648765150224432</v>
      </c>
      <c r="AF14" s="386">
        <f t="shared" si="9"/>
        <v>0.16669853609199278</v>
      </c>
      <c r="AG14" s="386">
        <f t="shared" si="9"/>
        <v>0.16690942068174128</v>
      </c>
      <c r="AH14" s="386">
        <f t="shared" si="9"/>
        <v>0.16712030527148974</v>
      </c>
      <c r="AI14" s="386">
        <f t="shared" si="9"/>
        <v>0.16733118986123821</v>
      </c>
      <c r="AJ14" s="386">
        <f t="shared" si="9"/>
        <v>0.16754207445098646</v>
      </c>
      <c r="AK14" s="386">
        <f t="shared" si="9"/>
        <v>0.16787715859988842</v>
      </c>
      <c r="AL14" s="386">
        <f t="shared" si="9"/>
        <v>0.1682129129170882</v>
      </c>
      <c r="AM14" s="386">
        <f t="shared" si="9"/>
        <v>0.16854933874292238</v>
      </c>
      <c r="AN14" s="386">
        <f t="shared" si="9"/>
        <v>0.16888643742040821</v>
      </c>
      <c r="AO14" s="386">
        <f t="shared" si="9"/>
        <v>0.16922421029524903</v>
      </c>
      <c r="AP14" s="386">
        <f t="shared" si="9"/>
        <v>0.16956265871583953</v>
      </c>
      <c r="AQ14" s="386">
        <f t="shared" si="9"/>
        <v>0.16990178403327119</v>
      </c>
      <c r="AR14" s="386">
        <f t="shared" si="9"/>
        <v>0.17024158760133776</v>
      </c>
      <c r="AS14" s="386">
        <f t="shared" si="9"/>
        <v>0.17058207077654042</v>
      </c>
      <c r="AT14" s="386">
        <f t="shared" si="9"/>
        <v>0.1709232349180935</v>
      </c>
      <c r="AU14" s="386">
        <f t="shared" si="9"/>
        <v>0.1712650813879297</v>
      </c>
      <c r="AV14" s="386">
        <f t="shared" si="9"/>
        <v>0.17160761155070556</v>
      </c>
      <c r="AW14" s="386">
        <f t="shared" si="9"/>
        <v>0.17195082677380696</v>
      </c>
      <c r="AX14" s="386">
        <f t="shared" si="9"/>
        <v>0.17229472842735458</v>
      </c>
      <c r="AY14" s="386">
        <f t="shared" si="9"/>
        <v>0.17263931788420928</v>
      </c>
      <c r="AZ14" s="386">
        <f t="shared" si="9"/>
        <v>0.17298459651997769</v>
      </c>
      <c r="BA14" s="386">
        <f t="shared" si="9"/>
        <v>0.17333056571301764</v>
      </c>
      <c r="BB14" s="386">
        <f t="shared" si="9"/>
        <v>0.17367722684444367</v>
      </c>
      <c r="BC14" s="386">
        <f t="shared" si="9"/>
        <v>0.17402458129813259</v>
      </c>
      <c r="BD14" s="386">
        <f t="shared" si="9"/>
        <v>0.17437263046072884</v>
      </c>
      <c r="BE14" s="386">
        <f t="shared" si="9"/>
        <v>0.17472137572165031</v>
      </c>
      <c r="BF14" s="386">
        <f t="shared" si="9"/>
        <v>0.17507081847309361</v>
      </c>
      <c r="BG14" s="386">
        <f t="shared" si="9"/>
        <v>0.1754209601100398</v>
      </c>
      <c r="BH14" s="386">
        <f t="shared" si="9"/>
        <v>0.17577180203025988</v>
      </c>
      <c r="BI14" s="386">
        <f t="shared" si="9"/>
        <v>0.17612334563432042</v>
      </c>
      <c r="BJ14" s="386">
        <f t="shared" si="9"/>
        <v>0.17647559232558907</v>
      </c>
      <c r="BK14" s="386">
        <f t="shared" si="9"/>
        <v>0.17682854351024024</v>
      </c>
      <c r="BL14" s="386">
        <f t="shared" si="9"/>
        <v>0.17718220059726073</v>
      </c>
      <c r="BM14" s="386">
        <f t="shared" si="9"/>
        <v>0.17753656499845524</v>
      </c>
      <c r="BN14" s="386">
        <f t="shared" si="9"/>
        <v>0.17789163812845216</v>
      </c>
      <c r="BO14" s="386">
        <f t="shared" si="9"/>
        <v>0.17824742140470909</v>
      </c>
      <c r="BP14" s="386">
        <f t="shared" si="9"/>
        <v>0.17860391624751851</v>
      </c>
      <c r="BQ14" s="386">
        <f t="shared" si="9"/>
        <v>0.17896112408001355</v>
      </c>
      <c r="BR14" s="386">
        <f t="shared" si="9"/>
        <v>0.17931904632817361</v>
      </c>
      <c r="BS14" s="386">
        <f t="shared" ref="BS14:BX14" si="10">BS13</f>
        <v>0.17967768442082993</v>
      </c>
      <c r="BT14" s="386">
        <f t="shared" si="10"/>
        <v>0.18003703978967159</v>
      </c>
      <c r="BU14" s="386">
        <f t="shared" si="10"/>
        <v>0.18039711386925092</v>
      </c>
      <c r="BV14" s="386">
        <f t="shared" si="10"/>
        <v>0.18075790809698941</v>
      </c>
      <c r="BW14" s="386">
        <f t="shared" si="10"/>
        <v>0.18111942391318339</v>
      </c>
      <c r="BX14" s="386">
        <f t="shared" si="10"/>
        <v>0.18148166276100977</v>
      </c>
    </row>
    <row r="15" spans="1:76" hidden="1" outlineLevel="1">
      <c r="B15" s="352"/>
      <c r="C15" s="352" t="str">
        <f>'DATA (Real)'!C11</f>
        <v>Internal/NREL Commercial PV - Class 8</v>
      </c>
      <c r="D15" s="352" t="str">
        <f>'DATA (Real)'!D11</f>
        <v>Net Capacity Factor (%)</v>
      </c>
      <c r="E15" s="352" t="str">
        <f>'DATA (Real)'!E11</f>
        <v>Commercial Solar</v>
      </c>
      <c r="F15" s="386">
        <f>'DATA (Real)'!F11/0.85</f>
        <v>0.16308157474101306</v>
      </c>
      <c r="G15" s="386">
        <f>'DATA (Real)'!G11/0.85</f>
        <v>0.16482288749220211</v>
      </c>
      <c r="H15" s="386">
        <f>'DATA (Real)'!H11/0.85</f>
        <v>0.16656420024339114</v>
      </c>
      <c r="I15" s="386">
        <f>'DATA (Real)'!I11/0.85</f>
        <v>0.16830551299458019</v>
      </c>
      <c r="J15" s="386">
        <f>'DATA (Real)'!J11/0.85</f>
        <v>0.17004682574576921</v>
      </c>
      <c r="K15" s="386">
        <f>'DATA (Real)'!K11/0.85</f>
        <v>0.17178813849695826</v>
      </c>
      <c r="L15" s="386">
        <f>'DATA (Real)'!L11/0.85</f>
        <v>0.17352945124814731</v>
      </c>
      <c r="M15" s="386">
        <f>'DATA (Real)'!M11/0.85</f>
        <v>0.17527076399933633</v>
      </c>
      <c r="N15" s="386">
        <f>'DATA (Real)'!N11/0.85</f>
        <v>0.17701207675052538</v>
      </c>
      <c r="O15" s="386">
        <f>'DATA (Real)'!O11/0.85</f>
        <v>0.1787533895017144</v>
      </c>
      <c r="P15" s="386">
        <f>'DATA (Real)'!P11/0.85</f>
        <v>0.18049470225290348</v>
      </c>
      <c r="Q15" s="386">
        <f>'DATA (Real)'!Q11/0.85</f>
        <v>0.18114856581268685</v>
      </c>
      <c r="R15" s="386">
        <f>'DATA (Real)'!R11/0.85</f>
        <v>0.18180242937247018</v>
      </c>
      <c r="S15" s="386">
        <f>'DATA (Real)'!S11/0.85</f>
        <v>0.18245629293225354</v>
      </c>
      <c r="T15" s="386">
        <f>'DATA (Real)'!T11/0.85</f>
        <v>0.18311015649203691</v>
      </c>
      <c r="U15" s="386">
        <f>'DATA (Real)'!U11/0.85</f>
        <v>0.18376402005182027</v>
      </c>
      <c r="V15" s="386">
        <f>'DATA (Real)'!V11/0.85</f>
        <v>0.18441788361160361</v>
      </c>
      <c r="W15" s="386">
        <f>'DATA (Real)'!W11/0.85</f>
        <v>0.18507174717138697</v>
      </c>
      <c r="X15" s="386">
        <f>'DATA (Real)'!X11/0.85</f>
        <v>0.18572561073117033</v>
      </c>
      <c r="Y15" s="386">
        <f>'DATA (Real)'!Y11/0.85</f>
        <v>0.1863794742909537</v>
      </c>
      <c r="Z15" s="386">
        <f>'DATA (Real)'!Z11/0.85</f>
        <v>0.18703333785073703</v>
      </c>
      <c r="AA15" s="386">
        <f>'DATA (Real)'!AA11/0.85</f>
        <v>0.18768720141052039</v>
      </c>
      <c r="AB15" s="386">
        <f>'DATA (Real)'!AB11/0.85</f>
        <v>0.18834106497030376</v>
      </c>
      <c r="AC15" s="386">
        <f>'DATA (Real)'!AC11/0.85</f>
        <v>0.18899492853008712</v>
      </c>
      <c r="AD15" s="386">
        <f>'DATA (Real)'!AD11/0.85</f>
        <v>0.18964879208987048</v>
      </c>
      <c r="AE15" s="386">
        <f>'DATA (Real)'!AE11/0.85</f>
        <v>0.19030265564965382</v>
      </c>
      <c r="AF15" s="386">
        <f>'DATA (Real)'!AF11/0.85</f>
        <v>0.19095651920943718</v>
      </c>
      <c r="AG15" s="386">
        <f>'DATA (Real)'!AG11/0.85</f>
        <v>0.19161038276922054</v>
      </c>
      <c r="AH15" s="386">
        <f>'DATA (Real)'!AH11/0.85</f>
        <v>0.19226424632900391</v>
      </c>
      <c r="AI15" s="386">
        <f>'DATA (Real)'!AI11/0.85</f>
        <v>0.19291810988878724</v>
      </c>
      <c r="AJ15" s="386">
        <f>'DATA (Real)'!AJ11/0.85</f>
        <v>0.19357197344857091</v>
      </c>
      <c r="AK15" s="386">
        <f>'DATA (Real)'!AK11/0.85</f>
        <v>0.19395911739546803</v>
      </c>
      <c r="AL15" s="386">
        <f>'DATA (Real)'!AL11/0.85</f>
        <v>0.19434703563025899</v>
      </c>
      <c r="AM15" s="386">
        <f>'DATA (Real)'!AM11/0.85</f>
        <v>0.19473572970151951</v>
      </c>
      <c r="AN15" s="386">
        <f>'DATA (Real)'!AN11/0.85</f>
        <v>0.19512520116092255</v>
      </c>
      <c r="AO15" s="386">
        <f>'DATA (Real)'!AO11/0.85</f>
        <v>0.19551545156324437</v>
      </c>
      <c r="AP15" s="386">
        <f>'DATA (Real)'!AP11/0.85</f>
        <v>0.19590648246637085</v>
      </c>
      <c r="AQ15" s="386">
        <f>'DATA (Real)'!AQ11/0.85</f>
        <v>0.19629829543130359</v>
      </c>
      <c r="AR15" s="386">
        <f>'DATA (Real)'!AR11/0.85</f>
        <v>0.19669089202216619</v>
      </c>
      <c r="AS15" s="386">
        <f>'DATA (Real)'!AS11/0.85</f>
        <v>0.19708427380621055</v>
      </c>
      <c r="AT15" s="386">
        <f>'DATA (Real)'!AT11/0.85</f>
        <v>0.19747844235382297</v>
      </c>
      <c r="AU15" s="386">
        <f>'DATA (Real)'!AU11/0.85</f>
        <v>0.19787339923853062</v>
      </c>
      <c r="AV15" s="386">
        <f>'DATA (Real)'!AV11/0.85</f>
        <v>0.19826914603700768</v>
      </c>
      <c r="AW15" s="386">
        <f>'DATA (Real)'!AW11/0.85</f>
        <v>0.19866568432908169</v>
      </c>
      <c r="AX15" s="386">
        <f>'DATA (Real)'!AX11/0.85</f>
        <v>0.19906301569773985</v>
      </c>
      <c r="AY15" s="386">
        <f>'DATA (Real)'!AY11/0.85</f>
        <v>0.19946114172913532</v>
      </c>
      <c r="AZ15" s="386">
        <f>'DATA (Real)'!AZ11/0.85</f>
        <v>0.1998600640125936</v>
      </c>
      <c r="BA15" s="386">
        <f>'DATA (Real)'!BA11/0.85</f>
        <v>0.20025978414061879</v>
      </c>
      <c r="BB15" s="386">
        <f>'DATA (Real)'!BB11/0.85</f>
        <v>0.20066030370890006</v>
      </c>
      <c r="BC15" s="386">
        <f>'DATA (Real)'!BC11/0.85</f>
        <v>0.20106162431631786</v>
      </c>
      <c r="BD15" s="386">
        <f>'DATA (Real)'!BD11/0.85</f>
        <v>0.2014637475649505</v>
      </c>
      <c r="BE15" s="386">
        <f>'DATA (Real)'!BE11/0.85</f>
        <v>0.20186667506008041</v>
      </c>
      <c r="BF15" s="386">
        <f>'DATA (Real)'!BF11/0.85</f>
        <v>0.20227040841020058</v>
      </c>
      <c r="BG15" s="386">
        <f>'DATA (Real)'!BG11/0.85</f>
        <v>0.20267494922702098</v>
      </c>
      <c r="BH15" s="386">
        <f>'DATA (Real)'!BH11/0.85</f>
        <v>0.20308029912547504</v>
      </c>
      <c r="BI15" s="386">
        <f>'DATA (Real)'!BI11/0.85</f>
        <v>0.203486459723726</v>
      </c>
      <c r="BJ15" s="386">
        <f>'DATA (Real)'!BJ11/0.85</f>
        <v>0.20389343264317344</v>
      </c>
      <c r="BK15" s="386">
        <f>'DATA (Real)'!BK11/0.85</f>
        <v>0.20430121950845978</v>
      </c>
      <c r="BL15" s="386">
        <f>'DATA (Real)'!BL11/0.85</f>
        <v>0.20470982194747669</v>
      </c>
      <c r="BM15" s="386">
        <f>'DATA (Real)'!BM11/0.85</f>
        <v>0.20511924159137165</v>
      </c>
      <c r="BN15" s="386">
        <f>'DATA (Real)'!BN11/0.85</f>
        <v>0.2055294800745544</v>
      </c>
      <c r="BO15" s="386">
        <f>'DATA (Real)'!BO11/0.85</f>
        <v>0.20594053903470352</v>
      </c>
      <c r="BP15" s="386">
        <f>'DATA (Real)'!BP11/0.85</f>
        <v>0.20635242011277294</v>
      </c>
      <c r="BQ15" s="386">
        <f>'DATA (Real)'!BQ11/0.85</f>
        <v>0.20676512495299851</v>
      </c>
      <c r="BR15" s="386">
        <f>'DATA (Real)'!BR11/0.85</f>
        <v>0.20717865520290452</v>
      </c>
      <c r="BS15" s="386">
        <f>'DATA (Real)'!BS11/0.85</f>
        <v>0.20759301251331033</v>
      </c>
      <c r="BT15" s="386">
        <f>'DATA (Real)'!BT11/0.85</f>
        <v>0.20800819853833694</v>
      </c>
      <c r="BU15" s="386">
        <f>'DATA (Real)'!BU11/0.85</f>
        <v>0.2084242149354136</v>
      </c>
      <c r="BV15" s="386">
        <f>'DATA (Real)'!BV11/0.85</f>
        <v>0.20884106336528444</v>
      </c>
      <c r="BW15" s="386">
        <f>'DATA (Real)'!BW11/0.85</f>
        <v>0.20925874549201501</v>
      </c>
      <c r="BX15" s="386">
        <f>'DATA (Real)'!BX11/0.85</f>
        <v>0.20967726298299902</v>
      </c>
    </row>
    <row r="16" spans="1:76" hidden="1" outlineLevel="1">
      <c r="B16" s="352"/>
      <c r="C16" s="352" t="str">
        <f>'DATA (Real)'!C12</f>
        <v>Internal/NREL Commercial PV - Class 8</v>
      </c>
      <c r="D16" s="352" t="str">
        <f>'DATA (Real)'!D12</f>
        <v>Net Capacity Factor (%)</v>
      </c>
      <c r="E16" s="352" t="str">
        <f>'DATA (Real)'!E12</f>
        <v>Commercial Solar + Storage</v>
      </c>
      <c r="F16" s="347">
        <f>F15</f>
        <v>0.16308157474101306</v>
      </c>
      <c r="G16" s="347">
        <f t="shared" ref="G16:BR16" si="11">G15</f>
        <v>0.16482288749220211</v>
      </c>
      <c r="H16" s="347">
        <f t="shared" si="11"/>
        <v>0.16656420024339114</v>
      </c>
      <c r="I16" s="347">
        <f t="shared" si="11"/>
        <v>0.16830551299458019</v>
      </c>
      <c r="J16" s="347">
        <f t="shared" si="11"/>
        <v>0.17004682574576921</v>
      </c>
      <c r="K16" s="347">
        <f t="shared" si="11"/>
        <v>0.17178813849695826</v>
      </c>
      <c r="L16" s="347">
        <f t="shared" si="11"/>
        <v>0.17352945124814731</v>
      </c>
      <c r="M16" s="347">
        <f t="shared" si="11"/>
        <v>0.17527076399933633</v>
      </c>
      <c r="N16" s="347">
        <f t="shared" si="11"/>
        <v>0.17701207675052538</v>
      </c>
      <c r="O16" s="347">
        <f t="shared" si="11"/>
        <v>0.1787533895017144</v>
      </c>
      <c r="P16" s="347">
        <f t="shared" si="11"/>
        <v>0.18049470225290348</v>
      </c>
      <c r="Q16" s="347">
        <f t="shared" si="11"/>
        <v>0.18114856581268685</v>
      </c>
      <c r="R16" s="347">
        <f t="shared" si="11"/>
        <v>0.18180242937247018</v>
      </c>
      <c r="S16" s="347">
        <f t="shared" si="11"/>
        <v>0.18245629293225354</v>
      </c>
      <c r="T16" s="347">
        <f t="shared" si="11"/>
        <v>0.18311015649203691</v>
      </c>
      <c r="U16" s="347">
        <f t="shared" si="11"/>
        <v>0.18376402005182027</v>
      </c>
      <c r="V16" s="347">
        <f t="shared" si="11"/>
        <v>0.18441788361160361</v>
      </c>
      <c r="W16" s="347">
        <f t="shared" si="11"/>
        <v>0.18507174717138697</v>
      </c>
      <c r="X16" s="347">
        <f t="shared" si="11"/>
        <v>0.18572561073117033</v>
      </c>
      <c r="Y16" s="347">
        <f t="shared" si="11"/>
        <v>0.1863794742909537</v>
      </c>
      <c r="Z16" s="347">
        <f t="shared" si="11"/>
        <v>0.18703333785073703</v>
      </c>
      <c r="AA16" s="347">
        <f t="shared" si="11"/>
        <v>0.18768720141052039</v>
      </c>
      <c r="AB16" s="347">
        <f t="shared" si="11"/>
        <v>0.18834106497030376</v>
      </c>
      <c r="AC16" s="347">
        <f t="shared" si="11"/>
        <v>0.18899492853008712</v>
      </c>
      <c r="AD16" s="347">
        <f t="shared" si="11"/>
        <v>0.18964879208987048</v>
      </c>
      <c r="AE16" s="347">
        <f t="shared" si="11"/>
        <v>0.19030265564965382</v>
      </c>
      <c r="AF16" s="347">
        <f t="shared" si="11"/>
        <v>0.19095651920943718</v>
      </c>
      <c r="AG16" s="347">
        <f t="shared" si="11"/>
        <v>0.19161038276922054</v>
      </c>
      <c r="AH16" s="347">
        <f t="shared" si="11"/>
        <v>0.19226424632900391</v>
      </c>
      <c r="AI16" s="347">
        <f t="shared" si="11"/>
        <v>0.19291810988878724</v>
      </c>
      <c r="AJ16" s="347">
        <f t="shared" si="11"/>
        <v>0.19357197344857091</v>
      </c>
      <c r="AK16" s="347">
        <f t="shared" si="11"/>
        <v>0.19395911739546803</v>
      </c>
      <c r="AL16" s="347">
        <f t="shared" si="11"/>
        <v>0.19434703563025899</v>
      </c>
      <c r="AM16" s="347">
        <f t="shared" si="11"/>
        <v>0.19473572970151951</v>
      </c>
      <c r="AN16" s="347">
        <f t="shared" si="11"/>
        <v>0.19512520116092255</v>
      </c>
      <c r="AO16" s="347">
        <f t="shared" si="11"/>
        <v>0.19551545156324437</v>
      </c>
      <c r="AP16" s="347">
        <f t="shared" si="11"/>
        <v>0.19590648246637085</v>
      </c>
      <c r="AQ16" s="347">
        <f t="shared" si="11"/>
        <v>0.19629829543130359</v>
      </c>
      <c r="AR16" s="347">
        <f t="shared" si="11"/>
        <v>0.19669089202216619</v>
      </c>
      <c r="AS16" s="347">
        <f t="shared" si="11"/>
        <v>0.19708427380621055</v>
      </c>
      <c r="AT16" s="347">
        <f t="shared" si="11"/>
        <v>0.19747844235382297</v>
      </c>
      <c r="AU16" s="347">
        <f t="shared" si="11"/>
        <v>0.19787339923853062</v>
      </c>
      <c r="AV16" s="347">
        <f t="shared" si="11"/>
        <v>0.19826914603700768</v>
      </c>
      <c r="AW16" s="347">
        <f t="shared" si="11"/>
        <v>0.19866568432908169</v>
      </c>
      <c r="AX16" s="347">
        <f t="shared" si="11"/>
        <v>0.19906301569773985</v>
      </c>
      <c r="AY16" s="347">
        <f t="shared" si="11"/>
        <v>0.19946114172913532</v>
      </c>
      <c r="AZ16" s="347">
        <f t="shared" si="11"/>
        <v>0.1998600640125936</v>
      </c>
      <c r="BA16" s="347">
        <f t="shared" si="11"/>
        <v>0.20025978414061879</v>
      </c>
      <c r="BB16" s="347">
        <f t="shared" si="11"/>
        <v>0.20066030370890006</v>
      </c>
      <c r="BC16" s="347">
        <f t="shared" si="11"/>
        <v>0.20106162431631786</v>
      </c>
      <c r="BD16" s="347">
        <f t="shared" si="11"/>
        <v>0.2014637475649505</v>
      </c>
      <c r="BE16" s="347">
        <f t="shared" si="11"/>
        <v>0.20186667506008041</v>
      </c>
      <c r="BF16" s="347">
        <f t="shared" si="11"/>
        <v>0.20227040841020058</v>
      </c>
      <c r="BG16" s="347">
        <f t="shared" si="11"/>
        <v>0.20267494922702098</v>
      </c>
      <c r="BH16" s="347">
        <f t="shared" si="11"/>
        <v>0.20308029912547504</v>
      </c>
      <c r="BI16" s="347">
        <f t="shared" si="11"/>
        <v>0.203486459723726</v>
      </c>
      <c r="BJ16" s="347">
        <f t="shared" si="11"/>
        <v>0.20389343264317344</v>
      </c>
      <c r="BK16" s="347">
        <f t="shared" si="11"/>
        <v>0.20430121950845978</v>
      </c>
      <c r="BL16" s="347">
        <f t="shared" si="11"/>
        <v>0.20470982194747669</v>
      </c>
      <c r="BM16" s="347">
        <f t="shared" si="11"/>
        <v>0.20511924159137165</v>
      </c>
      <c r="BN16" s="347">
        <f t="shared" si="11"/>
        <v>0.2055294800745544</v>
      </c>
      <c r="BO16" s="347">
        <f t="shared" si="11"/>
        <v>0.20594053903470352</v>
      </c>
      <c r="BP16" s="347">
        <f t="shared" si="11"/>
        <v>0.20635242011277294</v>
      </c>
      <c r="BQ16" s="347">
        <f t="shared" si="11"/>
        <v>0.20676512495299851</v>
      </c>
      <c r="BR16" s="347">
        <f t="shared" si="11"/>
        <v>0.20717865520290452</v>
      </c>
      <c r="BS16" s="347">
        <f t="shared" ref="BS16:BX16" si="12">BS15</f>
        <v>0.20759301251331033</v>
      </c>
      <c r="BT16" s="347">
        <f t="shared" si="12"/>
        <v>0.20800819853833694</v>
      </c>
      <c r="BU16" s="347">
        <f t="shared" si="12"/>
        <v>0.2084242149354136</v>
      </c>
      <c r="BV16" s="347">
        <f t="shared" si="12"/>
        <v>0.20884106336528444</v>
      </c>
      <c r="BW16" s="347">
        <f t="shared" si="12"/>
        <v>0.20925874549201501</v>
      </c>
      <c r="BX16" s="347">
        <f t="shared" si="12"/>
        <v>0.20967726298299902</v>
      </c>
    </row>
    <row r="17" spans="2:76" hidden="1" outlineLevel="1">
      <c r="B17" s="352"/>
      <c r="C17" s="352" t="str">
        <f>'DATA (Real)'!C13</f>
        <v>Internal/NREL Utility PV - Class 4</v>
      </c>
      <c r="D17" s="352" t="str">
        <f>'DATA (Real)'!D13</f>
        <v>Net Capacity Factor (%)</v>
      </c>
      <c r="E17" s="352" t="str">
        <f>'DATA (Real)'!E13</f>
        <v>Solar Photovoltaic Fixed Array (5 MW AC)</v>
      </c>
      <c r="F17" s="316">
        <f>'DATA (Real)'!F13</f>
        <v>0.26084039968030859</v>
      </c>
      <c r="G17" s="316">
        <f>'DATA (Real)'!G13</f>
        <v>0.26362553782181775</v>
      </c>
      <c r="H17" s="316">
        <f>'DATA (Real)'!H13</f>
        <v>0.2664106759633269</v>
      </c>
      <c r="I17" s="316">
        <f>'DATA (Real)'!I13</f>
        <v>0.26919581410483606</v>
      </c>
      <c r="J17" s="316">
        <f>'DATA (Real)'!J13</f>
        <v>0.27198095224634522</v>
      </c>
      <c r="K17" s="316">
        <f>'DATA (Real)'!K13</f>
        <v>0.27476609038785438</v>
      </c>
      <c r="L17" s="316">
        <f>'DATA (Real)'!L13</f>
        <v>0.27755122852936354</v>
      </c>
      <c r="M17" s="316">
        <f>'DATA (Real)'!M13</f>
        <v>0.28033636667087269</v>
      </c>
      <c r="N17" s="316">
        <f>'DATA (Real)'!N13</f>
        <v>0.28312150481238185</v>
      </c>
      <c r="O17" s="316">
        <f>'DATA (Real)'!O13</f>
        <v>0.28590664295389101</v>
      </c>
      <c r="P17" s="316">
        <f>'DATA (Real)'!P13</f>
        <v>0.28869178109539989</v>
      </c>
      <c r="Q17" s="316">
        <f>'DATA (Real)'!Q13</f>
        <v>0.289737601461932</v>
      </c>
      <c r="R17" s="316">
        <f>'DATA (Real)'!R13</f>
        <v>0.29078342182846412</v>
      </c>
      <c r="S17" s="316">
        <f>'DATA (Real)'!S13</f>
        <v>0.29182924219499623</v>
      </c>
      <c r="T17" s="316">
        <f>'DATA (Real)'!T13</f>
        <v>0.29287506256152834</v>
      </c>
      <c r="U17" s="316">
        <f>'DATA (Real)'!U13</f>
        <v>0.29392088292806046</v>
      </c>
      <c r="V17" s="316">
        <f>'DATA (Real)'!V13</f>
        <v>0.29496670329459257</v>
      </c>
      <c r="W17" s="316">
        <f>'DATA (Real)'!W13</f>
        <v>0.29601252366112468</v>
      </c>
      <c r="X17" s="316">
        <f>'DATA (Real)'!X13</f>
        <v>0.2970583440276568</v>
      </c>
      <c r="Y17" s="316">
        <f>'DATA (Real)'!Y13</f>
        <v>0.29810416439418891</v>
      </c>
      <c r="Z17" s="316">
        <f>'DATA (Real)'!Z13</f>
        <v>0.29914998476072102</v>
      </c>
      <c r="AA17" s="316">
        <f>'DATA (Real)'!AA13</f>
        <v>0.30019580512725313</v>
      </c>
      <c r="AB17" s="316">
        <f>'DATA (Real)'!AB13</f>
        <v>0.30124162549378525</v>
      </c>
      <c r="AC17" s="316">
        <f>'DATA (Real)'!AC13</f>
        <v>0.30228744586031736</v>
      </c>
      <c r="AD17" s="316">
        <f>'DATA (Real)'!AD13</f>
        <v>0.30333326622684947</v>
      </c>
      <c r="AE17" s="316">
        <f>'DATA (Real)'!AE13</f>
        <v>0.30437908659338159</v>
      </c>
      <c r="AF17" s="316">
        <f>'DATA (Real)'!AF13</f>
        <v>0.3054249069599137</v>
      </c>
      <c r="AG17" s="316">
        <f>'DATA (Real)'!AG13</f>
        <v>0.30647072732644581</v>
      </c>
      <c r="AH17" s="316">
        <f>'DATA (Real)'!AH13</f>
        <v>0.30751654769297793</v>
      </c>
      <c r="AI17" s="316">
        <f>'DATA (Real)'!AI13</f>
        <v>0.30856236805951004</v>
      </c>
      <c r="AJ17" s="316">
        <f>'DATA (Real)'!AJ13</f>
        <v>0.30960818842604249</v>
      </c>
      <c r="AK17" s="316">
        <f>'DATA (Real)'!AK13</f>
        <v>0.30890428425918698</v>
      </c>
      <c r="AL17" s="316">
        <f>'DATA (Real)'!AL13</f>
        <v>0.30952209282770538</v>
      </c>
      <c r="AM17" s="316">
        <f>'DATA (Real)'!AM13</f>
        <v>0.31014113701336077</v>
      </c>
      <c r="AN17" s="316">
        <f>'DATA (Real)'!AN13</f>
        <v>0.31076141928738749</v>
      </c>
      <c r="AO17" s="316">
        <f>'DATA (Real)'!AO13</f>
        <v>0.31138294212596224</v>
      </c>
      <c r="AP17" s="316">
        <f>'DATA (Real)'!AP13</f>
        <v>0.31200570801021416</v>
      </c>
      <c r="AQ17" s="316">
        <f>'DATA (Real)'!AQ13</f>
        <v>0.31262971942623458</v>
      </c>
      <c r="AR17" s="316">
        <f>'DATA (Real)'!AR13</f>
        <v>0.31325497886508702</v>
      </c>
      <c r="AS17" s="316">
        <f>'DATA (Real)'!AS13</f>
        <v>0.31388148882281719</v>
      </c>
      <c r="AT17" s="316">
        <f>'DATA (Real)'!AT13</f>
        <v>0.3145092518004628</v>
      </c>
      <c r="AU17" s="316">
        <f>'DATA (Real)'!AU13</f>
        <v>0.31513827030406372</v>
      </c>
      <c r="AV17" s="316">
        <f>'DATA (Real)'!AV13</f>
        <v>0.31576854684467187</v>
      </c>
      <c r="AW17" s="316">
        <f>'DATA (Real)'!AW13</f>
        <v>0.31640008393836122</v>
      </c>
      <c r="AX17" s="316">
        <f>'DATA (Real)'!AX13</f>
        <v>0.31703288410623792</v>
      </c>
      <c r="AY17" s="316">
        <f>'DATA (Real)'!AY13</f>
        <v>0.31766694987445038</v>
      </c>
      <c r="AZ17" s="316">
        <f>'DATA (Real)'!AZ13</f>
        <v>0.31830228377419928</v>
      </c>
      <c r="BA17" s="316">
        <f>'DATA (Real)'!BA13</f>
        <v>0.31893888834174766</v>
      </c>
      <c r="BB17" s="316">
        <f>'DATA (Real)'!BB13</f>
        <v>0.31957676611843117</v>
      </c>
      <c r="BC17" s="316">
        <f>'DATA (Real)'!BC13</f>
        <v>0.32021591965066803</v>
      </c>
      <c r="BD17" s="316">
        <f>'DATA (Real)'!BD13</f>
        <v>0.32085635148996938</v>
      </c>
      <c r="BE17" s="316">
        <f>'DATA (Real)'!BE13</f>
        <v>0.3214980641929493</v>
      </c>
      <c r="BF17" s="316">
        <f>'DATA (Real)'!BF13</f>
        <v>0.32214106032133522</v>
      </c>
      <c r="BG17" s="316">
        <f>'DATA (Real)'!BG13</f>
        <v>0.32278534244197787</v>
      </c>
      <c r="BH17" s="316">
        <f>'DATA (Real)'!BH13</f>
        <v>0.32343091312686184</v>
      </c>
      <c r="BI17" s="316">
        <f>'DATA (Real)'!BI13</f>
        <v>0.32407777495311557</v>
      </c>
      <c r="BJ17" s="316">
        <f>'DATA (Real)'!BJ13</f>
        <v>0.32472593050302179</v>
      </c>
      <c r="BK17" s="316">
        <f>'DATA (Real)'!BK13</f>
        <v>0.32537538236402785</v>
      </c>
      <c r="BL17" s="316">
        <f>'DATA (Real)'!BL13</f>
        <v>0.32602613312875589</v>
      </c>
      <c r="BM17" s="316">
        <f>'DATA (Real)'!BM13</f>
        <v>0.32667818539501342</v>
      </c>
      <c r="BN17" s="316">
        <f>'DATA (Real)'!BN13</f>
        <v>0.32733154176580342</v>
      </c>
      <c r="BO17" s="316">
        <f>'DATA (Real)'!BO13</f>
        <v>0.32798620484933505</v>
      </c>
      <c r="BP17" s="316">
        <f>'DATA (Real)'!BP13</f>
        <v>0.32864217725903372</v>
      </c>
      <c r="BQ17" s="316">
        <f>'DATA (Real)'!BQ13</f>
        <v>0.32929946161355178</v>
      </c>
      <c r="BR17" s="316">
        <f>'DATA (Real)'!BR13</f>
        <v>0.3299580605367789</v>
      </c>
      <c r="BS17" s="316">
        <f>'DATA (Real)'!BS13</f>
        <v>0.33061797665785247</v>
      </c>
      <c r="BT17" s="316">
        <f>'DATA (Real)'!BT13</f>
        <v>0.33127921261116816</v>
      </c>
      <c r="BU17" s="316">
        <f>'DATA (Real)'!BU13</f>
        <v>0.3319417710363905</v>
      </c>
      <c r="BV17" s="316">
        <f>'DATA (Real)'!BV13</f>
        <v>0.33260565457846331</v>
      </c>
      <c r="BW17" s="316">
        <f>'DATA (Real)'!BW13</f>
        <v>0.33327086588762023</v>
      </c>
      <c r="BX17" s="316">
        <f>'DATA (Real)'!BX13</f>
        <v>0.33393740761939544</v>
      </c>
    </row>
    <row r="18" spans="2:76" hidden="1" outlineLevel="1">
      <c r="B18" s="352"/>
      <c r="C18" s="352" t="str">
        <f>'DATA (Real)'!C14</f>
        <v>Internal/NREL Utility PV - Class 4</v>
      </c>
      <c r="D18" s="352" t="str">
        <f>'DATA (Real)'!D14</f>
        <v>Net Capacity Factor (%)</v>
      </c>
      <c r="E18" s="352" t="str">
        <f>'DATA (Real)'!E14</f>
        <v>Solar Photovoltaic Fixed Array (5 MW AC) + Storage (Solar Only)</v>
      </c>
      <c r="F18" s="316">
        <f>'DATA (Real)'!F14</f>
        <v>0.26084039968030859</v>
      </c>
      <c r="G18" s="316">
        <f>'DATA (Real)'!G14</f>
        <v>0.26362553782181775</v>
      </c>
      <c r="H18" s="316">
        <f>'DATA (Real)'!H14</f>
        <v>0.2664106759633269</v>
      </c>
      <c r="I18" s="316">
        <f>'DATA (Real)'!I14</f>
        <v>0.26919581410483606</v>
      </c>
      <c r="J18" s="316">
        <f>'DATA (Real)'!J14</f>
        <v>0.27198095224634522</v>
      </c>
      <c r="K18" s="316">
        <f>'DATA (Real)'!K14</f>
        <v>0.27476609038785438</v>
      </c>
      <c r="L18" s="316">
        <f>'DATA (Real)'!L14</f>
        <v>0.27755122852936354</v>
      </c>
      <c r="M18" s="316">
        <f>'DATA (Real)'!M14</f>
        <v>0.28033636667087269</v>
      </c>
      <c r="N18" s="316">
        <f>'DATA (Real)'!N14</f>
        <v>0.28312150481238185</v>
      </c>
      <c r="O18" s="316">
        <f>'DATA (Real)'!O14</f>
        <v>0.28590664295389101</v>
      </c>
      <c r="P18" s="316">
        <f>'DATA (Real)'!P14</f>
        <v>0.28869178109539989</v>
      </c>
      <c r="Q18" s="316">
        <f>'DATA (Real)'!Q14</f>
        <v>0.289737601461932</v>
      </c>
      <c r="R18" s="316">
        <f>'DATA (Real)'!R14</f>
        <v>0.29078342182846412</v>
      </c>
      <c r="S18" s="316">
        <f>'DATA (Real)'!S14</f>
        <v>0.29182924219499623</v>
      </c>
      <c r="T18" s="316">
        <f>'DATA (Real)'!T14</f>
        <v>0.29287506256152834</v>
      </c>
      <c r="U18" s="316">
        <f>'DATA (Real)'!U14</f>
        <v>0.29392088292806046</v>
      </c>
      <c r="V18" s="316">
        <f>'DATA (Real)'!V14</f>
        <v>0.29496670329459257</v>
      </c>
      <c r="W18" s="316">
        <f>'DATA (Real)'!W14</f>
        <v>0.29601252366112468</v>
      </c>
      <c r="X18" s="316">
        <f>'DATA (Real)'!X14</f>
        <v>0.2970583440276568</v>
      </c>
      <c r="Y18" s="316">
        <f>'DATA (Real)'!Y14</f>
        <v>0.29810416439418891</v>
      </c>
      <c r="Z18" s="316">
        <f>'DATA (Real)'!Z14</f>
        <v>0.29914998476072102</v>
      </c>
      <c r="AA18" s="316">
        <f>'DATA (Real)'!AA14</f>
        <v>0.30019580512725313</v>
      </c>
      <c r="AB18" s="316">
        <f>'DATA (Real)'!AB14</f>
        <v>0.30124162549378525</v>
      </c>
      <c r="AC18" s="316">
        <f>'DATA (Real)'!AC14</f>
        <v>0.30228744586031736</v>
      </c>
      <c r="AD18" s="316">
        <f>'DATA (Real)'!AD14</f>
        <v>0.30333326622684947</v>
      </c>
      <c r="AE18" s="316">
        <f>'DATA (Real)'!AE14</f>
        <v>0.30437908659338159</v>
      </c>
      <c r="AF18" s="316">
        <f>'DATA (Real)'!AF14</f>
        <v>0.3054249069599137</v>
      </c>
      <c r="AG18" s="316">
        <f>'DATA (Real)'!AG14</f>
        <v>0.30647072732644581</v>
      </c>
      <c r="AH18" s="316">
        <f>'DATA (Real)'!AH14</f>
        <v>0.30751654769297793</v>
      </c>
      <c r="AI18" s="316">
        <f>'DATA (Real)'!AI14</f>
        <v>0.30856236805951004</v>
      </c>
      <c r="AJ18" s="316">
        <f>'DATA (Real)'!AJ14</f>
        <v>0.30960818842604249</v>
      </c>
      <c r="AK18" s="316">
        <f>'DATA (Real)'!AK14</f>
        <v>0.30890428425918698</v>
      </c>
      <c r="AL18" s="316">
        <f>'DATA (Real)'!AL14</f>
        <v>0.30952209282770538</v>
      </c>
      <c r="AM18" s="316">
        <f>'DATA (Real)'!AM14</f>
        <v>0.31014113701336077</v>
      </c>
      <c r="AN18" s="316">
        <f>'DATA (Real)'!AN14</f>
        <v>0.31076141928738749</v>
      </c>
      <c r="AO18" s="316">
        <f>'DATA (Real)'!AO14</f>
        <v>0.31138294212596224</v>
      </c>
      <c r="AP18" s="316">
        <f>'DATA (Real)'!AP14</f>
        <v>0.31200570801021416</v>
      </c>
      <c r="AQ18" s="316">
        <f>'DATA (Real)'!AQ14</f>
        <v>0.31262971942623458</v>
      </c>
      <c r="AR18" s="316">
        <f>'DATA (Real)'!AR14</f>
        <v>0.31325497886508702</v>
      </c>
      <c r="AS18" s="316">
        <f>'DATA (Real)'!AS14</f>
        <v>0.31388148882281719</v>
      </c>
      <c r="AT18" s="316">
        <f>'DATA (Real)'!AT14</f>
        <v>0.3145092518004628</v>
      </c>
      <c r="AU18" s="316">
        <f>'DATA (Real)'!AU14</f>
        <v>0.31513827030406372</v>
      </c>
      <c r="AV18" s="316">
        <f>'DATA (Real)'!AV14</f>
        <v>0.31576854684467187</v>
      </c>
      <c r="AW18" s="316">
        <f>'DATA (Real)'!AW14</f>
        <v>0.31640008393836122</v>
      </c>
      <c r="AX18" s="316">
        <f>'DATA (Real)'!AX14</f>
        <v>0.31703288410623792</v>
      </c>
      <c r="AY18" s="316">
        <f>'DATA (Real)'!AY14</f>
        <v>0.31766694987445038</v>
      </c>
      <c r="AZ18" s="316">
        <f>'DATA (Real)'!AZ14</f>
        <v>0.31830228377419928</v>
      </c>
      <c r="BA18" s="316">
        <f>'DATA (Real)'!BA14</f>
        <v>0.31893888834174766</v>
      </c>
      <c r="BB18" s="316">
        <f>'DATA (Real)'!BB14</f>
        <v>0.31957676611843117</v>
      </c>
      <c r="BC18" s="316">
        <f>'DATA (Real)'!BC14</f>
        <v>0.32021591965066803</v>
      </c>
      <c r="BD18" s="316">
        <f>'DATA (Real)'!BD14</f>
        <v>0.32085635148996938</v>
      </c>
      <c r="BE18" s="316">
        <f>'DATA (Real)'!BE14</f>
        <v>0.3214980641929493</v>
      </c>
      <c r="BF18" s="316">
        <f>'DATA (Real)'!BF14</f>
        <v>0.32214106032133522</v>
      </c>
      <c r="BG18" s="316">
        <f>'DATA (Real)'!BG14</f>
        <v>0.32278534244197787</v>
      </c>
      <c r="BH18" s="316">
        <f>'DATA (Real)'!BH14</f>
        <v>0.32343091312686184</v>
      </c>
      <c r="BI18" s="316">
        <f>'DATA (Real)'!BI14</f>
        <v>0.32407777495311557</v>
      </c>
      <c r="BJ18" s="316">
        <f>'DATA (Real)'!BJ14</f>
        <v>0.32472593050302179</v>
      </c>
      <c r="BK18" s="316">
        <f>'DATA (Real)'!BK14</f>
        <v>0.32537538236402785</v>
      </c>
      <c r="BL18" s="316">
        <f>'DATA (Real)'!BL14</f>
        <v>0.32602613312875589</v>
      </c>
      <c r="BM18" s="316">
        <f>'DATA (Real)'!BM14</f>
        <v>0.32667818539501342</v>
      </c>
      <c r="BN18" s="316">
        <f>'DATA (Real)'!BN14</f>
        <v>0.32733154176580342</v>
      </c>
      <c r="BO18" s="316">
        <f>'DATA (Real)'!BO14</f>
        <v>0.32798620484933505</v>
      </c>
      <c r="BP18" s="316">
        <f>'DATA (Real)'!BP14</f>
        <v>0.32864217725903372</v>
      </c>
      <c r="BQ18" s="316">
        <f>'DATA (Real)'!BQ14</f>
        <v>0.32929946161355178</v>
      </c>
      <c r="BR18" s="316">
        <f>'DATA (Real)'!BR14</f>
        <v>0.3299580605367789</v>
      </c>
      <c r="BS18" s="316">
        <f>'DATA (Real)'!BS14</f>
        <v>0.33061797665785247</v>
      </c>
      <c r="BT18" s="316">
        <f>'DATA (Real)'!BT14</f>
        <v>0.33127921261116816</v>
      </c>
      <c r="BU18" s="316">
        <f>'DATA (Real)'!BU14</f>
        <v>0.3319417710363905</v>
      </c>
      <c r="BV18" s="316">
        <f>'DATA (Real)'!BV14</f>
        <v>0.33260565457846331</v>
      </c>
      <c r="BW18" s="316">
        <f>'DATA (Real)'!BW14</f>
        <v>0.33327086588762023</v>
      </c>
      <c r="BX18" s="316">
        <f>'DATA (Real)'!BX14</f>
        <v>0.33393740761939544</v>
      </c>
    </row>
    <row r="19" spans="2:76" hidden="1" outlineLevel="1">
      <c r="B19" s="352"/>
      <c r="C19" s="352" t="str">
        <f>'DATA (Real)'!C15</f>
        <v>Internal/NREL Utility PV - Class 4</v>
      </c>
      <c r="D19" s="352" t="str">
        <f>'DATA (Real)'!D15</f>
        <v>Net Capacity Factor (%)</v>
      </c>
      <c r="E19" s="352" t="str">
        <f>'DATA (Real)'!E15</f>
        <v>Solar Photovoltaic w/Single Axis Tracking (100 MW AC)</v>
      </c>
      <c r="F19" s="401">
        <f>'DATA (Real)'!F15</f>
        <v>0.26084039968030859</v>
      </c>
      <c r="G19" s="316">
        <f>'DATA (Real)'!G15</f>
        <v>0.26362553782181775</v>
      </c>
      <c r="H19" s="316">
        <f>'DATA (Real)'!H15</f>
        <v>0.2664106759633269</v>
      </c>
      <c r="I19" s="316">
        <f>'DATA (Real)'!I15</f>
        <v>0.26919581410483606</v>
      </c>
      <c r="J19" s="316">
        <f>'DATA (Real)'!J15</f>
        <v>0.27198095224634522</v>
      </c>
      <c r="K19" s="316">
        <f>'DATA (Real)'!K15</f>
        <v>0.27476609038785438</v>
      </c>
      <c r="L19" s="316">
        <f>'DATA (Real)'!L15</f>
        <v>0.27755122852936354</v>
      </c>
      <c r="M19" s="316">
        <f>'DATA (Real)'!M15</f>
        <v>0.28210306867724511</v>
      </c>
      <c r="N19" s="316">
        <f>'DATA (Real)'!N15</f>
        <v>0.2867295590035519</v>
      </c>
      <c r="O19" s="316">
        <f>'DATA (Real)'!O15</f>
        <v>0.29143192377121013</v>
      </c>
      <c r="P19" s="316">
        <f>'DATA (Real)'!P15</f>
        <v>0.296211407321058</v>
      </c>
      <c r="Q19" s="316">
        <f>'DATA (Real)'!Q15</f>
        <v>0.29680383013570011</v>
      </c>
      <c r="R19" s="316">
        <f>'DATA (Real)'!R15</f>
        <v>0.2973974377959715</v>
      </c>
      <c r="S19" s="316">
        <f>'DATA (Real)'!S15</f>
        <v>0.29799223267156344</v>
      </c>
      <c r="T19" s="316">
        <f>'DATA (Real)'!T15</f>
        <v>0.29858821713690659</v>
      </c>
      <c r="U19" s="316">
        <f>'DATA (Real)'!U15</f>
        <v>0.2991853935711804</v>
      </c>
      <c r="V19" s="316">
        <f>'DATA (Real)'!V15</f>
        <v>0.29978376435832277</v>
      </c>
      <c r="W19" s="316">
        <f>'DATA (Real)'!W15</f>
        <v>0.30038333188703942</v>
      </c>
      <c r="X19" s="316">
        <f>'DATA (Real)'!X15</f>
        <v>0.30098409855081348</v>
      </c>
      <c r="Y19" s="316">
        <f>'DATA (Real)'!Y15</f>
        <v>0.3015860667479151</v>
      </c>
      <c r="Z19" s="316">
        <f>'DATA (Real)'!Z15</f>
        <v>0.30218923888141092</v>
      </c>
      <c r="AA19" s="316">
        <f>'DATA (Real)'!AA15</f>
        <v>0.30279361735917376</v>
      </c>
      <c r="AB19" s="316">
        <f>'DATA (Real)'!AB15</f>
        <v>0.30339920459389214</v>
      </c>
      <c r="AC19" s="316">
        <f>'DATA (Real)'!AC15</f>
        <v>0.30400600300307989</v>
      </c>
      <c r="AD19" s="316">
        <f>'DATA (Real)'!AD15</f>
        <v>0.30461401500908608</v>
      </c>
      <c r="AE19" s="316">
        <f>'DATA (Real)'!AE15</f>
        <v>0.30522324303910425</v>
      </c>
      <c r="AF19" s="316">
        <f>'DATA (Real)'!AF15</f>
        <v>0.30583368952518247</v>
      </c>
      <c r="AG19" s="316">
        <f>'DATA (Real)'!AG15</f>
        <v>0.30644535690423286</v>
      </c>
      <c r="AH19" s="316">
        <f>'DATA (Real)'!AH15</f>
        <v>0.30705824761804135</v>
      </c>
      <c r="AI19" s="316">
        <f>'DATA (Real)'!AI15</f>
        <v>0.30767236411327742</v>
      </c>
      <c r="AJ19" s="316">
        <f>'DATA (Real)'!AJ15</f>
        <v>0.30828770884150397</v>
      </c>
      <c r="AK19" s="316">
        <f>'DATA (Real)'!AK15</f>
        <v>0.30890428425918698</v>
      </c>
      <c r="AL19" s="316">
        <f>'DATA (Real)'!AL15</f>
        <v>0.30952209282770538</v>
      </c>
      <c r="AM19" s="316">
        <f>'DATA (Real)'!AM15</f>
        <v>0.31014113701336077</v>
      </c>
      <c r="AN19" s="316">
        <f>'DATA (Real)'!AN15</f>
        <v>0.31076141928738749</v>
      </c>
      <c r="AO19" s="316">
        <f>'DATA (Real)'!AO15</f>
        <v>0.31138294212596224</v>
      </c>
      <c r="AP19" s="316">
        <f>'DATA (Real)'!AP15</f>
        <v>0.31200570801021416</v>
      </c>
      <c r="AQ19" s="316">
        <f>'DATA (Real)'!AQ15</f>
        <v>0.31262971942623458</v>
      </c>
      <c r="AR19" s="316">
        <f>'DATA (Real)'!AR15</f>
        <v>0.31325497886508702</v>
      </c>
      <c r="AS19" s="316">
        <f>'DATA (Real)'!AS15</f>
        <v>0.31388148882281719</v>
      </c>
      <c r="AT19" s="316">
        <f>'DATA (Real)'!AT15</f>
        <v>0.3145092518004628</v>
      </c>
      <c r="AU19" s="316">
        <f>'DATA (Real)'!AU15</f>
        <v>0.31513827030406372</v>
      </c>
      <c r="AV19" s="316">
        <f>'DATA (Real)'!AV15</f>
        <v>0.31576854684467187</v>
      </c>
      <c r="AW19" s="316">
        <f>'DATA (Real)'!AW15</f>
        <v>0.31640008393836122</v>
      </c>
      <c r="AX19" s="316">
        <f>'DATA (Real)'!AX15</f>
        <v>0.31703288410623792</v>
      </c>
      <c r="AY19" s="316">
        <f>'DATA (Real)'!AY15</f>
        <v>0.31766694987445038</v>
      </c>
      <c r="AZ19" s="316">
        <f>'DATA (Real)'!AZ15</f>
        <v>0.31830228377419928</v>
      </c>
      <c r="BA19" s="316">
        <f>'DATA (Real)'!BA15</f>
        <v>0.31893888834174766</v>
      </c>
      <c r="BB19" s="316">
        <f>'DATA (Real)'!BB15</f>
        <v>0.31957676611843117</v>
      </c>
      <c r="BC19" s="316">
        <f>'DATA (Real)'!BC15</f>
        <v>0.32021591965066803</v>
      </c>
      <c r="BD19" s="316">
        <f>'DATA (Real)'!BD15</f>
        <v>0.32085635148996938</v>
      </c>
      <c r="BE19" s="316">
        <f>'DATA (Real)'!BE15</f>
        <v>0.3214980641929493</v>
      </c>
      <c r="BF19" s="316">
        <f>'DATA (Real)'!BF15</f>
        <v>0.32214106032133522</v>
      </c>
      <c r="BG19" s="316">
        <f>'DATA (Real)'!BG15</f>
        <v>0.32278534244197787</v>
      </c>
      <c r="BH19" s="316">
        <f>'DATA (Real)'!BH15</f>
        <v>0.32343091312686184</v>
      </c>
      <c r="BI19" s="316">
        <f>'DATA (Real)'!BI15</f>
        <v>0.32407777495311557</v>
      </c>
      <c r="BJ19" s="316">
        <f>'DATA (Real)'!BJ15</f>
        <v>0.32472593050302179</v>
      </c>
      <c r="BK19" s="316">
        <f>'DATA (Real)'!BK15</f>
        <v>0.32537538236402785</v>
      </c>
      <c r="BL19" s="316">
        <f>'DATA (Real)'!BL15</f>
        <v>0.32602613312875589</v>
      </c>
      <c r="BM19" s="316">
        <f>'DATA (Real)'!BM15</f>
        <v>0.32667818539501342</v>
      </c>
      <c r="BN19" s="316">
        <f>'DATA (Real)'!BN15</f>
        <v>0.32733154176580342</v>
      </c>
      <c r="BO19" s="316">
        <f>'DATA (Real)'!BO15</f>
        <v>0.32798620484933505</v>
      </c>
      <c r="BP19" s="316">
        <f>'DATA (Real)'!BP15</f>
        <v>0.32864217725903372</v>
      </c>
      <c r="BQ19" s="316">
        <f>'DATA (Real)'!BQ15</f>
        <v>0.32929946161355178</v>
      </c>
      <c r="BR19" s="316">
        <f>'DATA (Real)'!BR15</f>
        <v>0.3299580605367789</v>
      </c>
      <c r="BS19" s="316">
        <f>'DATA (Real)'!BS15</f>
        <v>0.33061797665785247</v>
      </c>
      <c r="BT19" s="316">
        <f>'DATA (Real)'!BT15</f>
        <v>0.33127921261116816</v>
      </c>
      <c r="BU19" s="316">
        <f>'DATA (Real)'!BU15</f>
        <v>0.3319417710363905</v>
      </c>
      <c r="BV19" s="316">
        <f>'DATA (Real)'!BV15</f>
        <v>0.33260565457846331</v>
      </c>
      <c r="BW19" s="316">
        <f>'DATA (Real)'!BW15</f>
        <v>0.33327086588762023</v>
      </c>
      <c r="BX19" s="316">
        <f>'DATA (Real)'!BX15</f>
        <v>0.33393740761939544</v>
      </c>
    </row>
    <row r="20" spans="2:76" hidden="1" outlineLevel="1">
      <c r="B20" s="352"/>
      <c r="C20" s="352" t="str">
        <f>'DATA (Real)'!C16</f>
        <v>Internal/NREL Utility PV - Class 3</v>
      </c>
      <c r="D20" s="352" t="str">
        <f>'DATA (Real)'!D16</f>
        <v>Net Capacity Factor (%)</v>
      </c>
      <c r="E20" s="352" t="str">
        <f>'DATA (Real)'!E16</f>
        <v>Southern NW Solar Photovoltaic w/ Single Axis Tracking (100 MW AC)</v>
      </c>
      <c r="F20" s="316">
        <f>'DATA (Real)'!F16</f>
        <v>0.27600425956689018</v>
      </c>
      <c r="G20" s="316">
        <f>'DATA (Real)'!G16</f>
        <v>0.27895131068121481</v>
      </c>
      <c r="H20" s="316">
        <f>'DATA (Real)'!H16</f>
        <v>0.28189836179553945</v>
      </c>
      <c r="I20" s="316">
        <f>'DATA (Real)'!I16</f>
        <v>0.28484541290986409</v>
      </c>
      <c r="J20" s="316">
        <f>'DATA (Real)'!J16</f>
        <v>0.28779246402418873</v>
      </c>
      <c r="K20" s="316">
        <f>'DATA (Real)'!K16</f>
        <v>0.29073951513851337</v>
      </c>
      <c r="L20" s="316">
        <f>'DATA (Real)'!L16</f>
        <v>0.29368656625283801</v>
      </c>
      <c r="M20" s="316">
        <f>'DATA (Real)'!M16</f>
        <v>0.29850302593938455</v>
      </c>
      <c r="N20" s="316">
        <f>'DATA (Real)'!N16</f>
        <v>0.30339847556479044</v>
      </c>
      <c r="O20" s="316">
        <f>'DATA (Real)'!O16</f>
        <v>0.30837421056405301</v>
      </c>
      <c r="P20" s="316">
        <f>'DATA (Real)'!P16</f>
        <v>0.31343154761730346</v>
      </c>
      <c r="Q20" s="316">
        <f>'DATA (Real)'!Q16</f>
        <v>0.31405841071253809</v>
      </c>
      <c r="R20" s="316">
        <f>'DATA (Real)'!R16</f>
        <v>0.31468652753396315</v>
      </c>
      <c r="S20" s="316">
        <f>'DATA (Real)'!S16</f>
        <v>0.31531590058903108</v>
      </c>
      <c r="T20" s="316">
        <f>'DATA (Real)'!T16</f>
        <v>0.31594653239020914</v>
      </c>
      <c r="U20" s="316">
        <f>'DATA (Real)'!U16</f>
        <v>0.31657842545498954</v>
      </c>
      <c r="V20" s="316">
        <f>'DATA (Real)'!V16</f>
        <v>0.31721158230589952</v>
      </c>
      <c r="W20" s="316">
        <f>'DATA (Real)'!W16</f>
        <v>0.31784600547051134</v>
      </c>
      <c r="X20" s="316">
        <f>'DATA (Real)'!X16</f>
        <v>0.31848169748145239</v>
      </c>
      <c r="Y20" s="316">
        <f>'DATA (Real)'!Y16</f>
        <v>0.31911866087641527</v>
      </c>
      <c r="Z20" s="316">
        <f>'DATA (Real)'!Z16</f>
        <v>0.3197568981981681</v>
      </c>
      <c r="AA20" s="316">
        <f>'DATA (Real)'!AA16</f>
        <v>0.32039641199456442</v>
      </c>
      <c r="AB20" s="316">
        <f>'DATA (Real)'!AB16</f>
        <v>0.32103720481855358</v>
      </c>
      <c r="AC20" s="316">
        <f>'DATA (Real)'!AC16</f>
        <v>0.32167927922819067</v>
      </c>
      <c r="AD20" s="316">
        <f>'DATA (Real)'!AD16</f>
        <v>0.32232263778664705</v>
      </c>
      <c r="AE20" s="316">
        <f>'DATA (Real)'!AE16</f>
        <v>0.32296728306222033</v>
      </c>
      <c r="AF20" s="316">
        <f>'DATA (Real)'!AF16</f>
        <v>0.32361321762834477</v>
      </c>
      <c r="AG20" s="316">
        <f>'DATA (Real)'!AG16</f>
        <v>0.32426044406360144</v>
      </c>
      <c r="AH20" s="316">
        <f>'DATA (Real)'!AH16</f>
        <v>0.32490896495172866</v>
      </c>
      <c r="AI20" s="316">
        <f>'DATA (Real)'!AI16</f>
        <v>0.32555878288163215</v>
      </c>
      <c r="AJ20" s="316">
        <f>'DATA (Real)'!AJ16</f>
        <v>0.3262099004473954</v>
      </c>
      <c r="AK20" s="316">
        <f>'DATA (Real)'!AK16</f>
        <v>0.32686232024829021</v>
      </c>
      <c r="AL20" s="316">
        <f>'DATA (Real)'!AL16</f>
        <v>0.32751604488878677</v>
      </c>
      <c r="AM20" s="316">
        <f>'DATA (Real)'!AM16</f>
        <v>0.32817107697856435</v>
      </c>
      <c r="AN20" s="316">
        <f>'DATA (Real)'!AN16</f>
        <v>0.3288274191325215</v>
      </c>
      <c r="AO20" s="316">
        <f>'DATA (Real)'!AO16</f>
        <v>0.32948507397078652</v>
      </c>
      <c r="AP20" s="316">
        <f>'DATA (Real)'!AP16</f>
        <v>0.33014404411872811</v>
      </c>
      <c r="AQ20" s="316">
        <f>'DATA (Real)'!AQ16</f>
        <v>0.33080433220696559</v>
      </c>
      <c r="AR20" s="316">
        <f>'DATA (Real)'!AR16</f>
        <v>0.33146594087137954</v>
      </c>
      <c r="AS20" s="316">
        <f>'DATA (Real)'!AS16</f>
        <v>0.33212887275312231</v>
      </c>
      <c r="AT20" s="316">
        <f>'DATA (Real)'!AT16</f>
        <v>0.33279313049862858</v>
      </c>
      <c r="AU20" s="316">
        <f>'DATA (Real)'!AU16</f>
        <v>0.33345871675962585</v>
      </c>
      <c r="AV20" s="316">
        <f>'DATA (Real)'!AV16</f>
        <v>0.33412563419314512</v>
      </c>
      <c r="AW20" s="316">
        <f>'DATA (Real)'!AW16</f>
        <v>0.33479388546153138</v>
      </c>
      <c r="AX20" s="316">
        <f>'DATA (Real)'!AX16</f>
        <v>0.33546347323245446</v>
      </c>
      <c r="AY20" s="316">
        <f>'DATA (Real)'!AY16</f>
        <v>0.33613440017891938</v>
      </c>
      <c r="AZ20" s="316">
        <f>'DATA (Real)'!AZ16</f>
        <v>0.33680666897927725</v>
      </c>
      <c r="BA20" s="316">
        <f>'DATA (Real)'!BA16</f>
        <v>0.33748028231723581</v>
      </c>
      <c r="BB20" s="316">
        <f>'DATA (Real)'!BB16</f>
        <v>0.33815524288187027</v>
      </c>
      <c r="BC20" s="316">
        <f>'DATA (Real)'!BC16</f>
        <v>0.33883155336763399</v>
      </c>
      <c r="BD20" s="316">
        <f>'DATA (Real)'!BD16</f>
        <v>0.33950921647436927</v>
      </c>
      <c r="BE20" s="316">
        <f>'DATA (Real)'!BE16</f>
        <v>0.34018823490731803</v>
      </c>
      <c r="BF20" s="316">
        <f>'DATA (Real)'!BF16</f>
        <v>0.34086861137713265</v>
      </c>
      <c r="BG20" s="316">
        <f>'DATA (Real)'!BG16</f>
        <v>0.34155034859988692</v>
      </c>
      <c r="BH20" s="316">
        <f>'DATA (Real)'!BH16</f>
        <v>0.34223344929708671</v>
      </c>
      <c r="BI20" s="316">
        <f>'DATA (Real)'!BI16</f>
        <v>0.34291791619568091</v>
      </c>
      <c r="BJ20" s="316">
        <f>'DATA (Real)'!BJ16</f>
        <v>0.34360375202807225</v>
      </c>
      <c r="BK20" s="316">
        <f>'DATA (Real)'!BK16</f>
        <v>0.3442909595321284</v>
      </c>
      <c r="BL20" s="316">
        <f>'DATA (Real)'!BL16</f>
        <v>0.34497954145119264</v>
      </c>
      <c r="BM20" s="316">
        <f>'DATA (Real)'!BM16</f>
        <v>0.34566950053409501</v>
      </c>
      <c r="BN20" s="316">
        <f>'DATA (Real)'!BN16</f>
        <v>0.34636083953516322</v>
      </c>
      <c r="BO20" s="316">
        <f>'DATA (Real)'!BO16</f>
        <v>0.34705356121423353</v>
      </c>
      <c r="BP20" s="316">
        <f>'DATA (Real)'!BP16</f>
        <v>0.34774766833666199</v>
      </c>
      <c r="BQ20" s="316">
        <f>'DATA (Real)'!BQ16</f>
        <v>0.34844316367333533</v>
      </c>
      <c r="BR20" s="316">
        <f>'DATA (Real)'!BR16</f>
        <v>0.34914005000068199</v>
      </c>
      <c r="BS20" s="316">
        <f>'DATA (Real)'!BS16</f>
        <v>0.34983833010068338</v>
      </c>
      <c r="BT20" s="316">
        <f>'DATA (Real)'!BT16</f>
        <v>0.35053800676088476</v>
      </c>
      <c r="BU20" s="316">
        <f>'DATA (Real)'!BU16</f>
        <v>0.35123908277440652</v>
      </c>
      <c r="BV20" s="316">
        <f>'DATA (Real)'!BV16</f>
        <v>0.35194156093995532</v>
      </c>
      <c r="BW20" s="316">
        <f>'DATA (Real)'!BW16</f>
        <v>0.35264544406183523</v>
      </c>
      <c r="BX20" s="316">
        <f>'DATA (Real)'!BX16</f>
        <v>0.35335073494995889</v>
      </c>
    </row>
    <row r="21" spans="2:76" hidden="1" outlineLevel="1">
      <c r="B21" s="352"/>
      <c r="C21" s="352" t="str">
        <f>'DATA (Real)'!C17</f>
        <v>Internal/NREL Utility PV - Class 4</v>
      </c>
      <c r="D21" s="352" t="str">
        <f>'DATA (Real)'!D17</f>
        <v>Net Capacity Factor (%)</v>
      </c>
      <c r="E21" s="352" t="str">
        <f>'DATA (Real)'!E17</f>
        <v>100 MW/400 MWh Lithium-ion w/Solar (Solar Only)</v>
      </c>
      <c r="F21" s="316">
        <f>'DATA (Real)'!F17</f>
        <v>0.26084039968030859</v>
      </c>
      <c r="G21" s="316">
        <f>'DATA (Real)'!G17</f>
        <v>0.26362553782181775</v>
      </c>
      <c r="H21" s="316">
        <f>'DATA (Real)'!H17</f>
        <v>0.2664106759633269</v>
      </c>
      <c r="I21" s="316">
        <f>'DATA (Real)'!I17</f>
        <v>0.26919581410483606</v>
      </c>
      <c r="J21" s="316">
        <f>'DATA (Real)'!J17</f>
        <v>0.27198095224634522</v>
      </c>
      <c r="K21" s="316">
        <f>'DATA (Real)'!K17</f>
        <v>0.27476609038785438</v>
      </c>
      <c r="L21" s="316">
        <f>'DATA (Real)'!L17</f>
        <v>0.27755122852936354</v>
      </c>
      <c r="M21" s="316">
        <f>'DATA (Real)'!M17</f>
        <v>0.28210306867724511</v>
      </c>
      <c r="N21" s="316">
        <f>'DATA (Real)'!N17</f>
        <v>0.2867295590035519</v>
      </c>
      <c r="O21" s="316">
        <f>'DATA (Real)'!O17</f>
        <v>0.29143192377121013</v>
      </c>
      <c r="P21" s="316">
        <f>'DATA (Real)'!P17</f>
        <v>0.296211407321058</v>
      </c>
      <c r="Q21" s="316">
        <f>'DATA (Real)'!Q17</f>
        <v>0.29680383013570011</v>
      </c>
      <c r="R21" s="316">
        <f>'DATA (Real)'!R17</f>
        <v>0.2973974377959715</v>
      </c>
      <c r="S21" s="316">
        <f>'DATA (Real)'!S17</f>
        <v>0.29799223267156344</v>
      </c>
      <c r="T21" s="316">
        <f>'DATA (Real)'!T17</f>
        <v>0.29858821713690659</v>
      </c>
      <c r="U21" s="316">
        <f>'DATA (Real)'!U17</f>
        <v>0.2991853935711804</v>
      </c>
      <c r="V21" s="316">
        <f>'DATA (Real)'!V17</f>
        <v>0.29978376435832277</v>
      </c>
      <c r="W21" s="316">
        <f>'DATA (Real)'!W17</f>
        <v>0.30038333188703942</v>
      </c>
      <c r="X21" s="316">
        <f>'DATA (Real)'!X17</f>
        <v>0.30098409855081348</v>
      </c>
      <c r="Y21" s="316">
        <f>'DATA (Real)'!Y17</f>
        <v>0.3015860667479151</v>
      </c>
      <c r="Z21" s="316">
        <f>'DATA (Real)'!Z17</f>
        <v>0.30218923888141092</v>
      </c>
      <c r="AA21" s="316">
        <f>'DATA (Real)'!AA17</f>
        <v>0.30279361735917376</v>
      </c>
      <c r="AB21" s="316">
        <f>'DATA (Real)'!AB17</f>
        <v>0.30339920459389214</v>
      </c>
      <c r="AC21" s="316">
        <f>'DATA (Real)'!AC17</f>
        <v>0.30400600300307989</v>
      </c>
      <c r="AD21" s="316">
        <f>'DATA (Real)'!AD17</f>
        <v>0.30461401500908608</v>
      </c>
      <c r="AE21" s="316">
        <f>'DATA (Real)'!AE17</f>
        <v>0.30522324303910425</v>
      </c>
      <c r="AF21" s="316">
        <f>'DATA (Real)'!AF17</f>
        <v>0.30583368952518247</v>
      </c>
      <c r="AG21" s="316">
        <f>'DATA (Real)'!AG17</f>
        <v>0.30644535690423286</v>
      </c>
      <c r="AH21" s="316">
        <f>'DATA (Real)'!AH17</f>
        <v>0.30705824761804135</v>
      </c>
      <c r="AI21" s="316">
        <f>'DATA (Real)'!AI17</f>
        <v>0.30767236411327742</v>
      </c>
      <c r="AJ21" s="316">
        <f>'DATA (Real)'!AJ17</f>
        <v>0.30828770884150397</v>
      </c>
      <c r="AK21" s="316">
        <f>'DATA (Real)'!AK17</f>
        <v>0.30890428425918698</v>
      </c>
      <c r="AL21" s="316">
        <f>'DATA (Real)'!AL17</f>
        <v>0.30952209282770538</v>
      </c>
      <c r="AM21" s="316">
        <f>'DATA (Real)'!AM17</f>
        <v>0.31014113701336077</v>
      </c>
      <c r="AN21" s="316">
        <f>'DATA (Real)'!AN17</f>
        <v>0.31076141928738749</v>
      </c>
      <c r="AO21" s="316">
        <f>'DATA (Real)'!AO17</f>
        <v>0.31138294212596224</v>
      </c>
      <c r="AP21" s="316">
        <f>'DATA (Real)'!AP17</f>
        <v>0.31200570801021416</v>
      </c>
      <c r="AQ21" s="316">
        <f>'DATA (Real)'!AQ17</f>
        <v>0.31262971942623458</v>
      </c>
      <c r="AR21" s="316">
        <f>'DATA (Real)'!AR17</f>
        <v>0.31325497886508702</v>
      </c>
      <c r="AS21" s="316">
        <f>'DATA (Real)'!AS17</f>
        <v>0.31388148882281719</v>
      </c>
      <c r="AT21" s="316">
        <f>'DATA (Real)'!AT17</f>
        <v>0.3145092518004628</v>
      </c>
      <c r="AU21" s="316">
        <f>'DATA (Real)'!AU17</f>
        <v>0.31513827030406372</v>
      </c>
      <c r="AV21" s="316">
        <f>'DATA (Real)'!AV17</f>
        <v>0.31576854684467187</v>
      </c>
      <c r="AW21" s="316">
        <f>'DATA (Real)'!AW17</f>
        <v>0.31640008393836122</v>
      </c>
      <c r="AX21" s="316">
        <f>'DATA (Real)'!AX17</f>
        <v>0.31703288410623792</v>
      </c>
      <c r="AY21" s="316">
        <f>'DATA (Real)'!AY17</f>
        <v>0.31766694987445038</v>
      </c>
      <c r="AZ21" s="316">
        <f>'DATA (Real)'!AZ17</f>
        <v>0.31830228377419928</v>
      </c>
      <c r="BA21" s="316">
        <f>'DATA (Real)'!BA17</f>
        <v>0.31893888834174766</v>
      </c>
      <c r="BB21" s="316">
        <f>'DATA (Real)'!BB17</f>
        <v>0.31957676611843117</v>
      </c>
      <c r="BC21" s="316">
        <f>'DATA (Real)'!BC17</f>
        <v>0.32021591965066803</v>
      </c>
      <c r="BD21" s="316">
        <f>'DATA (Real)'!BD17</f>
        <v>0.32085635148996938</v>
      </c>
      <c r="BE21" s="316">
        <f>'DATA (Real)'!BE17</f>
        <v>0.3214980641929493</v>
      </c>
      <c r="BF21" s="316">
        <f>'DATA (Real)'!BF17</f>
        <v>0.32214106032133522</v>
      </c>
      <c r="BG21" s="316">
        <f>'DATA (Real)'!BG17</f>
        <v>0.32278534244197787</v>
      </c>
      <c r="BH21" s="316">
        <f>'DATA (Real)'!BH17</f>
        <v>0.32343091312686184</v>
      </c>
      <c r="BI21" s="316">
        <f>'DATA (Real)'!BI17</f>
        <v>0.32407777495311557</v>
      </c>
      <c r="BJ21" s="316">
        <f>'DATA (Real)'!BJ17</f>
        <v>0.32472593050302179</v>
      </c>
      <c r="BK21" s="316">
        <f>'DATA (Real)'!BK17</f>
        <v>0.32537538236402785</v>
      </c>
      <c r="BL21" s="316">
        <f>'DATA (Real)'!BL17</f>
        <v>0.32602613312875589</v>
      </c>
      <c r="BM21" s="316">
        <f>'DATA (Real)'!BM17</f>
        <v>0.32667818539501342</v>
      </c>
      <c r="BN21" s="316">
        <f>'DATA (Real)'!BN17</f>
        <v>0.32733154176580342</v>
      </c>
      <c r="BO21" s="316">
        <f>'DATA (Real)'!BO17</f>
        <v>0.32798620484933505</v>
      </c>
      <c r="BP21" s="316">
        <f>'DATA (Real)'!BP17</f>
        <v>0.32864217725903372</v>
      </c>
      <c r="BQ21" s="316">
        <f>'DATA (Real)'!BQ17</f>
        <v>0.32929946161355178</v>
      </c>
      <c r="BR21" s="316">
        <f>'DATA (Real)'!BR17</f>
        <v>0.3299580605367789</v>
      </c>
      <c r="BS21" s="316">
        <f>'DATA (Real)'!BS17</f>
        <v>0.33061797665785247</v>
      </c>
      <c r="BT21" s="316">
        <f>'DATA (Real)'!BT17</f>
        <v>0.33127921261116816</v>
      </c>
      <c r="BU21" s="316">
        <f>'DATA (Real)'!BU17</f>
        <v>0.3319417710363905</v>
      </c>
      <c r="BV21" s="316">
        <f>'DATA (Real)'!BV17</f>
        <v>0.33260565457846331</v>
      </c>
      <c r="BW21" s="316">
        <f>'DATA (Real)'!BW17</f>
        <v>0.33327086588762023</v>
      </c>
      <c r="BX21" s="316">
        <f>'DATA (Real)'!BX17</f>
        <v>0.33393740761939544</v>
      </c>
    </row>
    <row r="22" spans="2:76" hidden="1" outlineLevel="1">
      <c r="B22" s="352"/>
      <c r="C22" s="352" t="str">
        <f>'DATA (Real)'!C18</f>
        <v>Internal/NREL Utility PV - Class 4</v>
      </c>
      <c r="D22" s="352" t="str">
        <f>'DATA (Real)'!D18</f>
        <v>Net Capacity Factor (%)</v>
      </c>
      <c r="E22" s="352" t="str">
        <f>'DATA (Real)'!E18</f>
        <v>100 MW/200 MWh Lithium-ion w/Solar (Solar Only)</v>
      </c>
      <c r="F22" s="316">
        <f>'DATA (Real)'!F18</f>
        <v>0.26084039968030859</v>
      </c>
      <c r="G22" s="316">
        <f>'DATA (Real)'!G18</f>
        <v>0.26362553782181775</v>
      </c>
      <c r="H22" s="316">
        <f>'DATA (Real)'!H18</f>
        <v>0.2664106759633269</v>
      </c>
      <c r="I22" s="316">
        <f>'DATA (Real)'!I18</f>
        <v>0.26919581410483606</v>
      </c>
      <c r="J22" s="316">
        <f>'DATA (Real)'!J18</f>
        <v>0.27198095224634522</v>
      </c>
      <c r="K22" s="316">
        <f>'DATA (Real)'!K18</f>
        <v>0.27476609038785438</v>
      </c>
      <c r="L22" s="316">
        <f>'DATA (Real)'!L18</f>
        <v>0.27755122852936354</v>
      </c>
      <c r="M22" s="316">
        <f>'DATA (Real)'!M18</f>
        <v>0.28210306867724511</v>
      </c>
      <c r="N22" s="316">
        <f>'DATA (Real)'!N18</f>
        <v>0.2867295590035519</v>
      </c>
      <c r="O22" s="316">
        <f>'DATA (Real)'!O18</f>
        <v>0.29143192377121013</v>
      </c>
      <c r="P22" s="316">
        <f>'DATA (Real)'!P18</f>
        <v>0.296211407321058</v>
      </c>
      <c r="Q22" s="316">
        <f>'DATA (Real)'!Q18</f>
        <v>0.29680383013570011</v>
      </c>
      <c r="R22" s="316">
        <f>'DATA (Real)'!R18</f>
        <v>0.2973974377959715</v>
      </c>
      <c r="S22" s="316">
        <f>'DATA (Real)'!S18</f>
        <v>0.29799223267156344</v>
      </c>
      <c r="T22" s="316">
        <f>'DATA (Real)'!T18</f>
        <v>0.29858821713690659</v>
      </c>
      <c r="U22" s="316">
        <f>'DATA (Real)'!U18</f>
        <v>0.2991853935711804</v>
      </c>
      <c r="V22" s="316">
        <f>'DATA (Real)'!V18</f>
        <v>0.29978376435832277</v>
      </c>
      <c r="W22" s="316">
        <f>'DATA (Real)'!W18</f>
        <v>0.30038333188703942</v>
      </c>
      <c r="X22" s="316">
        <f>'DATA (Real)'!X18</f>
        <v>0.30098409855081348</v>
      </c>
      <c r="Y22" s="316">
        <f>'DATA (Real)'!Y18</f>
        <v>0.3015860667479151</v>
      </c>
      <c r="Z22" s="316">
        <f>'DATA (Real)'!Z18</f>
        <v>0.30218923888141092</v>
      </c>
      <c r="AA22" s="316">
        <f>'DATA (Real)'!AA18</f>
        <v>0.30279361735917376</v>
      </c>
      <c r="AB22" s="316">
        <f>'DATA (Real)'!AB18</f>
        <v>0.30339920459389214</v>
      </c>
      <c r="AC22" s="316">
        <f>'DATA (Real)'!AC18</f>
        <v>0.30400600300307989</v>
      </c>
      <c r="AD22" s="316">
        <f>'DATA (Real)'!AD18</f>
        <v>0.30461401500908608</v>
      </c>
      <c r="AE22" s="316">
        <f>'DATA (Real)'!AE18</f>
        <v>0.30522324303910425</v>
      </c>
      <c r="AF22" s="316">
        <f>'DATA (Real)'!AF18</f>
        <v>0.30583368952518247</v>
      </c>
      <c r="AG22" s="316">
        <f>'DATA (Real)'!AG18</f>
        <v>0.30644535690423286</v>
      </c>
      <c r="AH22" s="316">
        <f>'DATA (Real)'!AH18</f>
        <v>0.30705824761804135</v>
      </c>
      <c r="AI22" s="316">
        <f>'DATA (Real)'!AI18</f>
        <v>0.30767236411327742</v>
      </c>
      <c r="AJ22" s="316">
        <f>'DATA (Real)'!AJ18</f>
        <v>0.30828770884150397</v>
      </c>
      <c r="AK22" s="316">
        <f>'DATA (Real)'!AK18</f>
        <v>0.30890428425918698</v>
      </c>
      <c r="AL22" s="316">
        <f>'DATA (Real)'!AL18</f>
        <v>0.30952209282770538</v>
      </c>
      <c r="AM22" s="316">
        <f>'DATA (Real)'!AM18</f>
        <v>0.31014113701336077</v>
      </c>
      <c r="AN22" s="316">
        <f>'DATA (Real)'!AN18</f>
        <v>0.31076141928738749</v>
      </c>
      <c r="AO22" s="316">
        <f>'DATA (Real)'!AO18</f>
        <v>0.31138294212596224</v>
      </c>
      <c r="AP22" s="316">
        <f>'DATA (Real)'!AP18</f>
        <v>0.31200570801021416</v>
      </c>
      <c r="AQ22" s="316">
        <f>'DATA (Real)'!AQ18</f>
        <v>0.31262971942623458</v>
      </c>
      <c r="AR22" s="316">
        <f>'DATA (Real)'!AR18</f>
        <v>0.31325497886508702</v>
      </c>
      <c r="AS22" s="316">
        <f>'DATA (Real)'!AS18</f>
        <v>0.31388148882281719</v>
      </c>
      <c r="AT22" s="316">
        <f>'DATA (Real)'!AT18</f>
        <v>0.3145092518004628</v>
      </c>
      <c r="AU22" s="316">
        <f>'DATA (Real)'!AU18</f>
        <v>0.31513827030406372</v>
      </c>
      <c r="AV22" s="316">
        <f>'DATA (Real)'!AV18</f>
        <v>0.31576854684467187</v>
      </c>
      <c r="AW22" s="316">
        <f>'DATA (Real)'!AW18</f>
        <v>0.31640008393836122</v>
      </c>
      <c r="AX22" s="316">
        <f>'DATA (Real)'!AX18</f>
        <v>0.31703288410623792</v>
      </c>
      <c r="AY22" s="316">
        <f>'DATA (Real)'!AY18</f>
        <v>0.31766694987445038</v>
      </c>
      <c r="AZ22" s="316">
        <f>'DATA (Real)'!AZ18</f>
        <v>0.31830228377419928</v>
      </c>
      <c r="BA22" s="316">
        <f>'DATA (Real)'!BA18</f>
        <v>0.31893888834174766</v>
      </c>
      <c r="BB22" s="316">
        <f>'DATA (Real)'!BB18</f>
        <v>0.31957676611843117</v>
      </c>
      <c r="BC22" s="316">
        <f>'DATA (Real)'!BC18</f>
        <v>0.32021591965066803</v>
      </c>
      <c r="BD22" s="316">
        <f>'DATA (Real)'!BD18</f>
        <v>0.32085635148996938</v>
      </c>
      <c r="BE22" s="316">
        <f>'DATA (Real)'!BE18</f>
        <v>0.3214980641929493</v>
      </c>
      <c r="BF22" s="316">
        <f>'DATA (Real)'!BF18</f>
        <v>0.32214106032133522</v>
      </c>
      <c r="BG22" s="316">
        <f>'DATA (Real)'!BG18</f>
        <v>0.32278534244197787</v>
      </c>
      <c r="BH22" s="316">
        <f>'DATA (Real)'!BH18</f>
        <v>0.32343091312686184</v>
      </c>
      <c r="BI22" s="316">
        <f>'DATA (Real)'!BI18</f>
        <v>0.32407777495311557</v>
      </c>
      <c r="BJ22" s="316">
        <f>'DATA (Real)'!BJ18</f>
        <v>0.32472593050302179</v>
      </c>
      <c r="BK22" s="316">
        <f>'DATA (Real)'!BK18</f>
        <v>0.32537538236402785</v>
      </c>
      <c r="BL22" s="316">
        <f>'DATA (Real)'!BL18</f>
        <v>0.32602613312875589</v>
      </c>
      <c r="BM22" s="316">
        <f>'DATA (Real)'!BM18</f>
        <v>0.32667818539501342</v>
      </c>
      <c r="BN22" s="316">
        <f>'DATA (Real)'!BN18</f>
        <v>0.32733154176580342</v>
      </c>
      <c r="BO22" s="316">
        <f>'DATA (Real)'!BO18</f>
        <v>0.32798620484933505</v>
      </c>
      <c r="BP22" s="316">
        <f>'DATA (Real)'!BP18</f>
        <v>0.32864217725903372</v>
      </c>
      <c r="BQ22" s="316">
        <f>'DATA (Real)'!BQ18</f>
        <v>0.32929946161355178</v>
      </c>
      <c r="BR22" s="316">
        <f>'DATA (Real)'!BR18</f>
        <v>0.3299580605367789</v>
      </c>
      <c r="BS22" s="316">
        <f>'DATA (Real)'!BS18</f>
        <v>0.33061797665785247</v>
      </c>
      <c r="BT22" s="316">
        <f>'DATA (Real)'!BT18</f>
        <v>0.33127921261116816</v>
      </c>
      <c r="BU22" s="316">
        <f>'DATA (Real)'!BU18</f>
        <v>0.3319417710363905</v>
      </c>
      <c r="BV22" s="316">
        <f>'DATA (Real)'!BV18</f>
        <v>0.33260565457846331</v>
      </c>
      <c r="BW22" s="316">
        <f>'DATA (Real)'!BW18</f>
        <v>0.33327086588762023</v>
      </c>
      <c r="BX22" s="316">
        <f>'DATA (Real)'!BX18</f>
        <v>0.33393740761939544</v>
      </c>
    </row>
    <row r="23" spans="2:76" hidden="1" outlineLevel="1">
      <c r="B23" s="352"/>
      <c r="C23" s="352" t="str">
        <f>'DATA (Real)'!C19</f>
        <v>Internal/NREL Utility PV - Class 4</v>
      </c>
      <c r="D23" s="352" t="str">
        <f>'DATA (Real)'!D19</f>
        <v>Net Capacity Factor (%)</v>
      </c>
      <c r="E23" s="352" t="str">
        <f>'DATA (Real)'!E19</f>
        <v>50 MW/200 MWh Lithium-ion w/Solar (Solar Only)</v>
      </c>
      <c r="F23" s="316">
        <f>'DATA (Real)'!F19</f>
        <v>0.26084039968030859</v>
      </c>
      <c r="G23" s="316">
        <f>'DATA (Real)'!G19</f>
        <v>0.26362553782181775</v>
      </c>
      <c r="H23" s="316">
        <f>'DATA (Real)'!H19</f>
        <v>0.2664106759633269</v>
      </c>
      <c r="I23" s="316">
        <f>'DATA (Real)'!I19</f>
        <v>0.26919581410483606</v>
      </c>
      <c r="J23" s="316">
        <f>'DATA (Real)'!J19</f>
        <v>0.27198095224634522</v>
      </c>
      <c r="K23" s="316">
        <f>'DATA (Real)'!K19</f>
        <v>0.27476609038785438</v>
      </c>
      <c r="L23" s="316">
        <f>'DATA (Real)'!L19</f>
        <v>0.27755122852936354</v>
      </c>
      <c r="M23" s="316">
        <f>'DATA (Real)'!M19</f>
        <v>0.28210306867724511</v>
      </c>
      <c r="N23" s="316">
        <f>'DATA (Real)'!N19</f>
        <v>0.2867295590035519</v>
      </c>
      <c r="O23" s="316">
        <f>'DATA (Real)'!O19</f>
        <v>0.29143192377121013</v>
      </c>
      <c r="P23" s="316">
        <f>'DATA (Real)'!P19</f>
        <v>0.296211407321058</v>
      </c>
      <c r="Q23" s="316">
        <f>'DATA (Real)'!Q19</f>
        <v>0.29680383013570011</v>
      </c>
      <c r="R23" s="316">
        <f>'DATA (Real)'!R19</f>
        <v>0.2973974377959715</v>
      </c>
      <c r="S23" s="316">
        <f>'DATA (Real)'!S19</f>
        <v>0.29799223267156344</v>
      </c>
      <c r="T23" s="316">
        <f>'DATA (Real)'!T19</f>
        <v>0.29858821713690659</v>
      </c>
      <c r="U23" s="316">
        <f>'DATA (Real)'!U19</f>
        <v>0.2991853935711804</v>
      </c>
      <c r="V23" s="316">
        <f>'DATA (Real)'!V19</f>
        <v>0.29978376435832277</v>
      </c>
      <c r="W23" s="316">
        <f>'DATA (Real)'!W19</f>
        <v>0.30038333188703942</v>
      </c>
      <c r="X23" s="316">
        <f>'DATA (Real)'!X19</f>
        <v>0.30098409855081348</v>
      </c>
      <c r="Y23" s="316">
        <f>'DATA (Real)'!Y19</f>
        <v>0.3015860667479151</v>
      </c>
      <c r="Z23" s="316">
        <f>'DATA (Real)'!Z19</f>
        <v>0.30218923888141092</v>
      </c>
      <c r="AA23" s="316">
        <f>'DATA (Real)'!AA19</f>
        <v>0.30279361735917376</v>
      </c>
      <c r="AB23" s="316">
        <f>'DATA (Real)'!AB19</f>
        <v>0.30339920459389214</v>
      </c>
      <c r="AC23" s="316">
        <f>'DATA (Real)'!AC19</f>
        <v>0.30400600300307989</v>
      </c>
      <c r="AD23" s="316">
        <f>'DATA (Real)'!AD19</f>
        <v>0.30461401500908608</v>
      </c>
      <c r="AE23" s="316">
        <f>'DATA (Real)'!AE19</f>
        <v>0.30522324303910425</v>
      </c>
      <c r="AF23" s="316">
        <f>'DATA (Real)'!AF19</f>
        <v>0.30583368952518247</v>
      </c>
      <c r="AG23" s="316">
        <f>'DATA (Real)'!AG19</f>
        <v>0.30644535690423286</v>
      </c>
      <c r="AH23" s="316">
        <f>'DATA (Real)'!AH19</f>
        <v>0.30705824761804135</v>
      </c>
      <c r="AI23" s="316">
        <f>'DATA (Real)'!AI19</f>
        <v>0.30767236411327742</v>
      </c>
      <c r="AJ23" s="316">
        <f>'DATA (Real)'!AJ19</f>
        <v>0.30828770884150397</v>
      </c>
      <c r="AK23" s="316">
        <f>'DATA (Real)'!AK19</f>
        <v>0.30890428425918698</v>
      </c>
      <c r="AL23" s="316">
        <f>'DATA (Real)'!AL19</f>
        <v>0.30952209282770538</v>
      </c>
      <c r="AM23" s="316">
        <f>'DATA (Real)'!AM19</f>
        <v>0.31014113701336077</v>
      </c>
      <c r="AN23" s="316">
        <f>'DATA (Real)'!AN19</f>
        <v>0.31076141928738749</v>
      </c>
      <c r="AO23" s="316">
        <f>'DATA (Real)'!AO19</f>
        <v>0.31138294212596224</v>
      </c>
      <c r="AP23" s="316">
        <f>'DATA (Real)'!AP19</f>
        <v>0.31200570801021416</v>
      </c>
      <c r="AQ23" s="316">
        <f>'DATA (Real)'!AQ19</f>
        <v>0.31262971942623458</v>
      </c>
      <c r="AR23" s="316">
        <f>'DATA (Real)'!AR19</f>
        <v>0.31325497886508702</v>
      </c>
      <c r="AS23" s="316">
        <f>'DATA (Real)'!AS19</f>
        <v>0.31388148882281719</v>
      </c>
      <c r="AT23" s="316">
        <f>'DATA (Real)'!AT19</f>
        <v>0.3145092518004628</v>
      </c>
      <c r="AU23" s="316">
        <f>'DATA (Real)'!AU19</f>
        <v>0.31513827030406372</v>
      </c>
      <c r="AV23" s="316">
        <f>'DATA (Real)'!AV19</f>
        <v>0.31576854684467187</v>
      </c>
      <c r="AW23" s="316">
        <f>'DATA (Real)'!AW19</f>
        <v>0.31640008393836122</v>
      </c>
      <c r="AX23" s="316">
        <f>'DATA (Real)'!AX19</f>
        <v>0.31703288410623792</v>
      </c>
      <c r="AY23" s="316">
        <f>'DATA (Real)'!AY19</f>
        <v>0.31766694987445038</v>
      </c>
      <c r="AZ23" s="316">
        <f>'DATA (Real)'!AZ19</f>
        <v>0.31830228377419928</v>
      </c>
      <c r="BA23" s="316">
        <f>'DATA (Real)'!BA19</f>
        <v>0.31893888834174766</v>
      </c>
      <c r="BB23" s="316">
        <f>'DATA (Real)'!BB19</f>
        <v>0.31957676611843117</v>
      </c>
      <c r="BC23" s="316">
        <f>'DATA (Real)'!BC19</f>
        <v>0.32021591965066803</v>
      </c>
      <c r="BD23" s="316">
        <f>'DATA (Real)'!BD19</f>
        <v>0.32085635148996938</v>
      </c>
      <c r="BE23" s="316">
        <f>'DATA (Real)'!BE19</f>
        <v>0.3214980641929493</v>
      </c>
      <c r="BF23" s="316">
        <f>'DATA (Real)'!BF19</f>
        <v>0.32214106032133522</v>
      </c>
      <c r="BG23" s="316">
        <f>'DATA (Real)'!BG19</f>
        <v>0.32278534244197787</v>
      </c>
      <c r="BH23" s="316">
        <f>'DATA (Real)'!BH19</f>
        <v>0.32343091312686184</v>
      </c>
      <c r="BI23" s="316">
        <f>'DATA (Real)'!BI19</f>
        <v>0.32407777495311557</v>
      </c>
      <c r="BJ23" s="316">
        <f>'DATA (Real)'!BJ19</f>
        <v>0.32472593050302179</v>
      </c>
      <c r="BK23" s="316">
        <f>'DATA (Real)'!BK19</f>
        <v>0.32537538236402785</v>
      </c>
      <c r="BL23" s="316">
        <f>'DATA (Real)'!BL19</f>
        <v>0.32602613312875589</v>
      </c>
      <c r="BM23" s="316">
        <f>'DATA (Real)'!BM19</f>
        <v>0.32667818539501342</v>
      </c>
      <c r="BN23" s="316">
        <f>'DATA (Real)'!BN19</f>
        <v>0.32733154176580342</v>
      </c>
      <c r="BO23" s="316">
        <f>'DATA (Real)'!BO19</f>
        <v>0.32798620484933505</v>
      </c>
      <c r="BP23" s="316">
        <f>'DATA (Real)'!BP19</f>
        <v>0.32864217725903372</v>
      </c>
      <c r="BQ23" s="316">
        <f>'DATA (Real)'!BQ19</f>
        <v>0.32929946161355178</v>
      </c>
      <c r="BR23" s="316">
        <f>'DATA (Real)'!BR19</f>
        <v>0.3299580605367789</v>
      </c>
      <c r="BS23" s="316">
        <f>'DATA (Real)'!BS19</f>
        <v>0.33061797665785247</v>
      </c>
      <c r="BT23" s="316">
        <f>'DATA (Real)'!BT19</f>
        <v>0.33127921261116816</v>
      </c>
      <c r="BU23" s="316">
        <f>'DATA (Real)'!BU19</f>
        <v>0.3319417710363905</v>
      </c>
      <c r="BV23" s="316">
        <f>'DATA (Real)'!BV19</f>
        <v>0.33260565457846331</v>
      </c>
      <c r="BW23" s="316">
        <f>'DATA (Real)'!BW19</f>
        <v>0.33327086588762023</v>
      </c>
      <c r="BX23" s="316">
        <f>'DATA (Real)'!BX19</f>
        <v>0.33393740761939544</v>
      </c>
    </row>
    <row r="24" spans="2:76" hidden="1" outlineLevel="1">
      <c r="B24" s="350"/>
      <c r="C24" s="350" t="str">
        <f>'DATA (Real)'!C20</f>
        <v>Internal/NREL Land-Based Wind - Class 8</v>
      </c>
      <c r="D24" s="350" t="str">
        <f>'DATA (Real)'!D20</f>
        <v>Net Capacity Factor (%)</v>
      </c>
      <c r="E24" s="350" t="str">
        <f>'DATA (Real)'!E20</f>
        <v>NW Wind On System (Share)</v>
      </c>
      <c r="F24" s="316">
        <f>'DATA (Real)'!F20</f>
        <v>0.32200000000000001</v>
      </c>
      <c r="G24" s="316">
        <f>'DATA (Real)'!G20</f>
        <v>0.32200000000000001</v>
      </c>
      <c r="H24" s="316">
        <f>'DATA (Real)'!H20</f>
        <v>0.32200000000000001</v>
      </c>
      <c r="I24" s="316">
        <f>'DATA (Real)'!I20</f>
        <v>0.32200000000000001</v>
      </c>
      <c r="J24" s="316">
        <f>'DATA (Real)'!J20</f>
        <v>0.32200000000000001</v>
      </c>
      <c r="K24" s="316">
        <f>'DATA (Real)'!K20</f>
        <v>0.32200000000000001</v>
      </c>
      <c r="L24" s="316">
        <f>'DATA (Real)'!L20</f>
        <v>0.32200000000000001</v>
      </c>
      <c r="M24" s="316">
        <f>'DATA (Real)'!M20</f>
        <v>0.32728079999999998</v>
      </c>
      <c r="N24" s="316">
        <f>'DATA (Real)'!N20</f>
        <v>0.33264820511999998</v>
      </c>
      <c r="O24" s="316">
        <f>'DATA (Real)'!O20</f>
        <v>0.33810363568396795</v>
      </c>
      <c r="P24" s="316">
        <f>'DATA (Real)'!P20</f>
        <v>0.34364853530918499</v>
      </c>
      <c r="Q24" s="316">
        <f>'DATA (Real)'!Q20</f>
        <v>0.34399218384449415</v>
      </c>
      <c r="R24" s="316">
        <f>'DATA (Real)'!R20</f>
        <v>0.3443361760283386</v>
      </c>
      <c r="S24" s="316">
        <f>'DATA (Real)'!S20</f>
        <v>0.34468051220436691</v>
      </c>
      <c r="T24" s="316">
        <f>'DATA (Real)'!T20</f>
        <v>0.34502519271657123</v>
      </c>
      <c r="U24" s="316">
        <f>'DATA (Real)'!U20</f>
        <v>0.34537021790928774</v>
      </c>
      <c r="V24" s="316">
        <f>'DATA (Real)'!V20</f>
        <v>0.34571558812719699</v>
      </c>
      <c r="W24" s="316">
        <f>'DATA (Real)'!W20</f>
        <v>0.34606130371532418</v>
      </c>
      <c r="X24" s="316">
        <f>'DATA (Real)'!X20</f>
        <v>0.34640736501903946</v>
      </c>
      <c r="Y24" s="316">
        <f>'DATA (Real)'!Y20</f>
        <v>0.34675377238405847</v>
      </c>
      <c r="Z24" s="316">
        <f>'DATA (Real)'!Z20</f>
        <v>0.34710052615644249</v>
      </c>
      <c r="AA24" s="316">
        <f>'DATA (Real)'!AA20</f>
        <v>0.34744762668259888</v>
      </c>
      <c r="AB24" s="316">
        <f>'DATA (Real)'!AB20</f>
        <v>0.34779507430928142</v>
      </c>
      <c r="AC24" s="316">
        <f>'DATA (Real)'!AC20</f>
        <v>0.34814286938359068</v>
      </c>
      <c r="AD24" s="316">
        <f>'DATA (Real)'!AD20</f>
        <v>0.34849101225297424</v>
      </c>
      <c r="AE24" s="316">
        <f>'DATA (Real)'!AE20</f>
        <v>0.34883950326522717</v>
      </c>
      <c r="AF24" s="316">
        <f>'DATA (Real)'!AF20</f>
        <v>0.34918834276849237</v>
      </c>
      <c r="AG24" s="316">
        <f>'DATA (Real)'!AG20</f>
        <v>0.34953753111126085</v>
      </c>
      <c r="AH24" s="316">
        <f>'DATA (Real)'!AH20</f>
        <v>0.34988706864237207</v>
      </c>
      <c r="AI24" s="316">
        <f>'DATA (Real)'!AI20</f>
        <v>0.35023695571101437</v>
      </c>
      <c r="AJ24" s="316">
        <f>'DATA (Real)'!AJ20</f>
        <v>0.35058719266672533</v>
      </c>
      <c r="AK24" s="316">
        <f>'DATA (Real)'!AK20</f>
        <v>0.35093777985939201</v>
      </c>
      <c r="AL24" s="316">
        <f>'DATA (Real)'!AL20</f>
        <v>0.35128871763925135</v>
      </c>
      <c r="AM24" s="316">
        <f>'DATA (Real)'!AM20</f>
        <v>0.35164000635689058</v>
      </c>
      <c r="AN24" s="316">
        <f>'DATA (Real)'!AN20</f>
        <v>0.35199164636324742</v>
      </c>
      <c r="AO24" s="316">
        <f>'DATA (Real)'!AO20</f>
        <v>0.3523436380096106</v>
      </c>
      <c r="AP24" s="316">
        <f>'DATA (Real)'!AP20</f>
        <v>0.35269598164762017</v>
      </c>
      <c r="AQ24" s="316">
        <f>'DATA (Real)'!AQ20</f>
        <v>0.35304867762926773</v>
      </c>
      <c r="AR24" s="316">
        <f>'DATA (Real)'!AR20</f>
        <v>0.35340172630689698</v>
      </c>
      <c r="AS24" s="316">
        <f>'DATA (Real)'!AS20</f>
        <v>0.35375512803320386</v>
      </c>
      <c r="AT24" s="316">
        <f>'DATA (Real)'!AT20</f>
        <v>0.35410888316123701</v>
      </c>
      <c r="AU24" s="316">
        <f>'DATA (Real)'!AU20</f>
        <v>0.35446299204439818</v>
      </c>
      <c r="AV24" s="316">
        <f>'DATA (Real)'!AV20</f>
        <v>0.35481745503644252</v>
      </c>
      <c r="AW24" s="316">
        <f>'DATA (Real)'!AW20</f>
        <v>0.35517227249147892</v>
      </c>
      <c r="AX24" s="316">
        <f>'DATA (Real)'!AX20</f>
        <v>0.35552744476397036</v>
      </c>
      <c r="AY24" s="316">
        <f>'DATA (Real)'!AY20</f>
        <v>0.35588297220873427</v>
      </c>
      <c r="AZ24" s="316">
        <f>'DATA (Real)'!AZ20</f>
        <v>0.35623885518094295</v>
      </c>
      <c r="BA24" s="316">
        <f>'DATA (Real)'!BA20</f>
        <v>0.35659509403612383</v>
      </c>
      <c r="BB24" s="316">
        <f>'DATA (Real)'!BB20</f>
        <v>0.3569516891301599</v>
      </c>
      <c r="BC24" s="316">
        <f>'DATA (Real)'!BC20</f>
        <v>0.35730864081929004</v>
      </c>
      <c r="BD24" s="316">
        <f>'DATA (Real)'!BD20</f>
        <v>0.35766594946010927</v>
      </c>
      <c r="BE24" s="316">
        <f>'DATA (Real)'!BE20</f>
        <v>0.35802361540956934</v>
      </c>
      <c r="BF24" s="316">
        <f>'DATA (Real)'!BF20</f>
        <v>0.35838163902497888</v>
      </c>
      <c r="BG24" s="316">
        <f>'DATA (Real)'!BG20</f>
        <v>0.35874002066400384</v>
      </c>
      <c r="BH24" s="316">
        <f>'DATA (Real)'!BH20</f>
        <v>0.35909876068466778</v>
      </c>
      <c r="BI24" s="316">
        <f>'DATA (Real)'!BI20</f>
        <v>0.35945785944535241</v>
      </c>
      <c r="BJ24" s="316">
        <f>'DATA (Real)'!BJ20</f>
        <v>0.35981731730479771</v>
      </c>
      <c r="BK24" s="316">
        <f>'DATA (Real)'!BK20</f>
        <v>0.36017713462210249</v>
      </c>
      <c r="BL24" s="316">
        <f>'DATA (Real)'!BL20</f>
        <v>0.36053731175672454</v>
      </c>
      <c r="BM24" s="316">
        <f>'DATA (Real)'!BM20</f>
        <v>0.36089784906848121</v>
      </c>
      <c r="BN24" s="316">
        <f>'DATA (Real)'!BN20</f>
        <v>0.36125874691754967</v>
      </c>
      <c r="BO24" s="316">
        <f>'DATA (Real)'!BO20</f>
        <v>0.36162000566446717</v>
      </c>
      <c r="BP24" s="316">
        <f>'DATA (Real)'!BP20</f>
        <v>0.36198162567013159</v>
      </c>
      <c r="BQ24" s="316">
        <f>'DATA (Real)'!BQ20</f>
        <v>0.36234360729580167</v>
      </c>
      <c r="BR24" s="316">
        <f>'DATA (Real)'!BR20</f>
        <v>0.36270595090309743</v>
      </c>
      <c r="BS24" s="316">
        <f>'DATA (Real)'!BS20</f>
        <v>0.36306865685400047</v>
      </c>
      <c r="BT24" s="316">
        <f>'DATA (Real)'!BT20</f>
        <v>0.36343172551085445</v>
      </c>
      <c r="BU24" s="316">
        <f>'DATA (Real)'!BU20</f>
        <v>0.36379515723636524</v>
      </c>
      <c r="BV24" s="316">
        <f>'DATA (Real)'!BV20</f>
        <v>0.36415895239360158</v>
      </c>
      <c r="BW24" s="316">
        <f>'DATA (Real)'!BW20</f>
        <v>0.36452311134599513</v>
      </c>
      <c r="BX24" s="316">
        <f>'DATA (Real)'!BX20</f>
        <v>0.36488763445734107</v>
      </c>
    </row>
    <row r="25" spans="2:76" hidden="1" outlineLevel="1">
      <c r="B25" s="350"/>
      <c r="C25" s="350" t="str">
        <f>'DATA (Real)'!C21</f>
        <v>Internal/NREL Land-Based Wind - Class 8</v>
      </c>
      <c r="D25" s="350" t="str">
        <f>'DATA (Real)'!D21</f>
        <v>Net Capacity Factor (%)</v>
      </c>
      <c r="E25" s="350" t="str">
        <f>'DATA (Real)'!E21</f>
        <v>NW Wind Off System</v>
      </c>
      <c r="F25" s="316">
        <f>'DATA (Real)'!F21</f>
        <v>0.32200000000000001</v>
      </c>
      <c r="G25" s="316">
        <f>'DATA (Real)'!G21</f>
        <v>0.32200000000000001</v>
      </c>
      <c r="H25" s="316">
        <f>'DATA (Real)'!H21</f>
        <v>0.32200000000000001</v>
      </c>
      <c r="I25" s="316">
        <f>'DATA (Real)'!I21</f>
        <v>0.32200000000000001</v>
      </c>
      <c r="J25" s="316">
        <f>'DATA (Real)'!J21</f>
        <v>0.32200000000000001</v>
      </c>
      <c r="K25" s="316">
        <f>'DATA (Real)'!K21</f>
        <v>0.32200000000000001</v>
      </c>
      <c r="L25" s="316">
        <f>'DATA (Real)'!L21</f>
        <v>0.32200000000000001</v>
      </c>
      <c r="M25" s="316">
        <f>'DATA (Real)'!M21</f>
        <v>0.32728079999999998</v>
      </c>
      <c r="N25" s="316">
        <f>'DATA (Real)'!N21</f>
        <v>0.33264820511999998</v>
      </c>
      <c r="O25" s="316">
        <f>'DATA (Real)'!O21</f>
        <v>0.33810363568396795</v>
      </c>
      <c r="P25" s="316">
        <f>'DATA (Real)'!P21</f>
        <v>0.34364853530918499</v>
      </c>
      <c r="Q25" s="316">
        <f>'DATA (Real)'!Q21</f>
        <v>0.34399218384449415</v>
      </c>
      <c r="R25" s="316">
        <f>'DATA (Real)'!R21</f>
        <v>0.3443361760283386</v>
      </c>
      <c r="S25" s="316">
        <f>'DATA (Real)'!S21</f>
        <v>0.34468051220436691</v>
      </c>
      <c r="T25" s="316">
        <f>'DATA (Real)'!T21</f>
        <v>0.34502519271657123</v>
      </c>
      <c r="U25" s="316">
        <f>'DATA (Real)'!U21</f>
        <v>0.34537021790928774</v>
      </c>
      <c r="V25" s="316">
        <f>'DATA (Real)'!V21</f>
        <v>0.34571558812719699</v>
      </c>
      <c r="W25" s="316">
        <f>'DATA (Real)'!W21</f>
        <v>0.34606130371532418</v>
      </c>
      <c r="X25" s="316">
        <f>'DATA (Real)'!X21</f>
        <v>0.34640736501903946</v>
      </c>
      <c r="Y25" s="316">
        <f>'DATA (Real)'!Y21</f>
        <v>0.34675377238405847</v>
      </c>
      <c r="Z25" s="316">
        <f>'DATA (Real)'!Z21</f>
        <v>0.34710052615644249</v>
      </c>
      <c r="AA25" s="316">
        <f>'DATA (Real)'!AA21</f>
        <v>0.34744762668259888</v>
      </c>
      <c r="AB25" s="316">
        <f>'DATA (Real)'!AB21</f>
        <v>0.34779507430928142</v>
      </c>
      <c r="AC25" s="316">
        <f>'DATA (Real)'!AC21</f>
        <v>0.34814286938359068</v>
      </c>
      <c r="AD25" s="316">
        <f>'DATA (Real)'!AD21</f>
        <v>0.34849101225297424</v>
      </c>
      <c r="AE25" s="316">
        <f>'DATA (Real)'!AE21</f>
        <v>0.34883950326522717</v>
      </c>
      <c r="AF25" s="316">
        <f>'DATA (Real)'!AF21</f>
        <v>0.34918834276849237</v>
      </c>
      <c r="AG25" s="316">
        <f>'DATA (Real)'!AG21</f>
        <v>0.34953753111126085</v>
      </c>
      <c r="AH25" s="316">
        <f>'DATA (Real)'!AH21</f>
        <v>0.34988706864237207</v>
      </c>
      <c r="AI25" s="316">
        <f>'DATA (Real)'!AI21</f>
        <v>0.35023695571101437</v>
      </c>
      <c r="AJ25" s="316">
        <f>'DATA (Real)'!AJ21</f>
        <v>0.35058719266672533</v>
      </c>
      <c r="AK25" s="316">
        <f>'DATA (Real)'!AK21</f>
        <v>0.35093777985939201</v>
      </c>
      <c r="AL25" s="316">
        <f>'DATA (Real)'!AL21</f>
        <v>0.35128871763925135</v>
      </c>
      <c r="AM25" s="316">
        <f>'DATA (Real)'!AM21</f>
        <v>0.35164000635689058</v>
      </c>
      <c r="AN25" s="316">
        <f>'DATA (Real)'!AN21</f>
        <v>0.35199164636324742</v>
      </c>
      <c r="AO25" s="316">
        <f>'DATA (Real)'!AO21</f>
        <v>0.3523436380096106</v>
      </c>
      <c r="AP25" s="316">
        <f>'DATA (Real)'!AP21</f>
        <v>0.35269598164762017</v>
      </c>
      <c r="AQ25" s="316">
        <f>'DATA (Real)'!AQ21</f>
        <v>0.35304867762926773</v>
      </c>
      <c r="AR25" s="316">
        <f>'DATA (Real)'!AR21</f>
        <v>0.35340172630689698</v>
      </c>
      <c r="AS25" s="316">
        <f>'DATA (Real)'!AS21</f>
        <v>0.35375512803320386</v>
      </c>
      <c r="AT25" s="316">
        <f>'DATA (Real)'!AT21</f>
        <v>0.35410888316123701</v>
      </c>
      <c r="AU25" s="316">
        <f>'DATA (Real)'!AU21</f>
        <v>0.35446299204439818</v>
      </c>
      <c r="AV25" s="316">
        <f>'DATA (Real)'!AV21</f>
        <v>0.35481745503644252</v>
      </c>
      <c r="AW25" s="316">
        <f>'DATA (Real)'!AW21</f>
        <v>0.35517227249147892</v>
      </c>
      <c r="AX25" s="316">
        <f>'DATA (Real)'!AX21</f>
        <v>0.35552744476397036</v>
      </c>
      <c r="AY25" s="316">
        <f>'DATA (Real)'!AY21</f>
        <v>0.35588297220873427</v>
      </c>
      <c r="AZ25" s="316">
        <f>'DATA (Real)'!AZ21</f>
        <v>0.35623885518094295</v>
      </c>
      <c r="BA25" s="316">
        <f>'DATA (Real)'!BA21</f>
        <v>0.35659509403612383</v>
      </c>
      <c r="BB25" s="316">
        <f>'DATA (Real)'!BB21</f>
        <v>0.3569516891301599</v>
      </c>
      <c r="BC25" s="316">
        <f>'DATA (Real)'!BC21</f>
        <v>0.35730864081929004</v>
      </c>
      <c r="BD25" s="316">
        <f>'DATA (Real)'!BD21</f>
        <v>0.35766594946010927</v>
      </c>
      <c r="BE25" s="316">
        <f>'DATA (Real)'!BE21</f>
        <v>0.35802361540956934</v>
      </c>
      <c r="BF25" s="316">
        <f>'DATA (Real)'!BF21</f>
        <v>0.35838163902497888</v>
      </c>
      <c r="BG25" s="316">
        <f>'DATA (Real)'!BG21</f>
        <v>0.35874002066400384</v>
      </c>
      <c r="BH25" s="316">
        <f>'DATA (Real)'!BH21</f>
        <v>0.35909876068466778</v>
      </c>
      <c r="BI25" s="316">
        <f>'DATA (Real)'!BI21</f>
        <v>0.35945785944535241</v>
      </c>
      <c r="BJ25" s="316">
        <f>'DATA (Real)'!BJ21</f>
        <v>0.35981731730479771</v>
      </c>
      <c r="BK25" s="316">
        <f>'DATA (Real)'!BK21</f>
        <v>0.36017713462210249</v>
      </c>
      <c r="BL25" s="316">
        <f>'DATA (Real)'!BL21</f>
        <v>0.36053731175672454</v>
      </c>
      <c r="BM25" s="316">
        <f>'DATA (Real)'!BM21</f>
        <v>0.36089784906848121</v>
      </c>
      <c r="BN25" s="316">
        <f>'DATA (Real)'!BN21</f>
        <v>0.36125874691754967</v>
      </c>
      <c r="BO25" s="316">
        <f>'DATA (Real)'!BO21</f>
        <v>0.36162000566446717</v>
      </c>
      <c r="BP25" s="316">
        <f>'DATA (Real)'!BP21</f>
        <v>0.36198162567013159</v>
      </c>
      <c r="BQ25" s="316">
        <f>'DATA (Real)'!BQ21</f>
        <v>0.36234360729580167</v>
      </c>
      <c r="BR25" s="316">
        <f>'DATA (Real)'!BR21</f>
        <v>0.36270595090309743</v>
      </c>
      <c r="BS25" s="316">
        <f>'DATA (Real)'!BS21</f>
        <v>0.36306865685400047</v>
      </c>
      <c r="BT25" s="316">
        <f>'DATA (Real)'!BT21</f>
        <v>0.36343172551085445</v>
      </c>
      <c r="BU25" s="316">
        <f>'DATA (Real)'!BU21</f>
        <v>0.36379515723636524</v>
      </c>
      <c r="BV25" s="316">
        <f>'DATA (Real)'!BV21</f>
        <v>0.36415895239360158</v>
      </c>
      <c r="BW25" s="316">
        <f>'DATA (Real)'!BW21</f>
        <v>0.36452311134599513</v>
      </c>
      <c r="BX25" s="316">
        <f>'DATA (Real)'!BX21</f>
        <v>0.36488763445734107</v>
      </c>
    </row>
    <row r="26" spans="2:76" hidden="1" outlineLevel="1">
      <c r="B26" s="350"/>
      <c r="C26" s="350" t="str">
        <f>'DATA (Real)'!C22</f>
        <v>Internal</v>
      </c>
      <c r="D26" s="350" t="str">
        <f>'DATA (Real)'!D22</f>
        <v>Net Capacity Factor (%)</v>
      </c>
      <c r="E26" s="350" t="str">
        <f>'DATA (Real)'!E22</f>
        <v>Wind Montana</v>
      </c>
      <c r="F26" s="316">
        <f>'DATA (Real)'!F22</f>
        <v>0.41</v>
      </c>
      <c r="G26" s="316">
        <f>'DATA (Real)'!G22</f>
        <v>0.41</v>
      </c>
      <c r="H26" s="316">
        <f>'DATA (Real)'!H22</f>
        <v>0.41</v>
      </c>
      <c r="I26" s="316">
        <f>'DATA (Real)'!I22</f>
        <v>0.41</v>
      </c>
      <c r="J26" s="316">
        <f>'DATA (Real)'!J22</f>
        <v>0.41</v>
      </c>
      <c r="K26" s="316">
        <f>'DATA (Real)'!K22</f>
        <v>0.41</v>
      </c>
      <c r="L26" s="316">
        <f>'DATA (Real)'!L22</f>
        <v>0.41</v>
      </c>
      <c r="M26" s="316">
        <f>'DATA (Real)'!M22</f>
        <v>0.41672399999999998</v>
      </c>
      <c r="N26" s="316">
        <f>'DATA (Real)'!N22</f>
        <v>0.42355827359999998</v>
      </c>
      <c r="O26" s="316">
        <f>'DATA (Real)'!O22</f>
        <v>0.43050462928703997</v>
      </c>
      <c r="P26" s="316">
        <f>'DATA (Real)'!P22</f>
        <v>0.43756490520734742</v>
      </c>
      <c r="Q26" s="316">
        <f>'DATA (Real)'!Q22</f>
        <v>0.43800247011255472</v>
      </c>
      <c r="R26" s="316">
        <f>'DATA (Real)'!R22</f>
        <v>0.43844047258266722</v>
      </c>
      <c r="S26" s="316">
        <f>'DATA (Real)'!S22</f>
        <v>0.43887891305524984</v>
      </c>
      <c r="T26" s="316">
        <f>'DATA (Real)'!T22</f>
        <v>0.43931779196830506</v>
      </c>
      <c r="U26" s="316">
        <f>'DATA (Real)'!U22</f>
        <v>0.43975710976027332</v>
      </c>
      <c r="V26" s="316">
        <f>'DATA (Real)'!V22</f>
        <v>0.44019686687003357</v>
      </c>
      <c r="W26" s="316">
        <f>'DATA (Real)'!W22</f>
        <v>0.44063706373690353</v>
      </c>
      <c r="X26" s="316">
        <f>'DATA (Real)'!X22</f>
        <v>0.4410777008006404</v>
      </c>
      <c r="Y26" s="316">
        <f>'DATA (Real)'!Y22</f>
        <v>0.441518778501441</v>
      </c>
      <c r="Z26" s="316">
        <f>'DATA (Real)'!Z22</f>
        <v>0.4419602972799424</v>
      </c>
      <c r="AA26" s="316">
        <f>'DATA (Real)'!AA22</f>
        <v>0.44240225757722229</v>
      </c>
      <c r="AB26" s="316">
        <f>'DATA (Real)'!AB22</f>
        <v>0.44284465983479948</v>
      </c>
      <c r="AC26" s="316">
        <f>'DATA (Real)'!AC22</f>
        <v>0.44328750449463422</v>
      </c>
      <c r="AD26" s="316">
        <f>'DATA (Real)'!AD22</f>
        <v>0.44373079199912879</v>
      </c>
      <c r="AE26" s="316">
        <f>'DATA (Real)'!AE22</f>
        <v>0.44417452279112785</v>
      </c>
      <c r="AF26" s="316">
        <f>'DATA (Real)'!AF22</f>
        <v>0.4446186973139189</v>
      </c>
      <c r="AG26" s="316">
        <f>'DATA (Real)'!AG22</f>
        <v>0.44506331601123278</v>
      </c>
      <c r="AH26" s="316">
        <f>'DATA (Real)'!AH22</f>
        <v>0.44550837932724396</v>
      </c>
      <c r="AI26" s="316">
        <f>'DATA (Real)'!AI22</f>
        <v>0.44595388770657118</v>
      </c>
      <c r="AJ26" s="316">
        <f>'DATA (Real)'!AJ22</f>
        <v>0.4463998415942777</v>
      </c>
      <c r="AK26" s="316">
        <f>'DATA (Real)'!AK22</f>
        <v>0.44684624143587193</v>
      </c>
      <c r="AL26" s="316">
        <f>'DATA (Real)'!AL22</f>
        <v>0.44729308767730774</v>
      </c>
      <c r="AM26" s="316">
        <f>'DATA (Real)'!AM22</f>
        <v>0.44774038076498501</v>
      </c>
      <c r="AN26" s="316">
        <f>'DATA (Real)'!AN22</f>
        <v>0.44818812114574996</v>
      </c>
      <c r="AO26" s="316">
        <f>'DATA (Real)'!AO22</f>
        <v>0.44863630926689568</v>
      </c>
      <c r="AP26" s="316">
        <f>'DATA (Real)'!AP22</f>
        <v>0.44908494557616252</v>
      </c>
      <c r="AQ26" s="316">
        <f>'DATA (Real)'!AQ22</f>
        <v>0.44953403052173863</v>
      </c>
      <c r="AR26" s="316">
        <f>'DATA (Real)'!AR22</f>
        <v>0.4499835645522603</v>
      </c>
      <c r="AS26" s="316">
        <f>'DATA (Real)'!AS22</f>
        <v>0.45043354811681252</v>
      </c>
      <c r="AT26" s="316">
        <f>'DATA (Real)'!AT22</f>
        <v>0.45088398166492927</v>
      </c>
      <c r="AU26" s="316">
        <f>'DATA (Real)'!AU22</f>
        <v>0.45133486564659414</v>
      </c>
      <c r="AV26" s="316">
        <f>'DATA (Real)'!AV22</f>
        <v>0.45178620051224067</v>
      </c>
      <c r="AW26" s="316">
        <f>'DATA (Real)'!AW22</f>
        <v>0.45223798671275284</v>
      </c>
      <c r="AX26" s="316">
        <f>'DATA (Real)'!AX22</f>
        <v>0.45269022469946552</v>
      </c>
      <c r="AY26" s="316">
        <f>'DATA (Real)'!AY22</f>
        <v>0.45314291492416492</v>
      </c>
      <c r="AZ26" s="316">
        <f>'DATA (Real)'!AZ22</f>
        <v>0.45359605783908902</v>
      </c>
      <c r="BA26" s="316">
        <f>'DATA (Real)'!BA22</f>
        <v>0.45404965389692803</v>
      </c>
      <c r="BB26" s="316">
        <f>'DATA (Real)'!BB22</f>
        <v>0.45450370355082492</v>
      </c>
      <c r="BC26" s="316">
        <f>'DATA (Real)'!BC22</f>
        <v>0.45495820725437569</v>
      </c>
      <c r="BD26" s="316">
        <f>'DATA (Real)'!BD22</f>
        <v>0.45541316546163002</v>
      </c>
      <c r="BE26" s="316">
        <f>'DATA (Real)'!BE22</f>
        <v>0.45586857862709163</v>
      </c>
      <c r="BF26" s="316">
        <f>'DATA (Real)'!BF22</f>
        <v>0.45632444720571869</v>
      </c>
      <c r="BG26" s="316">
        <f>'DATA (Real)'!BG22</f>
        <v>0.45678077165292436</v>
      </c>
      <c r="BH26" s="316">
        <f>'DATA (Real)'!BH22</f>
        <v>0.45723755242457725</v>
      </c>
      <c r="BI26" s="316">
        <f>'DATA (Real)'!BI22</f>
        <v>0.4576947899770018</v>
      </c>
      <c r="BJ26" s="316">
        <f>'DATA (Real)'!BJ22</f>
        <v>0.45815248476697873</v>
      </c>
      <c r="BK26" s="316">
        <f>'DATA (Real)'!BK22</f>
        <v>0.45861063725174567</v>
      </c>
      <c r="BL26" s="316">
        <f>'DATA (Real)'!BL22</f>
        <v>0.45906924788899739</v>
      </c>
      <c r="BM26" s="316">
        <f>'DATA (Real)'!BM22</f>
        <v>0.45952831713688636</v>
      </c>
      <c r="BN26" s="316">
        <f>'DATA (Real)'!BN22</f>
        <v>0.45998784545402321</v>
      </c>
      <c r="BO26" s="316">
        <f>'DATA (Real)'!BO22</f>
        <v>0.46044783329947719</v>
      </c>
      <c r="BP26" s="316">
        <f>'DATA (Real)'!BP22</f>
        <v>0.4609082811327766</v>
      </c>
      <c r="BQ26" s="316">
        <f>'DATA (Real)'!BQ22</f>
        <v>0.46136918941390931</v>
      </c>
      <c r="BR26" s="316">
        <f>'DATA (Real)'!BR22</f>
        <v>0.46183055860332317</v>
      </c>
      <c r="BS26" s="316">
        <f>'DATA (Real)'!BS22</f>
        <v>0.46229238916192644</v>
      </c>
      <c r="BT26" s="316">
        <f>'DATA (Real)'!BT22</f>
        <v>0.46275468155108834</v>
      </c>
      <c r="BU26" s="316">
        <f>'DATA (Real)'!BU22</f>
        <v>0.46321743623263939</v>
      </c>
      <c r="BV26" s="316">
        <f>'DATA (Real)'!BV22</f>
        <v>0.46368065366887196</v>
      </c>
      <c r="BW26" s="316">
        <f>'DATA (Real)'!BW22</f>
        <v>0.46414433432254076</v>
      </c>
      <c r="BX26" s="316">
        <f>'DATA (Real)'!BX22</f>
        <v>0.46460847865686328</v>
      </c>
    </row>
    <row r="27" spans="2:76" hidden="1" outlineLevel="1">
      <c r="B27" s="350"/>
      <c r="C27" s="350" t="str">
        <f>'DATA (Real)'!C23</f>
        <v>NREL Wind Speed Class 12</v>
      </c>
      <c r="D27" s="350" t="str">
        <f>'DATA (Real)'!D23</f>
        <v>Net Capacity Factor (%)</v>
      </c>
      <c r="E27" s="350" t="str">
        <f>'DATA (Real)'!E23</f>
        <v>Off Shore Wind (Share)</v>
      </c>
      <c r="F27" s="316">
        <f>'DATA (Real)'!F23</f>
        <v>0.46187261141867159</v>
      </c>
      <c r="G27" s="316">
        <f>'DATA (Real)'!G23</f>
        <v>0.4668178941329203</v>
      </c>
      <c r="H27" s="316">
        <f>'DATA (Real)'!H23</f>
        <v>0.47132677263017381</v>
      </c>
      <c r="I27" s="316">
        <f>'DATA (Real)'!I23</f>
        <v>0.47555961612940095</v>
      </c>
      <c r="J27" s="316">
        <f>'DATA (Real)'!J23</f>
        <v>0.47960197045583558</v>
      </c>
      <c r="K27" s="316">
        <f>'DATA (Real)'!K23</f>
        <v>0.48350489884365061</v>
      </c>
      <c r="L27" s="316">
        <f>'DATA (Real)'!L23</f>
        <v>0.48730133812588161</v>
      </c>
      <c r="M27" s="316">
        <f>'DATA (Real)'!M23</f>
        <v>0.49101377734090418</v>
      </c>
      <c r="N27" s="316">
        <f>'DATA (Real)'!N23</f>
        <v>0.49465825700446225</v>
      </c>
      <c r="O27" s="316">
        <f>'DATA (Real)'!O23</f>
        <v>0.49824662084013066</v>
      </c>
      <c r="P27" s="316">
        <f>'DATA (Real)'!P23</f>
        <v>0.50178786310216061</v>
      </c>
      <c r="Q27" s="316">
        <f>'DATA (Real)'!Q23</f>
        <v>0.50328897516656601</v>
      </c>
      <c r="R27" s="316">
        <f>'DATA (Real)'!R23</f>
        <v>0.50475549933738462</v>
      </c>
      <c r="S27" s="316">
        <f>'DATA (Real)'!S23</f>
        <v>0.50619190355438071</v>
      </c>
      <c r="T27" s="316">
        <f>'DATA (Real)'!T23</f>
        <v>0.50760184230333527</v>
      </c>
      <c r="U27" s="316">
        <f>'DATA (Real)'!U23</f>
        <v>0.50898834283661187</v>
      </c>
      <c r="V27" s="316">
        <f>'DATA (Real)'!V23</f>
        <v>0.51035394097781039</v>
      </c>
      <c r="W27" s="316">
        <f>'DATA (Real)'!W23</f>
        <v>0.51170078205163416</v>
      </c>
      <c r="X27" s="316">
        <f>'DATA (Real)'!X23</f>
        <v>0.5130306971630465</v>
      </c>
      <c r="Y27" s="316">
        <f>'DATA (Real)'!Y23</f>
        <v>0.51434526171519224</v>
      </c>
      <c r="Z27" s="316">
        <f>'DATA (Real)'!Z23</f>
        <v>0.51564584090877896</v>
      </c>
      <c r="AA27" s="316">
        <f>'DATA (Real)'!AA23</f>
        <v>0.51693362555086109</v>
      </c>
      <c r="AB27" s="316">
        <f>'DATA (Real)'!AB23</f>
        <v>0.51820966054888773</v>
      </c>
      <c r="AC27" s="316">
        <f>'DATA (Real)'!AC23</f>
        <v>0.51947486781289054</v>
      </c>
      <c r="AD27" s="316">
        <f>'DATA (Real)'!AD23</f>
        <v>0.52073006483309214</v>
      </c>
      <c r="AE27" s="316">
        <f>'DATA (Real)'!AE23</f>
        <v>0.5219759798772956</v>
      </c>
      <c r="AF27" s="316">
        <f>'DATA (Real)'!AF23</f>
        <v>0.52321326452026073</v>
      </c>
      <c r="AG27" s="316">
        <f>'DATA (Real)'!AG23</f>
        <v>0.52444250404811465</v>
      </c>
      <c r="AH27" s="316">
        <f>'DATA (Real)'!AH23</f>
        <v>0.52566422615612518</v>
      </c>
      <c r="AI27" s="316">
        <f>'DATA (Real)'!AI23</f>
        <v>0.52687890826511063</v>
      </c>
      <c r="AJ27" s="316">
        <f>'DATA (Real)'!AJ23</f>
        <v>0.52808698371167251</v>
      </c>
      <c r="AK27" s="316">
        <f>'DATA (Real)'!AK23</f>
        <v>0</v>
      </c>
      <c r="AL27" s="316">
        <f>'DATA (Real)'!AL23</f>
        <v>0</v>
      </c>
      <c r="AM27" s="316">
        <f>'DATA (Real)'!AM23</f>
        <v>0</v>
      </c>
      <c r="AN27" s="316">
        <f>'DATA (Real)'!AN23</f>
        <v>0</v>
      </c>
      <c r="AO27" s="316">
        <f>'DATA (Real)'!AO23</f>
        <v>0</v>
      </c>
      <c r="AP27" s="316">
        <f>'DATA (Real)'!AP23</f>
        <v>0</v>
      </c>
      <c r="AQ27" s="316">
        <f>'DATA (Real)'!AQ23</f>
        <v>0</v>
      </c>
      <c r="AR27" s="316">
        <f>'DATA (Real)'!AR23</f>
        <v>0</v>
      </c>
      <c r="AS27" s="316">
        <f>'DATA (Real)'!AS23</f>
        <v>0</v>
      </c>
      <c r="AT27" s="316">
        <f>'DATA (Real)'!AT23</f>
        <v>0</v>
      </c>
      <c r="AU27" s="316">
        <f>'DATA (Real)'!AU23</f>
        <v>0</v>
      </c>
      <c r="AV27" s="316">
        <f>'DATA (Real)'!AV23</f>
        <v>0</v>
      </c>
      <c r="AW27" s="316">
        <f>'DATA (Real)'!AW23</f>
        <v>0</v>
      </c>
      <c r="AX27" s="316">
        <f>'DATA (Real)'!AX23</f>
        <v>0</v>
      </c>
      <c r="AY27" s="316">
        <f>'DATA (Real)'!AY23</f>
        <v>0</v>
      </c>
      <c r="AZ27" s="316">
        <f>'DATA (Real)'!AZ23</f>
        <v>0</v>
      </c>
      <c r="BA27" s="316">
        <f>'DATA (Real)'!BA23</f>
        <v>0</v>
      </c>
      <c r="BB27" s="316">
        <f>'DATA (Real)'!BB23</f>
        <v>0</v>
      </c>
      <c r="BC27" s="316">
        <f>'DATA (Real)'!BC23</f>
        <v>0</v>
      </c>
      <c r="BD27" s="316">
        <f>'DATA (Real)'!BD23</f>
        <v>0</v>
      </c>
      <c r="BE27" s="316">
        <f>'DATA (Real)'!BE23</f>
        <v>0</v>
      </c>
      <c r="BF27" s="316">
        <f>'DATA (Real)'!BF23</f>
        <v>0</v>
      </c>
      <c r="BG27" s="316">
        <f>'DATA (Real)'!BG23</f>
        <v>0</v>
      </c>
      <c r="BH27" s="316">
        <f>'DATA (Real)'!BH23</f>
        <v>0</v>
      </c>
      <c r="BI27" s="316">
        <f>'DATA (Real)'!BI23</f>
        <v>0</v>
      </c>
      <c r="BJ27" s="316">
        <f>'DATA (Real)'!BJ23</f>
        <v>0</v>
      </c>
      <c r="BK27" s="316">
        <f>'DATA (Real)'!BK23</f>
        <v>0</v>
      </c>
      <c r="BL27" s="316">
        <f>'DATA (Real)'!BL23</f>
        <v>0</v>
      </c>
      <c r="BM27" s="316">
        <f>'DATA (Real)'!BM23</f>
        <v>0</v>
      </c>
      <c r="BN27" s="316">
        <f>'DATA (Real)'!BN23</f>
        <v>0</v>
      </c>
      <c r="BO27" s="316">
        <f>'DATA (Real)'!BO23</f>
        <v>0</v>
      </c>
      <c r="BP27" s="316">
        <f>'DATA (Real)'!BP23</f>
        <v>0</v>
      </c>
      <c r="BQ27" s="316">
        <f>'DATA (Real)'!BQ23</f>
        <v>0</v>
      </c>
      <c r="BR27" s="316">
        <f>'DATA (Real)'!BR23</f>
        <v>0</v>
      </c>
      <c r="BS27" s="316">
        <f>'DATA (Real)'!BS23</f>
        <v>0</v>
      </c>
      <c r="BT27" s="316">
        <f>'DATA (Real)'!BT23</f>
        <v>0</v>
      </c>
      <c r="BU27" s="316">
        <f>'DATA (Real)'!BU23</f>
        <v>0</v>
      </c>
      <c r="BV27" s="316">
        <f>'DATA (Real)'!BV23</f>
        <v>0</v>
      </c>
      <c r="BW27" s="316">
        <f>'DATA (Real)'!BW23</f>
        <v>0</v>
      </c>
      <c r="BX27" s="316">
        <f>'DATA (Real)'!BX23</f>
        <v>0</v>
      </c>
    </row>
    <row r="28" spans="2:76" hidden="1" outlineLevel="1">
      <c r="B28" s="351"/>
      <c r="C28" s="351" t="str">
        <f>'DATA (Real)'!C24</f>
        <v>NREL Nuclear - Small Modular Reactor</v>
      </c>
      <c r="D28" s="351" t="str">
        <f>'DATA (Real)'!D24</f>
        <v>Net Capacity Factor (%)</v>
      </c>
      <c r="E28" s="351" t="str">
        <f>'DATA (Real)'!E24</f>
        <v>Small Modular Reactor (share)</v>
      </c>
      <c r="F28" s="316">
        <f>'DATA (Real)'!F24</f>
        <v>0.93700000000000006</v>
      </c>
      <c r="G28" s="316">
        <f>'DATA (Real)'!G24</f>
        <v>0.93700000000000006</v>
      </c>
      <c r="H28" s="316">
        <f>'DATA (Real)'!H24</f>
        <v>0.93700000000000006</v>
      </c>
      <c r="I28" s="316">
        <f>'DATA (Real)'!I24</f>
        <v>0.93700000000000006</v>
      </c>
      <c r="J28" s="316">
        <f>'DATA (Real)'!J24</f>
        <v>0.93700000000000006</v>
      </c>
      <c r="K28" s="316">
        <f>'DATA (Real)'!K24</f>
        <v>0.93700000000000006</v>
      </c>
      <c r="L28" s="316">
        <f>'DATA (Real)'!L24</f>
        <v>0.93700000000000006</v>
      </c>
      <c r="M28" s="316">
        <f>'DATA (Real)'!M24</f>
        <v>0.93700000000000006</v>
      </c>
      <c r="N28" s="316">
        <f>'DATA (Real)'!N24</f>
        <v>0.93700000000000006</v>
      </c>
      <c r="O28" s="316">
        <f>'DATA (Real)'!O24</f>
        <v>0.93700000000000006</v>
      </c>
      <c r="P28" s="316">
        <f>'DATA (Real)'!P24</f>
        <v>0.93700000000000006</v>
      </c>
      <c r="Q28" s="316">
        <f>'DATA (Real)'!Q24</f>
        <v>0.93700000000000006</v>
      </c>
      <c r="R28" s="316">
        <f>'DATA (Real)'!R24</f>
        <v>0.93700000000000006</v>
      </c>
      <c r="S28" s="316">
        <f>'DATA (Real)'!S24</f>
        <v>0.93700000000000006</v>
      </c>
      <c r="T28" s="316">
        <f>'DATA (Real)'!T24</f>
        <v>0.93700000000000006</v>
      </c>
      <c r="U28" s="316">
        <f>'DATA (Real)'!U24</f>
        <v>0.93700000000000006</v>
      </c>
      <c r="V28" s="316">
        <f>'DATA (Real)'!V24</f>
        <v>0.93700000000000006</v>
      </c>
      <c r="W28" s="316">
        <f>'DATA (Real)'!W24</f>
        <v>0.93700000000000006</v>
      </c>
      <c r="X28" s="316">
        <f>'DATA (Real)'!X24</f>
        <v>0.93700000000000006</v>
      </c>
      <c r="Y28" s="316">
        <f>'DATA (Real)'!Y24</f>
        <v>0.93700000000000006</v>
      </c>
      <c r="Z28" s="316">
        <f>'DATA (Real)'!Z24</f>
        <v>0.93700000000000006</v>
      </c>
      <c r="AA28" s="316">
        <f>'DATA (Real)'!AA24</f>
        <v>0.93700000000000006</v>
      </c>
      <c r="AB28" s="316">
        <f>'DATA (Real)'!AB24</f>
        <v>0.93700000000000006</v>
      </c>
      <c r="AC28" s="316">
        <f>'DATA (Real)'!AC24</f>
        <v>0.93700000000000006</v>
      </c>
      <c r="AD28" s="316">
        <f>'DATA (Real)'!AD24</f>
        <v>0.93700000000000006</v>
      </c>
      <c r="AE28" s="316">
        <f>'DATA (Real)'!AE24</f>
        <v>0.93700000000000006</v>
      </c>
      <c r="AF28" s="316">
        <f>'DATA (Real)'!AF24</f>
        <v>0.93700000000000006</v>
      </c>
      <c r="AG28" s="316">
        <f>'DATA (Real)'!AG24</f>
        <v>0.93700000000000006</v>
      </c>
      <c r="AH28" s="316">
        <f>'DATA (Real)'!AH24</f>
        <v>0.93700000000000006</v>
      </c>
      <c r="AI28" s="316">
        <f>'DATA (Real)'!AI24</f>
        <v>0.93700000000000006</v>
      </c>
      <c r="AJ28" s="316">
        <f>'DATA (Real)'!AJ24</f>
        <v>0.93700000000000006</v>
      </c>
      <c r="AK28" s="316">
        <f>'DATA (Real)'!AK24</f>
        <v>0.93700000000000006</v>
      </c>
      <c r="AL28" s="316">
        <f>'DATA (Real)'!AL24</f>
        <v>0.93700000000000006</v>
      </c>
      <c r="AM28" s="316">
        <f>'DATA (Real)'!AM24</f>
        <v>0.93700000000000006</v>
      </c>
      <c r="AN28" s="316">
        <f>'DATA (Real)'!AN24</f>
        <v>0.93700000000000006</v>
      </c>
      <c r="AO28" s="316">
        <f>'DATA (Real)'!AO24</f>
        <v>0.93700000000000006</v>
      </c>
      <c r="AP28" s="316">
        <f>'DATA (Real)'!AP24</f>
        <v>0.93700000000000006</v>
      </c>
      <c r="AQ28" s="316">
        <f>'DATA (Real)'!AQ24</f>
        <v>0.93700000000000006</v>
      </c>
      <c r="AR28" s="316">
        <f>'DATA (Real)'!AR24</f>
        <v>0.93700000000000006</v>
      </c>
      <c r="AS28" s="316">
        <f>'DATA (Real)'!AS24</f>
        <v>0.93700000000000006</v>
      </c>
      <c r="AT28" s="316">
        <f>'DATA (Real)'!AT24</f>
        <v>0.93700000000000006</v>
      </c>
      <c r="AU28" s="316">
        <f>'DATA (Real)'!AU24</f>
        <v>0.93700000000000006</v>
      </c>
      <c r="AV28" s="316">
        <f>'DATA (Real)'!AV24</f>
        <v>0.93700000000000006</v>
      </c>
      <c r="AW28" s="316">
        <f>'DATA (Real)'!AW24</f>
        <v>0.93700000000000006</v>
      </c>
      <c r="AX28" s="316">
        <f>'DATA (Real)'!AX24</f>
        <v>0.93700000000000006</v>
      </c>
      <c r="AY28" s="316">
        <f>'DATA (Real)'!AY24</f>
        <v>0.93700000000000006</v>
      </c>
      <c r="AZ28" s="316">
        <f>'DATA (Real)'!AZ24</f>
        <v>0.93700000000000006</v>
      </c>
      <c r="BA28" s="316">
        <f>'DATA (Real)'!BA24</f>
        <v>0.93700000000000006</v>
      </c>
      <c r="BB28" s="316">
        <f>'DATA (Real)'!BB24</f>
        <v>0.93700000000000006</v>
      </c>
      <c r="BC28" s="316">
        <f>'DATA (Real)'!BC24</f>
        <v>0.93700000000000006</v>
      </c>
      <c r="BD28" s="316">
        <f>'DATA (Real)'!BD24</f>
        <v>0.93700000000000006</v>
      </c>
      <c r="BE28" s="316">
        <f>'DATA (Real)'!BE24</f>
        <v>0.93700000000000006</v>
      </c>
      <c r="BF28" s="316">
        <f>'DATA (Real)'!BF24</f>
        <v>0.93700000000000006</v>
      </c>
      <c r="BG28" s="316">
        <f>'DATA (Real)'!BG24</f>
        <v>0.93700000000000006</v>
      </c>
      <c r="BH28" s="316">
        <f>'DATA (Real)'!BH24</f>
        <v>0.93700000000000006</v>
      </c>
      <c r="BI28" s="316">
        <f>'DATA (Real)'!BI24</f>
        <v>0.93700000000000006</v>
      </c>
      <c r="BJ28" s="316">
        <f>'DATA (Real)'!BJ24</f>
        <v>0.93700000000000006</v>
      </c>
      <c r="BK28" s="316">
        <f>'DATA (Real)'!BK24</f>
        <v>0.93700000000000006</v>
      </c>
      <c r="BL28" s="316">
        <f>'DATA (Real)'!BL24</f>
        <v>0.93700000000000006</v>
      </c>
      <c r="BM28" s="316">
        <f>'DATA (Real)'!BM24</f>
        <v>0.93700000000000006</v>
      </c>
      <c r="BN28" s="316">
        <f>'DATA (Real)'!BN24</f>
        <v>0.93700000000000006</v>
      </c>
      <c r="BO28" s="316">
        <f>'DATA (Real)'!BO24</f>
        <v>0.93700000000000006</v>
      </c>
      <c r="BP28" s="316">
        <f>'DATA (Real)'!BP24</f>
        <v>0.93700000000000006</v>
      </c>
      <c r="BQ28" s="316">
        <f>'DATA (Real)'!BQ24</f>
        <v>0.93700000000000006</v>
      </c>
      <c r="BR28" s="316">
        <f>'DATA (Real)'!BR24</f>
        <v>0.93700000000000006</v>
      </c>
      <c r="BS28" s="316">
        <f>'DATA (Real)'!BS24</f>
        <v>0.93700000000000006</v>
      </c>
      <c r="BT28" s="316">
        <f>'DATA (Real)'!BT24</f>
        <v>0.93700000000000006</v>
      </c>
      <c r="BU28" s="316">
        <f>'DATA (Real)'!BU24</f>
        <v>0.93700000000000006</v>
      </c>
      <c r="BV28" s="316">
        <f>'DATA (Real)'!BV24</f>
        <v>0.93700000000000006</v>
      </c>
      <c r="BW28" s="316">
        <f>'DATA (Real)'!BW24</f>
        <v>0.93700000000000006</v>
      </c>
      <c r="BX28" s="316">
        <f>'DATA (Real)'!BX24</f>
        <v>0.93700000000000006</v>
      </c>
    </row>
    <row r="29" spans="2:76" hidden="1" outlineLevel="1">
      <c r="B29" s="351"/>
      <c r="C29" s="351" t="str">
        <f>'DATA (Real)'!C25</f>
        <v>NREL Geothermal - Hydro / Flash</v>
      </c>
      <c r="D29" s="351" t="str">
        <f>'DATA (Real)'!D25</f>
        <v>Net Capacity Factor (%)</v>
      </c>
      <c r="E29" s="351" t="str">
        <f>'DATA (Real)'!E25</f>
        <v>Geothermal (Off System)</v>
      </c>
      <c r="F29" s="316">
        <f>'DATA (Real)'!F25</f>
        <v>0.9</v>
      </c>
      <c r="G29" s="316">
        <f>'DATA (Real)'!G25</f>
        <v>0.9</v>
      </c>
      <c r="H29" s="316">
        <f>'DATA (Real)'!H25</f>
        <v>0.9</v>
      </c>
      <c r="I29" s="316">
        <f>'DATA (Real)'!I25</f>
        <v>0.9</v>
      </c>
      <c r="J29" s="316">
        <f>'DATA (Real)'!J25</f>
        <v>0.9</v>
      </c>
      <c r="K29" s="316">
        <f>'DATA (Real)'!K25</f>
        <v>0.9</v>
      </c>
      <c r="L29" s="316">
        <f>'DATA (Real)'!L25</f>
        <v>0.9</v>
      </c>
      <c r="M29" s="316">
        <f>'DATA (Real)'!M25</f>
        <v>0.9</v>
      </c>
      <c r="N29" s="316">
        <f>'DATA (Real)'!N25</f>
        <v>0.9</v>
      </c>
      <c r="O29" s="316">
        <f>'DATA (Real)'!O25</f>
        <v>0.9</v>
      </c>
      <c r="P29" s="316">
        <f>'DATA (Real)'!P25</f>
        <v>0.9</v>
      </c>
      <c r="Q29" s="316">
        <f>'DATA (Real)'!Q25</f>
        <v>0.9</v>
      </c>
      <c r="R29" s="316">
        <f>'DATA (Real)'!R25</f>
        <v>0.9</v>
      </c>
      <c r="S29" s="316">
        <f>'DATA (Real)'!S25</f>
        <v>0.9</v>
      </c>
      <c r="T29" s="316">
        <f>'DATA (Real)'!T25</f>
        <v>0.9</v>
      </c>
      <c r="U29" s="316">
        <f>'DATA (Real)'!U25</f>
        <v>0.9</v>
      </c>
      <c r="V29" s="316">
        <f>'DATA (Real)'!V25</f>
        <v>0.9</v>
      </c>
      <c r="W29" s="316">
        <f>'DATA (Real)'!W25</f>
        <v>0.9</v>
      </c>
      <c r="X29" s="316">
        <f>'DATA (Real)'!X25</f>
        <v>0.9</v>
      </c>
      <c r="Y29" s="316">
        <f>'DATA (Real)'!Y25</f>
        <v>0.9</v>
      </c>
      <c r="Z29" s="316">
        <f>'DATA (Real)'!Z25</f>
        <v>0.9</v>
      </c>
      <c r="AA29" s="316">
        <f>'DATA (Real)'!AA25</f>
        <v>0.9</v>
      </c>
      <c r="AB29" s="316">
        <f>'DATA (Real)'!AB25</f>
        <v>0.9</v>
      </c>
      <c r="AC29" s="316">
        <f>'DATA (Real)'!AC25</f>
        <v>0.9</v>
      </c>
      <c r="AD29" s="316">
        <f>'DATA (Real)'!AD25</f>
        <v>0.9</v>
      </c>
      <c r="AE29" s="316">
        <f>'DATA (Real)'!AE25</f>
        <v>0.9</v>
      </c>
      <c r="AF29" s="316">
        <f>'DATA (Real)'!AF25</f>
        <v>0.9</v>
      </c>
      <c r="AG29" s="316">
        <f>'DATA (Real)'!AG25</f>
        <v>0.9</v>
      </c>
      <c r="AH29" s="316">
        <f>'DATA (Real)'!AH25</f>
        <v>0.9</v>
      </c>
      <c r="AI29" s="316">
        <f>'DATA (Real)'!AI25</f>
        <v>0.9</v>
      </c>
      <c r="AJ29" s="316">
        <f>'DATA (Real)'!AJ25</f>
        <v>0.9</v>
      </c>
      <c r="AK29" s="316">
        <f>'DATA (Real)'!AK25</f>
        <v>0.9</v>
      </c>
      <c r="AL29" s="316">
        <f>'DATA (Real)'!AL25</f>
        <v>0.9</v>
      </c>
      <c r="AM29" s="316">
        <f>'DATA (Real)'!AM25</f>
        <v>0.9</v>
      </c>
      <c r="AN29" s="316">
        <f>'DATA (Real)'!AN25</f>
        <v>0.9</v>
      </c>
      <c r="AO29" s="316">
        <f>'DATA (Real)'!AO25</f>
        <v>0.9</v>
      </c>
      <c r="AP29" s="316">
        <f>'DATA (Real)'!AP25</f>
        <v>0.9</v>
      </c>
      <c r="AQ29" s="316">
        <f>'DATA (Real)'!AQ25</f>
        <v>0.9</v>
      </c>
      <c r="AR29" s="316">
        <f>'DATA (Real)'!AR25</f>
        <v>0.9</v>
      </c>
      <c r="AS29" s="316">
        <f>'DATA (Real)'!AS25</f>
        <v>0.9</v>
      </c>
      <c r="AT29" s="316">
        <f>'DATA (Real)'!AT25</f>
        <v>0.9</v>
      </c>
      <c r="AU29" s="316">
        <f>'DATA (Real)'!AU25</f>
        <v>0.9</v>
      </c>
      <c r="AV29" s="316">
        <f>'DATA (Real)'!AV25</f>
        <v>0.9</v>
      </c>
      <c r="AW29" s="316">
        <f>'DATA (Real)'!AW25</f>
        <v>0.9</v>
      </c>
      <c r="AX29" s="316">
        <f>'DATA (Real)'!AX25</f>
        <v>0.9</v>
      </c>
      <c r="AY29" s="316">
        <f>'DATA (Real)'!AY25</f>
        <v>0.9</v>
      </c>
      <c r="AZ29" s="316">
        <f>'DATA (Real)'!AZ25</f>
        <v>0.9</v>
      </c>
      <c r="BA29" s="316">
        <f>'DATA (Real)'!BA25</f>
        <v>0.9</v>
      </c>
      <c r="BB29" s="316">
        <f>'DATA (Real)'!BB25</f>
        <v>0.9</v>
      </c>
      <c r="BC29" s="316">
        <f>'DATA (Real)'!BC25</f>
        <v>0.9</v>
      </c>
      <c r="BD29" s="316">
        <f>'DATA (Real)'!BD25</f>
        <v>0.9</v>
      </c>
      <c r="BE29" s="316">
        <f>'DATA (Real)'!BE25</f>
        <v>0.9</v>
      </c>
      <c r="BF29" s="316">
        <f>'DATA (Real)'!BF25</f>
        <v>0.9</v>
      </c>
      <c r="BG29" s="316">
        <f>'DATA (Real)'!BG25</f>
        <v>0.9</v>
      </c>
      <c r="BH29" s="316">
        <f>'DATA (Real)'!BH25</f>
        <v>0.9</v>
      </c>
      <c r="BI29" s="316">
        <f>'DATA (Real)'!BI25</f>
        <v>0.9</v>
      </c>
      <c r="BJ29" s="316">
        <f>'DATA (Real)'!BJ25</f>
        <v>0.9</v>
      </c>
      <c r="BK29" s="316">
        <f>'DATA (Real)'!BK25</f>
        <v>0.9</v>
      </c>
      <c r="BL29" s="316">
        <f>'DATA (Real)'!BL25</f>
        <v>0.9</v>
      </c>
      <c r="BM29" s="316">
        <f>'DATA (Real)'!BM25</f>
        <v>0.9</v>
      </c>
      <c r="BN29" s="316">
        <f>'DATA (Real)'!BN25</f>
        <v>0.9</v>
      </c>
      <c r="BO29" s="316">
        <f>'DATA (Real)'!BO25</f>
        <v>0.9</v>
      </c>
      <c r="BP29" s="316">
        <f>'DATA (Real)'!BP25</f>
        <v>0.9</v>
      </c>
      <c r="BQ29" s="316">
        <f>'DATA (Real)'!BQ25</f>
        <v>0.9</v>
      </c>
      <c r="BR29" s="316">
        <f>'DATA (Real)'!BR25</f>
        <v>0.9</v>
      </c>
      <c r="BS29" s="316">
        <f>'DATA (Real)'!BS25</f>
        <v>0.9</v>
      </c>
      <c r="BT29" s="316">
        <f>'DATA (Real)'!BT25</f>
        <v>0.9</v>
      </c>
      <c r="BU29" s="316">
        <f>'DATA (Real)'!BU25</f>
        <v>0.9</v>
      </c>
      <c r="BV29" s="316">
        <f>'DATA (Real)'!BV25</f>
        <v>0.9</v>
      </c>
      <c r="BW29" s="316">
        <f>'DATA (Real)'!BW25</f>
        <v>0.9</v>
      </c>
      <c r="BX29" s="316">
        <f>'DATA (Real)'!BX25</f>
        <v>0.9</v>
      </c>
    </row>
    <row r="30" spans="2:76" collapsed="1"/>
    <row r="31" spans="2:76">
      <c r="B31" s="259" t="str">
        <f>D31</f>
        <v>Heat Rate  (MMBtu/MWh)</v>
      </c>
      <c r="D31" s="259" t="str">
        <f>'DATA (Real)'!D27</f>
        <v>Heat Rate  (MMBtu/MWh)</v>
      </c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8"/>
      <c r="AR31" s="318"/>
      <c r="AS31" s="318"/>
      <c r="AT31" s="318"/>
      <c r="AU31" s="318"/>
      <c r="AV31" s="318"/>
      <c r="AW31" s="318"/>
      <c r="AX31" s="318"/>
      <c r="AY31" s="318"/>
      <c r="AZ31" s="318"/>
      <c r="BA31" s="318"/>
      <c r="BB31" s="318"/>
      <c r="BC31" s="318"/>
      <c r="BD31" s="318"/>
      <c r="BE31" s="318"/>
      <c r="BF31" s="318"/>
      <c r="BG31" s="318"/>
      <c r="BH31" s="318"/>
      <c r="BI31" s="318"/>
      <c r="BJ31" s="318"/>
      <c r="BK31" s="318"/>
      <c r="BL31" s="318"/>
      <c r="BM31" s="318"/>
      <c r="BN31" s="318"/>
      <c r="BO31" s="318"/>
      <c r="BP31" s="318"/>
      <c r="BQ31" s="318"/>
      <c r="BR31" s="318"/>
      <c r="BS31" s="318"/>
      <c r="BT31" s="318"/>
      <c r="BU31" s="318"/>
      <c r="BV31" s="318"/>
      <c r="BW31" s="318"/>
      <c r="BX31" s="318"/>
    </row>
    <row r="32" spans="2:76" hidden="1" outlineLevel="1">
      <c r="B32" s="351"/>
      <c r="C32" s="351" t="str">
        <f>'DATA (Real)'!C28</f>
        <v>NREL Nuclear - Small Modular Reactor</v>
      </c>
      <c r="D32" s="351" t="str">
        <f>'DATA (Real)'!D28</f>
        <v>Heat Rate  (MMBtu/MWh)</v>
      </c>
      <c r="E32" s="351" t="str">
        <f>'DATA (Real)'!E28</f>
        <v>Small Modular Reactor (share)</v>
      </c>
      <c r="F32" s="312">
        <f>'DATA (Real)'!F28</f>
        <v>10.443</v>
      </c>
      <c r="G32" s="312">
        <f>'DATA (Real)'!G28</f>
        <v>10.443</v>
      </c>
      <c r="H32" s="312">
        <f>'DATA (Real)'!H28</f>
        <v>10.443</v>
      </c>
      <c r="I32" s="312">
        <f>'DATA (Real)'!I28</f>
        <v>10.443</v>
      </c>
      <c r="J32" s="312">
        <f>'DATA (Real)'!J28</f>
        <v>10.443</v>
      </c>
      <c r="K32" s="312">
        <f>'DATA (Real)'!K28</f>
        <v>10.443</v>
      </c>
      <c r="L32" s="312">
        <f>'DATA (Real)'!L28</f>
        <v>10.443</v>
      </c>
      <c r="M32" s="312">
        <f>'DATA (Real)'!M28</f>
        <v>10.443</v>
      </c>
      <c r="N32" s="312">
        <f>'DATA (Real)'!N28</f>
        <v>10.443</v>
      </c>
      <c r="O32" s="312">
        <f>'DATA (Real)'!O28</f>
        <v>10.443</v>
      </c>
      <c r="P32" s="312">
        <f>'DATA (Real)'!P28</f>
        <v>10.443</v>
      </c>
      <c r="Q32" s="312">
        <f>'DATA (Real)'!Q28</f>
        <v>10.443</v>
      </c>
      <c r="R32" s="312">
        <f>'DATA (Real)'!R28</f>
        <v>10.443</v>
      </c>
      <c r="S32" s="312">
        <f>'DATA (Real)'!S28</f>
        <v>10.443</v>
      </c>
      <c r="T32" s="312">
        <f>'DATA (Real)'!T28</f>
        <v>10.443</v>
      </c>
      <c r="U32" s="312">
        <f>'DATA (Real)'!U28</f>
        <v>10.443</v>
      </c>
      <c r="V32" s="312">
        <f>'DATA (Real)'!V28</f>
        <v>10.443</v>
      </c>
      <c r="W32" s="312">
        <f>'DATA (Real)'!W28</f>
        <v>10.443</v>
      </c>
      <c r="X32" s="312">
        <f>'DATA (Real)'!X28</f>
        <v>10.443</v>
      </c>
      <c r="Y32" s="312">
        <f>'DATA (Real)'!Y28</f>
        <v>10.443</v>
      </c>
      <c r="Z32" s="312">
        <f>'DATA (Real)'!Z28</f>
        <v>10.443</v>
      </c>
      <c r="AA32" s="312">
        <f>'DATA (Real)'!AA28</f>
        <v>10.443</v>
      </c>
      <c r="AB32" s="312">
        <f>'DATA (Real)'!AB28</f>
        <v>10.443</v>
      </c>
      <c r="AC32" s="312">
        <f>'DATA (Real)'!AC28</f>
        <v>10.443</v>
      </c>
      <c r="AD32" s="312">
        <f>'DATA (Real)'!AD28</f>
        <v>10.443</v>
      </c>
      <c r="AE32" s="312">
        <f>'DATA (Real)'!AE28</f>
        <v>10.443</v>
      </c>
      <c r="AF32" s="312">
        <f>'DATA (Real)'!AF28</f>
        <v>10.443</v>
      </c>
      <c r="AG32" s="312">
        <f>'DATA (Real)'!AG28</f>
        <v>10.443</v>
      </c>
      <c r="AH32" s="312">
        <f>'DATA (Real)'!AH28</f>
        <v>10.443</v>
      </c>
      <c r="AI32" s="312">
        <f>'DATA (Real)'!AI28</f>
        <v>10.443</v>
      </c>
      <c r="AJ32" s="312">
        <f>'DATA (Real)'!AJ28</f>
        <v>10.443</v>
      </c>
      <c r="AK32" s="312">
        <f>'DATA (Real)'!AK28</f>
        <v>10.443</v>
      </c>
      <c r="AL32" s="312">
        <f>'DATA (Real)'!AL28</f>
        <v>10.443</v>
      </c>
      <c r="AM32" s="312">
        <f>'DATA (Real)'!AM28</f>
        <v>10.443</v>
      </c>
      <c r="AN32" s="312">
        <f>'DATA (Real)'!AN28</f>
        <v>10.443</v>
      </c>
      <c r="AO32" s="312">
        <f>'DATA (Real)'!AO28</f>
        <v>10.443</v>
      </c>
      <c r="AP32" s="312">
        <f>'DATA (Real)'!AP28</f>
        <v>10.443</v>
      </c>
      <c r="AQ32" s="312">
        <f>'DATA (Real)'!AQ28</f>
        <v>10.443</v>
      </c>
      <c r="AR32" s="312">
        <f>'DATA (Real)'!AR28</f>
        <v>10.443</v>
      </c>
      <c r="AS32" s="312">
        <f>'DATA (Real)'!AS28</f>
        <v>10.443</v>
      </c>
      <c r="AT32" s="312">
        <f>'DATA (Real)'!AT28</f>
        <v>10.443</v>
      </c>
      <c r="AU32" s="312">
        <f>'DATA (Real)'!AU28</f>
        <v>10.443</v>
      </c>
      <c r="AV32" s="312">
        <f>'DATA (Real)'!AV28</f>
        <v>10.443</v>
      </c>
      <c r="AW32" s="312">
        <f>'DATA (Real)'!AW28</f>
        <v>10.443</v>
      </c>
      <c r="AX32" s="312">
        <f>'DATA (Real)'!AX28</f>
        <v>10.443</v>
      </c>
      <c r="AY32" s="312">
        <f>'DATA (Real)'!AY28</f>
        <v>10.443</v>
      </c>
      <c r="AZ32" s="312">
        <f>'DATA (Real)'!AZ28</f>
        <v>10.443</v>
      </c>
      <c r="BA32" s="312">
        <f>'DATA (Real)'!BA28</f>
        <v>10.443</v>
      </c>
      <c r="BB32" s="312">
        <f>'DATA (Real)'!BB28</f>
        <v>10.443</v>
      </c>
      <c r="BC32" s="312">
        <f>'DATA (Real)'!BC28</f>
        <v>10.443</v>
      </c>
      <c r="BD32" s="312">
        <f>'DATA (Real)'!BD28</f>
        <v>10.443</v>
      </c>
      <c r="BE32" s="312">
        <f>'DATA (Real)'!BE28</f>
        <v>10.443</v>
      </c>
      <c r="BF32" s="312">
        <f>'DATA (Real)'!BF28</f>
        <v>10.443</v>
      </c>
      <c r="BG32" s="312">
        <f>'DATA (Real)'!BG28</f>
        <v>10.443</v>
      </c>
      <c r="BH32" s="312">
        <f>'DATA (Real)'!BH28</f>
        <v>10.443</v>
      </c>
      <c r="BI32" s="312">
        <f>'DATA (Real)'!BI28</f>
        <v>10.443</v>
      </c>
      <c r="BJ32" s="312">
        <f>'DATA (Real)'!BJ28</f>
        <v>10.443</v>
      </c>
      <c r="BK32" s="312">
        <f>'DATA (Real)'!BK28</f>
        <v>10.443</v>
      </c>
      <c r="BL32" s="312">
        <f>'DATA (Real)'!BL28</f>
        <v>10.443</v>
      </c>
      <c r="BM32" s="312">
        <f>'DATA (Real)'!BM28</f>
        <v>10.443</v>
      </c>
      <c r="BN32" s="312">
        <f>'DATA (Real)'!BN28</f>
        <v>10.443</v>
      </c>
      <c r="BO32" s="312">
        <f>'DATA (Real)'!BO28</f>
        <v>10.443</v>
      </c>
      <c r="BP32" s="312">
        <f>'DATA (Real)'!BP28</f>
        <v>10.443</v>
      </c>
      <c r="BQ32" s="312">
        <f>'DATA (Real)'!BQ28</f>
        <v>10.443</v>
      </c>
      <c r="BR32" s="312">
        <f>'DATA (Real)'!BR28</f>
        <v>10.443</v>
      </c>
      <c r="BS32" s="312">
        <f>'DATA (Real)'!BS28</f>
        <v>10.443</v>
      </c>
      <c r="BT32" s="312">
        <f>'DATA (Real)'!BT28</f>
        <v>10.443</v>
      </c>
      <c r="BU32" s="312">
        <f>'DATA (Real)'!BU28</f>
        <v>10.443</v>
      </c>
      <c r="BV32" s="312">
        <f>'DATA (Real)'!BV28</f>
        <v>10.443</v>
      </c>
      <c r="BW32" s="312">
        <f>'DATA (Real)'!BW28</f>
        <v>10.443</v>
      </c>
      <c r="BX32" s="312">
        <f>'DATA (Real)'!BX28</f>
        <v>10.443</v>
      </c>
    </row>
    <row r="33" spans="2:76" hidden="1" outlineLevel="1">
      <c r="B33" s="349"/>
      <c r="C33" s="349" t="str">
        <f>'DATA (Real)'!C29</f>
        <v>Internal</v>
      </c>
      <c r="D33" s="349" t="str">
        <f>'DATA (Real)'!D29</f>
        <v>Heat Rate  (MMBtu/MWh)</v>
      </c>
      <c r="E33" s="349" t="str">
        <f>'DATA (Real)'!E29</f>
        <v>Wood Biomass</v>
      </c>
      <c r="F33" s="312">
        <f>'DATA (Real)'!F29</f>
        <v>13.523999999999999</v>
      </c>
      <c r="G33" s="312">
        <f>'DATA (Real)'!G29</f>
        <v>13.523999999999999</v>
      </c>
      <c r="H33" s="312">
        <f>'DATA (Real)'!H29</f>
        <v>13.523999999999999</v>
      </c>
      <c r="I33" s="312">
        <f>'DATA (Real)'!I29</f>
        <v>13.523999999999999</v>
      </c>
      <c r="J33" s="312">
        <f>'DATA (Real)'!J29</f>
        <v>13.523999999999999</v>
      </c>
      <c r="K33" s="312">
        <f>'DATA (Real)'!K29</f>
        <v>13.523999999999999</v>
      </c>
      <c r="L33" s="312">
        <f>'DATA (Real)'!L29</f>
        <v>13.523999999999999</v>
      </c>
      <c r="M33" s="312">
        <f>'DATA (Real)'!M29</f>
        <v>13.523999999999999</v>
      </c>
      <c r="N33" s="312">
        <f>'DATA (Real)'!N29</f>
        <v>13.523999999999999</v>
      </c>
      <c r="O33" s="312">
        <f>'DATA (Real)'!O29</f>
        <v>13.523999999999999</v>
      </c>
      <c r="P33" s="312">
        <f>'DATA (Real)'!P29</f>
        <v>13.523999999999999</v>
      </c>
      <c r="Q33" s="312">
        <f>'DATA (Real)'!Q29</f>
        <v>13.523999999999999</v>
      </c>
      <c r="R33" s="312">
        <f>'DATA (Real)'!R29</f>
        <v>13.523999999999999</v>
      </c>
      <c r="S33" s="312">
        <f>'DATA (Real)'!S29</f>
        <v>13.523999999999999</v>
      </c>
      <c r="T33" s="312">
        <f>'DATA (Real)'!T29</f>
        <v>13.523999999999999</v>
      </c>
      <c r="U33" s="312">
        <f>'DATA (Real)'!U29</f>
        <v>13.523999999999999</v>
      </c>
      <c r="V33" s="312">
        <f>'DATA (Real)'!V29</f>
        <v>13.523999999999999</v>
      </c>
      <c r="W33" s="312">
        <f>'DATA (Real)'!W29</f>
        <v>13.523999999999999</v>
      </c>
      <c r="X33" s="312">
        <f>'DATA (Real)'!X29</f>
        <v>13.523999999999999</v>
      </c>
      <c r="Y33" s="312">
        <f>'DATA (Real)'!Y29</f>
        <v>13.523999999999999</v>
      </c>
      <c r="Z33" s="312">
        <f>'DATA (Real)'!Z29</f>
        <v>13.523999999999999</v>
      </c>
      <c r="AA33" s="312">
        <f>'DATA (Real)'!AA29</f>
        <v>13.523999999999999</v>
      </c>
      <c r="AB33" s="312">
        <f>'DATA (Real)'!AB29</f>
        <v>13.523999999999999</v>
      </c>
      <c r="AC33" s="312">
        <f>'DATA (Real)'!AC29</f>
        <v>13.523999999999999</v>
      </c>
      <c r="AD33" s="312">
        <f>'DATA (Real)'!AD29</f>
        <v>13.523999999999999</v>
      </c>
      <c r="AE33" s="312">
        <f>'DATA (Real)'!AE29</f>
        <v>13.523999999999999</v>
      </c>
      <c r="AF33" s="312">
        <f>'DATA (Real)'!AF29</f>
        <v>13.523999999999999</v>
      </c>
      <c r="AG33" s="312">
        <f>'DATA (Real)'!AG29</f>
        <v>13.523999999999999</v>
      </c>
      <c r="AH33" s="312">
        <f>'DATA (Real)'!AH29</f>
        <v>13.523999999999999</v>
      </c>
      <c r="AI33" s="312">
        <f>'DATA (Real)'!AI29</f>
        <v>13.523999999999999</v>
      </c>
      <c r="AJ33" s="312">
        <f>'DATA (Real)'!AJ29</f>
        <v>13.523999999999999</v>
      </c>
      <c r="AK33" s="312">
        <f>'DATA (Real)'!AK29</f>
        <v>13.523999999999999</v>
      </c>
      <c r="AL33" s="312">
        <f>'DATA (Real)'!AL29</f>
        <v>13.523999999999999</v>
      </c>
      <c r="AM33" s="312">
        <f>'DATA (Real)'!AM29</f>
        <v>13.523999999999999</v>
      </c>
      <c r="AN33" s="312">
        <f>'DATA (Real)'!AN29</f>
        <v>13.523999999999999</v>
      </c>
      <c r="AO33" s="312">
        <f>'DATA (Real)'!AO29</f>
        <v>13.523999999999999</v>
      </c>
      <c r="AP33" s="312">
        <f>'DATA (Real)'!AP29</f>
        <v>13.523999999999999</v>
      </c>
      <c r="AQ33" s="312">
        <f>'DATA (Real)'!AQ29</f>
        <v>13.523999999999999</v>
      </c>
      <c r="AR33" s="312">
        <f>'DATA (Real)'!AR29</f>
        <v>13.523999999999999</v>
      </c>
      <c r="AS33" s="312">
        <f>'DATA (Real)'!AS29</f>
        <v>13.523999999999999</v>
      </c>
      <c r="AT33" s="312">
        <f>'DATA (Real)'!AT29</f>
        <v>13.523999999999999</v>
      </c>
      <c r="AU33" s="312">
        <f>'DATA (Real)'!AU29</f>
        <v>13.523999999999999</v>
      </c>
      <c r="AV33" s="312">
        <f>'DATA (Real)'!AV29</f>
        <v>13.523999999999999</v>
      </c>
      <c r="AW33" s="312">
        <f>'DATA (Real)'!AW29</f>
        <v>13.523999999999999</v>
      </c>
      <c r="AX33" s="312">
        <f>'DATA (Real)'!AX29</f>
        <v>13.523999999999999</v>
      </c>
      <c r="AY33" s="312">
        <f>'DATA (Real)'!AY29</f>
        <v>13.523999999999999</v>
      </c>
      <c r="AZ33" s="312">
        <f>'DATA (Real)'!AZ29</f>
        <v>13.523999999999999</v>
      </c>
      <c r="BA33" s="312">
        <f>'DATA (Real)'!BA29</f>
        <v>13.523999999999999</v>
      </c>
      <c r="BB33" s="312">
        <f>'DATA (Real)'!BB29</f>
        <v>13.523999999999999</v>
      </c>
      <c r="BC33" s="312">
        <f>'DATA (Real)'!BC29</f>
        <v>13.523999999999999</v>
      </c>
      <c r="BD33" s="312">
        <f>'DATA (Real)'!BD29</f>
        <v>13.523999999999999</v>
      </c>
      <c r="BE33" s="312">
        <f>'DATA (Real)'!BE29</f>
        <v>13.523999999999999</v>
      </c>
      <c r="BF33" s="312">
        <f>'DATA (Real)'!BF29</f>
        <v>13.523999999999999</v>
      </c>
      <c r="BG33" s="312">
        <f>'DATA (Real)'!BG29</f>
        <v>13.523999999999999</v>
      </c>
      <c r="BH33" s="312">
        <f>'DATA (Real)'!BH29</f>
        <v>13.523999999999999</v>
      </c>
      <c r="BI33" s="312">
        <f>'DATA (Real)'!BI29</f>
        <v>13.523999999999999</v>
      </c>
      <c r="BJ33" s="312">
        <f>'DATA (Real)'!BJ29</f>
        <v>13.523999999999999</v>
      </c>
      <c r="BK33" s="312">
        <f>'DATA (Real)'!BK29</f>
        <v>13.523999999999999</v>
      </c>
      <c r="BL33" s="312">
        <f>'DATA (Real)'!BL29</f>
        <v>13.523999999999999</v>
      </c>
      <c r="BM33" s="312">
        <f>'DATA (Real)'!BM29</f>
        <v>13.523999999999999</v>
      </c>
      <c r="BN33" s="312">
        <f>'DATA (Real)'!BN29</f>
        <v>13.523999999999999</v>
      </c>
      <c r="BO33" s="312">
        <f>'DATA (Real)'!BO29</f>
        <v>13.523999999999999</v>
      </c>
      <c r="BP33" s="312">
        <f>'DATA (Real)'!BP29</f>
        <v>13.523999999999999</v>
      </c>
      <c r="BQ33" s="312">
        <f>'DATA (Real)'!BQ29</f>
        <v>13.523999999999999</v>
      </c>
      <c r="BR33" s="312">
        <f>'DATA (Real)'!BR29</f>
        <v>13.523999999999999</v>
      </c>
      <c r="BS33" s="312">
        <f>'DATA (Real)'!BS29</f>
        <v>13.523999999999999</v>
      </c>
      <c r="BT33" s="312">
        <f>'DATA (Real)'!BT29</f>
        <v>13.523999999999999</v>
      </c>
      <c r="BU33" s="312">
        <f>'DATA (Real)'!BU29</f>
        <v>13.523999999999999</v>
      </c>
      <c r="BV33" s="312">
        <f>'DATA (Real)'!BV29</f>
        <v>13.523999999999999</v>
      </c>
      <c r="BW33" s="312">
        <f>'DATA (Real)'!BW29</f>
        <v>13.523999999999999</v>
      </c>
      <c r="BX33" s="312">
        <f>'DATA (Real)'!BX29</f>
        <v>13.523999999999999</v>
      </c>
    </row>
    <row r="34" spans="2:76" hidden="1" outlineLevel="1">
      <c r="B34" s="349"/>
      <c r="C34" s="349" t="str">
        <f>'DATA (Real)'!C30</f>
        <v>Internal</v>
      </c>
      <c r="D34" s="349" t="str">
        <f>'DATA (Real)'!D30</f>
        <v>Heat Rate  (MMBtu/MWh)</v>
      </c>
      <c r="E34" s="349" t="str">
        <f>'DATA (Real)'!E30</f>
        <v>Rathdrum CT 2055 Uprates two unit operation</v>
      </c>
      <c r="F34" s="312">
        <f>'DATA (Real)'!F30</f>
        <v>11.2</v>
      </c>
      <c r="G34" s="312">
        <f>'DATA (Real)'!G30</f>
        <v>11.2</v>
      </c>
      <c r="H34" s="312">
        <f>'DATA (Real)'!H30</f>
        <v>11.2</v>
      </c>
      <c r="I34" s="312">
        <f>'DATA (Real)'!I30</f>
        <v>11.2</v>
      </c>
      <c r="J34" s="312">
        <f>'DATA (Real)'!J30</f>
        <v>11.2</v>
      </c>
      <c r="K34" s="312">
        <f>'DATA (Real)'!K30</f>
        <v>11.2</v>
      </c>
      <c r="L34" s="312">
        <f>'DATA (Real)'!L30</f>
        <v>11.2</v>
      </c>
      <c r="M34" s="312">
        <f>'DATA (Real)'!M30</f>
        <v>11.2</v>
      </c>
      <c r="N34" s="312">
        <f>'DATA (Real)'!N30</f>
        <v>11.2</v>
      </c>
      <c r="O34" s="312">
        <f>'DATA (Real)'!O30</f>
        <v>11.2</v>
      </c>
      <c r="P34" s="312">
        <f>'DATA (Real)'!P30</f>
        <v>11.2</v>
      </c>
      <c r="Q34" s="312">
        <f>'DATA (Real)'!Q30</f>
        <v>11.2</v>
      </c>
      <c r="R34" s="312">
        <f>'DATA (Real)'!R30</f>
        <v>11.2</v>
      </c>
      <c r="S34" s="312">
        <f>'DATA (Real)'!S30</f>
        <v>11.2</v>
      </c>
      <c r="T34" s="312">
        <f>'DATA (Real)'!T30</f>
        <v>11.2</v>
      </c>
      <c r="U34" s="312">
        <f>'DATA (Real)'!U30</f>
        <v>11.2</v>
      </c>
      <c r="V34" s="312">
        <f>'DATA (Real)'!V30</f>
        <v>11.2</v>
      </c>
      <c r="W34" s="312">
        <f>'DATA (Real)'!W30</f>
        <v>11.2</v>
      </c>
      <c r="X34" s="312">
        <f>'DATA (Real)'!X30</f>
        <v>11.2</v>
      </c>
      <c r="Y34" s="312">
        <f>'DATA (Real)'!Y30</f>
        <v>11.2</v>
      </c>
      <c r="Z34" s="312">
        <f>'DATA (Real)'!Z30</f>
        <v>11.2</v>
      </c>
      <c r="AA34" s="312">
        <f>'DATA (Real)'!AA30</f>
        <v>11.2</v>
      </c>
      <c r="AB34" s="312">
        <f>'DATA (Real)'!AB30</f>
        <v>11.2</v>
      </c>
      <c r="AC34" s="312">
        <f>'DATA (Real)'!AC30</f>
        <v>11.2</v>
      </c>
      <c r="AD34" s="312">
        <f>'DATA (Real)'!AD30</f>
        <v>11.2</v>
      </c>
      <c r="AE34" s="312">
        <f>'DATA (Real)'!AE30</f>
        <v>11.2</v>
      </c>
      <c r="AF34" s="312">
        <f>'DATA (Real)'!AF30</f>
        <v>11.2</v>
      </c>
      <c r="AG34" s="312">
        <f>'DATA (Real)'!AG30</f>
        <v>11.2</v>
      </c>
      <c r="AH34" s="312">
        <f>'DATA (Real)'!AH30</f>
        <v>11.2</v>
      </c>
      <c r="AI34" s="312">
        <f>'DATA (Real)'!AI30</f>
        <v>11.2</v>
      </c>
      <c r="AJ34" s="312">
        <f>'DATA (Real)'!AJ30</f>
        <v>11.2</v>
      </c>
      <c r="AK34" s="312">
        <f>'DATA (Real)'!AK30</f>
        <v>11.2</v>
      </c>
      <c r="AL34" s="312">
        <f>'DATA (Real)'!AL30</f>
        <v>11.2</v>
      </c>
      <c r="AM34" s="312">
        <f>'DATA (Real)'!AM30</f>
        <v>11.2</v>
      </c>
      <c r="AN34" s="312">
        <f>'DATA (Real)'!AN30</f>
        <v>11.2</v>
      </c>
      <c r="AO34" s="312">
        <f>'DATA (Real)'!AO30</f>
        <v>11.2</v>
      </c>
      <c r="AP34" s="312">
        <f>'DATA (Real)'!AP30</f>
        <v>11.2</v>
      </c>
      <c r="AQ34" s="312">
        <f>'DATA (Real)'!AQ30</f>
        <v>11.2</v>
      </c>
      <c r="AR34" s="312">
        <f>'DATA (Real)'!AR30</f>
        <v>11.2</v>
      </c>
      <c r="AS34" s="312">
        <f>'DATA (Real)'!AS30</f>
        <v>11.2</v>
      </c>
      <c r="AT34" s="312">
        <f>'DATA (Real)'!AT30</f>
        <v>11.2</v>
      </c>
      <c r="AU34" s="312">
        <f>'DATA (Real)'!AU30</f>
        <v>11.2</v>
      </c>
      <c r="AV34" s="312">
        <f>'DATA (Real)'!AV30</f>
        <v>11.2</v>
      </c>
      <c r="AW34" s="312">
        <f>'DATA (Real)'!AW30</f>
        <v>11.2</v>
      </c>
      <c r="AX34" s="312">
        <f>'DATA (Real)'!AX30</f>
        <v>11.2</v>
      </c>
      <c r="AY34" s="312">
        <f>'DATA (Real)'!AY30</f>
        <v>11.2</v>
      </c>
      <c r="AZ34" s="312">
        <f>'DATA (Real)'!AZ30</f>
        <v>11.2</v>
      </c>
      <c r="BA34" s="312">
        <f>'DATA (Real)'!BA30</f>
        <v>11.2</v>
      </c>
      <c r="BB34" s="312">
        <f>'DATA (Real)'!BB30</f>
        <v>11.2</v>
      </c>
      <c r="BC34" s="312">
        <f>'DATA (Real)'!BC30</f>
        <v>11.2</v>
      </c>
      <c r="BD34" s="312">
        <f>'DATA (Real)'!BD30</f>
        <v>11.2</v>
      </c>
      <c r="BE34" s="312">
        <f>'DATA (Real)'!BE30</f>
        <v>11.2</v>
      </c>
      <c r="BF34" s="312">
        <f>'DATA (Real)'!BF30</f>
        <v>11.2</v>
      </c>
      <c r="BG34" s="312">
        <f>'DATA (Real)'!BG30</f>
        <v>11.2</v>
      </c>
      <c r="BH34" s="312">
        <f>'DATA (Real)'!BH30</f>
        <v>11.2</v>
      </c>
      <c r="BI34" s="312">
        <f>'DATA (Real)'!BI30</f>
        <v>11.2</v>
      </c>
      <c r="BJ34" s="312">
        <f>'DATA (Real)'!BJ30</f>
        <v>11.2</v>
      </c>
      <c r="BK34" s="312">
        <f>'DATA (Real)'!BK30</f>
        <v>11.2</v>
      </c>
      <c r="BL34" s="312">
        <f>'DATA (Real)'!BL30</f>
        <v>11.2</v>
      </c>
      <c r="BM34" s="312">
        <f>'DATA (Real)'!BM30</f>
        <v>11.2</v>
      </c>
      <c r="BN34" s="312">
        <f>'DATA (Real)'!BN30</f>
        <v>11.2</v>
      </c>
      <c r="BO34" s="312">
        <f>'DATA (Real)'!BO30</f>
        <v>11.2</v>
      </c>
      <c r="BP34" s="312">
        <f>'DATA (Real)'!BP30</f>
        <v>11.2</v>
      </c>
      <c r="BQ34" s="312">
        <f>'DATA (Real)'!BQ30</f>
        <v>11.2</v>
      </c>
      <c r="BR34" s="312">
        <f>'DATA (Real)'!BR30</f>
        <v>11.2</v>
      </c>
      <c r="BS34" s="312">
        <f>'DATA (Real)'!BS30</f>
        <v>11.2</v>
      </c>
      <c r="BT34" s="312">
        <f>'DATA (Real)'!BT30</f>
        <v>11.2</v>
      </c>
      <c r="BU34" s="312">
        <f>'DATA (Real)'!BU30</f>
        <v>11.2</v>
      </c>
      <c r="BV34" s="312">
        <f>'DATA (Real)'!BV30</f>
        <v>11.2</v>
      </c>
      <c r="BW34" s="312">
        <f>'DATA (Real)'!BW30</f>
        <v>11.2</v>
      </c>
      <c r="BX34" s="312">
        <f>'DATA (Real)'!BX30</f>
        <v>11.2</v>
      </c>
    </row>
    <row r="35" spans="2:76" hidden="1" outlineLevel="1">
      <c r="B35" s="349"/>
      <c r="C35" s="349" t="str">
        <f>'DATA (Real)'!C31</f>
        <v>Internal</v>
      </c>
      <c r="D35" s="349" t="str">
        <f>'DATA (Real)'!D31</f>
        <v>Heat Rate  (MMBtu/MWh)</v>
      </c>
      <c r="E35" s="349" t="str">
        <f>'DATA (Real)'!E31</f>
        <v>Rathdrum CT: Inlet Evaporation 2 unit operation</v>
      </c>
      <c r="F35" s="312">
        <f>'DATA (Real)'!F31</f>
        <v>11.32</v>
      </c>
      <c r="G35" s="312">
        <f>'DATA (Real)'!G31</f>
        <v>11.32</v>
      </c>
      <c r="H35" s="312">
        <f>'DATA (Real)'!H31</f>
        <v>11.32</v>
      </c>
      <c r="I35" s="312">
        <f>'DATA (Real)'!I31</f>
        <v>11.32</v>
      </c>
      <c r="J35" s="312">
        <f>'DATA (Real)'!J31</f>
        <v>11.32</v>
      </c>
      <c r="K35" s="312">
        <f>'DATA (Real)'!K31</f>
        <v>11.32</v>
      </c>
      <c r="L35" s="312">
        <f>'DATA (Real)'!L31</f>
        <v>11.32</v>
      </c>
      <c r="M35" s="312">
        <f>'DATA (Real)'!M31</f>
        <v>11.32</v>
      </c>
      <c r="N35" s="312">
        <f>'DATA (Real)'!N31</f>
        <v>11.32</v>
      </c>
      <c r="O35" s="312">
        <f>'DATA (Real)'!O31</f>
        <v>11.32</v>
      </c>
      <c r="P35" s="312">
        <f>'DATA (Real)'!P31</f>
        <v>11.32</v>
      </c>
      <c r="Q35" s="312">
        <f>'DATA (Real)'!Q31</f>
        <v>11.32</v>
      </c>
      <c r="R35" s="312">
        <f>'DATA (Real)'!R31</f>
        <v>11.32</v>
      </c>
      <c r="S35" s="312">
        <f>'DATA (Real)'!S31</f>
        <v>11.32</v>
      </c>
      <c r="T35" s="312">
        <f>'DATA (Real)'!T31</f>
        <v>11.32</v>
      </c>
      <c r="U35" s="312">
        <f>'DATA (Real)'!U31</f>
        <v>11.32</v>
      </c>
      <c r="V35" s="312">
        <f>'DATA (Real)'!V31</f>
        <v>11.32</v>
      </c>
      <c r="W35" s="312">
        <f>'DATA (Real)'!W31</f>
        <v>11.32</v>
      </c>
      <c r="X35" s="312">
        <f>'DATA (Real)'!X31</f>
        <v>11.32</v>
      </c>
      <c r="Y35" s="312">
        <f>'DATA (Real)'!Y31</f>
        <v>11.32</v>
      </c>
      <c r="Z35" s="312">
        <f>'DATA (Real)'!Z31</f>
        <v>11.32</v>
      </c>
      <c r="AA35" s="312">
        <f>'DATA (Real)'!AA31</f>
        <v>11.32</v>
      </c>
      <c r="AB35" s="312">
        <f>'DATA (Real)'!AB31</f>
        <v>11.32</v>
      </c>
      <c r="AC35" s="312">
        <f>'DATA (Real)'!AC31</f>
        <v>11.32</v>
      </c>
      <c r="AD35" s="312">
        <f>'DATA (Real)'!AD31</f>
        <v>11.32</v>
      </c>
      <c r="AE35" s="312">
        <f>'DATA (Real)'!AE31</f>
        <v>11.32</v>
      </c>
      <c r="AF35" s="312">
        <f>'DATA (Real)'!AF31</f>
        <v>11.32</v>
      </c>
      <c r="AG35" s="312">
        <f>'DATA (Real)'!AG31</f>
        <v>11.32</v>
      </c>
      <c r="AH35" s="312">
        <f>'DATA (Real)'!AH31</f>
        <v>11.32</v>
      </c>
      <c r="AI35" s="312">
        <f>'DATA (Real)'!AI31</f>
        <v>11.32</v>
      </c>
      <c r="AJ35" s="312">
        <f>'DATA (Real)'!AJ31</f>
        <v>11.32</v>
      </c>
      <c r="AK35" s="312">
        <f>'DATA (Real)'!AK31</f>
        <v>11.32</v>
      </c>
      <c r="AL35" s="312">
        <f>'DATA (Real)'!AL31</f>
        <v>11.32</v>
      </c>
      <c r="AM35" s="312">
        <f>'DATA (Real)'!AM31</f>
        <v>11.32</v>
      </c>
      <c r="AN35" s="312">
        <f>'DATA (Real)'!AN31</f>
        <v>11.32</v>
      </c>
      <c r="AO35" s="312">
        <f>'DATA (Real)'!AO31</f>
        <v>11.32</v>
      </c>
      <c r="AP35" s="312">
        <f>'DATA (Real)'!AP31</f>
        <v>11.32</v>
      </c>
      <c r="AQ35" s="312">
        <f>'DATA (Real)'!AQ31</f>
        <v>11.32</v>
      </c>
      <c r="AR35" s="312">
        <f>'DATA (Real)'!AR31</f>
        <v>11.32</v>
      </c>
      <c r="AS35" s="312">
        <f>'DATA (Real)'!AS31</f>
        <v>11.32</v>
      </c>
      <c r="AT35" s="312">
        <f>'DATA (Real)'!AT31</f>
        <v>11.32</v>
      </c>
      <c r="AU35" s="312">
        <f>'DATA (Real)'!AU31</f>
        <v>11.32</v>
      </c>
      <c r="AV35" s="312">
        <f>'DATA (Real)'!AV31</f>
        <v>11.32</v>
      </c>
      <c r="AW35" s="312">
        <f>'DATA (Real)'!AW31</f>
        <v>11.32</v>
      </c>
      <c r="AX35" s="312">
        <f>'DATA (Real)'!AX31</f>
        <v>11.32</v>
      </c>
      <c r="AY35" s="312">
        <f>'DATA (Real)'!AY31</f>
        <v>11.32</v>
      </c>
      <c r="AZ35" s="312">
        <f>'DATA (Real)'!AZ31</f>
        <v>11.32</v>
      </c>
      <c r="BA35" s="312">
        <f>'DATA (Real)'!BA31</f>
        <v>11.32</v>
      </c>
      <c r="BB35" s="312">
        <f>'DATA (Real)'!BB31</f>
        <v>11.32</v>
      </c>
      <c r="BC35" s="312">
        <f>'DATA (Real)'!BC31</f>
        <v>11.32</v>
      </c>
      <c r="BD35" s="312">
        <f>'DATA (Real)'!BD31</f>
        <v>11.32</v>
      </c>
      <c r="BE35" s="312">
        <f>'DATA (Real)'!BE31</f>
        <v>11.32</v>
      </c>
      <c r="BF35" s="312">
        <f>'DATA (Real)'!BF31</f>
        <v>11.32</v>
      </c>
      <c r="BG35" s="312">
        <f>'DATA (Real)'!BG31</f>
        <v>11.32</v>
      </c>
      <c r="BH35" s="312">
        <f>'DATA (Real)'!BH31</f>
        <v>11.32</v>
      </c>
      <c r="BI35" s="312">
        <f>'DATA (Real)'!BI31</f>
        <v>11.32</v>
      </c>
      <c r="BJ35" s="312">
        <f>'DATA (Real)'!BJ31</f>
        <v>11.32</v>
      </c>
      <c r="BK35" s="312">
        <f>'DATA (Real)'!BK31</f>
        <v>11.32</v>
      </c>
      <c r="BL35" s="312">
        <f>'DATA (Real)'!BL31</f>
        <v>11.32</v>
      </c>
      <c r="BM35" s="312">
        <f>'DATA (Real)'!BM31</f>
        <v>11.32</v>
      </c>
      <c r="BN35" s="312">
        <f>'DATA (Real)'!BN31</f>
        <v>11.32</v>
      </c>
      <c r="BO35" s="312">
        <f>'DATA (Real)'!BO31</f>
        <v>11.32</v>
      </c>
      <c r="BP35" s="312">
        <f>'DATA (Real)'!BP31</f>
        <v>11.32</v>
      </c>
      <c r="BQ35" s="312">
        <f>'DATA (Real)'!BQ31</f>
        <v>11.32</v>
      </c>
      <c r="BR35" s="312">
        <f>'DATA (Real)'!BR31</f>
        <v>11.32</v>
      </c>
      <c r="BS35" s="312">
        <f>'DATA (Real)'!BS31</f>
        <v>11.32</v>
      </c>
      <c r="BT35" s="312">
        <f>'DATA (Real)'!BT31</f>
        <v>11.32</v>
      </c>
      <c r="BU35" s="312">
        <f>'DATA (Real)'!BU31</f>
        <v>11.32</v>
      </c>
      <c r="BV35" s="312">
        <f>'DATA (Real)'!BV31</f>
        <v>11.32</v>
      </c>
      <c r="BW35" s="312">
        <f>'DATA (Real)'!BW31</f>
        <v>11.32</v>
      </c>
      <c r="BX35" s="312">
        <f>'DATA (Real)'!BX31</f>
        <v>11.32</v>
      </c>
    </row>
    <row r="36" spans="2:76" hidden="1" outlineLevel="1">
      <c r="B36" s="353"/>
      <c r="C36" s="353" t="str">
        <f>'DATA (Real)'!C32</f>
        <v>Internal</v>
      </c>
      <c r="D36" s="353" t="str">
        <f>'DATA (Real)'!D32</f>
        <v>Heat Rate  (MMBtu/MWh)</v>
      </c>
      <c r="E36" s="353" t="str">
        <f>'DATA (Real)'!E32</f>
        <v>7F.04 CT Frame Greenfield</v>
      </c>
      <c r="F36" s="312">
        <f>'DATA (Real)'!F32</f>
        <v>10.039999999999999</v>
      </c>
      <c r="G36" s="312">
        <f>'DATA (Real)'!G32</f>
        <v>10.039999999999999</v>
      </c>
      <c r="H36" s="312">
        <f>'DATA (Real)'!H32</f>
        <v>10.039999999999999</v>
      </c>
      <c r="I36" s="436">
        <f>'DATA (Real)'!I32</f>
        <v>10.039999999999999</v>
      </c>
      <c r="J36" s="312">
        <f>'DATA (Real)'!J32</f>
        <v>10.039999999999999</v>
      </c>
      <c r="K36" s="312">
        <f>'DATA (Real)'!K32</f>
        <v>10.039999999999999</v>
      </c>
      <c r="L36" s="312">
        <f>'DATA (Real)'!L32</f>
        <v>10.039999999999999</v>
      </c>
      <c r="M36" s="312">
        <f>'DATA (Real)'!M32</f>
        <v>10.039999999999999</v>
      </c>
      <c r="N36" s="312">
        <f>'DATA (Real)'!N32</f>
        <v>10.039999999999999</v>
      </c>
      <c r="O36" s="312">
        <f>'DATA (Real)'!O32</f>
        <v>10.039999999999999</v>
      </c>
      <c r="P36" s="312">
        <f>'DATA (Real)'!P32</f>
        <v>10.039999999999999</v>
      </c>
      <c r="Q36" s="312">
        <f>'DATA (Real)'!Q32</f>
        <v>10.039999999999999</v>
      </c>
      <c r="R36" s="312">
        <f>'DATA (Real)'!R32</f>
        <v>10.039999999999999</v>
      </c>
      <c r="S36" s="312">
        <f>'DATA (Real)'!S32</f>
        <v>10.039999999999999</v>
      </c>
      <c r="T36" s="312">
        <f>'DATA (Real)'!T32</f>
        <v>10.039999999999999</v>
      </c>
      <c r="U36" s="312">
        <f>'DATA (Real)'!U32</f>
        <v>10.039999999999999</v>
      </c>
      <c r="V36" s="312">
        <f>'DATA (Real)'!V32</f>
        <v>10.039999999999999</v>
      </c>
      <c r="W36" s="312">
        <f>'DATA (Real)'!W32</f>
        <v>10.039999999999999</v>
      </c>
      <c r="X36" s="312">
        <f>'DATA (Real)'!X32</f>
        <v>10.039999999999999</v>
      </c>
      <c r="Y36" s="312">
        <f>'DATA (Real)'!Y32</f>
        <v>10.039999999999999</v>
      </c>
      <c r="Z36" s="312">
        <f>'DATA (Real)'!Z32</f>
        <v>10.039999999999999</v>
      </c>
      <c r="AA36" s="312">
        <f>'DATA (Real)'!AA32</f>
        <v>10.039999999999999</v>
      </c>
      <c r="AB36" s="312">
        <f>'DATA (Real)'!AB32</f>
        <v>10.039999999999999</v>
      </c>
      <c r="AC36" s="312">
        <f>'DATA (Real)'!AC32</f>
        <v>10.039999999999999</v>
      </c>
      <c r="AD36" s="312">
        <f>'DATA (Real)'!AD32</f>
        <v>10.039999999999999</v>
      </c>
      <c r="AE36" s="312">
        <f>'DATA (Real)'!AE32</f>
        <v>10.039999999999999</v>
      </c>
      <c r="AF36" s="312">
        <f>'DATA (Real)'!AF32</f>
        <v>10.039999999999999</v>
      </c>
      <c r="AG36" s="312">
        <f>'DATA (Real)'!AG32</f>
        <v>10.039999999999999</v>
      </c>
      <c r="AH36" s="312">
        <f>'DATA (Real)'!AH32</f>
        <v>10.039999999999999</v>
      </c>
      <c r="AI36" s="312">
        <f>'DATA (Real)'!AI32</f>
        <v>10.039999999999999</v>
      </c>
      <c r="AJ36" s="312">
        <f>'DATA (Real)'!AJ32</f>
        <v>10.039999999999999</v>
      </c>
      <c r="AK36" s="312">
        <f>'DATA (Real)'!AK32</f>
        <v>10.039999999999999</v>
      </c>
      <c r="AL36" s="312">
        <f>'DATA (Real)'!AL32</f>
        <v>10.039999999999999</v>
      </c>
      <c r="AM36" s="312">
        <f>'DATA (Real)'!AM32</f>
        <v>10.039999999999999</v>
      </c>
      <c r="AN36" s="312">
        <f>'DATA (Real)'!AN32</f>
        <v>10.039999999999999</v>
      </c>
      <c r="AO36" s="312">
        <f>'DATA (Real)'!AO32</f>
        <v>10.039999999999999</v>
      </c>
      <c r="AP36" s="312">
        <f>'DATA (Real)'!AP32</f>
        <v>10.039999999999999</v>
      </c>
      <c r="AQ36" s="312">
        <f>'DATA (Real)'!AQ32</f>
        <v>10.039999999999999</v>
      </c>
      <c r="AR36" s="312">
        <f>'DATA (Real)'!AR32</f>
        <v>10.039999999999999</v>
      </c>
      <c r="AS36" s="312">
        <f>'DATA (Real)'!AS32</f>
        <v>10.039999999999999</v>
      </c>
      <c r="AT36" s="312">
        <f>'DATA (Real)'!AT32</f>
        <v>10.039999999999999</v>
      </c>
      <c r="AU36" s="312">
        <f>'DATA (Real)'!AU32</f>
        <v>10.039999999999999</v>
      </c>
      <c r="AV36" s="312">
        <f>'DATA (Real)'!AV32</f>
        <v>10.039999999999999</v>
      </c>
      <c r="AW36" s="312">
        <f>'DATA (Real)'!AW32</f>
        <v>10.039999999999999</v>
      </c>
      <c r="AX36" s="312">
        <f>'DATA (Real)'!AX32</f>
        <v>10.039999999999999</v>
      </c>
      <c r="AY36" s="312">
        <f>'DATA (Real)'!AY32</f>
        <v>10.039999999999999</v>
      </c>
      <c r="AZ36" s="312">
        <f>'DATA (Real)'!AZ32</f>
        <v>10.039999999999999</v>
      </c>
      <c r="BA36" s="312">
        <f>'DATA (Real)'!BA32</f>
        <v>10.039999999999999</v>
      </c>
      <c r="BB36" s="312">
        <f>'DATA (Real)'!BB32</f>
        <v>10.039999999999999</v>
      </c>
      <c r="BC36" s="312">
        <f>'DATA (Real)'!BC32</f>
        <v>10.039999999999999</v>
      </c>
      <c r="BD36" s="312">
        <f>'DATA (Real)'!BD32</f>
        <v>10.039999999999999</v>
      </c>
      <c r="BE36" s="312">
        <f>'DATA (Real)'!BE32</f>
        <v>10.039999999999999</v>
      </c>
      <c r="BF36" s="312">
        <f>'DATA (Real)'!BF32</f>
        <v>10.039999999999999</v>
      </c>
      <c r="BG36" s="312">
        <f>'DATA (Real)'!BG32</f>
        <v>10.039999999999999</v>
      </c>
      <c r="BH36" s="312">
        <f>'DATA (Real)'!BH32</f>
        <v>10.039999999999999</v>
      </c>
      <c r="BI36" s="312">
        <f>'DATA (Real)'!BI32</f>
        <v>10.039999999999999</v>
      </c>
      <c r="BJ36" s="312">
        <f>'DATA (Real)'!BJ32</f>
        <v>10.039999999999999</v>
      </c>
      <c r="BK36" s="312">
        <f>'DATA (Real)'!BK32</f>
        <v>10.039999999999999</v>
      </c>
      <c r="BL36" s="312">
        <f>'DATA (Real)'!BL32</f>
        <v>10.039999999999999</v>
      </c>
      <c r="BM36" s="312">
        <f>'DATA (Real)'!BM32</f>
        <v>10.039999999999999</v>
      </c>
      <c r="BN36" s="312">
        <f>'DATA (Real)'!BN32</f>
        <v>10.039999999999999</v>
      </c>
      <c r="BO36" s="312">
        <f>'DATA (Real)'!BO32</f>
        <v>10.039999999999999</v>
      </c>
      <c r="BP36" s="312">
        <f>'DATA (Real)'!BP32</f>
        <v>10.039999999999999</v>
      </c>
      <c r="BQ36" s="312">
        <f>'DATA (Real)'!BQ32</f>
        <v>10.039999999999999</v>
      </c>
      <c r="BR36" s="312">
        <f>'DATA (Real)'!BR32</f>
        <v>10.039999999999999</v>
      </c>
      <c r="BS36" s="312">
        <f>'DATA (Real)'!BS32</f>
        <v>10.039999999999999</v>
      </c>
      <c r="BT36" s="312">
        <f>'DATA (Real)'!BT32</f>
        <v>10.039999999999999</v>
      </c>
      <c r="BU36" s="312">
        <f>'DATA (Real)'!BU32</f>
        <v>10.039999999999999</v>
      </c>
      <c r="BV36" s="312">
        <f>'DATA (Real)'!BV32</f>
        <v>10.039999999999999</v>
      </c>
      <c r="BW36" s="312">
        <f>'DATA (Real)'!BW32</f>
        <v>10.039999999999999</v>
      </c>
      <c r="BX36" s="312">
        <f>'DATA (Real)'!BX32</f>
        <v>10.039999999999999</v>
      </c>
    </row>
    <row r="37" spans="2:76" hidden="1" outlineLevel="1">
      <c r="B37" s="353"/>
      <c r="C37" s="353" t="str">
        <f>'DATA (Real)'!C33</f>
        <v>Internal</v>
      </c>
      <c r="D37" s="353" t="str">
        <f>'DATA (Real)'!D33</f>
        <v>Heat Rate  (MMBtu/MWh)</v>
      </c>
      <c r="E37" s="353" t="str">
        <f>'DATA (Real)'!E33</f>
        <v>Reciprocating Engine (ICE) Machine</v>
      </c>
      <c r="F37" s="312">
        <f>'DATA (Real)'!F33</f>
        <v>8.19</v>
      </c>
      <c r="G37" s="312">
        <f>'DATA (Real)'!G33</f>
        <v>8.19</v>
      </c>
      <c r="H37" s="312">
        <f>'DATA (Real)'!H33</f>
        <v>8.19</v>
      </c>
      <c r="I37" s="436">
        <f>'DATA (Real)'!I33</f>
        <v>8.19</v>
      </c>
      <c r="J37" s="312">
        <f>'DATA (Real)'!J33</f>
        <v>8.19</v>
      </c>
      <c r="K37" s="312">
        <f>'DATA (Real)'!K33</f>
        <v>8.19</v>
      </c>
      <c r="L37" s="312">
        <f>'DATA (Real)'!L33</f>
        <v>8.19</v>
      </c>
      <c r="M37" s="312">
        <f>'DATA (Real)'!M33</f>
        <v>8.19</v>
      </c>
      <c r="N37" s="312">
        <f>'DATA (Real)'!N33</f>
        <v>8.19</v>
      </c>
      <c r="O37" s="312">
        <f>'DATA (Real)'!O33</f>
        <v>8.19</v>
      </c>
      <c r="P37" s="312">
        <f>'DATA (Real)'!P33</f>
        <v>8.19</v>
      </c>
      <c r="Q37" s="312">
        <f>'DATA (Real)'!Q33</f>
        <v>8.19</v>
      </c>
      <c r="R37" s="312">
        <f>'DATA (Real)'!R33</f>
        <v>8.19</v>
      </c>
      <c r="S37" s="312">
        <f>'DATA (Real)'!S33</f>
        <v>8.19</v>
      </c>
      <c r="T37" s="312">
        <f>'DATA (Real)'!T33</f>
        <v>8.19</v>
      </c>
      <c r="U37" s="312">
        <f>'DATA (Real)'!U33</f>
        <v>8.19</v>
      </c>
      <c r="V37" s="312">
        <f>'DATA (Real)'!V33</f>
        <v>8.19</v>
      </c>
      <c r="W37" s="312">
        <f>'DATA (Real)'!W33</f>
        <v>8.19</v>
      </c>
      <c r="X37" s="312">
        <f>'DATA (Real)'!X33</f>
        <v>8.19</v>
      </c>
      <c r="Y37" s="312">
        <f>'DATA (Real)'!Y33</f>
        <v>8.19</v>
      </c>
      <c r="Z37" s="312">
        <f>'DATA (Real)'!Z33</f>
        <v>8.19</v>
      </c>
      <c r="AA37" s="312">
        <f>'DATA (Real)'!AA33</f>
        <v>8.19</v>
      </c>
      <c r="AB37" s="312">
        <f>'DATA (Real)'!AB33</f>
        <v>8.19</v>
      </c>
      <c r="AC37" s="312">
        <f>'DATA (Real)'!AC33</f>
        <v>8.19</v>
      </c>
      <c r="AD37" s="312">
        <f>'DATA (Real)'!AD33</f>
        <v>8.19</v>
      </c>
      <c r="AE37" s="312">
        <f>'DATA (Real)'!AE33</f>
        <v>8.19</v>
      </c>
      <c r="AF37" s="312">
        <f>'DATA (Real)'!AF33</f>
        <v>8.19</v>
      </c>
      <c r="AG37" s="312">
        <f>'DATA (Real)'!AG33</f>
        <v>8.19</v>
      </c>
      <c r="AH37" s="312">
        <f>'DATA (Real)'!AH33</f>
        <v>8.19</v>
      </c>
      <c r="AI37" s="312">
        <f>'DATA (Real)'!AI33</f>
        <v>8.19</v>
      </c>
      <c r="AJ37" s="312">
        <f>'DATA (Real)'!AJ33</f>
        <v>8.19</v>
      </c>
      <c r="AK37" s="312">
        <f>'DATA (Real)'!AK33</f>
        <v>8.19</v>
      </c>
      <c r="AL37" s="312">
        <f>'DATA (Real)'!AL33</f>
        <v>8.19</v>
      </c>
      <c r="AM37" s="312">
        <f>'DATA (Real)'!AM33</f>
        <v>8.19</v>
      </c>
      <c r="AN37" s="312">
        <f>'DATA (Real)'!AN33</f>
        <v>8.19</v>
      </c>
      <c r="AO37" s="312">
        <f>'DATA (Real)'!AO33</f>
        <v>8.19</v>
      </c>
      <c r="AP37" s="312">
        <f>'DATA (Real)'!AP33</f>
        <v>8.19</v>
      </c>
      <c r="AQ37" s="312">
        <f>'DATA (Real)'!AQ33</f>
        <v>8.19</v>
      </c>
      <c r="AR37" s="312">
        <f>'DATA (Real)'!AR33</f>
        <v>8.19</v>
      </c>
      <c r="AS37" s="312">
        <f>'DATA (Real)'!AS33</f>
        <v>8.19</v>
      </c>
      <c r="AT37" s="312">
        <f>'DATA (Real)'!AT33</f>
        <v>8.19</v>
      </c>
      <c r="AU37" s="312">
        <f>'DATA (Real)'!AU33</f>
        <v>8.19</v>
      </c>
      <c r="AV37" s="312">
        <f>'DATA (Real)'!AV33</f>
        <v>8.19</v>
      </c>
      <c r="AW37" s="312">
        <f>'DATA (Real)'!AW33</f>
        <v>8.19</v>
      </c>
      <c r="AX37" s="312">
        <f>'DATA (Real)'!AX33</f>
        <v>8.19</v>
      </c>
      <c r="AY37" s="312">
        <f>'DATA (Real)'!AY33</f>
        <v>8.19</v>
      </c>
      <c r="AZ37" s="312">
        <f>'DATA (Real)'!AZ33</f>
        <v>8.19</v>
      </c>
      <c r="BA37" s="312">
        <f>'DATA (Real)'!BA33</f>
        <v>8.19</v>
      </c>
      <c r="BB37" s="312">
        <f>'DATA (Real)'!BB33</f>
        <v>8.19</v>
      </c>
      <c r="BC37" s="312">
        <f>'DATA (Real)'!BC33</f>
        <v>8.19</v>
      </c>
      <c r="BD37" s="312">
        <f>'DATA (Real)'!BD33</f>
        <v>8.19</v>
      </c>
      <c r="BE37" s="312">
        <f>'DATA (Real)'!BE33</f>
        <v>8.19</v>
      </c>
      <c r="BF37" s="312">
        <f>'DATA (Real)'!BF33</f>
        <v>8.19</v>
      </c>
      <c r="BG37" s="312">
        <f>'DATA (Real)'!BG33</f>
        <v>8.19</v>
      </c>
      <c r="BH37" s="312">
        <f>'DATA (Real)'!BH33</f>
        <v>8.19</v>
      </c>
      <c r="BI37" s="312">
        <f>'DATA (Real)'!BI33</f>
        <v>8.19</v>
      </c>
      <c r="BJ37" s="312">
        <f>'DATA (Real)'!BJ33</f>
        <v>8.19</v>
      </c>
      <c r="BK37" s="312">
        <f>'DATA (Real)'!BK33</f>
        <v>8.19</v>
      </c>
      <c r="BL37" s="312">
        <f>'DATA (Real)'!BL33</f>
        <v>8.19</v>
      </c>
      <c r="BM37" s="312">
        <f>'DATA (Real)'!BM33</f>
        <v>8.19</v>
      </c>
      <c r="BN37" s="312">
        <f>'DATA (Real)'!BN33</f>
        <v>8.19</v>
      </c>
      <c r="BO37" s="312">
        <f>'DATA (Real)'!BO33</f>
        <v>8.19</v>
      </c>
      <c r="BP37" s="312">
        <f>'DATA (Real)'!BP33</f>
        <v>8.19</v>
      </c>
      <c r="BQ37" s="312">
        <f>'DATA (Real)'!BQ33</f>
        <v>8.19</v>
      </c>
      <c r="BR37" s="312">
        <f>'DATA (Real)'!BR33</f>
        <v>8.19</v>
      </c>
      <c r="BS37" s="312">
        <f>'DATA (Real)'!BS33</f>
        <v>8.19</v>
      </c>
      <c r="BT37" s="312">
        <f>'DATA (Real)'!BT33</f>
        <v>8.19</v>
      </c>
      <c r="BU37" s="312">
        <f>'DATA (Real)'!BU33</f>
        <v>8.19</v>
      </c>
      <c r="BV37" s="312">
        <f>'DATA (Real)'!BV33</f>
        <v>8.19</v>
      </c>
      <c r="BW37" s="312">
        <f>'DATA (Real)'!BW33</f>
        <v>8.19</v>
      </c>
      <c r="BX37" s="312">
        <f>'DATA (Real)'!BX33</f>
        <v>8.19</v>
      </c>
    </row>
    <row r="38" spans="2:76" hidden="1" outlineLevel="1">
      <c r="B38" s="353"/>
      <c r="C38" s="353" t="str">
        <f>'DATA (Real)'!C34</f>
        <v>Internal</v>
      </c>
      <c r="D38" s="353" t="str">
        <f>'DATA (Real)'!D34</f>
        <v>Heat Rate  (MMBtu/MWh)</v>
      </c>
      <c r="E38" s="353" t="str">
        <f>'DATA (Real)'!E34</f>
        <v>NG CCCT (1x1 w/DF)</v>
      </c>
      <c r="F38" s="312">
        <f>'DATA (Real)'!F34</f>
        <v>6.82</v>
      </c>
      <c r="G38" s="312">
        <f>'DATA (Real)'!G34</f>
        <v>6.82</v>
      </c>
      <c r="H38" s="312">
        <f>'DATA (Real)'!H34</f>
        <v>6.82</v>
      </c>
      <c r="I38" s="436">
        <f>'DATA (Real)'!I34</f>
        <v>6.82</v>
      </c>
      <c r="J38" s="312">
        <f>'DATA (Real)'!J34</f>
        <v>6.82</v>
      </c>
      <c r="K38" s="312">
        <f>'DATA (Real)'!K34</f>
        <v>6.82</v>
      </c>
      <c r="L38" s="312">
        <f>'DATA (Real)'!L34</f>
        <v>6.82</v>
      </c>
      <c r="M38" s="312">
        <f>'DATA (Real)'!M34</f>
        <v>6.82</v>
      </c>
      <c r="N38" s="312">
        <f>'DATA (Real)'!N34</f>
        <v>6.82</v>
      </c>
      <c r="O38" s="312">
        <f>'DATA (Real)'!O34</f>
        <v>6.82</v>
      </c>
      <c r="P38" s="312">
        <f>'DATA (Real)'!P34</f>
        <v>6.82</v>
      </c>
      <c r="Q38" s="312">
        <f>'DATA (Real)'!Q34</f>
        <v>6.82</v>
      </c>
      <c r="R38" s="312">
        <f>'DATA (Real)'!R34</f>
        <v>6.82</v>
      </c>
      <c r="S38" s="312">
        <f>'DATA (Real)'!S34</f>
        <v>6.82</v>
      </c>
      <c r="T38" s="312">
        <f>'DATA (Real)'!T34</f>
        <v>6.82</v>
      </c>
      <c r="U38" s="312">
        <f>'DATA (Real)'!U34</f>
        <v>6.82</v>
      </c>
      <c r="V38" s="312">
        <f>'DATA (Real)'!V34</f>
        <v>6.82</v>
      </c>
      <c r="W38" s="312">
        <f>'DATA (Real)'!W34</f>
        <v>6.82</v>
      </c>
      <c r="X38" s="312">
        <f>'DATA (Real)'!X34</f>
        <v>6.82</v>
      </c>
      <c r="Y38" s="312">
        <f>'DATA (Real)'!Y34</f>
        <v>6.82</v>
      </c>
      <c r="Z38" s="312">
        <f>'DATA (Real)'!Z34</f>
        <v>6.82</v>
      </c>
      <c r="AA38" s="312">
        <f>'DATA (Real)'!AA34</f>
        <v>6.82</v>
      </c>
      <c r="AB38" s="312">
        <f>'DATA (Real)'!AB34</f>
        <v>6.82</v>
      </c>
      <c r="AC38" s="312">
        <f>'DATA (Real)'!AC34</f>
        <v>6.82</v>
      </c>
      <c r="AD38" s="312">
        <f>'DATA (Real)'!AD34</f>
        <v>6.82</v>
      </c>
      <c r="AE38" s="312">
        <f>'DATA (Real)'!AE34</f>
        <v>6.82</v>
      </c>
      <c r="AF38" s="312">
        <f>'DATA (Real)'!AF34</f>
        <v>6.82</v>
      </c>
      <c r="AG38" s="312">
        <f>'DATA (Real)'!AG34</f>
        <v>6.82</v>
      </c>
      <c r="AH38" s="312">
        <f>'DATA (Real)'!AH34</f>
        <v>6.82</v>
      </c>
      <c r="AI38" s="312">
        <f>'DATA (Real)'!AI34</f>
        <v>6.82</v>
      </c>
      <c r="AJ38" s="312">
        <f>'DATA (Real)'!AJ34</f>
        <v>6.82</v>
      </c>
      <c r="AK38" s="312">
        <f>'DATA (Real)'!AK34</f>
        <v>6.82</v>
      </c>
      <c r="AL38" s="312">
        <f>'DATA (Real)'!AL34</f>
        <v>6.82</v>
      </c>
      <c r="AM38" s="312">
        <f>'DATA (Real)'!AM34</f>
        <v>6.82</v>
      </c>
      <c r="AN38" s="312">
        <f>'DATA (Real)'!AN34</f>
        <v>6.82</v>
      </c>
      <c r="AO38" s="312">
        <f>'DATA (Real)'!AO34</f>
        <v>6.82</v>
      </c>
      <c r="AP38" s="312">
        <f>'DATA (Real)'!AP34</f>
        <v>6.82</v>
      </c>
      <c r="AQ38" s="312">
        <f>'DATA (Real)'!AQ34</f>
        <v>6.82</v>
      </c>
      <c r="AR38" s="312">
        <f>'DATA (Real)'!AR34</f>
        <v>6.82</v>
      </c>
      <c r="AS38" s="312">
        <f>'DATA (Real)'!AS34</f>
        <v>6.82</v>
      </c>
      <c r="AT38" s="312">
        <f>'DATA (Real)'!AT34</f>
        <v>6.82</v>
      </c>
      <c r="AU38" s="312">
        <f>'DATA (Real)'!AU34</f>
        <v>6.82</v>
      </c>
      <c r="AV38" s="312">
        <f>'DATA (Real)'!AV34</f>
        <v>6.82</v>
      </c>
      <c r="AW38" s="312">
        <f>'DATA (Real)'!AW34</f>
        <v>6.82</v>
      </c>
      <c r="AX38" s="312">
        <f>'DATA (Real)'!AX34</f>
        <v>6.82</v>
      </c>
      <c r="AY38" s="312">
        <f>'DATA (Real)'!AY34</f>
        <v>6.82</v>
      </c>
      <c r="AZ38" s="312">
        <f>'DATA (Real)'!AZ34</f>
        <v>6.82</v>
      </c>
      <c r="BA38" s="312">
        <f>'DATA (Real)'!BA34</f>
        <v>6.82</v>
      </c>
      <c r="BB38" s="312">
        <f>'DATA (Real)'!BB34</f>
        <v>6.82</v>
      </c>
      <c r="BC38" s="312">
        <f>'DATA (Real)'!BC34</f>
        <v>6.82</v>
      </c>
      <c r="BD38" s="312">
        <f>'DATA (Real)'!BD34</f>
        <v>6.82</v>
      </c>
      <c r="BE38" s="312">
        <f>'DATA (Real)'!BE34</f>
        <v>6.82</v>
      </c>
      <c r="BF38" s="312">
        <f>'DATA (Real)'!BF34</f>
        <v>6.82</v>
      </c>
      <c r="BG38" s="312">
        <f>'DATA (Real)'!BG34</f>
        <v>6.82</v>
      </c>
      <c r="BH38" s="312">
        <f>'DATA (Real)'!BH34</f>
        <v>6.82</v>
      </c>
      <c r="BI38" s="312">
        <f>'DATA (Real)'!BI34</f>
        <v>6.82</v>
      </c>
      <c r="BJ38" s="312">
        <f>'DATA (Real)'!BJ34</f>
        <v>6.82</v>
      </c>
      <c r="BK38" s="312">
        <f>'DATA (Real)'!BK34</f>
        <v>6.82</v>
      </c>
      <c r="BL38" s="312">
        <f>'DATA (Real)'!BL34</f>
        <v>6.82</v>
      </c>
      <c r="BM38" s="312">
        <f>'DATA (Real)'!BM34</f>
        <v>6.82</v>
      </c>
      <c r="BN38" s="312">
        <f>'DATA (Real)'!BN34</f>
        <v>6.82</v>
      </c>
      <c r="BO38" s="312">
        <f>'DATA (Real)'!BO34</f>
        <v>6.82</v>
      </c>
      <c r="BP38" s="312">
        <f>'DATA (Real)'!BP34</f>
        <v>6.82</v>
      </c>
      <c r="BQ38" s="312">
        <f>'DATA (Real)'!BQ34</f>
        <v>6.82</v>
      </c>
      <c r="BR38" s="312">
        <f>'DATA (Real)'!BR34</f>
        <v>6.82</v>
      </c>
      <c r="BS38" s="312">
        <f>'DATA (Real)'!BS34</f>
        <v>6.82</v>
      </c>
      <c r="BT38" s="312">
        <f>'DATA (Real)'!BT34</f>
        <v>6.82</v>
      </c>
      <c r="BU38" s="312">
        <f>'DATA (Real)'!BU34</f>
        <v>6.82</v>
      </c>
      <c r="BV38" s="312">
        <f>'DATA (Real)'!BV34</f>
        <v>6.82</v>
      </c>
      <c r="BW38" s="312">
        <f>'DATA (Real)'!BW34</f>
        <v>6.82</v>
      </c>
      <c r="BX38" s="312">
        <f>'DATA (Real)'!BX34</f>
        <v>6.82</v>
      </c>
    </row>
    <row r="39" spans="2:76" hidden="1" outlineLevel="1">
      <c r="B39" s="353"/>
      <c r="C39" s="353" t="str">
        <f>'DATA (Real)'!C35</f>
        <v>Internal</v>
      </c>
      <c r="D39" s="353" t="str">
        <f>'DATA (Real)'!D35</f>
        <v>Heat Rate  (MMBtu/MWh)</v>
      </c>
      <c r="E39" s="353" t="str">
        <f>'DATA (Real)'!E35</f>
        <v xml:space="preserve">Hydrogen Fuel Cell with 40 hrs Storage </v>
      </c>
      <c r="F39" s="312">
        <f>'DATA (Real)'!F35</f>
        <v>5.6870000000000003</v>
      </c>
      <c r="G39" s="312">
        <f>'DATA (Real)'!G35</f>
        <v>5.6870000000000003</v>
      </c>
      <c r="H39" s="312">
        <f>'DATA (Real)'!H35</f>
        <v>5.6870000000000003</v>
      </c>
      <c r="I39" s="436">
        <f>'DATA (Real)'!I35</f>
        <v>5.6870000000000003</v>
      </c>
      <c r="J39" s="312">
        <f>'DATA (Real)'!J35</f>
        <v>5.6870000000000003</v>
      </c>
      <c r="K39" s="312">
        <f>'DATA (Real)'!K35</f>
        <v>5.6870000000000003</v>
      </c>
      <c r="L39" s="312">
        <f>'DATA (Real)'!L35</f>
        <v>5.6870000000000003</v>
      </c>
      <c r="M39" s="312">
        <f>'DATA (Real)'!M35</f>
        <v>5.6870000000000003</v>
      </c>
      <c r="N39" s="312">
        <f>'DATA (Real)'!N35</f>
        <v>5.6870000000000003</v>
      </c>
      <c r="O39" s="312">
        <f>'DATA (Real)'!O35</f>
        <v>5.6870000000000003</v>
      </c>
      <c r="P39" s="312">
        <f>'DATA (Real)'!P35</f>
        <v>5.6870000000000003</v>
      </c>
      <c r="Q39" s="312">
        <f>'DATA (Real)'!Q35</f>
        <v>5.6870000000000003</v>
      </c>
      <c r="R39" s="312">
        <f>'DATA (Real)'!R35</f>
        <v>5.6870000000000003</v>
      </c>
      <c r="S39" s="312">
        <f>'DATA (Real)'!S35</f>
        <v>5.6870000000000003</v>
      </c>
      <c r="T39" s="312">
        <f>'DATA (Real)'!T35</f>
        <v>5.6870000000000003</v>
      </c>
      <c r="U39" s="312">
        <f>'DATA (Real)'!U35</f>
        <v>5.6870000000000003</v>
      </c>
      <c r="V39" s="312">
        <f>'DATA (Real)'!V35</f>
        <v>5.6870000000000003</v>
      </c>
      <c r="W39" s="312">
        <f>'DATA (Real)'!W35</f>
        <v>5.6870000000000003</v>
      </c>
      <c r="X39" s="312">
        <f>'DATA (Real)'!X35</f>
        <v>5.6870000000000003</v>
      </c>
      <c r="Y39" s="312">
        <f>'DATA (Real)'!Y35</f>
        <v>5.6870000000000003</v>
      </c>
      <c r="Z39" s="312">
        <f>'DATA (Real)'!Z35</f>
        <v>5.6870000000000003</v>
      </c>
      <c r="AA39" s="312">
        <f>'DATA (Real)'!AA35</f>
        <v>5.6870000000000003</v>
      </c>
      <c r="AB39" s="312">
        <f>'DATA (Real)'!AB35</f>
        <v>5.6870000000000003</v>
      </c>
      <c r="AC39" s="312">
        <f>'DATA (Real)'!AC35</f>
        <v>5.6870000000000003</v>
      </c>
      <c r="AD39" s="312">
        <f>'DATA (Real)'!AD35</f>
        <v>5.6870000000000003</v>
      </c>
      <c r="AE39" s="312">
        <f>'DATA (Real)'!AE35</f>
        <v>5.6870000000000003</v>
      </c>
      <c r="AF39" s="312">
        <f>'DATA (Real)'!AF35</f>
        <v>5.6870000000000003</v>
      </c>
      <c r="AG39" s="312">
        <f>'DATA (Real)'!AG35</f>
        <v>5.6870000000000003</v>
      </c>
      <c r="AH39" s="312">
        <f>'DATA (Real)'!AH35</f>
        <v>5.6870000000000003</v>
      </c>
      <c r="AI39" s="312">
        <f>'DATA (Real)'!AI35</f>
        <v>5.6870000000000003</v>
      </c>
      <c r="AJ39" s="312">
        <f>'DATA (Real)'!AJ35</f>
        <v>5.6870000000000003</v>
      </c>
      <c r="AK39" s="312">
        <f>'DATA (Real)'!AK35</f>
        <v>5.6870000000000003</v>
      </c>
      <c r="AL39" s="312">
        <f>'DATA (Real)'!AL35</f>
        <v>5.6870000000000003</v>
      </c>
      <c r="AM39" s="312">
        <f>'DATA (Real)'!AM35</f>
        <v>5.6870000000000003</v>
      </c>
      <c r="AN39" s="312">
        <f>'DATA (Real)'!AN35</f>
        <v>5.6870000000000003</v>
      </c>
      <c r="AO39" s="312">
        <f>'DATA (Real)'!AO35</f>
        <v>5.6870000000000003</v>
      </c>
      <c r="AP39" s="312">
        <f>'DATA (Real)'!AP35</f>
        <v>5.6870000000000003</v>
      </c>
      <c r="AQ39" s="312">
        <f>'DATA (Real)'!AQ35</f>
        <v>5.6870000000000003</v>
      </c>
      <c r="AR39" s="312">
        <f>'DATA (Real)'!AR35</f>
        <v>5.6870000000000003</v>
      </c>
      <c r="AS39" s="312">
        <f>'DATA (Real)'!AS35</f>
        <v>5.6870000000000003</v>
      </c>
      <c r="AT39" s="312">
        <f>'DATA (Real)'!AT35</f>
        <v>5.6870000000000003</v>
      </c>
      <c r="AU39" s="312">
        <f>'DATA (Real)'!AU35</f>
        <v>5.6870000000000003</v>
      </c>
      <c r="AV39" s="312">
        <f>'DATA (Real)'!AV35</f>
        <v>5.6870000000000003</v>
      </c>
      <c r="AW39" s="312">
        <f>'DATA (Real)'!AW35</f>
        <v>5.6870000000000003</v>
      </c>
      <c r="AX39" s="312">
        <f>'DATA (Real)'!AX35</f>
        <v>5.6870000000000003</v>
      </c>
      <c r="AY39" s="312">
        <f>'DATA (Real)'!AY35</f>
        <v>5.6870000000000003</v>
      </c>
      <c r="AZ39" s="312">
        <f>'DATA (Real)'!AZ35</f>
        <v>5.6870000000000003</v>
      </c>
      <c r="BA39" s="312">
        <f>'DATA (Real)'!BA35</f>
        <v>5.6870000000000003</v>
      </c>
      <c r="BB39" s="312">
        <f>'DATA (Real)'!BB35</f>
        <v>5.6870000000000003</v>
      </c>
      <c r="BC39" s="312">
        <f>'DATA (Real)'!BC35</f>
        <v>5.6870000000000003</v>
      </c>
      <c r="BD39" s="312">
        <f>'DATA (Real)'!BD35</f>
        <v>5.6870000000000003</v>
      </c>
      <c r="BE39" s="312">
        <f>'DATA (Real)'!BE35</f>
        <v>5.6870000000000003</v>
      </c>
      <c r="BF39" s="312">
        <f>'DATA (Real)'!BF35</f>
        <v>5.6870000000000003</v>
      </c>
      <c r="BG39" s="312">
        <f>'DATA (Real)'!BG35</f>
        <v>5.6870000000000003</v>
      </c>
      <c r="BH39" s="312">
        <f>'DATA (Real)'!BH35</f>
        <v>5.6870000000000003</v>
      </c>
      <c r="BI39" s="312">
        <f>'DATA (Real)'!BI35</f>
        <v>5.6870000000000003</v>
      </c>
      <c r="BJ39" s="312">
        <f>'DATA (Real)'!BJ35</f>
        <v>5.6870000000000003</v>
      </c>
      <c r="BK39" s="312">
        <f>'DATA (Real)'!BK35</f>
        <v>5.6870000000000003</v>
      </c>
      <c r="BL39" s="312">
        <f>'DATA (Real)'!BL35</f>
        <v>5.6870000000000003</v>
      </c>
      <c r="BM39" s="312">
        <f>'DATA (Real)'!BM35</f>
        <v>5.6870000000000003</v>
      </c>
      <c r="BN39" s="312">
        <f>'DATA (Real)'!BN35</f>
        <v>5.6870000000000003</v>
      </c>
      <c r="BO39" s="312">
        <f>'DATA (Real)'!BO35</f>
        <v>5.6870000000000003</v>
      </c>
      <c r="BP39" s="312">
        <f>'DATA (Real)'!BP35</f>
        <v>5.6870000000000003</v>
      </c>
      <c r="BQ39" s="312">
        <f>'DATA (Real)'!BQ35</f>
        <v>5.6870000000000003</v>
      </c>
      <c r="BR39" s="312">
        <f>'DATA (Real)'!BR35</f>
        <v>5.6870000000000003</v>
      </c>
      <c r="BS39" s="312">
        <f>'DATA (Real)'!BS35</f>
        <v>5.6870000000000003</v>
      </c>
      <c r="BT39" s="312">
        <f>'DATA (Real)'!BT35</f>
        <v>5.6870000000000003</v>
      </c>
      <c r="BU39" s="312">
        <f>'DATA (Real)'!BU35</f>
        <v>5.6870000000000003</v>
      </c>
      <c r="BV39" s="312">
        <f>'DATA (Real)'!BV35</f>
        <v>5.6870000000000003</v>
      </c>
      <c r="BW39" s="312">
        <f>'DATA (Real)'!BW35</f>
        <v>5.6870000000000003</v>
      </c>
      <c r="BX39" s="312">
        <f>'DATA (Real)'!BX35</f>
        <v>5.6870000000000003</v>
      </c>
    </row>
    <row r="40" spans="2:76" hidden="1" outlineLevel="1">
      <c r="B40" s="353"/>
      <c r="C40" s="353" t="str">
        <f>'DATA (Real)'!C36</f>
        <v>Internal</v>
      </c>
      <c r="D40" s="353" t="str">
        <f>'DATA (Real)'!D36</f>
        <v>Heat Rate  (MMBtu/MWh)</v>
      </c>
      <c r="E40" s="353" t="str">
        <f>'DATA (Real)'!E36</f>
        <v>7F.04 CT Frame Greenfield + amonia + storage</v>
      </c>
      <c r="F40" s="312">
        <f>'DATA (Real)'!F36</f>
        <v>10.039999999999999</v>
      </c>
      <c r="G40" s="312">
        <f>'DATA (Real)'!G36</f>
        <v>10.039999999999999</v>
      </c>
      <c r="H40" s="312">
        <f>'DATA (Real)'!H36</f>
        <v>10.039999999999999</v>
      </c>
      <c r="I40" s="312">
        <f>'DATA (Real)'!I36</f>
        <v>10.039999999999999</v>
      </c>
      <c r="J40" s="312">
        <f>'DATA (Real)'!J36</f>
        <v>10.039999999999999</v>
      </c>
      <c r="K40" s="312">
        <f>'DATA (Real)'!K36</f>
        <v>10.039999999999999</v>
      </c>
      <c r="L40" s="312">
        <f>'DATA (Real)'!L36</f>
        <v>10.039999999999999</v>
      </c>
      <c r="M40" s="312">
        <f>'DATA (Real)'!M36</f>
        <v>10.039999999999999</v>
      </c>
      <c r="N40" s="312">
        <f>'DATA (Real)'!N36</f>
        <v>10.039999999999999</v>
      </c>
      <c r="O40" s="312">
        <f>'DATA (Real)'!O36</f>
        <v>10.039999999999999</v>
      </c>
      <c r="P40" s="312">
        <f>'DATA (Real)'!P36</f>
        <v>10.039999999999999</v>
      </c>
      <c r="Q40" s="312">
        <f>'DATA (Real)'!Q36</f>
        <v>10.039999999999999</v>
      </c>
      <c r="R40" s="312">
        <f>'DATA (Real)'!R36</f>
        <v>10.039999999999999</v>
      </c>
      <c r="S40" s="312">
        <f>'DATA (Real)'!S36</f>
        <v>10.039999999999999</v>
      </c>
      <c r="T40" s="312">
        <f>'DATA (Real)'!T36</f>
        <v>10.039999999999999</v>
      </c>
      <c r="U40" s="312">
        <f>'DATA (Real)'!U36</f>
        <v>10.039999999999999</v>
      </c>
      <c r="V40" s="312">
        <f>'DATA (Real)'!V36</f>
        <v>10.039999999999999</v>
      </c>
      <c r="W40" s="312">
        <f>'DATA (Real)'!W36</f>
        <v>10.039999999999999</v>
      </c>
      <c r="X40" s="312">
        <f>'DATA (Real)'!X36</f>
        <v>10.039999999999999</v>
      </c>
      <c r="Y40" s="312">
        <f>'DATA (Real)'!Y36</f>
        <v>10.039999999999999</v>
      </c>
      <c r="Z40" s="312">
        <f>'DATA (Real)'!Z36</f>
        <v>10.039999999999999</v>
      </c>
      <c r="AA40" s="312">
        <f>'DATA (Real)'!AA36</f>
        <v>10.039999999999999</v>
      </c>
      <c r="AB40" s="312">
        <f>'DATA (Real)'!AB36</f>
        <v>10.039999999999999</v>
      </c>
      <c r="AC40" s="312">
        <f>'DATA (Real)'!AC36</f>
        <v>10.039999999999999</v>
      </c>
      <c r="AD40" s="312">
        <f>'DATA (Real)'!AD36</f>
        <v>10.039999999999999</v>
      </c>
      <c r="AE40" s="312">
        <f>'DATA (Real)'!AE36</f>
        <v>10.039999999999999</v>
      </c>
      <c r="AF40" s="312">
        <f>'DATA (Real)'!AF36</f>
        <v>10.039999999999999</v>
      </c>
      <c r="AG40" s="312">
        <f>'DATA (Real)'!AG36</f>
        <v>10.039999999999999</v>
      </c>
      <c r="AH40" s="312">
        <f>'DATA (Real)'!AH36</f>
        <v>10.039999999999999</v>
      </c>
      <c r="AI40" s="312">
        <f>'DATA (Real)'!AI36</f>
        <v>10.039999999999999</v>
      </c>
      <c r="AJ40" s="312">
        <f>'DATA (Real)'!AJ36</f>
        <v>10.039999999999999</v>
      </c>
      <c r="AK40" s="312">
        <f>'DATA (Real)'!AK36</f>
        <v>10.039999999999999</v>
      </c>
      <c r="AL40" s="312">
        <f>'DATA (Real)'!AL36</f>
        <v>10.039999999999999</v>
      </c>
      <c r="AM40" s="312">
        <f>'DATA (Real)'!AM36</f>
        <v>10.039999999999999</v>
      </c>
      <c r="AN40" s="312">
        <f>'DATA (Real)'!AN36</f>
        <v>10.039999999999999</v>
      </c>
      <c r="AO40" s="312">
        <f>'DATA (Real)'!AO36</f>
        <v>10.039999999999999</v>
      </c>
      <c r="AP40" s="312">
        <f>'DATA (Real)'!AP36</f>
        <v>10.039999999999999</v>
      </c>
      <c r="AQ40" s="312">
        <f>'DATA (Real)'!AQ36</f>
        <v>10.039999999999999</v>
      </c>
      <c r="AR40" s="312">
        <f>'DATA (Real)'!AR36</f>
        <v>10.039999999999999</v>
      </c>
      <c r="AS40" s="312">
        <f>'DATA (Real)'!AS36</f>
        <v>10.039999999999999</v>
      </c>
      <c r="AT40" s="312">
        <f>'DATA (Real)'!AT36</f>
        <v>10.039999999999999</v>
      </c>
      <c r="AU40" s="312">
        <f>'DATA (Real)'!AU36</f>
        <v>10.039999999999999</v>
      </c>
      <c r="AV40" s="312">
        <f>'DATA (Real)'!AV36</f>
        <v>10.039999999999999</v>
      </c>
      <c r="AW40" s="312">
        <f>'DATA (Real)'!AW36</f>
        <v>10.039999999999999</v>
      </c>
      <c r="AX40" s="312">
        <f>'DATA (Real)'!AX36</f>
        <v>10.039999999999999</v>
      </c>
      <c r="AY40" s="312">
        <f>'DATA (Real)'!AY36</f>
        <v>10.039999999999999</v>
      </c>
      <c r="AZ40" s="312">
        <f>'DATA (Real)'!AZ36</f>
        <v>10.039999999999999</v>
      </c>
      <c r="BA40" s="312">
        <f>'DATA (Real)'!BA36</f>
        <v>10.039999999999999</v>
      </c>
      <c r="BB40" s="312">
        <f>'DATA (Real)'!BB36</f>
        <v>10.039999999999999</v>
      </c>
      <c r="BC40" s="312">
        <f>'DATA (Real)'!BC36</f>
        <v>10.039999999999999</v>
      </c>
      <c r="BD40" s="312">
        <f>'DATA (Real)'!BD36</f>
        <v>10.039999999999999</v>
      </c>
      <c r="BE40" s="312">
        <f>'DATA (Real)'!BE36</f>
        <v>10.039999999999999</v>
      </c>
      <c r="BF40" s="312">
        <f>'DATA (Real)'!BF36</f>
        <v>10.039999999999999</v>
      </c>
      <c r="BG40" s="312">
        <f>'DATA (Real)'!BG36</f>
        <v>10.039999999999999</v>
      </c>
      <c r="BH40" s="312">
        <f>'DATA (Real)'!BH36</f>
        <v>10.039999999999999</v>
      </c>
      <c r="BI40" s="312">
        <f>'DATA (Real)'!BI36</f>
        <v>10.039999999999999</v>
      </c>
      <c r="BJ40" s="312">
        <f>'DATA (Real)'!BJ36</f>
        <v>10.039999999999999</v>
      </c>
      <c r="BK40" s="312">
        <f>'DATA (Real)'!BK36</f>
        <v>10.039999999999999</v>
      </c>
      <c r="BL40" s="312">
        <f>'DATA (Real)'!BL36</f>
        <v>10.039999999999999</v>
      </c>
      <c r="BM40" s="312">
        <f>'DATA (Real)'!BM36</f>
        <v>10.039999999999999</v>
      </c>
      <c r="BN40" s="312">
        <f>'DATA (Real)'!BN36</f>
        <v>10.039999999999999</v>
      </c>
      <c r="BO40" s="312">
        <f>'DATA (Real)'!BO36</f>
        <v>10.039999999999999</v>
      </c>
      <c r="BP40" s="312">
        <f>'DATA (Real)'!BP36</f>
        <v>10.039999999999999</v>
      </c>
      <c r="BQ40" s="312">
        <f>'DATA (Real)'!BQ36</f>
        <v>10.039999999999999</v>
      </c>
      <c r="BR40" s="312">
        <f>'DATA (Real)'!BR36</f>
        <v>10.039999999999999</v>
      </c>
      <c r="BS40" s="312">
        <f>'DATA (Real)'!BS36</f>
        <v>10.039999999999999</v>
      </c>
      <c r="BT40" s="312">
        <f>'DATA (Real)'!BT36</f>
        <v>10.039999999999999</v>
      </c>
      <c r="BU40" s="312">
        <f>'DATA (Real)'!BU36</f>
        <v>10.039999999999999</v>
      </c>
      <c r="BV40" s="312">
        <f>'DATA (Real)'!BV36</f>
        <v>10.039999999999999</v>
      </c>
      <c r="BW40" s="312">
        <f>'DATA (Real)'!BW36</f>
        <v>10.039999999999999</v>
      </c>
      <c r="BX40" s="312">
        <f>'DATA (Real)'!BX36</f>
        <v>10.039999999999999</v>
      </c>
    </row>
    <row r="41" spans="2:76" collapsed="1"/>
    <row r="42" spans="2:76">
      <c r="B42" s="259" t="str">
        <f>D42</f>
        <v>CAPEX ($/kW)</v>
      </c>
      <c r="D42" s="259" t="str">
        <f>'DATA (Real)'!D38</f>
        <v>CAPEX ($/kW)</v>
      </c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  <c r="AA42" s="318"/>
      <c r="AB42" s="318"/>
      <c r="AC42" s="318"/>
      <c r="AD42" s="318"/>
      <c r="AE42" s="318"/>
      <c r="AF42" s="318"/>
      <c r="AG42" s="318"/>
      <c r="AH42" s="318"/>
      <c r="AI42" s="318"/>
      <c r="AJ42" s="318"/>
      <c r="AK42" s="318"/>
      <c r="AL42" s="318"/>
      <c r="AM42" s="318"/>
      <c r="AN42" s="318"/>
      <c r="AO42" s="318"/>
      <c r="AP42" s="318"/>
      <c r="AQ42" s="318"/>
      <c r="AR42" s="318"/>
      <c r="AS42" s="318"/>
      <c r="AT42" s="318"/>
      <c r="AU42" s="318"/>
      <c r="AV42" s="318"/>
      <c r="AW42" s="318"/>
      <c r="AX42" s="318"/>
      <c r="AY42" s="318"/>
      <c r="AZ42" s="318"/>
      <c r="BA42" s="318"/>
      <c r="BB42" s="318"/>
      <c r="BC42" s="318"/>
      <c r="BD42" s="318"/>
      <c r="BE42" s="318"/>
      <c r="BF42" s="318"/>
      <c r="BG42" s="318"/>
      <c r="BH42" s="318"/>
      <c r="BI42" s="318"/>
      <c r="BJ42" s="318"/>
      <c r="BK42" s="318"/>
      <c r="BL42" s="318"/>
      <c r="BM42" s="318"/>
      <c r="BN42" s="318"/>
      <c r="BO42" s="318"/>
      <c r="BP42" s="318"/>
      <c r="BQ42" s="318"/>
      <c r="BR42" s="318"/>
      <c r="BS42" s="318"/>
      <c r="BT42" s="318"/>
      <c r="BU42" s="318"/>
      <c r="BV42" s="318"/>
      <c r="BW42" s="318"/>
      <c r="BX42" s="318"/>
    </row>
    <row r="43" spans="2:76" hidden="1" outlineLevel="1">
      <c r="B43" s="348" t="s">
        <v>230</v>
      </c>
      <c r="C43" s="348" t="str">
        <f>'DATA (Real)'!C39</f>
        <v>NREL Utility-Scale Battery Storage - 4Hr/LAZARD’S LEVELIZED COST O F STORAGE ANALYSIS—VERSION 7 . 0</v>
      </c>
      <c r="D43" s="348" t="str">
        <f>'DATA (Real)'!D39</f>
        <v>CAPEX ($/kW)</v>
      </c>
      <c r="E43" s="348" t="str">
        <f>'DATA (Real)'!E39</f>
        <v>Distribution Scale 4hr Lithium-Ion</v>
      </c>
      <c r="F43" s="313">
        <f>'DATA (Real)'!F39</f>
        <v>2280.5476435797282</v>
      </c>
      <c r="G43" s="323">
        <f>'DATA (Real)'!G39*G$4/100</f>
        <v>1996.8173127040825</v>
      </c>
      <c r="H43" s="323">
        <f>'DATA (Real)'!H39*H$4/100</f>
        <v>1988.6086585318494</v>
      </c>
      <c r="I43" s="323">
        <f>'DATA (Real)'!I39*I$4/100</f>
        <v>1879.4082368065467</v>
      </c>
      <c r="J43" s="323">
        <f>'DATA (Real)'!J39*J$4/100</f>
        <v>1787.3611676334219</v>
      </c>
      <c r="K43" s="323">
        <f>'DATA (Real)'!K39*K$4/100</f>
        <v>1728.9499909398955</v>
      </c>
      <c r="L43" s="323">
        <f>'DATA (Real)'!L39*L$4/100</f>
        <v>1692.169516093139</v>
      </c>
      <c r="M43" s="323">
        <f>'DATA (Real)'!M39*M$4/100</f>
        <v>1661.447983063342</v>
      </c>
      <c r="N43" s="323">
        <f>'DATA (Real)'!N39*N$4/100</f>
        <v>1619.2266502978671</v>
      </c>
      <c r="O43" s="323">
        <f>'DATA (Real)'!O39*O$4/100</f>
        <v>1592.2337044085768</v>
      </c>
      <c r="P43" s="323">
        <f>'DATA (Real)'!P39*P$4/100</f>
        <v>1563.2693632014143</v>
      </c>
      <c r="Q43" s="323">
        <f>'DATA (Real)'!Q39*Q$4/100</f>
        <v>1578.4846821973072</v>
      </c>
      <c r="R43" s="323">
        <f>'DATA (Real)'!R39*R$4/100</f>
        <v>1592.8012222362192</v>
      </c>
      <c r="S43" s="323">
        <f>'DATA (Real)'!S39*S$4/100</f>
        <v>1606.9837034506654</v>
      </c>
      <c r="T43" s="323">
        <f>'DATA (Real)'!T39*T$4/100</f>
        <v>1621.0192980469847</v>
      </c>
      <c r="U43" s="323">
        <f>'DATA (Real)'!U39*U$4/100</f>
        <v>1634.8946786930662</v>
      </c>
      <c r="V43" s="323">
        <f>'DATA (Real)'!V39*V$4/100</f>
        <v>1648.5960027473245</v>
      </c>
      <c r="W43" s="323">
        <f>'DATA (Real)'!W39*W$4/100</f>
        <v>1662.1088960354789</v>
      </c>
      <c r="X43" s="323">
        <f>'DATA (Real)'!X39*X$4/100</f>
        <v>1675.4184361629887</v>
      </c>
      <c r="Y43" s="323">
        <f>'DATA (Real)'!Y39*Y$4/100</f>
        <v>1688.5091353504276</v>
      </c>
      <c r="Z43" s="323">
        <f>'DATA (Real)'!Z39*Z$4/100</f>
        <v>1701.3649227790042</v>
      </c>
      <c r="AA43" s="323">
        <f>'DATA (Real)'!AA39*AA$4/100</f>
        <v>1713.9691264329335</v>
      </c>
      <c r="AB43" s="323">
        <f>'DATA (Real)'!AB39*AB$4/100</f>
        <v>1726.304454425006</v>
      </c>
      <c r="AC43" s="323">
        <f>'DATA (Real)'!AC39*AC$4/100</f>
        <v>1738.3529757915426</v>
      </c>
      <c r="AD43" s="323">
        <f>'DATA (Real)'!AD39*AD$4/100</f>
        <v>1750.0961007422654</v>
      </c>
      <c r="AE43" s="323">
        <f>'DATA (Real)'!AE39*AE$4/100</f>
        <v>1761.51456035053</v>
      </c>
      <c r="AF43" s="323">
        <f>'DATA (Real)'!AF39*AF$4/100</f>
        <v>1772.5883856688035</v>
      </c>
      <c r="AG43" s="323">
        <f>'DATA (Real)'!AG39*AG$4/100</f>
        <v>1783.2968862538669</v>
      </c>
      <c r="AH43" s="323">
        <f>'DATA (Real)'!AH39*AH$4/100</f>
        <v>1793.6186280860163</v>
      </c>
      <c r="AI43" s="323">
        <f>'DATA (Real)'!AI39*AI$4/100</f>
        <v>1803.5314108658338</v>
      </c>
      <c r="AJ43" s="323">
        <f>'DATA (Real)'!AJ39*AJ$4/100</f>
        <v>1813.0122446719615</v>
      </c>
      <c r="AK43" s="318"/>
      <c r="AL43" s="318"/>
      <c r="AM43" s="318"/>
      <c r="AN43" s="318"/>
      <c r="AO43" s="318"/>
      <c r="AP43" s="318"/>
      <c r="AQ43" s="318"/>
      <c r="AR43" s="318"/>
      <c r="AS43" s="318"/>
      <c r="AT43" s="318"/>
      <c r="AU43" s="318"/>
      <c r="AV43" s="318"/>
      <c r="AW43" s="318"/>
      <c r="AX43" s="318"/>
      <c r="AY43" s="318"/>
      <c r="AZ43" s="318"/>
      <c r="BA43" s="318"/>
      <c r="BB43" s="318"/>
      <c r="BC43" s="318"/>
      <c r="BD43" s="318"/>
      <c r="BE43" s="318"/>
      <c r="BF43" s="318"/>
      <c r="BG43" s="318"/>
      <c r="BH43" s="318"/>
      <c r="BI43" s="318"/>
      <c r="BJ43" s="318"/>
      <c r="BK43" s="318"/>
      <c r="BL43" s="318"/>
      <c r="BM43" s="318"/>
      <c r="BN43" s="318"/>
      <c r="BO43" s="318"/>
      <c r="BP43" s="318"/>
      <c r="BQ43" s="318"/>
      <c r="BR43" s="318"/>
      <c r="BS43" s="318"/>
      <c r="BT43" s="318"/>
      <c r="BU43" s="318"/>
      <c r="BV43" s="318"/>
      <c r="BW43" s="318"/>
      <c r="BX43" s="318"/>
    </row>
    <row r="44" spans="2:76" hidden="1" outlineLevel="1">
      <c r="B44" s="348" t="s">
        <v>230</v>
      </c>
      <c r="C44" s="348" t="str">
        <f>'DATA (Real)'!C40</f>
        <v>NREL Utility-Scale Battery Storage - 8Hr/LAZARD’S LEVELIZED COST O F STORAGE ANALYSIS—VERSION 7 . 0</v>
      </c>
      <c r="D44" s="348" t="str">
        <f>'DATA (Real)'!D40</f>
        <v>CAPEX ($/kW)</v>
      </c>
      <c r="E44" s="348" t="str">
        <f>'DATA (Real)'!E40</f>
        <v>Distribution Scale 8hr Lithium-Ion</v>
      </c>
      <c r="F44" s="313">
        <f>'DATA (Real)'!F40</f>
        <v>4231.7890904978731</v>
      </c>
      <c r="G44" s="323">
        <f>'DATA (Real)'!G40*G$4/100</f>
        <v>3671.2124512979672</v>
      </c>
      <c r="H44" s="323">
        <f>'DATA (Real)'!H40*H$4/100</f>
        <v>3625.3786042042489</v>
      </c>
      <c r="I44" s="323">
        <f>'DATA (Real)'!I40*I$4/100</f>
        <v>3405.0507593840348</v>
      </c>
      <c r="J44" s="323">
        <f>'DATA (Real)'!J40*J$4/100</f>
        <v>3193.9302513807952</v>
      </c>
      <c r="K44" s="323">
        <f>'DATA (Real)'!K40*K$4/100</f>
        <v>3081.6284066565736</v>
      </c>
      <c r="L44" s="323">
        <f>'DATA (Real)'!L40*L$4/100</f>
        <v>2987.8485818718705</v>
      </c>
      <c r="M44" s="323">
        <f>'DATA (Real)'!M40*M$4/100</f>
        <v>2909.6437333352987</v>
      </c>
      <c r="N44" s="323">
        <f>'DATA (Real)'!N40*N$4/100</f>
        <v>2816.7813158445033</v>
      </c>
      <c r="O44" s="323">
        <f>'DATA (Real)'!O40*O$4/100</f>
        <v>2736.3149507588487</v>
      </c>
      <c r="P44" s="323">
        <f>'DATA (Real)'!P40*P$4/100</f>
        <v>2664.5406857056955</v>
      </c>
      <c r="Q44" s="323">
        <f>'DATA (Real)'!Q40*Q$4/100</f>
        <v>2690.2626089762616</v>
      </c>
      <c r="R44" s="323">
        <f>'DATA (Real)'!R40*R$4/100</f>
        <v>2714.6600099541247</v>
      </c>
      <c r="S44" s="323">
        <f>'DATA (Real)'!S40*S$4/100</f>
        <v>2738.8288094722816</v>
      </c>
      <c r="T44" s="323">
        <f>'DATA (Real)'!T40*T$4/100</f>
        <v>2762.7471407244193</v>
      </c>
      <c r="U44" s="323">
        <f>'DATA (Real)'!U40*U$4/100</f>
        <v>2786.3922854078537</v>
      </c>
      <c r="V44" s="323">
        <f>'DATA (Real)'!V40*V$4/100</f>
        <v>2809.7406468412601</v>
      </c>
      <c r="W44" s="323">
        <f>'DATA (Real)'!W40*W$4/100</f>
        <v>2832.7677223115875</v>
      </c>
      <c r="X44" s="323">
        <f>'DATA (Real)'!X40*X$4/100</f>
        <v>2855.4480746295512</v>
      </c>
      <c r="Y44" s="323">
        <f>'DATA (Real)'!Y40*Y$4/100</f>
        <v>2877.7553028719076</v>
      </c>
      <c r="Z44" s="323">
        <f>'DATA (Real)'!Z40*Z$4/100</f>
        <v>2899.6620122887921</v>
      </c>
      <c r="AA44" s="323">
        <f>'DATA (Real)'!AA40*AA$4/100</f>
        <v>2921.1397833534411</v>
      </c>
      <c r="AB44" s="323">
        <f>'DATA (Real)'!AB40*AB$4/100</f>
        <v>2942.1591399309759</v>
      </c>
      <c r="AC44" s="323">
        <f>'DATA (Real)'!AC40*AC$4/100</f>
        <v>2962.6895165427932</v>
      </c>
      <c r="AD44" s="323">
        <f>'DATA (Real)'!AD40*AD$4/100</f>
        <v>2982.6992247018043</v>
      </c>
      <c r="AE44" s="323">
        <f>'DATA (Real)'!AE40*AE$4/100</f>
        <v>3002.1554182937898</v>
      </c>
      <c r="AF44" s="323">
        <f>'DATA (Real)'!AF40*AF$4/100</f>
        <v>3021.0240579790802</v>
      </c>
      <c r="AG44" s="323">
        <f>'DATA (Real)'!AG40*AG$4/100</f>
        <v>3039.2698745880548</v>
      </c>
      <c r="AH44" s="323">
        <f>'DATA (Real)'!AH40*AH$4/100</f>
        <v>3056.8563314837793</v>
      </c>
      <c r="AI44" s="323">
        <f>'DATA (Real)'!AI40*AI$4/100</f>
        <v>3073.7455858636158</v>
      </c>
      <c r="AJ44" s="323">
        <f>'DATA (Real)'!AJ40*AJ$4/100</f>
        <v>3089.3731975507685</v>
      </c>
      <c r="AK44" s="318"/>
      <c r="AL44" s="318"/>
      <c r="AM44" s="318"/>
      <c r="AN44" s="318"/>
      <c r="AO44" s="318"/>
      <c r="AP44" s="318"/>
      <c r="AQ44" s="318"/>
      <c r="AR44" s="318"/>
      <c r="AS44" s="318"/>
      <c r="AT44" s="318"/>
      <c r="AU44" s="318"/>
      <c r="AV44" s="318"/>
      <c r="AW44" s="318"/>
      <c r="AX44" s="318"/>
      <c r="AY44" s="318"/>
      <c r="AZ44" s="318"/>
      <c r="BA44" s="318"/>
      <c r="BB44" s="318"/>
      <c r="BC44" s="318"/>
      <c r="BD44" s="318"/>
      <c r="BE44" s="318"/>
      <c r="BF44" s="318"/>
      <c r="BG44" s="318"/>
      <c r="BH44" s="318"/>
      <c r="BI44" s="318"/>
      <c r="BJ44" s="318"/>
      <c r="BK44" s="318"/>
      <c r="BL44" s="318"/>
      <c r="BM44" s="318"/>
      <c r="BN44" s="318"/>
      <c r="BO44" s="318"/>
      <c r="BP44" s="318"/>
      <c r="BQ44" s="318"/>
      <c r="BR44" s="318"/>
      <c r="BS44" s="318"/>
      <c r="BT44" s="318"/>
      <c r="BU44" s="318"/>
      <c r="BV44" s="318"/>
      <c r="BW44" s="318"/>
      <c r="BX44" s="318"/>
    </row>
    <row r="45" spans="2:76" hidden="1" outlineLevel="1">
      <c r="B45" s="348" t="s">
        <v>230</v>
      </c>
      <c r="C45" s="348" t="str">
        <f>'DATA (Real)'!C41</f>
        <v>NREL Utility-Scale Battery Storage - 4Hr/Internal</v>
      </c>
      <c r="D45" s="348" t="str">
        <f>'DATA (Real)'!D41</f>
        <v>CAPEX ($/kW)</v>
      </c>
      <c r="E45" s="348" t="str">
        <f>'DATA (Real)'!E41</f>
        <v>4hr Lithium-Ion</v>
      </c>
      <c r="F45" s="313">
        <f>'DATA (Real)'!F41</f>
        <v>1727.2344448095646</v>
      </c>
      <c r="G45" s="323">
        <f>'DATA (Real)'!G41*G$4/100</f>
        <v>1512.3436040480101</v>
      </c>
      <c r="H45" s="323">
        <f>'DATA (Real)'!H41*H$4/100</f>
        <v>1506.1265577733022</v>
      </c>
      <c r="I45" s="323">
        <f>'DATA (Real)'!I41*I$4/100</f>
        <v>1423.4206645977451</v>
      </c>
      <c r="J45" s="323">
        <f>'DATA (Real)'!J41*J$4/100</f>
        <v>1353.7063269617065</v>
      </c>
      <c r="K45" s="323">
        <f>'DATA (Real)'!K41*K$4/100</f>
        <v>1309.4670423184125</v>
      </c>
      <c r="L45" s="323">
        <f>'DATA (Real)'!L41*L$4/100</f>
        <v>1281.610354811525</v>
      </c>
      <c r="M45" s="323">
        <f>'DATA (Real)'!M41*M$4/100</f>
        <v>1258.3425707791216</v>
      </c>
      <c r="N45" s="323">
        <f>'DATA (Real)'!N41*N$4/100</f>
        <v>1226.365102356745</v>
      </c>
      <c r="O45" s="323">
        <f>'DATA (Real)'!O41*O$4/100</f>
        <v>1205.9212646504304</v>
      </c>
      <c r="P45" s="323">
        <f>'DATA (Real)'!P41*P$4/100</f>
        <v>1183.9843373754975</v>
      </c>
      <c r="Q45" s="323">
        <f>'DATA (Real)'!Q41*Q$4/100</f>
        <v>1195.5080707789439</v>
      </c>
      <c r="R45" s="323">
        <f>'DATA (Real)'!R41*R$4/100</f>
        <v>1206.3510896280873</v>
      </c>
      <c r="S45" s="323">
        <f>'DATA (Real)'!S41*S$4/100</f>
        <v>1217.0925754003399</v>
      </c>
      <c r="T45" s="323">
        <f>'DATA (Real)'!T41*T$4/100</f>
        <v>1227.7228126191919</v>
      </c>
      <c r="U45" s="323">
        <f>'DATA (Real)'!U41*U$4/100</f>
        <v>1238.2317074691748</v>
      </c>
      <c r="V45" s="323">
        <f>'DATA (Real)'!V41*V$4/100</f>
        <v>1248.6087758512526</v>
      </c>
      <c r="W45" s="323">
        <f>'DATA (Real)'!W41*W$4/100</f>
        <v>1258.8431310957233</v>
      </c>
      <c r="X45" s="323">
        <f>'DATA (Real)'!X41*X$4/100</f>
        <v>1268.9234713234439</v>
      </c>
      <c r="Y45" s="323">
        <f>'DATA (Real)'!Y41*Y$4/100</f>
        <v>1278.8380664457336</v>
      </c>
      <c r="Z45" s="323">
        <f>'DATA (Real)'!Z41*Z$4/100</f>
        <v>1288.5747447932788</v>
      </c>
      <c r="AA45" s="323">
        <f>'DATA (Real)'!AA41*AA$4/100</f>
        <v>1298.1208793639594</v>
      </c>
      <c r="AB45" s="323">
        <f>'DATA (Real)'!AB41*AB$4/100</f>
        <v>1307.4633736792669</v>
      </c>
      <c r="AC45" s="323">
        <f>'DATA (Real)'!AC41*AC$4/100</f>
        <v>1316.5886472388406</v>
      </c>
      <c r="AD45" s="323">
        <f>'DATA (Real)'!AD41*AD$4/100</f>
        <v>1325.4826205621748</v>
      </c>
      <c r="AE45" s="323">
        <f>'DATA (Real)'!AE41*AE$4/100</f>
        <v>1334.130699806467</v>
      </c>
      <c r="AF45" s="323">
        <f>'DATA (Real)'!AF41*AF$4/100</f>
        <v>1342.5177609491593</v>
      </c>
      <c r="AG45" s="323">
        <f>'DATA (Real)'!AG41*AG$4/100</f>
        <v>1350.6281335234203</v>
      </c>
      <c r="AH45" s="323">
        <f>'DATA (Real)'!AH41*AH$4/100</f>
        <v>1358.4455838946551</v>
      </c>
      <c r="AI45" s="323">
        <f>'DATA (Real)'!AI41*AI$4/100</f>
        <v>1365.9532980655986</v>
      </c>
      <c r="AJ45" s="323">
        <f>'DATA (Real)'!AJ41*AJ$4/100</f>
        <v>1373.1338639974526</v>
      </c>
      <c r="AK45" s="323">
        <f>'DATA (Real)'!AK41*AK$4/100</f>
        <v>1379.9692534340447</v>
      </c>
      <c r="AL45" s="323">
        <f>'DATA (Real)'!AL41*AL$4/100</f>
        <v>1386.4408032156718</v>
      </c>
      <c r="AM45" s="323">
        <f>'DATA (Real)'!AM41*AM$4/100</f>
        <v>1392.5291960690288</v>
      </c>
      <c r="AN45" s="323">
        <f>'DATA (Real)'!AN41*AN$4/100</f>
        <v>1398.2144408591766</v>
      </c>
      <c r="AO45" s="323">
        <f>'DATA (Real)'!AO41*AO$4/100</f>
        <v>1403.4758522891941</v>
      </c>
      <c r="AP45" s="318"/>
      <c r="AQ45" s="318"/>
      <c r="AR45" s="318"/>
      <c r="AS45" s="318"/>
      <c r="AT45" s="318"/>
      <c r="AU45" s="318"/>
      <c r="AV45" s="318"/>
      <c r="AW45" s="318"/>
      <c r="AX45" s="318"/>
      <c r="AY45" s="318"/>
      <c r="AZ45" s="318"/>
      <c r="BA45" s="318"/>
      <c r="BB45" s="318"/>
      <c r="BC45" s="318"/>
      <c r="BD45" s="318"/>
      <c r="BE45" s="318"/>
      <c r="BF45" s="318"/>
      <c r="BG45" s="318"/>
      <c r="BH45" s="318"/>
      <c r="BI45" s="318"/>
      <c r="BJ45" s="318"/>
      <c r="BK45" s="318"/>
      <c r="BL45" s="318"/>
      <c r="BM45" s="318"/>
      <c r="BN45" s="318"/>
      <c r="BO45" s="318"/>
      <c r="BP45" s="318"/>
      <c r="BQ45" s="318"/>
      <c r="BR45" s="318"/>
      <c r="BS45" s="318"/>
      <c r="BT45" s="318"/>
      <c r="BU45" s="318"/>
      <c r="BV45" s="318"/>
      <c r="BW45" s="318"/>
      <c r="BX45" s="318"/>
    </row>
    <row r="46" spans="2:76" hidden="1" outlineLevel="1">
      <c r="B46" s="348" t="s">
        <v>230</v>
      </c>
      <c r="C46" s="348" t="str">
        <f>'DATA (Real)'!C42</f>
        <v>NREL Utility-Scale Battery Storage - 8Hr</v>
      </c>
      <c r="D46" s="348" t="str">
        <f>'DATA (Real)'!D42</f>
        <v>CAPEX ($/kW)</v>
      </c>
      <c r="E46" s="348" t="str">
        <f>'DATA (Real)'!E42</f>
        <v>8hr Lithium-Ion</v>
      </c>
      <c r="F46" s="313">
        <f>'DATA (Real)'!F42</f>
        <v>3205.0599341147827</v>
      </c>
      <c r="G46" s="323">
        <f>'DATA (Real)'!G42*G$4/100</f>
        <v>2780.492053278133</v>
      </c>
      <c r="H46" s="323">
        <f>'DATA (Real)'!H42*H$4/100</f>
        <v>2745.7785494137102</v>
      </c>
      <c r="I46" s="323">
        <f>'DATA (Real)'!I42*I$4/100</f>
        <v>2578.9072964515149</v>
      </c>
      <c r="J46" s="323">
        <f>'DATA (Real)'!J42*J$4/100</f>
        <v>2419.0094690785695</v>
      </c>
      <c r="K46" s="323">
        <f>'DATA (Real)'!K42*K$4/100</f>
        <v>2333.9546293038316</v>
      </c>
      <c r="L46" s="323">
        <f>'DATA (Real)'!L42*L$4/100</f>
        <v>2262.9279423357443</v>
      </c>
      <c r="M46" s="323">
        <f>'DATA (Real)'!M42*M$4/100</f>
        <v>2203.6973849195206</v>
      </c>
      <c r="N46" s="323">
        <f>'DATA (Real)'!N42*N$4/100</f>
        <v>2133.3655211805908</v>
      </c>
      <c r="O46" s="323">
        <f>'DATA (Real)'!O42*O$4/100</f>
        <v>2072.4221430337511</v>
      </c>
      <c r="P46" s="323">
        <f>'DATA (Real)'!P42*P$4/100</f>
        <v>2018.0619619607069</v>
      </c>
      <c r="Q46" s="323">
        <f>'DATA (Real)'!Q42*Q$4/100</f>
        <v>2037.5431563066113</v>
      </c>
      <c r="R46" s="323">
        <f>'DATA (Real)'!R42*R$4/100</f>
        <v>2056.0211878668947</v>
      </c>
      <c r="S46" s="323">
        <f>'DATA (Real)'!S42*S$4/100</f>
        <v>2074.3260819281873</v>
      </c>
      <c r="T46" s="323">
        <f>'DATA (Real)'!T42*T$4/100</f>
        <v>2092.4412770732488</v>
      </c>
      <c r="U46" s="323">
        <f>'DATA (Real)'!U42*U$4/100</f>
        <v>2110.3495669810304</v>
      </c>
      <c r="V46" s="323">
        <f>'DATA (Real)'!V42*V$4/100</f>
        <v>2128.0330800666588</v>
      </c>
      <c r="W46" s="323">
        <f>'DATA (Real)'!W42*W$4/100</f>
        <v>2145.4732585376282</v>
      </c>
      <c r="X46" s="323">
        <f>'DATA (Real)'!X42*X$4/100</f>
        <v>2162.6508368505783</v>
      </c>
      <c r="Y46" s="323">
        <f>'DATA (Real)'!Y42*Y$4/100</f>
        <v>2179.545819552166</v>
      </c>
      <c r="Z46" s="323">
        <f>'DATA (Real)'!Z42*Z$4/100</f>
        <v>2196.1374584875771</v>
      </c>
      <c r="AA46" s="323">
        <f>'DATA (Real)'!AA42*AA$4/100</f>
        <v>2212.4042293594916</v>
      </c>
      <c r="AB46" s="323">
        <f>'DATA (Real)'!AB42*AB$4/100</f>
        <v>2228.3238076198541</v>
      </c>
      <c r="AC46" s="323">
        <f>'DATA (Real)'!AC42*AC$4/100</f>
        <v>2243.8730436766728</v>
      </c>
      <c r="AD46" s="323">
        <f>'DATA (Real)'!AD42*AD$4/100</f>
        <v>2259.0279373971043</v>
      </c>
      <c r="AE46" s="323">
        <f>'DATA (Real)'!AE42*AE$4/100</f>
        <v>2273.7636118880832</v>
      </c>
      <c r="AF46" s="323">
        <f>'DATA (Real)'!AF42*AF$4/100</f>
        <v>2288.0542865349753</v>
      </c>
      <c r="AG46" s="323">
        <f>'DATA (Real)'!AG42*AG$4/100</f>
        <v>2301.873249278166</v>
      </c>
      <c r="AH46" s="323">
        <f>'DATA (Real)'!AH42*AH$4/100</f>
        <v>2315.192828107387</v>
      </c>
      <c r="AI46" s="323">
        <f>'DATA (Real)'!AI42*AI$4/100</f>
        <v>2327.9843617524434</v>
      </c>
      <c r="AJ46" s="323">
        <f>'DATA (Real)'!AJ42*AJ$4/100</f>
        <v>2339.8203561777955</v>
      </c>
      <c r="AK46" s="318"/>
      <c r="AL46" s="318"/>
      <c r="AM46" s="318"/>
      <c r="AN46" s="318"/>
      <c r="AO46" s="318"/>
      <c r="AP46" s="318"/>
      <c r="AQ46" s="318"/>
      <c r="AR46" s="318"/>
      <c r="AS46" s="318"/>
      <c r="AT46" s="318"/>
      <c r="AU46" s="318"/>
      <c r="AV46" s="318"/>
      <c r="AW46" s="318"/>
      <c r="AX46" s="318"/>
      <c r="AY46" s="318"/>
      <c r="AZ46" s="318"/>
      <c r="BA46" s="318"/>
      <c r="BB46" s="318"/>
      <c r="BC46" s="318"/>
      <c r="BD46" s="318"/>
      <c r="BE46" s="318"/>
      <c r="BF46" s="318"/>
      <c r="BG46" s="318"/>
      <c r="BH46" s="318"/>
      <c r="BI46" s="318"/>
      <c r="BJ46" s="318"/>
      <c r="BK46" s="318"/>
      <c r="BL46" s="318"/>
      <c r="BM46" s="318"/>
      <c r="BN46" s="318"/>
      <c r="BO46" s="318"/>
      <c r="BP46" s="318"/>
      <c r="BQ46" s="318"/>
      <c r="BR46" s="318"/>
      <c r="BS46" s="318"/>
      <c r="BT46" s="318"/>
      <c r="BU46" s="318"/>
      <c r="BV46" s="318"/>
      <c r="BW46" s="318"/>
      <c r="BX46" s="318"/>
    </row>
    <row r="47" spans="2:76" hidden="1" outlineLevel="1">
      <c r="B47" s="348" t="s">
        <v>230</v>
      </c>
      <c r="C47" s="348" t="str">
        <f>'DATA (Real)'!C43</f>
        <v>NREL Utility-Scale Battery Storage - 16Hr</v>
      </c>
      <c r="D47" s="348" t="str">
        <f>'DATA (Real)'!D43</f>
        <v>CAPEX ($/kW)</v>
      </c>
      <c r="E47" s="348" t="str">
        <f>'DATA (Real)'!E43</f>
        <v>16hr Lithium-Ion</v>
      </c>
      <c r="F47" s="313">
        <f>'DATA (Real)'!F43</f>
        <v>6160.7109127252179</v>
      </c>
      <c r="G47" s="323">
        <f>'DATA (Real)'!G43*G$4/100</f>
        <v>5316.7889517383792</v>
      </c>
      <c r="H47" s="323">
        <f>'DATA (Real)'!H43*H$4/100</f>
        <v>5225.0825326945269</v>
      </c>
      <c r="I47" s="323">
        <f>'DATA (Real)'!I43*I$4/100</f>
        <v>4889.8805601590548</v>
      </c>
      <c r="J47" s="323">
        <f>'DATA (Real)'!J43*J$4/100</f>
        <v>4549.6157533122951</v>
      </c>
      <c r="K47" s="323">
        <f>'DATA (Real)'!K43*K$4/100</f>
        <v>4382.9298032746692</v>
      </c>
      <c r="L47" s="323">
        <f>'DATA (Real)'!L43*L$4/100</f>
        <v>4225.5631173841839</v>
      </c>
      <c r="M47" s="323">
        <f>'DATA (Real)'!M43*M$4/100</f>
        <v>4094.4070132003194</v>
      </c>
      <c r="N47" s="323">
        <f>'DATA (Real)'!N43*N$4/100</f>
        <v>3947.3663588282834</v>
      </c>
      <c r="O47" s="323">
        <f>'DATA (Real)'!O43*O$4/100</f>
        <v>3805.4238998003921</v>
      </c>
      <c r="P47" s="323">
        <f>'DATA (Real)'!P43*P$4/100</f>
        <v>3686.2172111311265</v>
      </c>
      <c r="Q47" s="323">
        <f>'DATA (Real)'!Q43*Q$4/100</f>
        <v>3721.6133273619453</v>
      </c>
      <c r="R47" s="323">
        <f>'DATA (Real)'!R43*R$4/100</f>
        <v>3755.3613843445091</v>
      </c>
      <c r="S47" s="323">
        <f>'DATA (Real)'!S43*S$4/100</f>
        <v>3788.7930949838815</v>
      </c>
      <c r="T47" s="323">
        <f>'DATA (Real)'!T43*T$4/100</f>
        <v>3821.8782059813634</v>
      </c>
      <c r="U47" s="323">
        <f>'DATA (Real)'!U43*U$4/100</f>
        <v>3854.5852860047412</v>
      </c>
      <c r="V47" s="323">
        <f>'DATA (Real)'!V43*V$4/100</f>
        <v>3886.8816884974726</v>
      </c>
      <c r="W47" s="323">
        <f>'DATA (Real)'!W43*W$4/100</f>
        <v>3918.7335134214386</v>
      </c>
      <c r="X47" s="323">
        <f>'DATA (Real)'!X43*X$4/100</f>
        <v>3950.1055679048468</v>
      </c>
      <c r="Y47" s="323">
        <f>'DATA (Real)'!Y43*Y$4/100</f>
        <v>3980.9613257650303</v>
      </c>
      <c r="Z47" s="323">
        <f>'DATA (Real)'!Z43*Z$4/100</f>
        <v>4011.2628858761732</v>
      </c>
      <c r="AA47" s="323">
        <f>'DATA (Real)'!AA43*AA$4/100</f>
        <v>4040.9709293505566</v>
      </c>
      <c r="AB47" s="323">
        <f>'DATA (Real)'!AB43*AB$4/100</f>
        <v>4070.044675501028</v>
      </c>
      <c r="AC47" s="323">
        <f>'DATA (Real)'!AC43*AC$4/100</f>
        <v>4098.4418365523379</v>
      </c>
      <c r="AD47" s="323">
        <f>'DATA (Real)'!AD43*AD$4/100</f>
        <v>4126.1185710669633</v>
      </c>
      <c r="AE47" s="323">
        <f>'DATA (Real)'!AE43*AE$4/100</f>
        <v>4153.0294360513153</v>
      </c>
      <c r="AF47" s="323">
        <f>'DATA (Real)'!AF43*AF$4/100</f>
        <v>4179.1273377066063</v>
      </c>
      <c r="AG47" s="323">
        <f>'DATA (Real)'!AG43*AG$4/100</f>
        <v>4204.3634807876579</v>
      </c>
      <c r="AH47" s="323">
        <f>'DATA (Real)'!AH43*AH$4/100</f>
        <v>4228.6873165328507</v>
      </c>
      <c r="AI47" s="323">
        <f>'DATA (Real)'!AI43*AI$4/100</f>
        <v>4252.0464891261327</v>
      </c>
      <c r="AJ47" s="323">
        <f>'DATA (Real)'!AJ43*AJ$4/100</f>
        <v>4273.1933405384807</v>
      </c>
      <c r="AK47" s="318"/>
      <c r="AL47" s="318"/>
      <c r="AM47" s="318"/>
      <c r="AN47" s="318"/>
      <c r="AO47" s="318"/>
      <c r="AP47" s="318"/>
      <c r="AQ47" s="318"/>
      <c r="AR47" s="318"/>
      <c r="AS47" s="318"/>
      <c r="AT47" s="318"/>
      <c r="AU47" s="318"/>
      <c r="AV47" s="318"/>
      <c r="AW47" s="318"/>
      <c r="AX47" s="318"/>
      <c r="AY47" s="318"/>
      <c r="AZ47" s="318"/>
      <c r="BA47" s="318"/>
      <c r="BB47" s="318"/>
      <c r="BC47" s="318"/>
      <c r="BD47" s="318"/>
      <c r="BE47" s="318"/>
      <c r="BF47" s="318"/>
      <c r="BG47" s="318"/>
      <c r="BH47" s="318"/>
      <c r="BI47" s="318"/>
      <c r="BJ47" s="318"/>
      <c r="BK47" s="318"/>
      <c r="BL47" s="318"/>
      <c r="BM47" s="318"/>
      <c r="BN47" s="318"/>
      <c r="BO47" s="318"/>
      <c r="BP47" s="318"/>
      <c r="BQ47" s="318"/>
      <c r="BR47" s="318"/>
      <c r="BS47" s="318"/>
      <c r="BT47" s="318"/>
      <c r="BU47" s="318"/>
      <c r="BV47" s="318"/>
      <c r="BW47" s="318"/>
      <c r="BX47" s="318"/>
    </row>
    <row r="48" spans="2:76" hidden="1" outlineLevel="1">
      <c r="B48" s="348" t="s">
        <v>230</v>
      </c>
      <c r="C48" s="348" t="str">
        <f>'DATA (Real)'!C44</f>
        <v>Internal</v>
      </c>
      <c r="D48" s="348" t="str">
        <f>'DATA (Real)'!D44</f>
        <v>CAPEX ($/kW)</v>
      </c>
      <c r="E48" s="348" t="str">
        <f>'DATA (Real)'!E44</f>
        <v>4 hr Vanadium Flow Battery</v>
      </c>
      <c r="F48" s="313">
        <f>'DATA (Real)'!F44</f>
        <v>1632.88</v>
      </c>
      <c r="G48" s="323">
        <f>'DATA (Real)'!G44*G$4/100</f>
        <v>1489.5947800000001</v>
      </c>
      <c r="H48" s="323">
        <f>'DATA (Real)'!H44*H$4/100</f>
        <v>1421.0748649455377</v>
      </c>
      <c r="I48" s="323">
        <f>'DATA (Real)'!I44*I$4/100</f>
        <v>1378.1188338095726</v>
      </c>
      <c r="J48" s="323">
        <f>'DATA (Real)'!J44*J$4/100</f>
        <v>1326.7127398207699</v>
      </c>
      <c r="K48" s="323">
        <f>'DATA (Real)'!K44*K$4/100</f>
        <v>1300.5570141300789</v>
      </c>
      <c r="L48" s="323">
        <f>'DATA (Real)'!L44*L$4/100</f>
        <v>1275.9730632855319</v>
      </c>
      <c r="M48" s="323">
        <f>'DATA (Real)'!M44*M$4/100</f>
        <v>1256.5201620466273</v>
      </c>
      <c r="N48" s="323">
        <f>'DATA (Real)'!N44*N$4/100</f>
        <v>1238.2512674989732</v>
      </c>
      <c r="O48" s="323">
        <f>'DATA (Real)'!O44*O$4/100</f>
        <v>1222.8398879441911</v>
      </c>
      <c r="P48" s="323">
        <f>'DATA (Real)'!P44*P$4/100</f>
        <v>1205.8064283732733</v>
      </c>
      <c r="Q48" s="323">
        <f>'DATA (Real)'!Q44*Q$4/100</f>
        <v>1189.6387071056745</v>
      </c>
      <c r="R48" s="323">
        <f>'DATA (Real)'!R44*R$4/100</f>
        <v>1174.7214161732625</v>
      </c>
      <c r="S48" s="323">
        <f>'DATA (Real)'!S44*S$4/100</f>
        <v>1161.9168380240758</v>
      </c>
      <c r="T48" s="323">
        <f>'DATA (Real)'!T44*T$4/100</f>
        <v>1151.7260573496183</v>
      </c>
      <c r="U48" s="323">
        <f>'DATA (Real)'!U44*U$4/100</f>
        <v>1145.3605866122891</v>
      </c>
      <c r="V48" s="323">
        <f>'DATA (Real)'!V44*V$4/100</f>
        <v>1141.392268676364</v>
      </c>
      <c r="W48" s="323">
        <f>'DATA (Real)'!W44*W$4/100</f>
        <v>1139.5264566472524</v>
      </c>
      <c r="X48" s="323">
        <f>'DATA (Real)'!X44*X$4/100</f>
        <v>1140.2974004429338</v>
      </c>
      <c r="Y48" s="323">
        <f>'DATA (Real)'!Y44*Y$4/100</f>
        <v>1140.6121703301374</v>
      </c>
      <c r="Z48" s="323">
        <f>'DATA (Real)'!Z44*Z$4/100</f>
        <v>1140.4702055513358</v>
      </c>
      <c r="AA48" s="323">
        <f>'DATA (Real)'!AA44*AA$4/100</f>
        <v>1139.8714937439895</v>
      </c>
      <c r="AB48" s="323">
        <f>'DATA (Real)'!AB44*AB$4/100</f>
        <v>1138.8165713313681</v>
      </c>
      <c r="AC48" s="323">
        <f>'DATA (Real)'!AC44*AC$4/100</f>
        <v>1137.3065228146752</v>
      </c>
      <c r="AD48" s="323">
        <f>'DATA (Real)'!AD44*AD$4/100</f>
        <v>1135.3429789674369</v>
      </c>
      <c r="AE48" s="323">
        <f>'DATA (Real)'!AE44*AE$4/100</f>
        <v>1132.9281139361922</v>
      </c>
      <c r="AF48" s="323">
        <f>'DATA (Real)'!AF44*AF$4/100</f>
        <v>1130.0646412545802</v>
      </c>
      <c r="AG48" s="323">
        <f>'DATA (Real)'!AG44*AG$4/100</f>
        <v>1126.755808780985</v>
      </c>
      <c r="AH48" s="323">
        <f>'DATA (Real)'!AH44*AH$4/100</f>
        <v>1123.0053925728871</v>
      </c>
      <c r="AI48" s="323">
        <f>'DATA (Real)'!AI44*AI$4/100</f>
        <v>1118.8176897140618</v>
      </c>
      <c r="AJ48" s="323">
        <f>'DATA (Real)'!AJ44*AJ$4/100</f>
        <v>1115.5417883464647</v>
      </c>
      <c r="AK48" s="318"/>
      <c r="AL48" s="318"/>
      <c r="AM48" s="318"/>
      <c r="AN48" s="318"/>
      <c r="AO48" s="318"/>
      <c r="AP48" s="318"/>
      <c r="AQ48" s="318"/>
      <c r="AR48" s="318"/>
      <c r="AS48" s="318"/>
      <c r="AT48" s="318"/>
      <c r="AU48" s="318"/>
      <c r="AV48" s="318"/>
      <c r="AW48" s="318"/>
      <c r="AX48" s="318"/>
      <c r="AY48" s="318"/>
      <c r="AZ48" s="318"/>
      <c r="BA48" s="318"/>
      <c r="BB48" s="318"/>
      <c r="BC48" s="318"/>
      <c r="BD48" s="318"/>
      <c r="BE48" s="318"/>
      <c r="BF48" s="318"/>
      <c r="BG48" s="318"/>
      <c r="BH48" s="318"/>
      <c r="BI48" s="318"/>
      <c r="BJ48" s="318"/>
      <c r="BK48" s="318"/>
      <c r="BL48" s="318"/>
      <c r="BM48" s="318"/>
      <c r="BN48" s="318"/>
      <c r="BO48" s="318"/>
      <c r="BP48" s="318"/>
      <c r="BQ48" s="318"/>
      <c r="BR48" s="318"/>
      <c r="BS48" s="318"/>
      <c r="BT48" s="318"/>
      <c r="BU48" s="318"/>
      <c r="BV48" s="318"/>
      <c r="BW48" s="318"/>
      <c r="BX48" s="318"/>
    </row>
    <row r="49" spans="2:76" hidden="1" outlineLevel="1">
      <c r="B49" s="348" t="s">
        <v>230</v>
      </c>
      <c r="C49" s="348" t="str">
        <f>'DATA (Real)'!C45</f>
        <v>Internal</v>
      </c>
      <c r="D49" s="348" t="str">
        <f>'DATA (Real)'!D45</f>
        <v>CAPEX ($/kW)</v>
      </c>
      <c r="E49" s="348" t="str">
        <f>'DATA (Real)'!E45</f>
        <v>4 hr Zinc Bromide Flow Battery</v>
      </c>
      <c r="F49" s="313">
        <f>'DATA (Real)'!F45</f>
        <v>1837</v>
      </c>
      <c r="G49" s="323">
        <f>'DATA (Real)'!G45*G$4/100</f>
        <v>1619.3154999999997</v>
      </c>
      <c r="H49" s="323">
        <f>'DATA (Real)'!H45*H$4/100</f>
        <v>1492.755684917855</v>
      </c>
      <c r="I49" s="323">
        <f>'DATA (Real)'!I45*I$4/100</f>
        <v>1447.6328970468739</v>
      </c>
      <c r="J49" s="323">
        <f>'DATA (Real)'!J45*J$4/100</f>
        <v>1393.6338144270094</v>
      </c>
      <c r="K49" s="323">
        <f>'DATA (Real)'!K45*K$4/100</f>
        <v>1366.1587607327572</v>
      </c>
      <c r="L49" s="323">
        <f>'DATA (Real)'!L45*L$4/100</f>
        <v>1340.334764202958</v>
      </c>
      <c r="M49" s="323">
        <f>'DATA (Real)'!M45*M$4/100</f>
        <v>1319.9006339338021</v>
      </c>
      <c r="N49" s="323">
        <f>'DATA (Real)'!N45*N$4/100</f>
        <v>1300.7102331562749</v>
      </c>
      <c r="O49" s="323">
        <f>'DATA (Real)'!O45*O$4/100</f>
        <v>1284.521484054932</v>
      </c>
      <c r="P49" s="323">
        <f>'DATA (Real)'!P45*P$4/100</f>
        <v>1266.6288351625176</v>
      </c>
      <c r="Q49" s="323">
        <f>'DATA (Real)'!Q45*Q$4/100</f>
        <v>1249.6455935123317</v>
      </c>
      <c r="R49" s="323">
        <f>'DATA (Real)'!R45*R$4/100</f>
        <v>1233.9758554906227</v>
      </c>
      <c r="S49" s="323">
        <f>'DATA (Real)'!S45*S$4/100</f>
        <v>1220.5253981666128</v>
      </c>
      <c r="T49" s="323">
        <f>'DATA (Real)'!T45*T$4/100</f>
        <v>1209.8205815796762</v>
      </c>
      <c r="U49" s="323">
        <f>'DATA (Real)'!U45*U$4/100</f>
        <v>1203.134028418601</v>
      </c>
      <c r="V49" s="323">
        <f>'DATA (Real)'!V45*V$4/100</f>
        <v>1198.9655434889623</v>
      </c>
      <c r="W49" s="323">
        <f>'DATA (Real)'!W45*W$4/100</f>
        <v>1197.0056175328086</v>
      </c>
      <c r="X49" s="323">
        <f>'DATA (Real)'!X45*X$4/100</f>
        <v>1197.8154487121108</v>
      </c>
      <c r="Y49" s="323">
        <f>'DATA (Real)'!Y45*Y$4/100</f>
        <v>1198.1460959919655</v>
      </c>
      <c r="Z49" s="323">
        <f>'DATA (Real)'!Z45*Z$4/100</f>
        <v>1197.9969703295237</v>
      </c>
      <c r="AA49" s="323">
        <f>'DATA (Real)'!AA45*AA$4/100</f>
        <v>1197.3680587386639</v>
      </c>
      <c r="AB49" s="323">
        <f>'DATA (Real)'!AB45*AB$4/100</f>
        <v>1196.2599247005267</v>
      </c>
      <c r="AC49" s="323">
        <f>'DATA (Real)'!AC45*AC$4/100</f>
        <v>1194.6737074199318</v>
      </c>
      <c r="AD49" s="323">
        <f>'DATA (Real)'!AD45*AD$4/100</f>
        <v>1192.6111199286936</v>
      </c>
      <c r="AE49" s="323">
        <f>'DATA (Real)'!AE45*AE$4/100</f>
        <v>1190.0744460400604</v>
      </c>
      <c r="AF49" s="323">
        <f>'DATA (Real)'!AF45*AF$4/100</f>
        <v>1187.0665361617537</v>
      </c>
      <c r="AG49" s="323">
        <f>'DATA (Real)'!AG45*AG$4/100</f>
        <v>1183.5908019782562</v>
      </c>
      <c r="AH49" s="323">
        <f>'DATA (Real)'!AH45*AH$4/100</f>
        <v>1179.6512100161815</v>
      </c>
      <c r="AI49" s="323">
        <f>'DATA (Real)'!AI45*AI$4/100</f>
        <v>1175.2522741096641</v>
      </c>
      <c r="AJ49" s="323">
        <f>'DATA (Real)'!AJ45*AJ$4/100</f>
        <v>1171.8111321189513</v>
      </c>
      <c r="AK49" s="318"/>
      <c r="AL49" s="318"/>
      <c r="AM49" s="318"/>
      <c r="AN49" s="318"/>
      <c r="AO49" s="318"/>
      <c r="AP49" s="318"/>
      <c r="AQ49" s="318"/>
      <c r="AR49" s="318"/>
      <c r="AS49" s="318"/>
      <c r="AT49" s="318"/>
      <c r="AU49" s="318"/>
      <c r="AV49" s="318"/>
      <c r="AW49" s="318"/>
      <c r="AX49" s="318"/>
      <c r="AY49" s="318"/>
      <c r="AZ49" s="318"/>
      <c r="BA49" s="318"/>
      <c r="BB49" s="318"/>
      <c r="BC49" s="318"/>
      <c r="BD49" s="318"/>
      <c r="BE49" s="318"/>
      <c r="BF49" s="318"/>
      <c r="BG49" s="318"/>
      <c r="BH49" s="318"/>
      <c r="BI49" s="318"/>
      <c r="BJ49" s="318"/>
      <c r="BK49" s="318"/>
      <c r="BL49" s="318"/>
      <c r="BM49" s="318"/>
      <c r="BN49" s="318"/>
      <c r="BO49" s="318"/>
      <c r="BP49" s="318"/>
      <c r="BQ49" s="318"/>
      <c r="BR49" s="318"/>
      <c r="BS49" s="318"/>
      <c r="BT49" s="318"/>
      <c r="BU49" s="318"/>
      <c r="BV49" s="318"/>
      <c r="BW49" s="318"/>
      <c r="BX49" s="318"/>
    </row>
    <row r="50" spans="2:76" hidden="1" outlineLevel="1">
      <c r="B50" s="348" t="s">
        <v>230</v>
      </c>
      <c r="C50" s="378" t="str">
        <f>'DATA (Real)'!C46</f>
        <v>Form Energy</v>
      </c>
      <c r="D50" s="348" t="str">
        <f>'DATA (Real)'!D46</f>
        <v>CAPEX ($/kW)</v>
      </c>
      <c r="E50" s="348" t="str">
        <f>'DATA (Real)'!E46</f>
        <v>100hr Iron Oxide</v>
      </c>
      <c r="F50" s="313"/>
      <c r="G50" s="313"/>
      <c r="H50" s="313">
        <f>'DATA (Real)'!H46</f>
        <v>2500</v>
      </c>
      <c r="I50" s="323">
        <f>'DATA (Real)'!I46*I$4/$H$4</f>
        <v>2527.7139999999999</v>
      </c>
      <c r="J50" s="323">
        <f>'DATA (Real)'!J46*J$4/$H$4</f>
        <v>2535.4297416635836</v>
      </c>
      <c r="K50" s="323">
        <f>'DATA (Real)'!K46*K$4/$H$4</f>
        <v>2540.2132524428548</v>
      </c>
      <c r="L50" s="323">
        <f>'DATA (Real)'!L46*L$4/$H$4</f>
        <v>2545.005788112464</v>
      </c>
      <c r="M50" s="323">
        <f>'DATA (Real)'!M46*M$4/$H$4</f>
        <v>2549.8073656993693</v>
      </c>
      <c r="N50" s="323">
        <f>'DATA (Real)'!N46*N$4/$H$4</f>
        <v>2553.7850651898602</v>
      </c>
      <c r="O50" s="323">
        <f>'DATA (Real)'!O46*O$4/$H$4</f>
        <v>2557.7689698915569</v>
      </c>
      <c r="P50" s="323">
        <f>'DATA (Real)'!P46*P$4/$H$4</f>
        <v>2561.759089484588</v>
      </c>
      <c r="Q50" s="323">
        <f>'DATA (Real)'!Q46*Q$4/$H$4</f>
        <v>2565.7554336641838</v>
      </c>
      <c r="R50" s="323">
        <f>'DATA (Real)'!R46*R$4/$H$4</f>
        <v>2569.7580121407</v>
      </c>
      <c r="S50" s="323">
        <f>'DATA (Real)'!S46*S$4/$H$4</f>
        <v>2573.766834639639</v>
      </c>
      <c r="T50" s="323">
        <f>'DATA (Real)'!T46*T$4/$H$4</f>
        <v>2577.7819109016768</v>
      </c>
      <c r="U50" s="323">
        <f>'DATA (Real)'!U46*U$4/$H$4</f>
        <v>2581.8032506826835</v>
      </c>
      <c r="V50" s="323">
        <f>'DATA (Real)'!V46*V$4/$H$4</f>
        <v>2585.8308637537484</v>
      </c>
      <c r="W50" s="323">
        <f>'DATA (Real)'!W46*W$4/$H$4</f>
        <v>2589.8647599012038</v>
      </c>
      <c r="X50" s="323">
        <f>'DATA (Real)'!X46*X$4/$H$4</f>
        <v>2593.9049489266499</v>
      </c>
      <c r="Y50" s="323">
        <f>'DATA (Real)'!Y46*Y$4/$H$4</f>
        <v>2597.9514406469757</v>
      </c>
      <c r="Z50" s="323">
        <f>'DATA (Real)'!Z46*Z$4/$H$4</f>
        <v>2602.004244894385</v>
      </c>
      <c r="AA50" s="323">
        <f>'DATA (Real)'!AA46*AA$4/$H$4</f>
        <v>2606.0633715164199</v>
      </c>
      <c r="AB50" s="323">
        <f>'DATA (Real)'!AB46*AB$4/$H$4</f>
        <v>2610.1288303759857</v>
      </c>
      <c r="AC50" s="323">
        <f>'DATA (Real)'!AC46*AC$4/$H$4</f>
        <v>2614.2006313513721</v>
      </c>
      <c r="AD50" s="323">
        <f>'DATA (Real)'!AD46*AD$4/$H$4</f>
        <v>2618.2787843362798</v>
      </c>
      <c r="AE50" s="323">
        <f>'DATA (Real)'!AE46*AE$4/$H$4</f>
        <v>2622.3632992398448</v>
      </c>
      <c r="AF50" s="323">
        <f>'DATA (Real)'!AF46*AF$4/$H$4</f>
        <v>2626.454185986659</v>
      </c>
      <c r="AG50" s="323">
        <f>'DATA (Real)'!AG46*AG$4/$H$4</f>
        <v>2630.5514545167975</v>
      </c>
      <c r="AH50" s="323">
        <f>'DATA (Real)'!AH46*AH$4/$H$4</f>
        <v>2634.655114785844</v>
      </c>
      <c r="AI50" s="323">
        <f>'DATA (Real)'!AI46*AI$4/$H$4</f>
        <v>2638.7651767649099</v>
      </c>
      <c r="AJ50" s="323">
        <f>'DATA (Real)'!AJ46*AJ$4/$H$4</f>
        <v>2642.8816504406627</v>
      </c>
      <c r="AK50" s="318"/>
      <c r="AL50" s="318"/>
      <c r="AM50" s="318"/>
      <c r="AN50" s="318"/>
      <c r="AO50" s="318"/>
      <c r="AP50" s="318"/>
      <c r="AQ50" s="318"/>
      <c r="AR50" s="318"/>
      <c r="AS50" s="318"/>
      <c r="AT50" s="318"/>
      <c r="AU50" s="318"/>
      <c r="AV50" s="318"/>
      <c r="AW50" s="318"/>
      <c r="AX50" s="318"/>
      <c r="AY50" s="318"/>
      <c r="AZ50" s="318"/>
      <c r="BA50" s="318"/>
      <c r="BB50" s="318"/>
      <c r="BC50" s="318"/>
      <c r="BD50" s="318"/>
      <c r="BE50" s="318"/>
      <c r="BF50" s="318"/>
      <c r="BG50" s="318"/>
      <c r="BH50" s="318"/>
      <c r="BI50" s="318"/>
      <c r="BJ50" s="318"/>
      <c r="BK50" s="318"/>
      <c r="BL50" s="318"/>
      <c r="BM50" s="318"/>
      <c r="BN50" s="318"/>
      <c r="BO50" s="318"/>
      <c r="BP50" s="318"/>
      <c r="BQ50" s="318"/>
      <c r="BR50" s="318"/>
      <c r="BS50" s="318"/>
      <c r="BT50" s="318"/>
      <c r="BU50" s="318"/>
      <c r="BV50" s="318"/>
      <c r="BW50" s="318"/>
      <c r="BX50" s="318"/>
    </row>
    <row r="51" spans="2:76" hidden="1" outlineLevel="1">
      <c r="B51" s="348" t="s">
        <v>230</v>
      </c>
      <c r="C51" s="348" t="str">
        <f>'DATA (Real)'!C47</f>
        <v>Internal</v>
      </c>
      <c r="D51" s="348" t="str">
        <f>'DATA (Real)'!D47</f>
        <v>CAPEX ($/kW)</v>
      </c>
      <c r="E51" s="348" t="str">
        <f>'DATA (Real)'!E47</f>
        <v>Liquid Air</v>
      </c>
      <c r="F51" s="313"/>
      <c r="G51" s="313"/>
      <c r="H51" s="313">
        <f>'DATA (Real)'!H47</f>
        <v>1610</v>
      </c>
      <c r="I51" s="323">
        <f>'DATA (Real)'!I47*I$4/$H$4</f>
        <v>1661.0692000000001</v>
      </c>
      <c r="J51" s="323">
        <f>'DATA (Real)'!J47*J$4/$H$4</f>
        <v>1700.1423923691666</v>
      </c>
      <c r="K51" s="323">
        <f>'DATA (Real)'!K47*K$4/$H$4</f>
        <v>1738.112239132078</v>
      </c>
      <c r="L51" s="323">
        <f>'DATA (Real)'!L47*L$4/$H$4</f>
        <v>1776.9300791393609</v>
      </c>
      <c r="M51" s="323">
        <f>'DATA (Real)'!M47*M$4/$H$4</f>
        <v>1816.6148509068066</v>
      </c>
      <c r="N51" s="323">
        <f>'DATA (Real)'!N47*N$4/$H$4</f>
        <v>1856.5803776267564</v>
      </c>
      <c r="O51" s="323">
        <f>'DATA (Real)'!O47*O$4/$H$4</f>
        <v>1897.4251459345451</v>
      </c>
      <c r="P51" s="323">
        <f>'DATA (Real)'!P47*P$4/$H$4</f>
        <v>1939.1684991451052</v>
      </c>
      <c r="Q51" s="323">
        <f>'DATA (Real)'!Q47*Q$4/$H$4</f>
        <v>1981.8302061262973</v>
      </c>
      <c r="R51" s="323">
        <f>'DATA (Real)'!R47*R$4/$H$4</f>
        <v>2025.430470661076</v>
      </c>
      <c r="S51" s="323">
        <f>'DATA (Real)'!S47*S$4/$H$4</f>
        <v>2069.9899410156199</v>
      </c>
      <c r="T51" s="323">
        <f>'DATA (Real)'!T47*T$4/$H$4</f>
        <v>2115.5297197179634</v>
      </c>
      <c r="U51" s="323">
        <f>'DATA (Real)'!U47*U$4/$H$4</f>
        <v>2162.0713735517584</v>
      </c>
      <c r="V51" s="323">
        <f>'DATA (Real)'!V47*V$4/$H$4</f>
        <v>2209.6369437698968</v>
      </c>
      <c r="W51" s="323">
        <f>'DATA (Real)'!W47*W$4/$H$4</f>
        <v>2258.2489565328347</v>
      </c>
      <c r="X51" s="323">
        <f>'DATA (Real)'!X47*X$4/$H$4</f>
        <v>2307.9304335765573</v>
      </c>
      <c r="Y51" s="323">
        <f>'DATA (Real)'!Y47*Y$4/$H$4</f>
        <v>2358.7049031152414</v>
      </c>
      <c r="Z51" s="323">
        <f>'DATA (Real)'!Z47*Z$4/$H$4</f>
        <v>2410.5964109837769</v>
      </c>
      <c r="AA51" s="323">
        <f>'DATA (Real)'!AA47*AA$4/$H$4</f>
        <v>2463.6295320254198</v>
      </c>
      <c r="AB51" s="323">
        <f>'DATA (Real)'!AB47*AB$4/$H$4</f>
        <v>2517.8293817299791</v>
      </c>
      <c r="AC51" s="323">
        <f>'DATA (Real)'!AC47*AC$4/$H$4</f>
        <v>2573.2216281280389</v>
      </c>
      <c r="AD51" s="323">
        <f>'DATA (Real)'!AD47*AD$4/$H$4</f>
        <v>2629.8325039468555</v>
      </c>
      <c r="AE51" s="323">
        <f>'DATA (Real)'!AE47*AE$4/$H$4</f>
        <v>2687.6888190336867</v>
      </c>
      <c r="AF51" s="323">
        <f>'DATA (Real)'!AF47*AF$4/$H$4</f>
        <v>2746.8179730524275</v>
      </c>
      <c r="AG51" s="323">
        <f>'DATA (Real)'!AG47*AG$4/$H$4</f>
        <v>2807.247968459581</v>
      </c>
      <c r="AH51" s="323">
        <f>'DATA (Real)'!AH47*AH$4/$H$4</f>
        <v>2869.0074237656918</v>
      </c>
      <c r="AI51" s="323">
        <f>'DATA (Real)'!AI47*AI$4/$H$4</f>
        <v>2932.125587088537</v>
      </c>
      <c r="AJ51" s="323">
        <f>'DATA (Real)'!AJ47*AJ$4/$H$4</f>
        <v>2996.632350004485</v>
      </c>
      <c r="AK51" s="318"/>
      <c r="AL51" s="318"/>
      <c r="AM51" s="318"/>
      <c r="AN51" s="318"/>
      <c r="AO51" s="318"/>
      <c r="AP51" s="318"/>
      <c r="AQ51" s="318"/>
      <c r="AR51" s="318"/>
      <c r="AS51" s="318"/>
      <c r="AT51" s="318"/>
      <c r="AU51" s="318"/>
      <c r="AV51" s="318"/>
      <c r="AW51" s="318"/>
      <c r="AX51" s="318"/>
      <c r="AY51" s="318"/>
      <c r="AZ51" s="318"/>
      <c r="BA51" s="318"/>
      <c r="BB51" s="318"/>
      <c r="BC51" s="318"/>
      <c r="BD51" s="318"/>
      <c r="BE51" s="318"/>
      <c r="BF51" s="318"/>
      <c r="BG51" s="318"/>
      <c r="BH51" s="318"/>
      <c r="BI51" s="318"/>
      <c r="BJ51" s="318"/>
      <c r="BK51" s="318"/>
      <c r="BL51" s="318"/>
      <c r="BM51" s="318"/>
      <c r="BN51" s="318"/>
      <c r="BO51" s="318"/>
      <c r="BP51" s="318"/>
      <c r="BQ51" s="318"/>
      <c r="BR51" s="318"/>
      <c r="BS51" s="318"/>
      <c r="BT51" s="318"/>
      <c r="BU51" s="318"/>
      <c r="BV51" s="318"/>
      <c r="BW51" s="318"/>
      <c r="BX51" s="318"/>
    </row>
    <row r="52" spans="2:76" hidden="1" outlineLevel="1">
      <c r="B52" s="348" t="s">
        <v>230</v>
      </c>
      <c r="C52" s="348" t="str">
        <f>'DATA (Real)'!C48</f>
        <v>NREL Pumped Storage Hydropower - National Class 10</v>
      </c>
      <c r="D52" s="348" t="str">
        <f>'DATA (Real)'!D48</f>
        <v>CAPEX ($/kW)</v>
      </c>
      <c r="E52" s="348" t="str">
        <f>'DATA (Real)'!E48</f>
        <v>Pumped Hydro (8.5 hr/ 400 MW share)</v>
      </c>
      <c r="F52" s="313">
        <f>'DATA (Real)'!F48</f>
        <v>3754.52</v>
      </c>
      <c r="G52" s="323">
        <f>'DATA (Real)'!G48*G$4/100</f>
        <v>3848.3829999999994</v>
      </c>
      <c r="H52" s="323">
        <f>'DATA (Real)'!H48*H$4/100</f>
        <v>4125.1248480013655</v>
      </c>
      <c r="I52" s="323">
        <f>'DATA (Real)'!I48*I$4/100</f>
        <v>4255.9738081799687</v>
      </c>
      <c r="J52" s="323">
        <f>'DATA (Real)'!J48*J$4/100</f>
        <v>4356.0867254053019</v>
      </c>
      <c r="K52" s="323">
        <f>'DATA (Real)'!K48*K$4/100</f>
        <v>4453.3726622726863</v>
      </c>
      <c r="L52" s="323">
        <f>'DATA (Real)'!L48*L$4/100</f>
        <v>4552.8313183967766</v>
      </c>
      <c r="M52" s="323">
        <f>'DATA (Real)'!M48*M$4/100</f>
        <v>4654.5112178409709</v>
      </c>
      <c r="N52" s="323">
        <f>'DATA (Real)'!N48*N$4/100</f>
        <v>4756.9104646334727</v>
      </c>
      <c r="O52" s="323">
        <f>'DATA (Real)'!O48*O$4/100</f>
        <v>4861.5624948554087</v>
      </c>
      <c r="P52" s="323">
        <f>'DATA (Real)'!P48*P$4/100</f>
        <v>4968.5168697422287</v>
      </c>
      <c r="Q52" s="323">
        <f>'DATA (Real)'!Q48*Q$4/100</f>
        <v>5077.8242408765573</v>
      </c>
      <c r="R52" s="323">
        <f>'DATA (Real)'!R48*R$4/100</f>
        <v>5189.536374175842</v>
      </c>
      <c r="S52" s="323">
        <f>'DATA (Real)'!S48*S$4/100</f>
        <v>5303.7061744077109</v>
      </c>
      <c r="T52" s="323">
        <f>'DATA (Real)'!T48*T$4/100</f>
        <v>5420.3877102446804</v>
      </c>
      <c r="U52" s="323">
        <f>'DATA (Real)'!U48*U$4/100</f>
        <v>5539.6362398700621</v>
      </c>
      <c r="V52" s="323">
        <f>'DATA (Real)'!V48*V$4/100</f>
        <v>5661.5082371472045</v>
      </c>
      <c r="W52" s="323">
        <f>'DATA (Real)'!W48*W$4/100</f>
        <v>5786.0614183644429</v>
      </c>
      <c r="X52" s="323">
        <f>'DATA (Real)'!X48*X$4/100</f>
        <v>5913.3547695684611</v>
      </c>
      <c r="Y52" s="323">
        <f>'DATA (Real)'!Y48*Y$4/100</f>
        <v>6043.4485744989661</v>
      </c>
      <c r="Z52" s="323">
        <f>'DATA (Real)'!Z48*Z$4/100</f>
        <v>6176.4044431379434</v>
      </c>
      <c r="AA52" s="323">
        <f>'DATA (Real)'!AA48*AA$4/100</f>
        <v>6312.2853408869787</v>
      </c>
      <c r="AB52" s="323">
        <f>'DATA (Real)'!AB48*AB$4/100</f>
        <v>6451.1556183864923</v>
      </c>
      <c r="AC52" s="323">
        <f>'DATA (Real)'!AC48*AC$4/100</f>
        <v>6593.0810419909949</v>
      </c>
      <c r="AD52" s="323">
        <f>'DATA (Real)'!AD48*AD$4/100</f>
        <v>6738.1288249147965</v>
      </c>
      <c r="AE52" s="323">
        <f>'DATA (Real)'!AE48*AE$4/100</f>
        <v>6886.367659062922</v>
      </c>
      <c r="AF52" s="323">
        <f>'DATA (Real)'!AF48*AF$4/100</f>
        <v>7037.8677475623062</v>
      </c>
      <c r="AG52" s="323">
        <f>'DATA (Real)'!AG48*AG$4/100</f>
        <v>7192.7008380086781</v>
      </c>
      <c r="AH52" s="323">
        <f>'DATA (Real)'!AH48*AH$4/100</f>
        <v>7350.9402564448692</v>
      </c>
      <c r="AI52" s="323">
        <f>'DATA (Real)'!AI48*AI$4/100</f>
        <v>7512.6609420866553</v>
      </c>
      <c r="AJ52" s="323">
        <f>'DATA (Real)'!AJ48*AJ$4/100</f>
        <v>7677.9394828125623</v>
      </c>
      <c r="AK52" s="318"/>
      <c r="AL52" s="318"/>
      <c r="AM52" s="318"/>
      <c r="AN52" s="318"/>
      <c r="AO52" s="318"/>
      <c r="AP52" s="318"/>
      <c r="AQ52" s="318"/>
      <c r="AR52" s="318"/>
      <c r="AS52" s="318"/>
      <c r="AT52" s="318"/>
      <c r="AU52" s="318"/>
      <c r="AV52" s="318"/>
      <c r="AW52" s="318"/>
      <c r="AX52" s="318"/>
      <c r="AY52" s="318"/>
      <c r="AZ52" s="318"/>
      <c r="BA52" s="318"/>
      <c r="BB52" s="318"/>
      <c r="BC52" s="318"/>
      <c r="BD52" s="318"/>
      <c r="BE52" s="318"/>
      <c r="BF52" s="318"/>
      <c r="BG52" s="318"/>
      <c r="BH52" s="318"/>
      <c r="BI52" s="318"/>
      <c r="BJ52" s="318"/>
      <c r="BK52" s="318"/>
      <c r="BL52" s="318"/>
      <c r="BM52" s="318"/>
      <c r="BN52" s="318"/>
      <c r="BO52" s="318"/>
      <c r="BP52" s="318"/>
      <c r="BQ52" s="318"/>
      <c r="BR52" s="318"/>
      <c r="BS52" s="318"/>
      <c r="BT52" s="318"/>
      <c r="BU52" s="318"/>
      <c r="BV52" s="318"/>
      <c r="BW52" s="318"/>
      <c r="BX52" s="318"/>
    </row>
    <row r="53" spans="2:76" hidden="1" outlineLevel="1">
      <c r="B53" s="348" t="s">
        <v>230</v>
      </c>
      <c r="C53" s="348" t="str">
        <f>'DATA (Real)'!C49</f>
        <v>NREL Pumped Storage Hydropower - National Class 7</v>
      </c>
      <c r="D53" s="348" t="str">
        <f>'DATA (Real)'!D49</f>
        <v>CAPEX ($/kW)</v>
      </c>
      <c r="E53" s="348" t="str">
        <f>'DATA (Real)'!E49</f>
        <v>Pumped Hydro (16 hr/ 100 MW)</v>
      </c>
      <c r="F53" s="313">
        <f>'DATA (Real)'!F49</f>
        <v>3256.39</v>
      </c>
      <c r="G53" s="323">
        <f>'DATA (Real)'!G49*G$4/100</f>
        <v>3337.7997499999992</v>
      </c>
      <c r="H53" s="323">
        <f>'DATA (Real)'!H49*H$4/100</f>
        <v>3577.8249426779366</v>
      </c>
      <c r="I53" s="323">
        <f>'DATA (Real)'!I49*I$4/100</f>
        <v>3691.3135498596803</v>
      </c>
      <c r="J53" s="323">
        <f>'DATA (Real)'!J49*J$4/100</f>
        <v>3778.1440108835673</v>
      </c>
      <c r="K53" s="323">
        <f>'DATA (Real)'!K49*K$4/100</f>
        <v>3862.5225604599668</v>
      </c>
      <c r="L53" s="323">
        <f>'DATA (Real)'!L49*L$4/100</f>
        <v>3948.7855643102394</v>
      </c>
      <c r="M53" s="323">
        <f>'DATA (Real)'!M49*M$4/100</f>
        <v>4036.9751085798343</v>
      </c>
      <c r="N53" s="323">
        <f>'DATA (Real)'!N49*N$4/100</f>
        <v>4125.7885609685909</v>
      </c>
      <c r="O53" s="323">
        <f>'DATA (Real)'!O49*O$4/100</f>
        <v>4216.5559093099</v>
      </c>
      <c r="P53" s="323">
        <f>'DATA (Real)'!P49*P$4/100</f>
        <v>4309.3201393147183</v>
      </c>
      <c r="Q53" s="323">
        <f>'DATA (Real)'!Q49*Q$4/100</f>
        <v>4404.125182379641</v>
      </c>
      <c r="R53" s="323">
        <f>'DATA (Real)'!R49*R$4/100</f>
        <v>4501.0159363919938</v>
      </c>
      <c r="S53" s="323">
        <f>'DATA (Real)'!S49*S$4/100</f>
        <v>4600.0382869926179</v>
      </c>
      <c r="T53" s="323">
        <f>'DATA (Real)'!T49*T$4/100</f>
        <v>4701.2391293064547</v>
      </c>
      <c r="U53" s="323">
        <f>'DATA (Real)'!U49*U$4/100</f>
        <v>4804.6663901511965</v>
      </c>
      <c r="V53" s="323">
        <f>'DATA (Real)'!V49*V$4/100</f>
        <v>4910.3690507345236</v>
      </c>
      <c r="W53" s="323">
        <f>'DATA (Real)'!W49*W$4/100</f>
        <v>5018.397169850683</v>
      </c>
      <c r="X53" s="323">
        <f>'DATA (Real)'!X49*X$4/100</f>
        <v>5128.8019075873981</v>
      </c>
      <c r="Y53" s="323">
        <f>'DATA (Real)'!Y49*Y$4/100</f>
        <v>5241.6355495543212</v>
      </c>
      <c r="Z53" s="323">
        <f>'DATA (Real)'!Z49*Z$4/100</f>
        <v>5356.9515316445159</v>
      </c>
      <c r="AA53" s="323">
        <f>'DATA (Real)'!AA49*AA$4/100</f>
        <v>5474.8044653406951</v>
      </c>
      <c r="AB53" s="323">
        <f>'DATA (Real)'!AB49*AB$4/100</f>
        <v>5595.2501635781909</v>
      </c>
      <c r="AC53" s="323">
        <f>'DATA (Real)'!AC49*AC$4/100</f>
        <v>5718.3456671769118</v>
      </c>
      <c r="AD53" s="323">
        <f>'DATA (Real)'!AD49*AD$4/100</f>
        <v>5844.1492718548025</v>
      </c>
      <c r="AE53" s="323">
        <f>'DATA (Real)'!AE49*AE$4/100</f>
        <v>5972.7205558356081</v>
      </c>
      <c r="AF53" s="323">
        <f>'DATA (Real)'!AF49*AF$4/100</f>
        <v>6104.1204080639918</v>
      </c>
      <c r="AG53" s="323">
        <f>'DATA (Real)'!AG49*AG$4/100</f>
        <v>6238.4110570414005</v>
      </c>
      <c r="AH53" s="323">
        <f>'DATA (Real)'!AH49*AH$4/100</f>
        <v>6375.6561002963108</v>
      </c>
      <c r="AI53" s="323">
        <f>'DATA (Real)'!AI49*AI$4/100</f>
        <v>6515.9205345028304</v>
      </c>
      <c r="AJ53" s="323">
        <f>'DATA (Real)'!AJ49*AJ$4/100</f>
        <v>6659.2707862618918</v>
      </c>
      <c r="AK53" s="318"/>
      <c r="AL53" s="318"/>
      <c r="AM53" s="318"/>
      <c r="AN53" s="318"/>
      <c r="AO53" s="318"/>
      <c r="AP53" s="318"/>
      <c r="AQ53" s="318"/>
      <c r="AR53" s="318"/>
      <c r="AS53" s="318"/>
      <c r="AT53" s="318"/>
      <c r="AU53" s="318"/>
      <c r="AV53" s="318"/>
      <c r="AW53" s="318"/>
      <c r="AX53" s="318"/>
      <c r="AY53" s="318"/>
      <c r="AZ53" s="318"/>
      <c r="BA53" s="318"/>
      <c r="BB53" s="318"/>
      <c r="BC53" s="318"/>
      <c r="BD53" s="318"/>
      <c r="BE53" s="318"/>
      <c r="BF53" s="318"/>
      <c r="BG53" s="318"/>
      <c r="BH53" s="318"/>
      <c r="BI53" s="318"/>
      <c r="BJ53" s="318"/>
      <c r="BK53" s="318"/>
      <c r="BL53" s="318"/>
      <c r="BM53" s="318"/>
      <c r="BN53" s="318"/>
      <c r="BO53" s="318"/>
      <c r="BP53" s="318"/>
      <c r="BQ53" s="318"/>
      <c r="BR53" s="318"/>
      <c r="BS53" s="318"/>
      <c r="BT53" s="318"/>
      <c r="BU53" s="318"/>
      <c r="BV53" s="318"/>
      <c r="BW53" s="318"/>
      <c r="BX53" s="318"/>
    </row>
    <row r="54" spans="2:76" hidden="1" outlineLevel="1">
      <c r="B54" s="348" t="s">
        <v>230</v>
      </c>
      <c r="C54" s="348" t="str">
        <f>'DATA (Real)'!C50</f>
        <v>NREL Pumped Storage Hydropower - National Class 5</v>
      </c>
      <c r="D54" s="348" t="str">
        <f>'DATA (Real)'!D50</f>
        <v>CAPEX ($/kW)</v>
      </c>
      <c r="E54" s="348" t="str">
        <f>'DATA (Real)'!E50</f>
        <v>Pumped Hyrdo (24 hr/ 100 MW)</v>
      </c>
      <c r="F54" s="313">
        <f>'DATA (Real)'!F50</f>
        <v>2923.32</v>
      </c>
      <c r="G54" s="323">
        <f>'DATA (Real)'!G50*G$4/100</f>
        <v>2996.4029999999998</v>
      </c>
      <c r="H54" s="323">
        <f>'DATA (Real)'!H50*H$4/100</f>
        <v>3211.8779419631146</v>
      </c>
      <c r="I54" s="323">
        <f>'DATA (Real)'!I50*I$4/100</f>
        <v>3313.758710282184</v>
      </c>
      <c r="J54" s="323">
        <f>'DATA (Real)'!J50*J$4/100</f>
        <v>3391.7079802775929</v>
      </c>
      <c r="K54" s="323">
        <f>'DATA (Real)'!K50*K$4/100</f>
        <v>3467.4561251704586</v>
      </c>
      <c r="L54" s="323">
        <f>'DATA (Real)'!L50*L$4/100</f>
        <v>3544.8959786325991</v>
      </c>
      <c r="M54" s="323">
        <f>'DATA (Real)'!M50*M$4/100</f>
        <v>3624.0653221553935</v>
      </c>
      <c r="N54" s="323">
        <f>'DATA (Real)'!N50*N$4/100</f>
        <v>3703.7947592428127</v>
      </c>
      <c r="O54" s="323">
        <f>'DATA (Real)'!O50*O$4/100</f>
        <v>3785.2782439461544</v>
      </c>
      <c r="P54" s="323">
        <f>'DATA (Real)'!P50*P$4/100</f>
        <v>3868.5543653129698</v>
      </c>
      <c r="Q54" s="323">
        <f>'DATA (Real)'!Q50*Q$4/100</f>
        <v>3953.662561349855</v>
      </c>
      <c r="R54" s="323">
        <f>'DATA (Real)'!R50*R$4/100</f>
        <v>4040.6431376995524</v>
      </c>
      <c r="S54" s="323">
        <f>'DATA (Real)'!S50*S$4/100</f>
        <v>4129.5372867289425</v>
      </c>
      <c r="T54" s="323">
        <f>'DATA (Real)'!T50*T$4/100</f>
        <v>4220.3871070369796</v>
      </c>
      <c r="U54" s="323">
        <f>'DATA (Real)'!U50*U$4/100</f>
        <v>4313.2356233917926</v>
      </c>
      <c r="V54" s="323">
        <f>'DATA (Real)'!V50*V$4/100</f>
        <v>4408.1268071064123</v>
      </c>
      <c r="W54" s="323">
        <f>'DATA (Real)'!W50*W$4/100</f>
        <v>4505.1055968627525</v>
      </c>
      <c r="X54" s="323">
        <f>'DATA (Real)'!X50*X$4/100</f>
        <v>4604.2179199937336</v>
      </c>
      <c r="Y54" s="323">
        <f>'DATA (Real)'!Y50*Y$4/100</f>
        <v>4705.5107142335955</v>
      </c>
      <c r="Z54" s="323">
        <f>'DATA (Real)'!Z50*Z$4/100</f>
        <v>4809.031949946735</v>
      </c>
      <c r="AA54" s="323">
        <f>'DATA (Real)'!AA50*AA$4/100</f>
        <v>4914.8306528455632</v>
      </c>
      <c r="AB54" s="323">
        <f>'DATA (Real)'!AB50*AB$4/100</f>
        <v>5022.9569272081662</v>
      </c>
      <c r="AC54" s="323">
        <f>'DATA (Real)'!AC50*AC$4/100</f>
        <v>5133.4619796067454</v>
      </c>
      <c r="AD54" s="323">
        <f>'DATA (Real)'!AD50*AD$4/100</f>
        <v>5246.3981431580942</v>
      </c>
      <c r="AE54" s="323">
        <f>'DATA (Real)'!AE50*AE$4/100</f>
        <v>5361.818902307572</v>
      </c>
      <c r="AF54" s="323">
        <f>'DATA (Real)'!AF50*AF$4/100</f>
        <v>5479.7789181583385</v>
      </c>
      <c r="AG54" s="323">
        <f>'DATA (Real)'!AG50*AG$4/100</f>
        <v>5600.3340543578215</v>
      </c>
      <c r="AH54" s="323">
        <f>'DATA (Real)'!AH50*AH$4/100</f>
        <v>5723.5414035536942</v>
      </c>
      <c r="AI54" s="323">
        <f>'DATA (Real)'!AI50*AI$4/100</f>
        <v>5849.4593144318751</v>
      </c>
      <c r="AJ54" s="323">
        <f>'DATA (Real)'!AJ50*AJ$4/100</f>
        <v>5978.1474193493768</v>
      </c>
      <c r="AK54" s="318"/>
      <c r="AL54" s="318"/>
      <c r="AM54" s="318"/>
      <c r="AN54" s="318"/>
      <c r="AO54" s="318"/>
      <c r="AP54" s="318"/>
      <c r="AQ54" s="318"/>
      <c r="AR54" s="318"/>
      <c r="AS54" s="318"/>
      <c r="AT54" s="318"/>
      <c r="AU54" s="318"/>
      <c r="AV54" s="318"/>
      <c r="AW54" s="318"/>
      <c r="AX54" s="318"/>
      <c r="AY54" s="318"/>
      <c r="AZ54" s="318"/>
      <c r="BA54" s="318"/>
      <c r="BB54" s="318"/>
      <c r="BC54" s="318"/>
      <c r="BD54" s="318"/>
      <c r="BE54" s="318"/>
      <c r="BF54" s="318"/>
      <c r="BG54" s="318"/>
      <c r="BH54" s="318"/>
      <c r="BI54" s="318"/>
      <c r="BJ54" s="318"/>
      <c r="BK54" s="318"/>
      <c r="BL54" s="318"/>
      <c r="BM54" s="318"/>
      <c r="BN54" s="318"/>
      <c r="BO54" s="318"/>
      <c r="BP54" s="318"/>
      <c r="BQ54" s="318"/>
      <c r="BR54" s="318"/>
      <c r="BS54" s="318"/>
      <c r="BT54" s="318"/>
      <c r="BU54" s="318"/>
      <c r="BV54" s="318"/>
      <c r="BW54" s="318"/>
      <c r="BX54" s="318"/>
    </row>
    <row r="55" spans="2:76" hidden="1" outlineLevel="1">
      <c r="B55" s="349" t="s">
        <v>230</v>
      </c>
      <c r="C55" s="349" t="str">
        <f>'DATA (Real)'!C51</f>
        <v>Internal</v>
      </c>
      <c r="D55" s="349" t="str">
        <f>'DATA (Real)'!D51</f>
        <v>CAPEX ($/kW)</v>
      </c>
      <c r="E55" s="349" t="str">
        <f>'DATA (Real)'!E51</f>
        <v>Wood Biomass</v>
      </c>
      <c r="F55" s="313"/>
      <c r="G55" s="313"/>
      <c r="H55" s="313">
        <f>'DATA (Real)'!H51</f>
        <v>4756.0590277777774</v>
      </c>
      <c r="I55" s="323">
        <f>'DATA (Real)'!I51*I$4/$H$4</f>
        <v>4906.9212201388891</v>
      </c>
      <c r="J55" s="323">
        <f>'DATA (Real)'!J51*J$4/$H$4</f>
        <v>5022.3463190901139</v>
      </c>
      <c r="K55" s="323">
        <f>'DATA (Real)'!K51*K$4/$H$4</f>
        <v>5134.5120535497917</v>
      </c>
      <c r="L55" s="323">
        <f>'DATA (Real)'!L51*L$4/$H$4</f>
        <v>5249.1828227457372</v>
      </c>
      <c r="M55" s="323">
        <f>'DATA (Real)'!M51*M$4/$H$4</f>
        <v>5366.4145724537257</v>
      </c>
      <c r="N55" s="323">
        <f>'DATA (Real)'!N51*N$4/$H$4</f>
        <v>5484.4756930477079</v>
      </c>
      <c r="O55" s="323">
        <f>'DATA (Real)'!O51*O$4/$H$4</f>
        <v>5605.1341582947571</v>
      </c>
      <c r="P55" s="323">
        <f>'DATA (Real)'!P51*P$4/$H$4</f>
        <v>5728.4471097772421</v>
      </c>
      <c r="Q55" s="323">
        <f>'DATA (Real)'!Q51*Q$4/$H$4</f>
        <v>5854.4729461923416</v>
      </c>
      <c r="R55" s="323">
        <f>'DATA (Real)'!R51*R$4/$H$4</f>
        <v>5983.2713510085732</v>
      </c>
      <c r="S55" s="323">
        <f>'DATA (Real)'!S51*S$4/$H$4</f>
        <v>6114.9033207307621</v>
      </c>
      <c r="T55" s="323">
        <f>'DATA (Real)'!T51*T$4/$H$4</f>
        <v>6249.4311937868388</v>
      </c>
      <c r="U55" s="323">
        <f>'DATA (Real)'!U51*U$4/$H$4</f>
        <v>6386.9186800501484</v>
      </c>
      <c r="V55" s="323">
        <f>'DATA (Real)'!V51*V$4/$H$4</f>
        <v>6527.4308910112522</v>
      </c>
      <c r="W55" s="323">
        <f>'DATA (Real)'!W51*W$4/$H$4</f>
        <v>6671.034370613499</v>
      </c>
      <c r="X55" s="323">
        <f>'DATA (Real)'!X51*X$4/$H$4</f>
        <v>6817.7971267669964</v>
      </c>
      <c r="Y55" s="323">
        <f>'DATA (Real)'!Y51*Y$4/$H$4</f>
        <v>6967.7886635558716</v>
      </c>
      <c r="Z55" s="323">
        <f>'DATA (Real)'!Z51*Z$4/$H$4</f>
        <v>7121.0800141541004</v>
      </c>
      <c r="AA55" s="323">
        <f>'DATA (Real)'!AA51*AA$4/$H$4</f>
        <v>7277.7437744654899</v>
      </c>
      <c r="AB55" s="323">
        <f>'DATA (Real)'!AB51*AB$4/$H$4</f>
        <v>7437.8541375037312</v>
      </c>
      <c r="AC55" s="323">
        <f>'DATA (Real)'!AC51*AC$4/$H$4</f>
        <v>7601.4869285288132</v>
      </c>
      <c r="AD55" s="323">
        <f>'DATA (Real)'!AD51*AD$4/$H$4</f>
        <v>7768.7196409564476</v>
      </c>
      <c r="AE55" s="323">
        <f>'DATA (Real)'!AE51*AE$4/$H$4</f>
        <v>7939.6314730574895</v>
      </c>
      <c r="AF55" s="323">
        <f>'DATA (Real)'!AF51*AF$4/$H$4</f>
        <v>8114.3033654647534</v>
      </c>
      <c r="AG55" s="323">
        <f>'DATA (Real)'!AG51*AG$4/$H$4</f>
        <v>8292.8180395049785</v>
      </c>
      <c r="AH55" s="323">
        <f>'DATA (Real)'!AH51*AH$4/$H$4</f>
        <v>8475.2600363740876</v>
      </c>
      <c r="AI55" s="323">
        <f>'DATA (Real)'!AI51*AI$4/$H$4</f>
        <v>8661.7157571743192</v>
      </c>
      <c r="AJ55" s="323">
        <f>'DATA (Real)'!AJ51*AJ$4/$H$4</f>
        <v>8852.2735038321534</v>
      </c>
      <c r="AK55" s="318"/>
      <c r="AL55" s="318"/>
      <c r="AM55" s="318"/>
      <c r="AN55" s="318"/>
      <c r="AO55" s="318"/>
      <c r="AP55" s="318"/>
      <c r="AQ55" s="318"/>
      <c r="AR55" s="318"/>
      <c r="AS55" s="318"/>
      <c r="AT55" s="318"/>
      <c r="AU55" s="318"/>
      <c r="AV55" s="318"/>
      <c r="AW55" s="318"/>
      <c r="AX55" s="318"/>
      <c r="AY55" s="318"/>
      <c r="AZ55" s="318"/>
      <c r="BA55" s="318"/>
      <c r="BB55" s="318"/>
      <c r="BC55" s="318"/>
      <c r="BD55" s="318"/>
      <c r="BE55" s="318"/>
      <c r="BF55" s="318"/>
      <c r="BG55" s="318"/>
      <c r="BH55" s="318"/>
      <c r="BI55" s="318"/>
      <c r="BJ55" s="318"/>
      <c r="BK55" s="318"/>
      <c r="BL55" s="318"/>
      <c r="BM55" s="318"/>
      <c r="BN55" s="318"/>
      <c r="BO55" s="318"/>
      <c r="BP55" s="318"/>
      <c r="BQ55" s="318"/>
      <c r="BR55" s="318"/>
      <c r="BS55" s="318"/>
      <c r="BT55" s="318"/>
      <c r="BU55" s="318"/>
      <c r="BV55" s="318"/>
      <c r="BW55" s="318"/>
      <c r="BX55" s="318"/>
    </row>
    <row r="56" spans="2:76" hidden="1" outlineLevel="1">
      <c r="B56" s="349" t="s">
        <v>230</v>
      </c>
      <c r="C56" s="349" t="str">
        <f>'DATA (Real)'!C52</f>
        <v>Internal</v>
      </c>
      <c r="D56" s="349" t="str">
        <f>'DATA (Real)'!D52</f>
        <v>CAPEX ($/kW)</v>
      </c>
      <c r="E56" s="349" t="str">
        <f>'DATA (Real)'!E52</f>
        <v>Rathdrum CT 2055 Uprates two unit operation</v>
      </c>
      <c r="F56" s="313"/>
      <c r="G56" s="313"/>
      <c r="H56" s="313">
        <f>'DATA (Real)'!H52</f>
        <v>829.14999999999986</v>
      </c>
      <c r="I56" s="323">
        <f>'DATA (Real)'!I52*I$4/$H$4</f>
        <v>855.45063799999991</v>
      </c>
      <c r="J56" s="323">
        <f>'DATA (Real)'!J52*J$4/$H$4</f>
        <v>875.57333207012061</v>
      </c>
      <c r="K56" s="323">
        <f>'DATA (Real)'!K52*K$4/$H$4</f>
        <v>895.12780315301984</v>
      </c>
      <c r="L56" s="323">
        <f>'DATA (Real)'!L52*L$4/$H$4</f>
        <v>915.1189907567707</v>
      </c>
      <c r="M56" s="323">
        <f>'DATA (Real)'!M52*M$4/$H$4</f>
        <v>935.5566482170052</v>
      </c>
      <c r="N56" s="323">
        <f>'DATA (Real)'!N52*N$4/$H$4</f>
        <v>956.13889447777933</v>
      </c>
      <c r="O56" s="323">
        <f>'DATA (Real)'!O52*O$4/$H$4</f>
        <v>977.17395015629052</v>
      </c>
      <c r="P56" s="323">
        <f>'DATA (Real)'!P52*P$4/$H$4</f>
        <v>998.67177705972892</v>
      </c>
      <c r="Q56" s="323">
        <f>'DATA (Real)'!Q52*Q$4/$H$4</f>
        <v>1020.6425561550429</v>
      </c>
      <c r="R56" s="323">
        <f>'DATA (Real)'!R52*R$4/$H$4</f>
        <v>1043.0966923904541</v>
      </c>
      <c r="S56" s="323">
        <f>'DATA (Real)'!S52*S$4/$H$4</f>
        <v>1066.0448196230441</v>
      </c>
      <c r="T56" s="323">
        <f>'DATA (Real)'!T52*T$4/$H$4</f>
        <v>1089.4978056547509</v>
      </c>
      <c r="U56" s="323">
        <f>'DATA (Real)'!U52*U$4/$H$4</f>
        <v>1113.4667573791553</v>
      </c>
      <c r="V56" s="323">
        <f>'DATA (Real)'!V52*V$4/$H$4</f>
        <v>1137.9630260414967</v>
      </c>
      <c r="W56" s="323">
        <f>'DATA (Real)'!W52*W$4/$H$4</f>
        <v>1162.9982126144096</v>
      </c>
      <c r="X56" s="323">
        <f>'DATA (Real)'!X52*X$4/$H$4</f>
        <v>1188.5841732919268</v>
      </c>
      <c r="Y56" s="323">
        <f>'DATA (Real)'!Y52*Y$4/$H$4</f>
        <v>1214.7330251043493</v>
      </c>
      <c r="Z56" s="323">
        <f>'DATA (Real)'!Z52*Z$4/$H$4</f>
        <v>1241.457151656645</v>
      </c>
      <c r="AA56" s="323">
        <f>'DATA (Real)'!AA52*AA$4/$H$4</f>
        <v>1268.7692089930911</v>
      </c>
      <c r="AB56" s="323">
        <f>'DATA (Real)'!AB52*AB$4/$H$4</f>
        <v>1296.6821315909392</v>
      </c>
      <c r="AC56" s="323">
        <f>'DATA (Real)'!AC52*AC$4/$H$4</f>
        <v>1325.2091384859398</v>
      </c>
      <c r="AD56" s="323">
        <f>'DATA (Real)'!AD52*AD$4/$H$4</f>
        <v>1354.3637395326302</v>
      </c>
      <c r="AE56" s="323">
        <f>'DATA (Real)'!AE52*AE$4/$H$4</f>
        <v>1384.1597418023484</v>
      </c>
      <c r="AF56" s="323">
        <f>'DATA (Real)'!AF52*AF$4/$H$4</f>
        <v>1414.611256122</v>
      </c>
      <c r="AG56" s="323">
        <f>'DATA (Real)'!AG52*AG$4/$H$4</f>
        <v>1445.7327037566838</v>
      </c>
      <c r="AH56" s="323">
        <f>'DATA (Real)'!AH52*AH$4/$H$4</f>
        <v>1477.5388232393311</v>
      </c>
      <c r="AI56" s="323">
        <f>'DATA (Real)'!AI52*AI$4/$H$4</f>
        <v>1510.0446773505964</v>
      </c>
      <c r="AJ56" s="323">
        <f>'DATA (Real)'!AJ52*AJ$4/$H$4</f>
        <v>1543.2656602523095</v>
      </c>
      <c r="AK56" s="318"/>
      <c r="AL56" s="318"/>
      <c r="AM56" s="318"/>
      <c r="AN56" s="318"/>
      <c r="AO56" s="318"/>
      <c r="AP56" s="318"/>
      <c r="AQ56" s="318"/>
      <c r="AR56" s="318"/>
      <c r="AS56" s="318"/>
      <c r="AT56" s="318"/>
      <c r="AU56" s="318"/>
      <c r="AV56" s="318"/>
      <c r="AW56" s="318"/>
      <c r="AX56" s="318"/>
      <c r="AY56" s="318"/>
      <c r="AZ56" s="318"/>
      <c r="BA56" s="318"/>
      <c r="BB56" s="318"/>
      <c r="BC56" s="318"/>
      <c r="BD56" s="318"/>
      <c r="BE56" s="318"/>
      <c r="BF56" s="318"/>
      <c r="BG56" s="318"/>
      <c r="BH56" s="318"/>
      <c r="BI56" s="318"/>
      <c r="BJ56" s="318"/>
      <c r="BK56" s="318"/>
      <c r="BL56" s="318"/>
      <c r="BM56" s="318"/>
      <c r="BN56" s="318"/>
      <c r="BO56" s="318"/>
      <c r="BP56" s="318"/>
      <c r="BQ56" s="318"/>
      <c r="BR56" s="318"/>
      <c r="BS56" s="318"/>
      <c r="BT56" s="318"/>
      <c r="BU56" s="318"/>
      <c r="BV56" s="318"/>
      <c r="BW56" s="318"/>
      <c r="BX56" s="318"/>
    </row>
    <row r="57" spans="2:76" hidden="1" outlineLevel="1">
      <c r="B57" s="349" t="s">
        <v>230</v>
      </c>
      <c r="C57" s="349" t="str">
        <f>'DATA (Real)'!C53</f>
        <v>Internal</v>
      </c>
      <c r="D57" s="349" t="str">
        <f>'DATA (Real)'!D53</f>
        <v>CAPEX ($/kW)</v>
      </c>
      <c r="E57" s="349" t="str">
        <f>'DATA (Real)'!E53</f>
        <v>Rathdrum CT: Inlet Evaporation 2 unit operation</v>
      </c>
      <c r="F57" s="313"/>
      <c r="G57" s="313"/>
      <c r="H57" s="313">
        <f>'DATA (Real)'!H53</f>
        <v>150</v>
      </c>
      <c r="I57" s="323">
        <f>'DATA (Real)'!I53*I$4/$H$4</f>
        <v>154.75799999999998</v>
      </c>
      <c r="J57" s="323">
        <f>'DATA (Real)'!J53*J$4/$H$4</f>
        <v>158.3983595375</v>
      </c>
      <c r="K57" s="323">
        <f>'DATA (Real)'!K53*K$4/$H$4</f>
        <v>161.93592290050415</v>
      </c>
      <c r="L57" s="323">
        <f>'DATA (Real)'!L53*L$4/$H$4</f>
        <v>165.55249184528205</v>
      </c>
      <c r="M57" s="323">
        <f>'DATA (Real)'!M53*M$4/$H$4</f>
        <v>169.24983082982669</v>
      </c>
      <c r="N57" s="323">
        <f>'DATA (Real)'!N53*N$4/$H$4</f>
        <v>172.97332710808288</v>
      </c>
      <c r="O57" s="323">
        <f>'DATA (Real)'!O53*O$4/$H$4</f>
        <v>176.77874030446074</v>
      </c>
      <c r="P57" s="323">
        <f>'DATA (Real)'!P53*P$4/$H$4</f>
        <v>180.66787259115884</v>
      </c>
      <c r="Q57" s="323">
        <f>'DATA (Real)'!Q53*Q$4/$H$4</f>
        <v>184.64256578816435</v>
      </c>
      <c r="R57" s="323">
        <f>'DATA (Real)'!R53*R$4/$H$4</f>
        <v>188.70470223550399</v>
      </c>
      <c r="S57" s="323">
        <f>'DATA (Real)'!S53*S$4/$H$4</f>
        <v>192.85620568468508</v>
      </c>
      <c r="T57" s="323">
        <f>'DATA (Real)'!T53*T$4/$H$4</f>
        <v>197.09904220974812</v>
      </c>
      <c r="U57" s="323">
        <f>'DATA (Real)'!U53*U$4/$H$4</f>
        <v>201.43522113836261</v>
      </c>
      <c r="V57" s="323">
        <f>'DATA (Real)'!V53*V$4/$H$4</f>
        <v>205.86679600340656</v>
      </c>
      <c r="W57" s="323">
        <f>'DATA (Real)'!W53*W$4/$H$4</f>
        <v>210.39586551548149</v>
      </c>
      <c r="X57" s="323">
        <f>'DATA (Real)'!X53*X$4/$H$4</f>
        <v>215.0245745568221</v>
      </c>
      <c r="Y57" s="323">
        <f>'DATA (Real)'!Y53*Y$4/$H$4</f>
        <v>219.7551151970722</v>
      </c>
      <c r="Z57" s="323">
        <f>'DATA (Real)'!Z53*Z$4/$H$4</f>
        <v>224.58972773140781</v>
      </c>
      <c r="AA57" s="323">
        <f>'DATA (Real)'!AA53*AA$4/$H$4</f>
        <v>229.53070174149875</v>
      </c>
      <c r="AB57" s="323">
        <f>'DATA (Real)'!AB53*AB$4/$H$4</f>
        <v>234.58037717981173</v>
      </c>
      <c r="AC57" s="323">
        <f>'DATA (Real)'!AC53*AC$4/$H$4</f>
        <v>239.74114547776759</v>
      </c>
      <c r="AD57" s="323">
        <f>'DATA (Real)'!AD53*AD$4/$H$4</f>
        <v>245.01545067827846</v>
      </c>
      <c r="AE57" s="323">
        <f>'DATA (Real)'!AE53*AE$4/$H$4</f>
        <v>250.40579059320063</v>
      </c>
      <c r="AF57" s="323">
        <f>'DATA (Real)'!AF53*AF$4/$H$4</f>
        <v>255.91471798625102</v>
      </c>
      <c r="AG57" s="323">
        <f>'DATA (Real)'!AG53*AG$4/$H$4</f>
        <v>261.54484178194855</v>
      </c>
      <c r="AH57" s="323">
        <f>'DATA (Real)'!AH53*AH$4/$H$4</f>
        <v>267.29882830115139</v>
      </c>
      <c r="AI57" s="323">
        <f>'DATA (Real)'!AI53*AI$4/$H$4</f>
        <v>273.17940252377673</v>
      </c>
      <c r="AJ57" s="323">
        <f>'DATA (Real)'!AJ53*AJ$4/$H$4</f>
        <v>279.18934937929981</v>
      </c>
      <c r="AK57" s="318"/>
      <c r="AL57" s="318"/>
      <c r="AM57" s="318"/>
      <c r="AN57" s="318"/>
      <c r="AO57" s="318"/>
      <c r="AP57" s="318"/>
      <c r="AQ57" s="318"/>
      <c r="AR57" s="318"/>
      <c r="AS57" s="318"/>
      <c r="AT57" s="318"/>
      <c r="AU57" s="318"/>
      <c r="AV57" s="318"/>
      <c r="AW57" s="318"/>
      <c r="AX57" s="318"/>
      <c r="AY57" s="318"/>
      <c r="AZ57" s="318"/>
      <c r="BA57" s="318"/>
      <c r="BB57" s="318"/>
      <c r="BC57" s="318"/>
      <c r="BD57" s="318"/>
      <c r="BE57" s="318"/>
      <c r="BF57" s="318"/>
      <c r="BG57" s="318"/>
      <c r="BH57" s="318"/>
      <c r="BI57" s="318"/>
      <c r="BJ57" s="318"/>
      <c r="BK57" s="318"/>
      <c r="BL57" s="318"/>
      <c r="BM57" s="318"/>
      <c r="BN57" s="318"/>
      <c r="BO57" s="318"/>
      <c r="BP57" s="318"/>
      <c r="BQ57" s="318"/>
      <c r="BR57" s="318"/>
      <c r="BS57" s="318"/>
      <c r="BT57" s="318"/>
      <c r="BU57" s="318"/>
      <c r="BV57" s="318"/>
      <c r="BW57" s="318"/>
      <c r="BX57" s="318"/>
    </row>
    <row r="58" spans="2:76" hidden="1" outlineLevel="1">
      <c r="B58" s="352" t="s">
        <v>230</v>
      </c>
      <c r="C58" s="352" t="str">
        <f>'DATA (Real)'!C54</f>
        <v>Internal</v>
      </c>
      <c r="D58" s="352" t="str">
        <f>'DATA (Real)'!D54</f>
        <v>CAPEX ($/kW)</v>
      </c>
      <c r="E58" s="352" t="str">
        <f>'DATA (Real)'!E54</f>
        <v>New Residential Solar</v>
      </c>
      <c r="F58" s="313"/>
      <c r="G58" s="313"/>
      <c r="H58" s="313">
        <f>'DATA (Real)'!H54</f>
        <v>3587.9999999999995</v>
      </c>
      <c r="I58" s="323">
        <f>'DATA (Real)'!I54*I$4/$H$4</f>
        <v>3701.8113599999997</v>
      </c>
      <c r="J58" s="323">
        <f>'DATA (Real)'!J54*J$4/$H$4</f>
        <v>3788.8887601369993</v>
      </c>
      <c r="K58" s="323">
        <f>'DATA (Real)'!K54*K$4/$H$4</f>
        <v>3873.5072757800585</v>
      </c>
      <c r="L58" s="323">
        <f>'DATA (Real)'!L54*L$4/$H$4</f>
        <v>3960.0156049391462</v>
      </c>
      <c r="M58" s="323">
        <f>'DATA (Real)'!M54*M$4/$H$4</f>
        <v>4048.4559534494542</v>
      </c>
      <c r="N58" s="323">
        <f>'DATA (Real)'!N54*N$4/$H$4</f>
        <v>4137.5219844253425</v>
      </c>
      <c r="O58" s="323">
        <f>'DATA (Real)'!O54*O$4/$H$4</f>
        <v>4228.5474680827001</v>
      </c>
      <c r="P58" s="323">
        <f>'DATA (Real)'!P54*P$4/$H$4</f>
        <v>4321.5755123805193</v>
      </c>
      <c r="Q58" s="323">
        <f>'DATA (Real)'!Q54*Q$4/$H$4</f>
        <v>4416.6501736528908</v>
      </c>
      <c r="R58" s="323">
        <f>'DATA (Real)'!R54*R$4/$H$4</f>
        <v>4513.816477473255</v>
      </c>
      <c r="S58" s="323">
        <f>'DATA (Real)'!S54*S$4/$H$4</f>
        <v>4613.1204399776661</v>
      </c>
      <c r="T58" s="323">
        <f>'DATA (Real)'!T54*T$4/$H$4</f>
        <v>4714.609089657175</v>
      </c>
      <c r="U58" s="323">
        <f>'DATA (Real)'!U54*U$4/$H$4</f>
        <v>4818.3304896296322</v>
      </c>
      <c r="V58" s="323">
        <f>'DATA (Real)'!V54*V$4/$H$4</f>
        <v>4924.3337604014851</v>
      </c>
      <c r="W58" s="323">
        <f>'DATA (Real)'!W54*W$4/$H$4</f>
        <v>5032.6691031303171</v>
      </c>
      <c r="X58" s="323">
        <f>'DATA (Real)'!X54*X$4/$H$4</f>
        <v>5143.3878233991836</v>
      </c>
      <c r="Y58" s="323">
        <f>'DATA (Real)'!Y54*Y$4/$H$4</f>
        <v>5256.5423555139669</v>
      </c>
      <c r="Z58" s="323">
        <f>'DATA (Real)'!Z54*Z$4/$H$4</f>
        <v>5372.1862873352738</v>
      </c>
      <c r="AA58" s="323">
        <f>'DATA (Real)'!AA54*AA$4/$H$4</f>
        <v>5490.3743856566489</v>
      </c>
      <c r="AB58" s="323">
        <f>'DATA (Real)'!AB54*AB$4/$H$4</f>
        <v>5611.1626221410952</v>
      </c>
      <c r="AC58" s="323">
        <f>'DATA (Real)'!AC54*AC$4/$H$4</f>
        <v>5734.6081998281998</v>
      </c>
      <c r="AD58" s="323">
        <f>'DATA (Real)'!AD54*AD$4/$H$4</f>
        <v>5860.7695802244198</v>
      </c>
      <c r="AE58" s="323">
        <f>'DATA (Real)'!AE54*AE$4/$H$4</f>
        <v>5989.7065109893583</v>
      </c>
      <c r="AF58" s="323">
        <f>'DATA (Real)'!AF54*AF$4/$H$4</f>
        <v>6121.4800542311232</v>
      </c>
      <c r="AG58" s="323">
        <f>'DATA (Real)'!AG54*AG$4/$H$4</f>
        <v>6256.1526154242083</v>
      </c>
      <c r="AH58" s="323">
        <f>'DATA (Real)'!AH54*AH$4/$H$4</f>
        <v>6393.7879729635406</v>
      </c>
      <c r="AI58" s="323">
        <f>'DATA (Real)'!AI54*AI$4/$H$4</f>
        <v>6534.4513083687389</v>
      </c>
      <c r="AJ58" s="323">
        <f>'DATA (Real)'!AJ54*AJ$4/$H$4</f>
        <v>6678.2092371528506</v>
      </c>
      <c r="AK58" s="323">
        <f>'DATA (Real)'!AK54*AK$4/$H$4</f>
        <v>6825.1298403702131</v>
      </c>
      <c r="AL58" s="323">
        <f>'DATA (Real)'!AL54*AL$4/$H$4</f>
        <v>6975.2826968583586</v>
      </c>
      <c r="AM58" s="323">
        <f>'DATA (Real)'!AM54*AM$4/$H$4</f>
        <v>7128.7389161892434</v>
      </c>
      <c r="AN58" s="323">
        <f>'DATA (Real)'!AN54*AN$4/$H$4</f>
        <v>7285.571172345406</v>
      </c>
      <c r="AO58" s="323">
        <f>'DATA (Real)'!AO54*AO$4/$H$4</f>
        <v>7445.8537381370052</v>
      </c>
      <c r="AP58" s="318"/>
      <c r="AQ58" s="318"/>
      <c r="AR58" s="318"/>
      <c r="AS58" s="318"/>
      <c r="AT58" s="318"/>
      <c r="AU58" s="318"/>
      <c r="AV58" s="318"/>
      <c r="AW58" s="318"/>
      <c r="AX58" s="318"/>
      <c r="AY58" s="318"/>
      <c r="AZ58" s="318"/>
      <c r="BA58" s="318"/>
      <c r="BB58" s="318"/>
      <c r="BC58" s="318"/>
      <c r="BD58" s="318"/>
      <c r="BE58" s="318"/>
      <c r="BF58" s="318"/>
      <c r="BG58" s="318"/>
      <c r="BH58" s="318"/>
      <c r="BI58" s="318"/>
      <c r="BJ58" s="318"/>
      <c r="BK58" s="318"/>
      <c r="BL58" s="318"/>
      <c r="BM58" s="318"/>
      <c r="BN58" s="318"/>
      <c r="BO58" s="318"/>
      <c r="BP58" s="318"/>
      <c r="BQ58" s="318"/>
      <c r="BR58" s="318"/>
      <c r="BS58" s="318"/>
      <c r="BT58" s="318"/>
      <c r="BU58" s="318"/>
      <c r="BV58" s="318"/>
      <c r="BW58" s="318"/>
      <c r="BX58" s="318"/>
    </row>
    <row r="59" spans="2:76" hidden="1" outlineLevel="1">
      <c r="B59" s="352" t="s">
        <v>230</v>
      </c>
      <c r="C59" s="352" t="str">
        <f>'DATA (Real)'!C55</f>
        <v>Internal</v>
      </c>
      <c r="D59" s="352" t="str">
        <f>'DATA (Real)'!D55</f>
        <v>CAPEX ($/kW)</v>
      </c>
      <c r="E59" s="352" t="str">
        <f>'DATA (Real)'!E55</f>
        <v>New Residential Solar + Storage (Solar Only)</v>
      </c>
      <c r="F59" s="313"/>
      <c r="G59" s="313"/>
      <c r="H59" s="313">
        <f>'DATA (Real)'!H55</f>
        <v>3587.9999999999995</v>
      </c>
      <c r="I59" s="323">
        <f>'DATA (Real)'!I55*I$4/$H$4</f>
        <v>3701.8113599999997</v>
      </c>
      <c r="J59" s="323">
        <f>'DATA (Real)'!J55*J$4/$H$4</f>
        <v>3788.8887601369993</v>
      </c>
      <c r="K59" s="323">
        <f>'DATA (Real)'!K55*K$4/$H$4</f>
        <v>3873.5072757800585</v>
      </c>
      <c r="L59" s="323">
        <f>'DATA (Real)'!L55*L$4/$H$4</f>
        <v>3960.0156049391462</v>
      </c>
      <c r="M59" s="323">
        <f>'DATA (Real)'!M55*M$4/$H$4</f>
        <v>4048.4559534494542</v>
      </c>
      <c r="N59" s="323">
        <f>'DATA (Real)'!N55*N$4/$H$4</f>
        <v>4137.5219844253425</v>
      </c>
      <c r="O59" s="323">
        <f>'DATA (Real)'!O55*O$4/$H$4</f>
        <v>4228.5474680827001</v>
      </c>
      <c r="P59" s="323">
        <f>'DATA (Real)'!P55*P$4/$H$4</f>
        <v>4321.5755123805193</v>
      </c>
      <c r="Q59" s="323">
        <f>'DATA (Real)'!Q55*Q$4/$H$4</f>
        <v>4416.6501736528908</v>
      </c>
      <c r="R59" s="323">
        <f>'DATA (Real)'!R55*R$4/$H$4</f>
        <v>4513.816477473255</v>
      </c>
      <c r="S59" s="323">
        <f>'DATA (Real)'!S55*S$4/$H$4</f>
        <v>4613.1204399776661</v>
      </c>
      <c r="T59" s="323">
        <f>'DATA (Real)'!T55*T$4/$H$4</f>
        <v>4714.609089657175</v>
      </c>
      <c r="U59" s="323">
        <f>'DATA (Real)'!U55*U$4/$H$4</f>
        <v>4818.3304896296322</v>
      </c>
      <c r="V59" s="323">
        <f>'DATA (Real)'!V55*V$4/$H$4</f>
        <v>4924.3337604014851</v>
      </c>
      <c r="W59" s="323">
        <f>'DATA (Real)'!W55*W$4/$H$4</f>
        <v>5032.6691031303171</v>
      </c>
      <c r="X59" s="323">
        <f>'DATA (Real)'!X55*X$4/$H$4</f>
        <v>5143.3878233991836</v>
      </c>
      <c r="Y59" s="323">
        <f>'DATA (Real)'!Y55*Y$4/$H$4</f>
        <v>5256.5423555139669</v>
      </c>
      <c r="Z59" s="323">
        <f>'DATA (Real)'!Z55*Z$4/$H$4</f>
        <v>5372.1862873352738</v>
      </c>
      <c r="AA59" s="323">
        <f>'DATA (Real)'!AA55*AA$4/$H$4</f>
        <v>5490.3743856566489</v>
      </c>
      <c r="AB59" s="323">
        <f>'DATA (Real)'!AB55*AB$4/$H$4</f>
        <v>5611.1626221410952</v>
      </c>
      <c r="AC59" s="323">
        <f>'DATA (Real)'!AC55*AC$4/$H$4</f>
        <v>5734.6081998281998</v>
      </c>
      <c r="AD59" s="323">
        <f>'DATA (Real)'!AD55*AD$4/$H$4</f>
        <v>5860.7695802244198</v>
      </c>
      <c r="AE59" s="323">
        <f>'DATA (Real)'!AE55*AE$4/$H$4</f>
        <v>5989.7065109893583</v>
      </c>
      <c r="AF59" s="323">
        <f>'DATA (Real)'!AF55*AF$4/$H$4</f>
        <v>6121.4800542311232</v>
      </c>
      <c r="AG59" s="323">
        <f>'DATA (Real)'!AG55*AG$4/$H$4</f>
        <v>6256.1526154242083</v>
      </c>
      <c r="AH59" s="323">
        <f>'DATA (Real)'!AH55*AH$4/$H$4</f>
        <v>6393.7879729635406</v>
      </c>
      <c r="AI59" s="323">
        <f>'DATA (Real)'!AI55*AI$4/$H$4</f>
        <v>6534.4513083687389</v>
      </c>
      <c r="AJ59" s="323">
        <f>'DATA (Real)'!AJ55*AJ$4/$H$4</f>
        <v>6678.2092371528506</v>
      </c>
      <c r="AK59" s="323">
        <f>'DATA (Real)'!AK55*AK$4/$H$4</f>
        <v>6825.1298403702131</v>
      </c>
      <c r="AL59" s="323">
        <f>'DATA (Real)'!AL55*AL$4/$H$4</f>
        <v>6975.2826968583586</v>
      </c>
      <c r="AM59" s="323">
        <f>'DATA (Real)'!AM55*AM$4/$H$4</f>
        <v>7128.7389161892434</v>
      </c>
      <c r="AN59" s="323">
        <f>'DATA (Real)'!AN55*AN$4/$H$4</f>
        <v>7285.571172345406</v>
      </c>
      <c r="AO59" s="323">
        <f>'DATA (Real)'!AO55*AO$4/$H$4</f>
        <v>7445.8537381370052</v>
      </c>
      <c r="AP59" s="318"/>
      <c r="AQ59" s="318"/>
      <c r="AR59" s="318"/>
      <c r="AS59" s="318"/>
      <c r="AT59" s="318"/>
      <c r="AU59" s="318"/>
      <c r="AV59" s="318"/>
      <c r="AW59" s="318"/>
      <c r="AX59" s="318"/>
      <c r="AY59" s="318"/>
      <c r="AZ59" s="318"/>
      <c r="BA59" s="318"/>
      <c r="BB59" s="318"/>
      <c r="BC59" s="318"/>
      <c r="BD59" s="318"/>
      <c r="BE59" s="318"/>
      <c r="BF59" s="318"/>
      <c r="BG59" s="318"/>
      <c r="BH59" s="318"/>
      <c r="BI59" s="318"/>
      <c r="BJ59" s="318"/>
      <c r="BK59" s="318"/>
      <c r="BL59" s="318"/>
      <c r="BM59" s="318"/>
      <c r="BN59" s="318"/>
      <c r="BO59" s="318"/>
      <c r="BP59" s="318"/>
      <c r="BQ59" s="318"/>
      <c r="BR59" s="318"/>
      <c r="BS59" s="318"/>
      <c r="BT59" s="318"/>
      <c r="BU59" s="318"/>
      <c r="BV59" s="318"/>
      <c r="BW59" s="318"/>
      <c r="BX59" s="318"/>
    </row>
    <row r="60" spans="2:76" hidden="1" outlineLevel="1">
      <c r="B60" s="352" t="s">
        <v>230</v>
      </c>
      <c r="C60" s="352" t="str">
        <f>'DATA (Real)'!C56</f>
        <v>Internal</v>
      </c>
      <c r="D60" s="352" t="str">
        <f>'DATA (Real)'!D56</f>
        <v>CAPEX ($/kW)</v>
      </c>
      <c r="E60" s="352" t="str">
        <f>'DATA (Real)'!E56</f>
        <v>New Residential Solar + Storage (Battery Only)</v>
      </c>
      <c r="F60" s="313"/>
      <c r="G60" s="313"/>
      <c r="H60" s="313">
        <f>'DATA (Real)'!H56</f>
        <v>2989.9999999999995</v>
      </c>
      <c r="I60" s="323">
        <f>'DATA (Real)'!I56*I$4/$H$4</f>
        <v>3084.8427999999999</v>
      </c>
      <c r="J60" s="323">
        <f>'DATA (Real)'!J56*J$4/$H$4</f>
        <v>3157.407300114166</v>
      </c>
      <c r="K60" s="323">
        <f>'DATA (Real)'!K56*K$4/$H$4</f>
        <v>3227.9227298167157</v>
      </c>
      <c r="L60" s="323">
        <f>'DATA (Real)'!L56*L$4/$H$4</f>
        <v>3300.0130041159555</v>
      </c>
      <c r="M60" s="323">
        <f>'DATA (Real)'!M56*M$4/$H$4</f>
        <v>3373.7132945412118</v>
      </c>
      <c r="N60" s="323">
        <f>'DATA (Real)'!N56*N$4/$H$4</f>
        <v>3447.9349870211186</v>
      </c>
      <c r="O60" s="323">
        <f>'DATA (Real)'!O56*O$4/$H$4</f>
        <v>3523.7895567355831</v>
      </c>
      <c r="P60" s="323">
        <f>'DATA (Real)'!P56*P$4/$H$4</f>
        <v>3601.3129269837659</v>
      </c>
      <c r="Q60" s="323">
        <f>'DATA (Real)'!Q56*Q$4/$H$4</f>
        <v>3680.541811377409</v>
      </c>
      <c r="R60" s="323">
        <f>'DATA (Real)'!R56*R$4/$H$4</f>
        <v>3761.513731227712</v>
      </c>
      <c r="S60" s="323">
        <f>'DATA (Real)'!S56*S$4/$H$4</f>
        <v>3844.2670333147221</v>
      </c>
      <c r="T60" s="323">
        <f>'DATA (Real)'!T56*T$4/$H$4</f>
        <v>3928.8409080476454</v>
      </c>
      <c r="U60" s="323">
        <f>'DATA (Real)'!U56*U$4/$H$4</f>
        <v>4015.2754080246937</v>
      </c>
      <c r="V60" s="323">
        <f>'DATA (Real)'!V56*V$4/$H$4</f>
        <v>4103.6114670012366</v>
      </c>
      <c r="W60" s="323">
        <f>'DATA (Real)'!W56*W$4/$H$4</f>
        <v>4193.8909192752635</v>
      </c>
      <c r="X60" s="323">
        <f>'DATA (Real)'!X56*X$4/$H$4</f>
        <v>4286.15651949932</v>
      </c>
      <c r="Y60" s="323">
        <f>'DATA (Real)'!Y56*Y$4/$H$4</f>
        <v>4380.451962928305</v>
      </c>
      <c r="Z60" s="323">
        <f>'DATA (Real)'!Z56*Z$4/$H$4</f>
        <v>4476.8219061127284</v>
      </c>
      <c r="AA60" s="323">
        <f>'DATA (Real)'!AA56*AA$4/$H$4</f>
        <v>4575.3119880472077</v>
      </c>
      <c r="AB60" s="323">
        <f>'DATA (Real)'!AB56*AB$4/$H$4</f>
        <v>4675.968851784246</v>
      </c>
      <c r="AC60" s="323">
        <f>'DATA (Real)'!AC56*AC$4/$H$4</f>
        <v>4778.8401665234996</v>
      </c>
      <c r="AD60" s="323">
        <f>'DATA (Real)'!AD56*AD$4/$H$4</f>
        <v>4883.9746501870159</v>
      </c>
      <c r="AE60" s="323">
        <f>'DATA (Real)'!AE56*AE$4/$H$4</f>
        <v>4991.4220924911315</v>
      </c>
      <c r="AF60" s="323">
        <f>'DATA (Real)'!AF56*AF$4/$H$4</f>
        <v>5101.2333785259361</v>
      </c>
      <c r="AG60" s="323">
        <f>'DATA (Real)'!AG56*AG$4/$H$4</f>
        <v>5213.4605128535068</v>
      </c>
      <c r="AH60" s="323">
        <f>'DATA (Real)'!AH56*AH$4/$H$4</f>
        <v>5328.1566441362838</v>
      </c>
      <c r="AI60" s="323">
        <f>'DATA (Real)'!AI56*AI$4/$H$4</f>
        <v>5445.3760903072816</v>
      </c>
      <c r="AJ60" s="323">
        <f>'DATA (Real)'!AJ56*AJ$4/$H$4</f>
        <v>5565.1743642940419</v>
      </c>
      <c r="AK60" s="323">
        <f>'DATA (Real)'!AK56*AK$4/$H$4</f>
        <v>5687.6082003085103</v>
      </c>
      <c r="AL60" s="323">
        <f>'DATA (Real)'!AL56*AL$4/$H$4</f>
        <v>5812.7355807152981</v>
      </c>
      <c r="AM60" s="323">
        <f>'DATA (Real)'!AM56*AM$4/$H$4</f>
        <v>5940.615763491036</v>
      </c>
      <c r="AN60" s="323">
        <f>'DATA (Real)'!AN56*AN$4/$H$4</f>
        <v>6071.3093102878383</v>
      </c>
      <c r="AO60" s="323">
        <f>'DATA (Real)'!AO56*AO$4/$H$4</f>
        <v>6204.8781151141702</v>
      </c>
      <c r="AP60" s="318"/>
      <c r="AQ60" s="318"/>
      <c r="AR60" s="318"/>
      <c r="AS60" s="318"/>
      <c r="AT60" s="318"/>
      <c r="AU60" s="318"/>
      <c r="AV60" s="318"/>
      <c r="AW60" s="318"/>
      <c r="AX60" s="318"/>
      <c r="AY60" s="318"/>
      <c r="AZ60" s="318"/>
      <c r="BA60" s="318"/>
      <c r="BB60" s="318"/>
      <c r="BC60" s="318"/>
      <c r="BD60" s="318"/>
      <c r="BE60" s="318"/>
      <c r="BF60" s="318"/>
      <c r="BG60" s="318"/>
      <c r="BH60" s="318"/>
      <c r="BI60" s="318"/>
      <c r="BJ60" s="318"/>
      <c r="BK60" s="318"/>
      <c r="BL60" s="318"/>
      <c r="BM60" s="318"/>
      <c r="BN60" s="318"/>
      <c r="BO60" s="318"/>
      <c r="BP60" s="318"/>
      <c r="BQ60" s="318"/>
      <c r="BR60" s="318"/>
      <c r="BS60" s="318"/>
      <c r="BT60" s="318"/>
      <c r="BU60" s="318"/>
      <c r="BV60" s="318"/>
      <c r="BW60" s="318"/>
      <c r="BX60" s="318"/>
    </row>
    <row r="61" spans="2:76" hidden="1" outlineLevel="1">
      <c r="B61" s="352" t="s">
        <v>230</v>
      </c>
      <c r="C61" s="352" t="str">
        <f>'DATA (Real)'!C57</f>
        <v>Internal</v>
      </c>
      <c r="D61" s="352" t="str">
        <f>'DATA (Real)'!D57</f>
        <v>CAPEX ($/kW)</v>
      </c>
      <c r="E61" s="352" t="str">
        <f>'DATA (Real)'!E57</f>
        <v>Existing Residential Solar</v>
      </c>
      <c r="F61" s="313"/>
      <c r="G61" s="313"/>
      <c r="H61" s="313">
        <f>'DATA (Real)'!H57</f>
        <v>3909.9999999999995</v>
      </c>
      <c r="I61" s="323">
        <f>'DATA (Real)'!I57*I$4/$H$4</f>
        <v>4034.0251999999996</v>
      </c>
      <c r="J61" s="323">
        <f>'DATA (Real)'!J57*J$4/$H$4</f>
        <v>4128.917238610833</v>
      </c>
      <c r="K61" s="323">
        <f>'DATA (Real)'!K57*K$4/$H$4</f>
        <v>4221.1297236064738</v>
      </c>
      <c r="L61" s="323">
        <f>'DATA (Real)'!L57*L$4/$H$4</f>
        <v>4315.4016207670193</v>
      </c>
      <c r="M61" s="323">
        <f>'DATA (Real)'!M57*M$4/$H$4</f>
        <v>4411.7789236308154</v>
      </c>
      <c r="N61" s="323">
        <f>'DATA (Real)'!N57*N$4/$H$4</f>
        <v>4508.8380599506936</v>
      </c>
      <c r="O61" s="323">
        <f>'DATA (Real)'!O57*O$4/$H$4</f>
        <v>4608.0324972696089</v>
      </c>
      <c r="P61" s="323">
        <f>'DATA (Real)'!P57*P$4/$H$4</f>
        <v>4709.4092122095399</v>
      </c>
      <c r="Q61" s="323">
        <f>'DATA (Real)'!Q57*Q$4/$H$4</f>
        <v>4813.0162148781501</v>
      </c>
      <c r="R61" s="323">
        <f>'DATA (Real)'!R57*R$4/$H$4</f>
        <v>4918.9025716054703</v>
      </c>
      <c r="S61" s="323">
        <f>'DATA (Real)'!S57*S$4/$H$4</f>
        <v>5027.11842818079</v>
      </c>
      <c r="T61" s="323">
        <f>'DATA (Real)'!T57*T$4/$H$4</f>
        <v>5137.7150336007671</v>
      </c>
      <c r="U61" s="323">
        <f>'DATA (Real)'!U57*U$4/$H$4</f>
        <v>5250.7447643399846</v>
      </c>
      <c r="V61" s="323">
        <f>'DATA (Real)'!V57*V$4/$H$4</f>
        <v>5366.2611491554644</v>
      </c>
      <c r="W61" s="323">
        <f>'DATA (Real)'!W57*W$4/$H$4</f>
        <v>5484.318894436884</v>
      </c>
      <c r="X61" s="323">
        <f>'DATA (Real)'!X57*X$4/$H$4</f>
        <v>5604.973910114496</v>
      </c>
      <c r="Y61" s="323">
        <f>'DATA (Real)'!Y57*Y$4/$H$4</f>
        <v>5728.2833361370149</v>
      </c>
      <c r="Z61" s="323">
        <f>'DATA (Real)'!Z57*Z$4/$H$4</f>
        <v>5854.305569532029</v>
      </c>
      <c r="AA61" s="323">
        <f>'DATA (Real)'!AA57*AA$4/$H$4</f>
        <v>5983.1002920617329</v>
      </c>
      <c r="AB61" s="323">
        <f>'DATA (Real)'!AB57*AB$4/$H$4</f>
        <v>6114.7284984870912</v>
      </c>
      <c r="AC61" s="323">
        <f>'DATA (Real)'!AC57*AC$4/$H$4</f>
        <v>6249.2525254538077</v>
      </c>
      <c r="AD61" s="323">
        <f>'DATA (Real)'!AD57*AD$4/$H$4</f>
        <v>6386.7360810137916</v>
      </c>
      <c r="AE61" s="323">
        <f>'DATA (Real)'!AE57*AE$4/$H$4</f>
        <v>6527.2442747960949</v>
      </c>
      <c r="AF61" s="323">
        <f>'DATA (Real)'!AF57*AF$4/$H$4</f>
        <v>6670.8436488416091</v>
      </c>
      <c r="AG61" s="323">
        <f>'DATA (Real)'!AG57*AG$4/$H$4</f>
        <v>6817.602209116124</v>
      </c>
      <c r="AH61" s="323">
        <f>'DATA (Real)'!AH57*AH$4/$H$4</f>
        <v>6967.5894577166791</v>
      </c>
      <c r="AI61" s="323">
        <f>'DATA (Real)'!AI57*AI$4/$H$4</f>
        <v>7120.8764257864468</v>
      </c>
      <c r="AJ61" s="323">
        <f>'DATA (Real)'!AJ57*AJ$4/$H$4</f>
        <v>7277.5357071537483</v>
      </c>
      <c r="AK61" s="323">
        <f>'DATA (Real)'!AK57*AK$4/$H$4</f>
        <v>7437.64149271113</v>
      </c>
      <c r="AL61" s="323">
        <f>'DATA (Real)'!AL57*AL$4/$H$4</f>
        <v>7601.2696055507759</v>
      </c>
      <c r="AM61" s="323">
        <f>'DATA (Real)'!AM57*AM$4/$H$4</f>
        <v>7768.4975368728929</v>
      </c>
      <c r="AN61" s="323">
        <f>'DATA (Real)'!AN57*AN$4/$H$4</f>
        <v>7939.4044826840964</v>
      </c>
      <c r="AO61" s="323">
        <f>'DATA (Real)'!AO57*AO$4/$H$4</f>
        <v>8114.0713813031462</v>
      </c>
      <c r="AP61" s="318"/>
      <c r="AQ61" s="318"/>
      <c r="AR61" s="318"/>
      <c r="AS61" s="318"/>
      <c r="AT61" s="318"/>
      <c r="AU61" s="318"/>
      <c r="AV61" s="318"/>
      <c r="AW61" s="318"/>
      <c r="AX61" s="318"/>
      <c r="AY61" s="318"/>
      <c r="AZ61" s="318"/>
      <c r="BA61" s="318"/>
      <c r="BB61" s="318"/>
      <c r="BC61" s="318"/>
      <c r="BD61" s="318"/>
      <c r="BE61" s="318"/>
      <c r="BF61" s="318"/>
      <c r="BG61" s="318"/>
      <c r="BH61" s="318"/>
      <c r="BI61" s="318"/>
      <c r="BJ61" s="318"/>
      <c r="BK61" s="318"/>
      <c r="BL61" s="318"/>
      <c r="BM61" s="318"/>
      <c r="BN61" s="318"/>
      <c r="BO61" s="318"/>
      <c r="BP61" s="318"/>
      <c r="BQ61" s="318"/>
      <c r="BR61" s="318"/>
      <c r="BS61" s="318"/>
      <c r="BT61" s="318"/>
      <c r="BU61" s="318"/>
      <c r="BV61" s="318"/>
      <c r="BW61" s="318"/>
      <c r="BX61" s="318"/>
    </row>
    <row r="62" spans="2:76" hidden="1" outlineLevel="1">
      <c r="B62" s="352" t="s">
        <v>230</v>
      </c>
      <c r="C62" s="352" t="str">
        <f>'DATA (Real)'!C58</f>
        <v>Internal</v>
      </c>
      <c r="D62" s="352" t="str">
        <f>'DATA (Real)'!D58</f>
        <v>CAPEX ($/kW)</v>
      </c>
      <c r="E62" s="352" t="str">
        <f>'DATA (Real)'!E58</f>
        <v>Existing Residential Solar + Storage (Solar Only)</v>
      </c>
      <c r="F62" s="313"/>
      <c r="G62" s="313"/>
      <c r="H62" s="313">
        <f>'DATA (Real)'!H58</f>
        <v>3909.9999999999995</v>
      </c>
      <c r="I62" s="323">
        <f>'DATA (Real)'!I58*I$4/$H$4</f>
        <v>4034.0251999999996</v>
      </c>
      <c r="J62" s="323">
        <f>'DATA (Real)'!J58*J$4/$H$4</f>
        <v>4128.917238610833</v>
      </c>
      <c r="K62" s="323">
        <f>'DATA (Real)'!K58*K$4/$H$4</f>
        <v>4221.1297236064738</v>
      </c>
      <c r="L62" s="323">
        <f>'DATA (Real)'!L58*L$4/$H$4</f>
        <v>4315.4016207670193</v>
      </c>
      <c r="M62" s="323">
        <f>'DATA (Real)'!M58*M$4/$H$4</f>
        <v>4411.7789236308154</v>
      </c>
      <c r="N62" s="323">
        <f>'DATA (Real)'!N58*N$4/$H$4</f>
        <v>4508.8380599506936</v>
      </c>
      <c r="O62" s="323">
        <f>'DATA (Real)'!O58*O$4/$H$4</f>
        <v>4608.0324972696089</v>
      </c>
      <c r="P62" s="323">
        <f>'DATA (Real)'!P58*P$4/$H$4</f>
        <v>4709.4092122095399</v>
      </c>
      <c r="Q62" s="323">
        <f>'DATA (Real)'!Q58*Q$4/$H$4</f>
        <v>4813.0162148781501</v>
      </c>
      <c r="R62" s="323">
        <f>'DATA (Real)'!R58*R$4/$H$4</f>
        <v>4918.9025716054703</v>
      </c>
      <c r="S62" s="323">
        <f>'DATA (Real)'!S58*S$4/$H$4</f>
        <v>5027.11842818079</v>
      </c>
      <c r="T62" s="323">
        <f>'DATA (Real)'!T58*T$4/$H$4</f>
        <v>5137.7150336007671</v>
      </c>
      <c r="U62" s="323">
        <f>'DATA (Real)'!U58*U$4/$H$4</f>
        <v>5250.7447643399846</v>
      </c>
      <c r="V62" s="323">
        <f>'DATA (Real)'!V58*V$4/$H$4</f>
        <v>5366.2611491554644</v>
      </c>
      <c r="W62" s="323">
        <f>'DATA (Real)'!W58*W$4/$H$4</f>
        <v>5484.318894436884</v>
      </c>
      <c r="X62" s="323">
        <f>'DATA (Real)'!X58*X$4/$H$4</f>
        <v>5604.973910114496</v>
      </c>
      <c r="Y62" s="323">
        <f>'DATA (Real)'!Y58*Y$4/$H$4</f>
        <v>5728.2833361370149</v>
      </c>
      <c r="Z62" s="323">
        <f>'DATA (Real)'!Z58*Z$4/$H$4</f>
        <v>5854.305569532029</v>
      </c>
      <c r="AA62" s="323">
        <f>'DATA (Real)'!AA58*AA$4/$H$4</f>
        <v>5983.1002920617329</v>
      </c>
      <c r="AB62" s="323">
        <f>'DATA (Real)'!AB58*AB$4/$H$4</f>
        <v>6114.7284984870912</v>
      </c>
      <c r="AC62" s="323">
        <f>'DATA (Real)'!AC58*AC$4/$H$4</f>
        <v>6249.2525254538077</v>
      </c>
      <c r="AD62" s="323">
        <f>'DATA (Real)'!AD58*AD$4/$H$4</f>
        <v>6386.7360810137916</v>
      </c>
      <c r="AE62" s="323">
        <f>'DATA (Real)'!AE58*AE$4/$H$4</f>
        <v>6527.2442747960949</v>
      </c>
      <c r="AF62" s="323">
        <f>'DATA (Real)'!AF58*AF$4/$H$4</f>
        <v>6670.8436488416091</v>
      </c>
      <c r="AG62" s="323">
        <f>'DATA (Real)'!AG58*AG$4/$H$4</f>
        <v>6817.602209116124</v>
      </c>
      <c r="AH62" s="323">
        <f>'DATA (Real)'!AH58*AH$4/$H$4</f>
        <v>6967.5894577166791</v>
      </c>
      <c r="AI62" s="323">
        <f>'DATA (Real)'!AI58*AI$4/$H$4</f>
        <v>7120.8764257864468</v>
      </c>
      <c r="AJ62" s="323">
        <f>'DATA (Real)'!AJ58*AJ$4/$H$4</f>
        <v>7277.5357071537483</v>
      </c>
      <c r="AK62" s="323">
        <f>'DATA (Real)'!AK58*AK$4/$H$4</f>
        <v>7437.64149271113</v>
      </c>
      <c r="AL62" s="323">
        <f>'DATA (Real)'!AL58*AL$4/$H$4</f>
        <v>7601.2696055507759</v>
      </c>
      <c r="AM62" s="323">
        <f>'DATA (Real)'!AM58*AM$4/$H$4</f>
        <v>7768.4975368728929</v>
      </c>
      <c r="AN62" s="323">
        <f>'DATA (Real)'!AN58*AN$4/$H$4</f>
        <v>7939.4044826840964</v>
      </c>
      <c r="AO62" s="323">
        <f>'DATA (Real)'!AO58*AO$4/$H$4</f>
        <v>8114.0713813031462</v>
      </c>
      <c r="AP62" s="318"/>
      <c r="AQ62" s="318"/>
      <c r="AR62" s="318"/>
      <c r="AS62" s="318"/>
      <c r="AT62" s="318"/>
      <c r="AU62" s="318"/>
      <c r="AV62" s="318"/>
      <c r="AW62" s="318"/>
      <c r="AX62" s="318"/>
      <c r="AY62" s="318"/>
      <c r="AZ62" s="318"/>
      <c r="BA62" s="318"/>
      <c r="BB62" s="318"/>
      <c r="BC62" s="318"/>
      <c r="BD62" s="318"/>
      <c r="BE62" s="318"/>
      <c r="BF62" s="318"/>
      <c r="BG62" s="318"/>
      <c r="BH62" s="318"/>
      <c r="BI62" s="318"/>
      <c r="BJ62" s="318"/>
      <c r="BK62" s="318"/>
      <c r="BL62" s="318"/>
      <c r="BM62" s="318"/>
      <c r="BN62" s="318"/>
      <c r="BO62" s="318"/>
      <c r="BP62" s="318"/>
      <c r="BQ62" s="318"/>
      <c r="BR62" s="318"/>
      <c r="BS62" s="318"/>
      <c r="BT62" s="318"/>
      <c r="BU62" s="318"/>
      <c r="BV62" s="318"/>
      <c r="BW62" s="318"/>
      <c r="BX62" s="318"/>
    </row>
    <row r="63" spans="2:76" hidden="1" outlineLevel="1">
      <c r="B63" s="352" t="s">
        <v>230</v>
      </c>
      <c r="C63" s="352" t="str">
        <f>'DATA (Real)'!C59</f>
        <v>Internal</v>
      </c>
      <c r="D63" s="352" t="str">
        <f>'DATA (Real)'!D59</f>
        <v>CAPEX ($/kW)</v>
      </c>
      <c r="E63" s="352" t="str">
        <f>'DATA (Real)'!E59</f>
        <v>Existing Residential Solar + Storage (Battery Only)</v>
      </c>
      <c r="F63" s="313"/>
      <c r="G63" s="313"/>
      <c r="H63" s="313">
        <f>'DATA (Real)'!H59</f>
        <v>3219.9999999999995</v>
      </c>
      <c r="I63" s="323">
        <f>'DATA (Real)'!I59*I$4/$H$4</f>
        <v>3322.1383999999998</v>
      </c>
      <c r="J63" s="323">
        <f>'DATA (Real)'!J59*J$4/$H$4</f>
        <v>3400.2847847383327</v>
      </c>
      <c r="K63" s="323">
        <f>'DATA (Real)'!K59*K$4/$H$4</f>
        <v>3476.2244782641551</v>
      </c>
      <c r="L63" s="323">
        <f>'DATA (Real)'!L59*L$4/$H$4</f>
        <v>3553.860158278721</v>
      </c>
      <c r="M63" s="323">
        <f>'DATA (Real)'!M59*M$4/$H$4</f>
        <v>3633.2297018136128</v>
      </c>
      <c r="N63" s="323">
        <f>'DATA (Real)'!N59*N$4/$H$4</f>
        <v>3713.160755253512</v>
      </c>
      <c r="O63" s="323">
        <f>'DATA (Real)'!O59*O$4/$H$4</f>
        <v>3794.8502918690897</v>
      </c>
      <c r="P63" s="323">
        <f>'DATA (Real)'!P59*P$4/$H$4</f>
        <v>3878.33699829021</v>
      </c>
      <c r="Q63" s="323">
        <f>'DATA (Real)'!Q59*Q$4/$H$4</f>
        <v>3963.6604122525941</v>
      </c>
      <c r="R63" s="323">
        <f>'DATA (Real)'!R59*R$4/$H$4</f>
        <v>4050.8609413221516</v>
      </c>
      <c r="S63" s="323">
        <f>'DATA (Real)'!S59*S$4/$H$4</f>
        <v>4139.979882031239</v>
      </c>
      <c r="T63" s="323">
        <f>'DATA (Real)'!T59*T$4/$H$4</f>
        <v>4231.0594394359259</v>
      </c>
      <c r="U63" s="323">
        <f>'DATA (Real)'!U59*U$4/$H$4</f>
        <v>4324.1427471035158</v>
      </c>
      <c r="V63" s="323">
        <f>'DATA (Real)'!V59*V$4/$H$4</f>
        <v>4419.2738875397936</v>
      </c>
      <c r="W63" s="323">
        <f>'DATA (Real)'!W59*W$4/$H$4</f>
        <v>4516.4979130656684</v>
      </c>
      <c r="X63" s="323">
        <f>'DATA (Real)'!X59*X$4/$H$4</f>
        <v>4615.8608671531138</v>
      </c>
      <c r="Y63" s="323">
        <f>'DATA (Real)'!Y59*Y$4/$H$4</f>
        <v>4717.4098062304829</v>
      </c>
      <c r="Z63" s="323">
        <f>'DATA (Real)'!Z59*Z$4/$H$4</f>
        <v>4821.1928219675528</v>
      </c>
      <c r="AA63" s="323">
        <f>'DATA (Real)'!AA59*AA$4/$H$4</f>
        <v>4927.2590640508397</v>
      </c>
      <c r="AB63" s="323">
        <f>'DATA (Real)'!AB59*AB$4/$H$4</f>
        <v>5035.6587634599573</v>
      </c>
      <c r="AC63" s="323">
        <f>'DATA (Real)'!AC59*AC$4/$H$4</f>
        <v>5146.4432562560769</v>
      </c>
      <c r="AD63" s="323">
        <f>'DATA (Real)'!AD59*AD$4/$H$4</f>
        <v>5259.6650078937109</v>
      </c>
      <c r="AE63" s="323">
        <f>'DATA (Real)'!AE59*AE$4/$H$4</f>
        <v>5375.3776380673717</v>
      </c>
      <c r="AF63" s="323">
        <f>'DATA (Real)'!AF59*AF$4/$H$4</f>
        <v>5493.6359461048551</v>
      </c>
      <c r="AG63" s="323">
        <f>'DATA (Real)'!AG59*AG$4/$H$4</f>
        <v>5614.4959369191611</v>
      </c>
      <c r="AH63" s="323">
        <f>'DATA (Real)'!AH59*AH$4/$H$4</f>
        <v>5738.0148475313827</v>
      </c>
      <c r="AI63" s="323">
        <f>'DATA (Real)'!AI59*AI$4/$H$4</f>
        <v>5864.2511741770741</v>
      </c>
      <c r="AJ63" s="323">
        <f>'DATA (Real)'!AJ59*AJ$4/$H$4</f>
        <v>5993.2647000089692</v>
      </c>
      <c r="AK63" s="323">
        <f>'DATA (Real)'!AK59*AK$4/$H$4</f>
        <v>6125.1165234091659</v>
      </c>
      <c r="AL63" s="323">
        <f>'DATA (Real)'!AL59*AL$4/$H$4</f>
        <v>6259.8690869241682</v>
      </c>
      <c r="AM63" s="323">
        <f>'DATA (Real)'!AM59*AM$4/$H$4</f>
        <v>6397.5862068364995</v>
      </c>
      <c r="AN63" s="323">
        <f>'DATA (Real)'!AN59*AN$4/$H$4</f>
        <v>6538.3331033869026</v>
      </c>
      <c r="AO63" s="323">
        <f>'DATA (Real)'!AO59*AO$4/$H$4</f>
        <v>6682.1764316614144</v>
      </c>
      <c r="AP63" s="318"/>
      <c r="AQ63" s="318"/>
      <c r="AR63" s="318"/>
      <c r="AS63" s="318"/>
      <c r="AT63" s="318"/>
      <c r="AU63" s="318"/>
      <c r="AV63" s="318"/>
      <c r="AW63" s="318"/>
      <c r="AX63" s="318"/>
      <c r="AY63" s="318"/>
      <c r="AZ63" s="318"/>
      <c r="BA63" s="318"/>
      <c r="BB63" s="318"/>
      <c r="BC63" s="318"/>
      <c r="BD63" s="318"/>
      <c r="BE63" s="318"/>
      <c r="BF63" s="318"/>
      <c r="BG63" s="318"/>
      <c r="BH63" s="318"/>
      <c r="BI63" s="318"/>
      <c r="BJ63" s="318"/>
      <c r="BK63" s="318"/>
      <c r="BL63" s="318"/>
      <c r="BM63" s="318"/>
      <c r="BN63" s="318"/>
      <c r="BO63" s="318"/>
      <c r="BP63" s="318"/>
      <c r="BQ63" s="318"/>
      <c r="BR63" s="318"/>
      <c r="BS63" s="318"/>
      <c r="BT63" s="318"/>
      <c r="BU63" s="318"/>
      <c r="BV63" s="318"/>
      <c r="BW63" s="318"/>
      <c r="BX63" s="318"/>
    </row>
    <row r="64" spans="2:76" hidden="1" outlineLevel="1">
      <c r="B64" s="352" t="s">
        <v>230</v>
      </c>
      <c r="C64" s="352" t="str">
        <f>'DATA (Real)'!C60</f>
        <v>Internal</v>
      </c>
      <c r="D64" s="352" t="str">
        <f>'DATA (Real)'!D60</f>
        <v>CAPEX ($/kW)</v>
      </c>
      <c r="E64" s="352" t="str">
        <f>'DATA (Real)'!E60</f>
        <v>Commercial Solar</v>
      </c>
      <c r="F64" s="313"/>
      <c r="G64" s="313"/>
      <c r="H64" s="313">
        <f>'DATA (Real)'!H60</f>
        <v>2654.2</v>
      </c>
      <c r="I64" s="323">
        <f>'DATA (Real)'!I60*I$4/$H$4</f>
        <v>2738.391224</v>
      </c>
      <c r="J64" s="323">
        <f>'DATA (Real)'!J60*J$4/$H$4</f>
        <v>2802.8061725628827</v>
      </c>
      <c r="K64" s="323">
        <f>'DATA (Real)'!K60*K$4/$H$4</f>
        <v>2865.4021770834538</v>
      </c>
      <c r="L64" s="323">
        <f>'DATA (Real)'!L60*L$4/$H$4</f>
        <v>2929.3961590383174</v>
      </c>
      <c r="M64" s="323">
        <f>'DATA (Real)'!M60*M$4/$H$4</f>
        <v>2994.8193399235065</v>
      </c>
      <c r="N64" s="323">
        <f>'DATA (Real)'!N60*N$4/$H$4</f>
        <v>3060.7053654018241</v>
      </c>
      <c r="O64" s="323">
        <f>'DATA (Real)'!O60*O$4/$H$4</f>
        <v>3128.0408834406644</v>
      </c>
      <c r="P64" s="323">
        <f>'DATA (Real)'!P60*P$4/$H$4</f>
        <v>3196.8577828763587</v>
      </c>
      <c r="Q64" s="323">
        <f>'DATA (Real)'!Q60*Q$4/$H$4</f>
        <v>3267.1886540996384</v>
      </c>
      <c r="R64" s="323">
        <f>'DATA (Real)'!R60*R$4/$H$4</f>
        <v>3339.0668044898307</v>
      </c>
      <c r="S64" s="323">
        <f>'DATA (Real)'!S60*S$4/$H$4</f>
        <v>3412.5262741886067</v>
      </c>
      <c r="T64" s="323">
        <f>'DATA (Real)'!T60*T$4/$H$4</f>
        <v>3487.6018522207564</v>
      </c>
      <c r="U64" s="323">
        <f>'DATA (Real)'!U60*U$4/$H$4</f>
        <v>3564.3290929696132</v>
      </c>
      <c r="V64" s="323">
        <f>'DATA (Real)'!V60*V$4/$H$4</f>
        <v>3642.7443330149445</v>
      </c>
      <c r="W64" s="323">
        <f>'DATA (Real)'!W60*W$4/$H$4</f>
        <v>3722.8847083412725</v>
      </c>
      <c r="X64" s="323">
        <f>'DATA (Real)'!X60*X$4/$H$4</f>
        <v>3804.7881719247812</v>
      </c>
      <c r="Y64" s="323">
        <f>'DATA (Real)'!Y60*Y$4/$H$4</f>
        <v>3888.4935117071263</v>
      </c>
      <c r="Z64" s="323">
        <f>'DATA (Real)'!Z60*Z$4/$H$4</f>
        <v>3974.0403689646832</v>
      </c>
      <c r="AA64" s="323">
        <f>'DATA (Real)'!AA60*AA$4/$H$4</f>
        <v>4061.4692570819066</v>
      </c>
      <c r="AB64" s="323">
        <f>'DATA (Real)'!AB60*AB$4/$H$4</f>
        <v>4150.8215807377082</v>
      </c>
      <c r="AC64" s="323">
        <f>'DATA (Real)'!AC60*AC$4/$H$4</f>
        <v>4242.1396555139381</v>
      </c>
      <c r="AD64" s="323">
        <f>'DATA (Real)'!AD60*AD$4/$H$4</f>
        <v>4335.4667279352443</v>
      </c>
      <c r="AE64" s="323">
        <f>'DATA (Real)'!AE60*AE$4/$H$4</f>
        <v>4430.8469959498198</v>
      </c>
      <c r="AF64" s="323">
        <f>'DATA (Real)'!AF60*AF$4/$H$4</f>
        <v>4528.3256298607157</v>
      </c>
      <c r="AG64" s="323">
        <f>'DATA (Real)'!AG60*AG$4/$H$4</f>
        <v>4627.9487937176518</v>
      </c>
      <c r="AH64" s="323">
        <f>'DATA (Real)'!AH60*AH$4/$H$4</f>
        <v>4729.7636671794398</v>
      </c>
      <c r="AI64" s="323">
        <f>'DATA (Real)'!AI60*AI$4/$H$4</f>
        <v>4833.818467857388</v>
      </c>
      <c r="AJ64" s="323">
        <f>'DATA (Real)'!AJ60*AJ$4/$H$4</f>
        <v>4940.1624741502501</v>
      </c>
      <c r="AK64" s="323">
        <f>'DATA (Real)'!AK60*AK$4/$H$4</f>
        <v>5048.8460485815558</v>
      </c>
      <c r="AL64" s="323">
        <f>'DATA (Real)'!AL60*AL$4/$H$4</f>
        <v>5159.9206616503498</v>
      </c>
      <c r="AM64" s="323">
        <f>'DATA (Real)'!AM60*AM$4/$H$4</f>
        <v>5273.4389162066582</v>
      </c>
      <c r="AN64" s="323">
        <f>'DATA (Real)'!AN60*AN$4/$H$4</f>
        <v>5389.4545723632036</v>
      </c>
      <c r="AO64" s="323">
        <f>'DATA (Real)'!AO60*AO$4/$H$4</f>
        <v>5508.0225729551948</v>
      </c>
      <c r="AP64" s="318"/>
      <c r="AQ64" s="318"/>
      <c r="AR64" s="318"/>
      <c r="AS64" s="318"/>
      <c r="AT64" s="318"/>
      <c r="AU64" s="318"/>
      <c r="AV64" s="318"/>
      <c r="AW64" s="318"/>
      <c r="AX64" s="318"/>
      <c r="AY64" s="318"/>
      <c r="AZ64" s="318"/>
      <c r="BA64" s="318"/>
      <c r="BB64" s="318"/>
      <c r="BC64" s="318"/>
      <c r="BD64" s="318"/>
      <c r="BE64" s="318"/>
      <c r="BF64" s="318"/>
      <c r="BG64" s="318"/>
      <c r="BH64" s="318"/>
      <c r="BI64" s="318"/>
      <c r="BJ64" s="318"/>
      <c r="BK64" s="318"/>
      <c r="BL64" s="318"/>
      <c r="BM64" s="318"/>
      <c r="BN64" s="318"/>
      <c r="BO64" s="318"/>
      <c r="BP64" s="318"/>
      <c r="BQ64" s="318"/>
      <c r="BR64" s="318"/>
      <c r="BS64" s="318"/>
      <c r="BT64" s="318"/>
      <c r="BU64" s="318"/>
      <c r="BV64" s="318"/>
      <c r="BW64" s="318"/>
      <c r="BX64" s="318"/>
    </row>
    <row r="65" spans="2:76" hidden="1" outlineLevel="1">
      <c r="B65" s="352" t="s">
        <v>230</v>
      </c>
      <c r="C65" s="352" t="str">
        <f>'DATA (Real)'!C61</f>
        <v>Internal</v>
      </c>
      <c r="D65" s="352" t="str">
        <f>'DATA (Real)'!D61</f>
        <v>CAPEX ($/kW)</v>
      </c>
      <c r="E65" s="352" t="str">
        <f>'DATA (Real)'!E61</f>
        <v>Commercial Solar + Storage (Solar Only)</v>
      </c>
      <c r="F65" s="313"/>
      <c r="G65" s="313"/>
      <c r="H65" s="313">
        <f>'DATA (Real)'!H61</f>
        <v>2654.2</v>
      </c>
      <c r="I65" s="323">
        <f>'DATA (Real)'!I61*I$4/$H$4</f>
        <v>2738.391224</v>
      </c>
      <c r="J65" s="323">
        <f>'DATA (Real)'!J61*J$4/$H$4</f>
        <v>2802.8061725628827</v>
      </c>
      <c r="K65" s="323">
        <f>'DATA (Real)'!K61*K$4/$H$4</f>
        <v>2865.4021770834538</v>
      </c>
      <c r="L65" s="323">
        <f>'DATA (Real)'!L61*L$4/$H$4</f>
        <v>2929.3961590383174</v>
      </c>
      <c r="M65" s="323">
        <f>'DATA (Real)'!M61*M$4/$H$4</f>
        <v>2994.8193399235065</v>
      </c>
      <c r="N65" s="323">
        <f>'DATA (Real)'!N61*N$4/$H$4</f>
        <v>3060.7053654018241</v>
      </c>
      <c r="O65" s="323">
        <f>'DATA (Real)'!O61*O$4/$H$4</f>
        <v>3128.0408834406644</v>
      </c>
      <c r="P65" s="323">
        <f>'DATA (Real)'!P61*P$4/$H$4</f>
        <v>3196.8577828763587</v>
      </c>
      <c r="Q65" s="323">
        <f>'DATA (Real)'!Q61*Q$4/$H$4</f>
        <v>3267.1886540996384</v>
      </c>
      <c r="R65" s="323">
        <f>'DATA (Real)'!R61*R$4/$H$4</f>
        <v>3339.0668044898307</v>
      </c>
      <c r="S65" s="323">
        <f>'DATA (Real)'!S61*S$4/$H$4</f>
        <v>3412.5262741886067</v>
      </c>
      <c r="T65" s="323">
        <f>'DATA (Real)'!T61*T$4/$H$4</f>
        <v>3487.6018522207564</v>
      </c>
      <c r="U65" s="323">
        <f>'DATA (Real)'!U61*U$4/$H$4</f>
        <v>3564.3290929696132</v>
      </c>
      <c r="V65" s="323">
        <f>'DATA (Real)'!V61*V$4/$H$4</f>
        <v>3642.7443330149445</v>
      </c>
      <c r="W65" s="323">
        <f>'DATA (Real)'!W61*W$4/$H$4</f>
        <v>3722.8847083412725</v>
      </c>
      <c r="X65" s="323">
        <f>'DATA (Real)'!X61*X$4/$H$4</f>
        <v>3804.7881719247812</v>
      </c>
      <c r="Y65" s="323">
        <f>'DATA (Real)'!Y61*Y$4/$H$4</f>
        <v>3888.4935117071263</v>
      </c>
      <c r="Z65" s="323">
        <f>'DATA (Real)'!Z61*Z$4/$H$4</f>
        <v>3974.0403689646832</v>
      </c>
      <c r="AA65" s="323">
        <f>'DATA (Real)'!AA61*AA$4/$H$4</f>
        <v>4061.4692570819066</v>
      </c>
      <c r="AB65" s="323">
        <f>'DATA (Real)'!AB61*AB$4/$H$4</f>
        <v>4150.8215807377082</v>
      </c>
      <c r="AC65" s="323">
        <f>'DATA (Real)'!AC61*AC$4/$H$4</f>
        <v>4242.1396555139381</v>
      </c>
      <c r="AD65" s="323">
        <f>'DATA (Real)'!AD61*AD$4/$H$4</f>
        <v>4335.4667279352443</v>
      </c>
      <c r="AE65" s="323">
        <f>'DATA (Real)'!AE61*AE$4/$H$4</f>
        <v>4430.8469959498198</v>
      </c>
      <c r="AF65" s="323">
        <f>'DATA (Real)'!AF61*AF$4/$H$4</f>
        <v>4528.3256298607157</v>
      </c>
      <c r="AG65" s="323">
        <f>'DATA (Real)'!AG61*AG$4/$H$4</f>
        <v>4627.9487937176518</v>
      </c>
      <c r="AH65" s="323">
        <f>'DATA (Real)'!AH61*AH$4/$H$4</f>
        <v>4729.7636671794398</v>
      </c>
      <c r="AI65" s="323">
        <f>'DATA (Real)'!AI61*AI$4/$H$4</f>
        <v>4833.818467857388</v>
      </c>
      <c r="AJ65" s="323">
        <f>'DATA (Real)'!AJ61*AJ$4/$H$4</f>
        <v>4940.1624741502501</v>
      </c>
      <c r="AK65" s="323">
        <f>'DATA (Real)'!AK61*AK$4/$H$4</f>
        <v>5048.8460485815558</v>
      </c>
      <c r="AL65" s="323">
        <f>'DATA (Real)'!AL61*AL$4/$H$4</f>
        <v>5159.9206616503498</v>
      </c>
      <c r="AM65" s="323">
        <f>'DATA (Real)'!AM61*AM$4/$H$4</f>
        <v>5273.4389162066582</v>
      </c>
      <c r="AN65" s="323">
        <f>'DATA (Real)'!AN61*AN$4/$H$4</f>
        <v>5389.4545723632036</v>
      </c>
      <c r="AO65" s="323">
        <f>'DATA (Real)'!AO61*AO$4/$H$4</f>
        <v>5508.0225729551948</v>
      </c>
      <c r="AP65" s="318"/>
      <c r="AQ65" s="318"/>
      <c r="AR65" s="318"/>
      <c r="AS65" s="318"/>
      <c r="AT65" s="318"/>
      <c r="AU65" s="318"/>
      <c r="AV65" s="318"/>
      <c r="AW65" s="318"/>
      <c r="AX65" s="318"/>
      <c r="AY65" s="318"/>
      <c r="AZ65" s="318"/>
      <c r="BA65" s="318"/>
      <c r="BB65" s="318"/>
      <c r="BC65" s="318"/>
      <c r="BD65" s="318"/>
      <c r="BE65" s="318"/>
      <c r="BF65" s="318"/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8"/>
      <c r="BV65" s="318"/>
      <c r="BW65" s="318"/>
      <c r="BX65" s="318"/>
    </row>
    <row r="66" spans="2:76" hidden="1" outlineLevel="1">
      <c r="B66" s="352" t="s">
        <v>230</v>
      </c>
      <c r="C66" s="352" t="str">
        <f>'DATA (Real)'!C62</f>
        <v>Internal</v>
      </c>
      <c r="D66" s="352" t="str">
        <f>'DATA (Real)'!D62</f>
        <v>CAPEX ($/kW)</v>
      </c>
      <c r="E66" s="352" t="str">
        <f>'DATA (Real)'!E62</f>
        <v>Commercial Solar + Storage (Battery Only)</v>
      </c>
      <c r="F66" s="313"/>
      <c r="G66" s="313"/>
      <c r="H66" s="313">
        <f>'DATA (Real)'!H62</f>
        <v>2576</v>
      </c>
      <c r="I66" s="323">
        <f>'DATA (Real)'!I62*I$4/$H$4</f>
        <v>2657.71072</v>
      </c>
      <c r="J66" s="323">
        <f>'DATA (Real)'!J62*J$4/$H$4</f>
        <v>2720.2278277906667</v>
      </c>
      <c r="K66" s="323">
        <f>'DATA (Real)'!K62*K$4/$H$4</f>
        <v>2780.9795826113245</v>
      </c>
      <c r="L66" s="323">
        <f>'DATA (Real)'!L62*L$4/$H$4</f>
        <v>2843.0881266229771</v>
      </c>
      <c r="M66" s="323">
        <f>'DATA (Real)'!M62*M$4/$H$4</f>
        <v>2906.5837614508905</v>
      </c>
      <c r="N66" s="323">
        <f>'DATA (Real)'!N62*N$4/$H$4</f>
        <v>2970.5286042028106</v>
      </c>
      <c r="O66" s="323">
        <f>'DATA (Real)'!O62*O$4/$H$4</f>
        <v>3035.880233495272</v>
      </c>
      <c r="P66" s="323">
        <f>'DATA (Real)'!P62*P$4/$H$4</f>
        <v>3102.6695986321679</v>
      </c>
      <c r="Q66" s="323">
        <f>'DATA (Real)'!Q62*Q$4/$H$4</f>
        <v>3170.9283298020755</v>
      </c>
      <c r="R66" s="323">
        <f>'DATA (Real)'!R62*R$4/$H$4</f>
        <v>3240.6887530577214</v>
      </c>
      <c r="S66" s="323">
        <f>'DATA (Real)'!S62*S$4/$H$4</f>
        <v>3311.9839056249916</v>
      </c>
      <c r="T66" s="323">
        <f>'DATA (Real)'!T62*T$4/$H$4</f>
        <v>3384.8475515487416</v>
      </c>
      <c r="U66" s="323">
        <f>'DATA (Real)'!U62*U$4/$H$4</f>
        <v>3459.3141976828133</v>
      </c>
      <c r="V66" s="323">
        <f>'DATA (Real)'!V62*V$4/$H$4</f>
        <v>3535.4191100318353</v>
      </c>
      <c r="W66" s="323">
        <f>'DATA (Real)'!W62*W$4/$H$4</f>
        <v>3613.1983304525356</v>
      </c>
      <c r="X66" s="323">
        <f>'DATA (Real)'!X62*X$4/$H$4</f>
        <v>3692.6886937224917</v>
      </c>
      <c r="Y66" s="323">
        <f>'DATA (Real)'!Y62*Y$4/$H$4</f>
        <v>3773.9278449843864</v>
      </c>
      <c r="Z66" s="323">
        <f>'DATA (Real)'!Z62*Z$4/$H$4</f>
        <v>3856.9542575740429</v>
      </c>
      <c r="AA66" s="323">
        <f>'DATA (Real)'!AA62*AA$4/$H$4</f>
        <v>3941.807251240672</v>
      </c>
      <c r="AB66" s="323">
        <f>'DATA (Real)'!AB62*AB$4/$H$4</f>
        <v>4028.5270107679667</v>
      </c>
      <c r="AC66" s="323">
        <f>'DATA (Real)'!AC62*AC$4/$H$4</f>
        <v>4117.1546050048619</v>
      </c>
      <c r="AD66" s="323">
        <f>'DATA (Real)'!AD62*AD$4/$H$4</f>
        <v>4207.7320063149691</v>
      </c>
      <c r="AE66" s="323">
        <f>'DATA (Real)'!AE62*AE$4/$H$4</f>
        <v>4300.3021104538984</v>
      </c>
      <c r="AF66" s="323">
        <f>'DATA (Real)'!AF62*AF$4/$H$4</f>
        <v>4394.9087568838841</v>
      </c>
      <c r="AG66" s="323">
        <f>'DATA (Real)'!AG62*AG$4/$H$4</f>
        <v>4491.5967495353298</v>
      </c>
      <c r="AH66" s="323">
        <f>'DATA (Real)'!AH62*AH$4/$H$4</f>
        <v>4590.4118780251065</v>
      </c>
      <c r="AI66" s="323">
        <f>'DATA (Real)'!AI62*AI$4/$H$4</f>
        <v>4691.40093934166</v>
      </c>
      <c r="AJ66" s="323">
        <f>'DATA (Real)'!AJ62*AJ$4/$H$4</f>
        <v>4794.6117600071757</v>
      </c>
      <c r="AK66" s="323">
        <f>'DATA (Real)'!AK62*AK$4/$H$4</f>
        <v>4900.0932187273329</v>
      </c>
      <c r="AL66" s="323">
        <f>'DATA (Real)'!AL62*AL$4/$H$4</f>
        <v>5007.8952695393355</v>
      </c>
      <c r="AM66" s="323">
        <f>'DATA (Real)'!AM62*AM$4/$H$4</f>
        <v>5118.0689654692005</v>
      </c>
      <c r="AN66" s="323">
        <f>'DATA (Real)'!AN62*AN$4/$H$4</f>
        <v>5230.6664827095228</v>
      </c>
      <c r="AO66" s="323">
        <f>'DATA (Real)'!AO62*AO$4/$H$4</f>
        <v>5345.7411453291325</v>
      </c>
      <c r="AP66" s="318"/>
      <c r="AQ66" s="318"/>
      <c r="AR66" s="318"/>
      <c r="AS66" s="318"/>
      <c r="AT66" s="318"/>
      <c r="AU66" s="318"/>
      <c r="AV66" s="318"/>
      <c r="AW66" s="318"/>
      <c r="AX66" s="318"/>
      <c r="AY66" s="318"/>
      <c r="AZ66" s="318"/>
      <c r="BA66" s="318"/>
      <c r="BB66" s="318"/>
      <c r="BC66" s="318"/>
      <c r="BD66" s="318"/>
      <c r="BE66" s="318"/>
      <c r="BF66" s="318"/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8"/>
      <c r="BV66" s="318"/>
      <c r="BW66" s="318"/>
      <c r="BX66" s="318"/>
    </row>
    <row r="67" spans="2:76" hidden="1" outlineLevel="1">
      <c r="B67" s="352" t="s">
        <v>230</v>
      </c>
      <c r="C67" s="352" t="str">
        <f>'DATA (Real)'!C63</f>
        <v>NREL Utility PV - Class 4/LAZARD’S LEVELIZED COST OF ENERGY ANALYSIS—VERSION 15.0</v>
      </c>
      <c r="D67" s="352" t="str">
        <f>'DATA (Real)'!D63</f>
        <v>CAPEX ($/kW)</v>
      </c>
      <c r="E67" s="352" t="str">
        <f>'DATA (Real)'!E63</f>
        <v>Solar Photovoltaic Fixed Array (5 MW AC)</v>
      </c>
      <c r="F67" s="313">
        <f>'DATA (Real)'!F63</f>
        <v>1972.7715238618898</v>
      </c>
      <c r="G67" s="323">
        <f>'DATA (Real)'!G63*G$4/100</f>
        <v>1768.2011428571429</v>
      </c>
      <c r="H67" s="323">
        <f>'DATA (Real)'!H63*H$4/100</f>
        <v>1820.5096362422532</v>
      </c>
      <c r="I67" s="323">
        <f>'DATA (Real)'!I63*I$4/100</f>
        <v>1801.0371427451103</v>
      </c>
      <c r="J67" s="323">
        <f>'DATA (Real)'!J63*J$4/100</f>
        <v>1764.3673127150585</v>
      </c>
      <c r="K67" s="323">
        <f>'DATA (Real)'!K63*K$4/100</f>
        <v>1722.9709137347077</v>
      </c>
      <c r="L67" s="323">
        <f>'DATA (Real)'!L63*L$4/100</f>
        <v>1678.8454483924816</v>
      </c>
      <c r="M67" s="323">
        <f>'DATA (Real)'!M63*M$4/100</f>
        <v>1631.8896659947745</v>
      </c>
      <c r="N67" s="323">
        <f>'DATA (Real)'!N63*N$4/100</f>
        <v>1581.4833412917935</v>
      </c>
      <c r="O67" s="323">
        <f>'DATA (Real)'!O63*O$4/100</f>
        <v>1528.0693037035403</v>
      </c>
      <c r="P67" s="323">
        <f>'DATA (Real)'!P63*P$4/100</f>
        <v>1471.5396105242189</v>
      </c>
      <c r="Q67" s="323">
        <f>'DATA (Real)'!Q63*Q$4/100</f>
        <v>1490.5123252369012</v>
      </c>
      <c r="R67" s="323">
        <f>'DATA (Real)'!R63*R$4/100</f>
        <v>1509.6076142254483</v>
      </c>
      <c r="S67" s="323">
        <f>'DATA (Real)'!S63*S$4/100</f>
        <v>1528.8216879640768</v>
      </c>
      <c r="T67" s="323">
        <f>'DATA (Real)'!T63*T$4/100</f>
        <v>1548.1505308619194</v>
      </c>
      <c r="U67" s="323">
        <f>'DATA (Real)'!U63*U$4/100</f>
        <v>1567.5898931502923</v>
      </c>
      <c r="V67" s="323">
        <f>'DATA (Real)'!V63*V$4/100</f>
        <v>1587.1352825224167</v>
      </c>
      <c r="W67" s="323">
        <f>'DATA (Real)'!W63*W$4/100</f>
        <v>1606.78195551863</v>
      </c>
      <c r="X67" s="323">
        <f>'DATA (Real)'!X63*X$4/100</f>
        <v>1626.5249086499362</v>
      </c>
      <c r="Y67" s="323">
        <f>'DATA (Real)'!Y63*Y$4/100</f>
        <v>1646.3588692525484</v>
      </c>
      <c r="Z67" s="323">
        <f>'DATA (Real)'!Z63*Z$4/100</f>
        <v>1666.2782860658888</v>
      </c>
      <c r="AA67" s="323">
        <f>'DATA (Real)'!AA63*AA$4/100</f>
        <v>1686.2773195262978</v>
      </c>
      <c r="AB67" s="323">
        <f>'DATA (Real)'!AB63*AB$4/100</f>
        <v>1706.3498317685094</v>
      </c>
      <c r="AC67" s="323">
        <f>'DATA (Real)'!AC63*AC$4/100</f>
        <v>1726.4893763267276</v>
      </c>
      <c r="AD67" s="323">
        <f>'DATA (Real)'!AD63*AD$4/100</f>
        <v>1746.6891875269312</v>
      </c>
      <c r="AE67" s="323">
        <f>'DATA (Real)'!AE63*AE$4/100</f>
        <v>1766.9421695618016</v>
      </c>
      <c r="AF67" s="323">
        <f>'DATA (Real)'!AF63*AF$4/100</f>
        <v>1787.2408852394431</v>
      </c>
      <c r="AG67" s="323">
        <f>'DATA (Real)'!AG63*AG$4/100</f>
        <v>1807.5775443968334</v>
      </c>
      <c r="AH67" s="323">
        <f>'DATA (Real)'!AH63*AH$4/100</f>
        <v>1827.9439919686927</v>
      </c>
      <c r="AI67" s="323">
        <f>'DATA (Real)'!AI63*AI$4/100</f>
        <v>1848.3316957022255</v>
      </c>
      <c r="AJ67" s="323">
        <f>'DATA (Real)'!AJ63*AJ$4/100</f>
        <v>1868.7317335079215</v>
      </c>
      <c r="AK67" s="323">
        <f>'DATA (Real)'!AK63*AK$4/100</f>
        <v>1889.1347804363481</v>
      </c>
      <c r="AL67" s="323">
        <f>'DATA (Real)'!AL63*AL$4/100</f>
        <v>1909.5310952706079</v>
      </c>
      <c r="AM67" s="323">
        <f>'DATA (Real)'!AM63*AM$4/100</f>
        <v>1929.9105067238443</v>
      </c>
      <c r="AN67" s="323">
        <f>'DATA (Real)'!AN63*AN$4/100</f>
        <v>1950.2623992309113</v>
      </c>
      <c r="AO67" s="323">
        <f>'DATA (Real)'!AO63*AO$4/100</f>
        <v>1970.5756983230353</v>
      </c>
      <c r="AP67" s="318"/>
      <c r="AQ67" s="318"/>
      <c r="AR67" s="318"/>
      <c r="AS67" s="318"/>
      <c r="AT67" s="318"/>
      <c r="AU67" s="318"/>
      <c r="AV67" s="318"/>
      <c r="AW67" s="318"/>
      <c r="AX67" s="318"/>
      <c r="AY67" s="318"/>
      <c r="AZ67" s="318"/>
      <c r="BA67" s="318"/>
      <c r="BB67" s="318"/>
      <c r="BC67" s="318"/>
      <c r="BD67" s="318"/>
      <c r="BE67" s="318"/>
      <c r="BF67" s="318"/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8"/>
      <c r="BV67" s="318"/>
      <c r="BW67" s="318"/>
      <c r="BX67" s="318"/>
    </row>
    <row r="68" spans="2:76" hidden="1" outlineLevel="1">
      <c r="B68" s="352" t="s">
        <v>230</v>
      </c>
      <c r="C68" s="352" t="str">
        <f>'DATA (Real)'!C64</f>
        <v>NREL Utility PV - Class 4/LAZARD’S LEVELIZED COST OF ENERGY ANALYSIS—VERSION 15.0</v>
      </c>
      <c r="D68" s="352" t="str">
        <f>'DATA (Real)'!D64</f>
        <v>CAPEX ($/kW)</v>
      </c>
      <c r="E68" s="352" t="str">
        <f>'DATA (Real)'!E64</f>
        <v>Solar Photovoltaic Fixed Array (5 MW AC) + Storage (Solar Only)</v>
      </c>
      <c r="F68" s="313">
        <f>'DATA (Real)'!F64</f>
        <v>1972.7715238618898</v>
      </c>
      <c r="G68" s="323">
        <f>'DATA (Real)'!G64*G$4/100</f>
        <v>1768.2011428571429</v>
      </c>
      <c r="H68" s="323">
        <f>'DATA (Real)'!H64*H$4/100</f>
        <v>1820.5096362422532</v>
      </c>
      <c r="I68" s="323">
        <f>'DATA (Real)'!I64*I$4/100</f>
        <v>1801.0371427451103</v>
      </c>
      <c r="J68" s="323">
        <f>'DATA (Real)'!J64*J$4/100</f>
        <v>1764.3673127150585</v>
      </c>
      <c r="K68" s="323">
        <f>'DATA (Real)'!K64*K$4/100</f>
        <v>1722.9709137347077</v>
      </c>
      <c r="L68" s="323">
        <f>'DATA (Real)'!L64*L$4/100</f>
        <v>1678.8454483924816</v>
      </c>
      <c r="M68" s="323">
        <f>'DATA (Real)'!M64*M$4/100</f>
        <v>1631.8896659947745</v>
      </c>
      <c r="N68" s="323">
        <f>'DATA (Real)'!N64*N$4/100</f>
        <v>1581.4833412917935</v>
      </c>
      <c r="O68" s="323">
        <f>'DATA (Real)'!O64*O$4/100</f>
        <v>1528.0693037035403</v>
      </c>
      <c r="P68" s="323">
        <f>'DATA (Real)'!P64*P$4/100</f>
        <v>1471.5396105242189</v>
      </c>
      <c r="Q68" s="323">
        <f>'DATA (Real)'!Q64*Q$4/100</f>
        <v>1490.5123252369012</v>
      </c>
      <c r="R68" s="323">
        <f>'DATA (Real)'!R64*R$4/100</f>
        <v>1509.6076142254483</v>
      </c>
      <c r="S68" s="323">
        <f>'DATA (Real)'!S64*S$4/100</f>
        <v>1528.8216879640768</v>
      </c>
      <c r="T68" s="323">
        <f>'DATA (Real)'!T64*T$4/100</f>
        <v>1548.1505308619194</v>
      </c>
      <c r="U68" s="323">
        <f>'DATA (Real)'!U64*U$4/100</f>
        <v>1567.5898931502923</v>
      </c>
      <c r="V68" s="323">
        <f>'DATA (Real)'!V64*V$4/100</f>
        <v>1587.1352825224167</v>
      </c>
      <c r="W68" s="323">
        <f>'DATA (Real)'!W64*W$4/100</f>
        <v>1606.78195551863</v>
      </c>
      <c r="X68" s="323">
        <f>'DATA (Real)'!X64*X$4/100</f>
        <v>1626.5249086499362</v>
      </c>
      <c r="Y68" s="323">
        <f>'DATA (Real)'!Y64*Y$4/100</f>
        <v>1646.3588692525484</v>
      </c>
      <c r="Z68" s="323">
        <f>'DATA (Real)'!Z64*Z$4/100</f>
        <v>1666.2782860658888</v>
      </c>
      <c r="AA68" s="323">
        <f>'DATA (Real)'!AA64*AA$4/100</f>
        <v>1686.2773195262978</v>
      </c>
      <c r="AB68" s="323">
        <f>'DATA (Real)'!AB64*AB$4/100</f>
        <v>1706.3498317685094</v>
      </c>
      <c r="AC68" s="323">
        <f>'DATA (Real)'!AC64*AC$4/100</f>
        <v>1726.4893763267276</v>
      </c>
      <c r="AD68" s="323">
        <f>'DATA (Real)'!AD64*AD$4/100</f>
        <v>1746.6891875269312</v>
      </c>
      <c r="AE68" s="323">
        <f>'DATA (Real)'!AE64*AE$4/100</f>
        <v>1766.9421695618016</v>
      </c>
      <c r="AF68" s="323">
        <f>'DATA (Real)'!AF64*AF$4/100</f>
        <v>1787.2408852394431</v>
      </c>
      <c r="AG68" s="323">
        <f>'DATA (Real)'!AG64*AG$4/100</f>
        <v>1807.5775443968334</v>
      </c>
      <c r="AH68" s="323">
        <f>'DATA (Real)'!AH64*AH$4/100</f>
        <v>1827.9439919686927</v>
      </c>
      <c r="AI68" s="323">
        <f>'DATA (Real)'!AI64*AI$4/100</f>
        <v>1848.3316957022255</v>
      </c>
      <c r="AJ68" s="323">
        <f>'DATA (Real)'!AJ64*AJ$4/100</f>
        <v>1868.7317335079215</v>
      </c>
      <c r="AK68" s="323">
        <f>'DATA (Real)'!AK64*AK$4/100</f>
        <v>1889.1347804363481</v>
      </c>
      <c r="AL68" s="323">
        <f>'DATA (Real)'!AL64*AL$4/100</f>
        <v>1909.5310952706079</v>
      </c>
      <c r="AM68" s="323">
        <f>'DATA (Real)'!AM64*AM$4/100</f>
        <v>1929.9105067238443</v>
      </c>
      <c r="AN68" s="323">
        <f>'DATA (Real)'!AN64*AN$4/100</f>
        <v>1950.2623992309113</v>
      </c>
      <c r="AO68" s="323">
        <f>'DATA (Real)'!AO64*AO$4/100</f>
        <v>1970.5756983230353</v>
      </c>
      <c r="AP68" s="318"/>
      <c r="AQ68" s="318"/>
      <c r="AR68" s="318"/>
      <c r="AS68" s="318"/>
      <c r="AT68" s="318"/>
      <c r="AU68" s="318"/>
      <c r="AV68" s="318"/>
      <c r="AW68" s="318"/>
      <c r="AX68" s="318"/>
      <c r="AY68" s="318"/>
      <c r="AZ68" s="318"/>
      <c r="BA68" s="318"/>
      <c r="BB68" s="318"/>
      <c r="BC68" s="318"/>
      <c r="BD68" s="318"/>
      <c r="BE68" s="318"/>
      <c r="BF68" s="318"/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8"/>
      <c r="BV68" s="318"/>
      <c r="BW68" s="318"/>
      <c r="BX68" s="318"/>
    </row>
    <row r="69" spans="2:76" hidden="1" outlineLevel="1">
      <c r="B69" s="352" t="s">
        <v>230</v>
      </c>
      <c r="C69" s="352" t="str">
        <f>'DATA (Real)'!C65</f>
        <v>NREL Utility-Scale Battery Storage - 4Hr/LAZARD’S LEVELIZED COST O F STORAGE ANALYSIS—VERSION 7 . 0</v>
      </c>
      <c r="D69" s="352" t="str">
        <f>'DATA (Real)'!D65</f>
        <v>CAPEX ($/kW)</v>
      </c>
      <c r="E69" s="352" t="str">
        <f>'DATA (Real)'!E65</f>
        <v>Solar Photovoltaic Fixed Array (5 MW AC) + Storage (Battery Only)</v>
      </c>
      <c r="F69" s="313">
        <f>'DATA (Real)'!F65</f>
        <v>2280.5476435797282</v>
      </c>
      <c r="G69" s="323">
        <f>'DATA (Real)'!G65*G$4/100</f>
        <v>1996.8173127040825</v>
      </c>
      <c r="H69" s="323">
        <f>'DATA (Real)'!H65*H$4/100</f>
        <v>1988.6086585318494</v>
      </c>
      <c r="I69" s="323">
        <f>'DATA (Real)'!I65*I$4/100</f>
        <v>1879.4082368065467</v>
      </c>
      <c r="J69" s="323">
        <f>'DATA (Real)'!J65*J$4/100</f>
        <v>1787.3611676334219</v>
      </c>
      <c r="K69" s="323">
        <f>'DATA (Real)'!K65*K$4/100</f>
        <v>1728.9499909398955</v>
      </c>
      <c r="L69" s="323">
        <f>'DATA (Real)'!L65*L$4/100</f>
        <v>1692.169516093139</v>
      </c>
      <c r="M69" s="323">
        <f>'DATA (Real)'!M65*M$4/100</f>
        <v>1661.447983063342</v>
      </c>
      <c r="N69" s="323">
        <f>'DATA (Real)'!N65*N$4/100</f>
        <v>1619.2266502978671</v>
      </c>
      <c r="O69" s="323">
        <f>'DATA (Real)'!O65*O$4/100</f>
        <v>1592.2337044085768</v>
      </c>
      <c r="P69" s="323">
        <f>'DATA (Real)'!P65*P$4/100</f>
        <v>1563.2693632014143</v>
      </c>
      <c r="Q69" s="323">
        <f>'DATA (Real)'!Q65*Q$4/100</f>
        <v>1578.4846821973072</v>
      </c>
      <c r="R69" s="323">
        <f>'DATA (Real)'!R65*R$4/100</f>
        <v>1592.8012222362192</v>
      </c>
      <c r="S69" s="323">
        <f>'DATA (Real)'!S65*S$4/100</f>
        <v>1606.9837034506654</v>
      </c>
      <c r="T69" s="323">
        <f>'DATA (Real)'!T65*T$4/100</f>
        <v>1621.0192980469847</v>
      </c>
      <c r="U69" s="323">
        <f>'DATA (Real)'!U65*U$4/100</f>
        <v>1634.8946786930662</v>
      </c>
      <c r="V69" s="323">
        <f>'DATA (Real)'!V65*V$4/100</f>
        <v>1648.5960027473245</v>
      </c>
      <c r="W69" s="323">
        <f>'DATA (Real)'!W65*W$4/100</f>
        <v>1662.1088960354789</v>
      </c>
      <c r="X69" s="323">
        <f>'DATA (Real)'!X65*X$4/100</f>
        <v>1675.4184361629887</v>
      </c>
      <c r="Y69" s="323">
        <f>'DATA (Real)'!Y65*Y$4/100</f>
        <v>1688.5091353504276</v>
      </c>
      <c r="Z69" s="323">
        <f>'DATA (Real)'!Z65*Z$4/100</f>
        <v>1701.3649227790042</v>
      </c>
      <c r="AA69" s="323">
        <f>'DATA (Real)'!AA65*AA$4/100</f>
        <v>1713.9691264329335</v>
      </c>
      <c r="AB69" s="323">
        <f>'DATA (Real)'!AB65*AB$4/100</f>
        <v>1726.304454425006</v>
      </c>
      <c r="AC69" s="323">
        <f>'DATA (Real)'!AC65*AC$4/100</f>
        <v>1738.3529757915426</v>
      </c>
      <c r="AD69" s="323">
        <f>'DATA (Real)'!AD65*AD$4/100</f>
        <v>1750.0961007422654</v>
      </c>
      <c r="AE69" s="323">
        <f>'DATA (Real)'!AE65*AE$4/100</f>
        <v>1761.51456035053</v>
      </c>
      <c r="AF69" s="323">
        <f>'DATA (Real)'!AF65*AF$4/100</f>
        <v>1772.5883856688035</v>
      </c>
      <c r="AG69" s="323">
        <f>'DATA (Real)'!AG65*AG$4/100</f>
        <v>1783.2968862538669</v>
      </c>
      <c r="AH69" s="323">
        <f>'DATA (Real)'!AH65*AH$4/100</f>
        <v>1793.6186280860163</v>
      </c>
      <c r="AI69" s="323">
        <f>'DATA (Real)'!AI65*AI$4/100</f>
        <v>1803.5314108658338</v>
      </c>
      <c r="AJ69" s="323">
        <f>'DATA (Real)'!AJ65*AJ$4/100</f>
        <v>1813.0122446719615</v>
      </c>
      <c r="AK69" s="323">
        <f>'DATA (Real)'!AK65*AK$4/100</f>
        <v>1822.0373259626995</v>
      </c>
      <c r="AL69" s="323">
        <f>'DATA (Real)'!AL65*AL$4/100</f>
        <v>1830.5820129038093</v>
      </c>
      <c r="AM69" s="323">
        <f>'DATA (Real)'!AM65*AM$4/100</f>
        <v>1838.6208000045619</v>
      </c>
      <c r="AN69" s="323">
        <f>'DATA (Real)'!AN65*AN$4/100</f>
        <v>1846.1272920435017</v>
      </c>
      <c r="AO69" s="323">
        <f>'DATA (Real)'!AO65*AO$4/100</f>
        <v>1853.0741772649531</v>
      </c>
      <c r="AP69" s="318"/>
      <c r="AQ69" s="318"/>
      <c r="AR69" s="318"/>
      <c r="AS69" s="318"/>
      <c r="AT69" s="318"/>
      <c r="AU69" s="318"/>
      <c r="AV69" s="318"/>
      <c r="AW69" s="318"/>
      <c r="AX69" s="318"/>
      <c r="AY69" s="318"/>
      <c r="AZ69" s="318"/>
      <c r="BA69" s="318"/>
      <c r="BB69" s="318"/>
      <c r="BC69" s="318"/>
      <c r="BD69" s="318"/>
      <c r="BE69" s="318"/>
      <c r="BF69" s="318"/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8"/>
      <c r="BV69" s="318"/>
      <c r="BW69" s="318"/>
      <c r="BX69" s="318"/>
    </row>
    <row r="70" spans="2:76" hidden="1" outlineLevel="1">
      <c r="B70" s="352" t="s">
        <v>230</v>
      </c>
      <c r="C70" s="352" t="str">
        <f>'DATA (Real)'!C66</f>
        <v>NREL Utility PV - Class 4/Internal</v>
      </c>
      <c r="D70" s="352" t="str">
        <f>'DATA (Real)'!D66</f>
        <v>CAPEX ($/kW)</v>
      </c>
      <c r="E70" s="352" t="str">
        <f>'DATA (Real)'!E66</f>
        <v>Solar Photovoltaic w/Single Axis Tracking (100 MW AC)</v>
      </c>
      <c r="F70" s="313">
        <f>'DATA (Real)'!F66</f>
        <v>1302.7736478333236</v>
      </c>
      <c r="G70" s="323">
        <f>'DATA (Real)'!G66*G$4/100</f>
        <v>1167.6799999999998</v>
      </c>
      <c r="H70" s="323">
        <f>'DATA (Real)'!H66*H$4/100</f>
        <v>1202.2233446882801</v>
      </c>
      <c r="I70" s="323">
        <f>'DATA (Real)'!I66*I$4/100</f>
        <v>1189.3641508694125</v>
      </c>
      <c r="J70" s="323">
        <f>'DATA (Real)'!J66*J$4/100</f>
        <v>1165.1482253778688</v>
      </c>
      <c r="K70" s="323">
        <f>'DATA (Real)'!K66*K$4/100</f>
        <v>1137.8109807682031</v>
      </c>
      <c r="L70" s="323">
        <f>'DATA (Real)'!L66*L$4/100</f>
        <v>1108.671522523337</v>
      </c>
      <c r="M70" s="323">
        <f>'DATA (Real)'!M66*M$4/100</f>
        <v>1077.6629869776812</v>
      </c>
      <c r="N70" s="323">
        <f>'DATA (Real)'!N66*N$4/100</f>
        <v>1044.3757914191092</v>
      </c>
      <c r="O70" s="323">
        <f>'DATA (Real)'!O66*O$4/100</f>
        <v>1009.1023703702626</v>
      </c>
      <c r="P70" s="323">
        <f>'DATA (Real)'!P66*P$4/100</f>
        <v>971.77144091221999</v>
      </c>
      <c r="Q70" s="323">
        <f>'DATA (Real)'!Q66*Q$4/100</f>
        <v>984.30059213757636</v>
      </c>
      <c r="R70" s="323">
        <f>'DATA (Real)'!R66*R$4/100</f>
        <v>996.91068863944702</v>
      </c>
      <c r="S70" s="323">
        <f>'DATA (Real)'!S66*S$4/100</f>
        <v>1009.5992279008053</v>
      </c>
      <c r="T70" s="323">
        <f>'DATA (Real)'!T66*T$4/100</f>
        <v>1022.3635581163618</v>
      </c>
      <c r="U70" s="323">
        <f>'DATA (Real)'!U66*U$4/100</f>
        <v>1035.2008728350988</v>
      </c>
      <c r="V70" s="323">
        <f>'DATA (Real)'!V66*V$4/100</f>
        <v>1048.1082054393319</v>
      </c>
      <c r="W70" s="323">
        <f>'DATA (Real)'!W66*W$4/100</f>
        <v>1061.082423455699</v>
      </c>
      <c r="X70" s="323">
        <f>'DATA (Real)'!X66*X$4/100</f>
        <v>1074.1202226933538</v>
      </c>
      <c r="Y70" s="323">
        <f>'DATA (Real)'!Y66*Y$4/100</f>
        <v>1087.218121204513</v>
      </c>
      <c r="Z70" s="323">
        <f>'DATA (Real)'!Z66*Z$4/100</f>
        <v>1100.3724530623795</v>
      </c>
      <c r="AA70" s="323">
        <f>'DATA (Real)'!AA66*AA$4/100</f>
        <v>1113.5793619513288</v>
      </c>
      <c r="AB70" s="323">
        <f>'DATA (Real)'!AB66*AB$4/100</f>
        <v>1126.8347945641101</v>
      </c>
      <c r="AC70" s="323">
        <f>'DATA (Real)'!AC66*AC$4/100</f>
        <v>1140.1344938006689</v>
      </c>
      <c r="AD70" s="323">
        <f>'DATA (Real)'!AD66*AD$4/100</f>
        <v>1153.4739917630677</v>
      </c>
      <c r="AE70" s="323">
        <f>'DATA (Real)'!AE66*AE$4/100</f>
        <v>1166.8486025408124</v>
      </c>
      <c r="AF70" s="323">
        <f>'DATA (Real)'!AF66*AF$4/100</f>
        <v>1180.2534147807644</v>
      </c>
      <c r="AG70" s="323">
        <f>'DATA (Real)'!AG66*AG$4/100</f>
        <v>1193.6832840356446</v>
      </c>
      <c r="AH70" s="323">
        <f>'DATA (Real)'!AH66*AH$4/100</f>
        <v>1207.1328248849857</v>
      </c>
      <c r="AI70" s="323">
        <f>'DATA (Real)'!AI66*AI$4/100</f>
        <v>1220.5964028222245</v>
      </c>
      <c r="AJ70" s="323">
        <f>'DATA (Real)'!AJ66*AJ$4/100</f>
        <v>1234.0681259014577</v>
      </c>
      <c r="AK70" s="323">
        <f>'DATA (Real)'!AK66*AK$4/100</f>
        <v>1247.5418361372112</v>
      </c>
      <c r="AL70" s="323">
        <f>'DATA (Real)'!AL66*AL$4/100</f>
        <v>1261.0111006504017</v>
      </c>
      <c r="AM70" s="323">
        <f>'DATA (Real)'!AM66*AM$4/100</f>
        <v>1274.4692025534821</v>
      </c>
      <c r="AN70" s="323">
        <f>'DATA (Real)'!AN66*AN$4/100</f>
        <v>1287.909131567583</v>
      </c>
      <c r="AO70" s="323">
        <f>'DATA (Real)'!AO66*AO$4/100</f>
        <v>1301.3235743642688</v>
      </c>
      <c r="AP70" s="318"/>
      <c r="AQ70" s="318"/>
      <c r="AR70" s="318"/>
      <c r="AS70" s="318"/>
      <c r="AT70" s="318"/>
      <c r="AU70" s="318"/>
      <c r="AV70" s="318"/>
      <c r="AW70" s="318"/>
      <c r="AX70" s="318"/>
      <c r="AY70" s="318"/>
      <c r="AZ70" s="318"/>
      <c r="BA70" s="318"/>
      <c r="BB70" s="318"/>
      <c r="BC70" s="318"/>
      <c r="BD70" s="318"/>
      <c r="BE70" s="318"/>
      <c r="BF70" s="318"/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8"/>
      <c r="BV70" s="318"/>
      <c r="BW70" s="318"/>
      <c r="BX70" s="318"/>
    </row>
    <row r="71" spans="2:76" hidden="1" outlineLevel="1">
      <c r="B71" s="352" t="s">
        <v>230</v>
      </c>
      <c r="C71" s="352" t="str">
        <f>'DATA (Real)'!C67</f>
        <v>NREL Utility PV - Class 5/Off System Adjustment/Internal</v>
      </c>
      <c r="D71" s="352" t="str">
        <f>'DATA (Real)'!D67</f>
        <v>CAPEX ($/kW)</v>
      </c>
      <c r="E71" s="352" t="str">
        <f>'DATA (Real)'!E67</f>
        <v>Southern NW Solar Photovoltaic w/ Single Axis Tracking (100 MW AC)</v>
      </c>
      <c r="F71" s="313">
        <f>'DATA (Real)'!F67</f>
        <v>1452.7736478333236</v>
      </c>
      <c r="G71" s="323">
        <f>'DATA (Real)'!G67*G$4/100</f>
        <v>1321.43</v>
      </c>
      <c r="H71" s="323">
        <f>'DATA (Real)'!H67*H$4/100</f>
        <v>1367.0296920243459</v>
      </c>
      <c r="I71" s="323">
        <f>'DATA (Real)'!I67*I$4/100</f>
        <v>1359.398155542978</v>
      </c>
      <c r="J71" s="323">
        <f>'DATA (Real)'!J67*J$4/100</f>
        <v>1339.1819257738703</v>
      </c>
      <c r="K71" s="323">
        <f>'DATA (Real)'!K67*K$4/100</f>
        <v>1315.731433806382</v>
      </c>
      <c r="L71" s="323">
        <f>'DATA (Real)'!L67*L$4/100</f>
        <v>1290.5655323460348</v>
      </c>
      <c r="M71" s="323">
        <f>'DATA (Real)'!M67*M$4/100</f>
        <v>1263.6192963530862</v>
      </c>
      <c r="N71" s="323">
        <f>'DATA (Real)'!N67*N$4/100</f>
        <v>1234.4231396007731</v>
      </c>
      <c r="O71" s="323">
        <f>'DATA (Real)'!O67*O$4/100</f>
        <v>1203.3307602119232</v>
      </c>
      <c r="P71" s="323">
        <f>'DATA (Real)'!P67*P$4/100</f>
        <v>1170.2728553303971</v>
      </c>
      <c r="Q71" s="323">
        <f>'DATA (Real)'!Q67*Q$4/100</f>
        <v>1187.1690376729534</v>
      </c>
      <c r="R71" s="323">
        <f>'DATA (Real)'!R67*R$4/100</f>
        <v>1204.2422399766024</v>
      </c>
      <c r="S71" s="323">
        <f>'DATA (Real)'!S67*S$4/100</f>
        <v>1221.492073367378</v>
      </c>
      <c r="T71" s="323">
        <f>'DATA (Real)'!T67*T$4/100</f>
        <v>1238.9180461831993</v>
      </c>
      <c r="U71" s="323">
        <f>'DATA (Real)'!U67*U$4/100</f>
        <v>1256.5195596394065</v>
      </c>
      <c r="V71" s="323">
        <f>'DATA (Real)'!V67*V$4/100</f>
        <v>1274.2959033533343</v>
      </c>
      <c r="W71" s="323">
        <f>'DATA (Real)'!W67*W$4/100</f>
        <v>1292.2462507238097</v>
      </c>
      <c r="X71" s="323">
        <f>'DATA (Real)'!X67*X$4/100</f>
        <v>1310.3696541613629</v>
      </c>
      <c r="Y71" s="323">
        <f>'DATA (Real)'!Y67*Y$4/100</f>
        <v>1328.665040164818</v>
      </c>
      <c r="Z71" s="323">
        <f>'DATA (Real)'!Z67*Z$4/100</f>
        <v>1347.1312042398113</v>
      </c>
      <c r="AA71" s="323">
        <f>'DATA (Real)'!AA67*AA$4/100</f>
        <v>1365.7668056546643</v>
      </c>
      <c r="AB71" s="323">
        <f>'DATA (Real)'!AB67*AB$4/100</f>
        <v>1384.5703620289187</v>
      </c>
      <c r="AC71" s="323">
        <f>'DATA (Real)'!AC67*AC$4/100</f>
        <v>1403.5402437497034</v>
      </c>
      <c r="AD71" s="323">
        <f>'DATA (Real)'!AD67*AD$4/100</f>
        <v>1422.6746682109808</v>
      </c>
      <c r="AE71" s="323">
        <f>'DATA (Real)'!AE67*AE$4/100</f>
        <v>1441.9716938705797</v>
      </c>
      <c r="AF71" s="323">
        <f>'DATA (Real)'!AF67*AF$4/100</f>
        <v>1461.4292141197866</v>
      </c>
      <c r="AG71" s="323">
        <f>'DATA (Real)'!AG67*AG$4/100</f>
        <v>1481.0449509601253</v>
      </c>
      <c r="AH71" s="323">
        <f>'DATA (Real)'!AH67*AH$4/100</f>
        <v>1500.8164484818051</v>
      </c>
      <c r="AI71" s="323">
        <f>'DATA (Real)'!AI67*AI$4/100</f>
        <v>1520.7410661381739</v>
      </c>
      <c r="AJ71" s="323">
        <f>'DATA (Real)'!AJ67*AJ$4/100</f>
        <v>1540.815971810358</v>
      </c>
      <c r="AK71" s="323">
        <f>'DATA (Real)'!AK67*AK$4/100</f>
        <v>1561.0381346561073</v>
      </c>
      <c r="AL71" s="323">
        <f>'DATA (Real)'!AL67*AL$4/100</f>
        <v>1581.4043177367137</v>
      </c>
      <c r="AM71" s="323">
        <f>'DATA (Real)'!AM67*AM$4/100</f>
        <v>1601.9110704156928</v>
      </c>
      <c r="AN71" s="323">
        <f>'DATA (Real)'!AN67*AN$4/100</f>
        <v>1622.5547205227622</v>
      </c>
      <c r="AO71" s="323">
        <f>'DATA (Real)'!AO67*AO$4/100</f>
        <v>1643.3313662764619</v>
      </c>
      <c r="AP71" s="318"/>
      <c r="AQ71" s="318"/>
      <c r="AR71" s="318"/>
      <c r="AS71" s="318"/>
      <c r="AT71" s="318"/>
      <c r="AU71" s="318"/>
      <c r="AV71" s="318"/>
      <c r="AW71" s="318"/>
      <c r="AX71" s="318"/>
      <c r="AY71" s="318"/>
      <c r="AZ71" s="318"/>
      <c r="BA71" s="318"/>
      <c r="BB71" s="318"/>
      <c r="BC71" s="318"/>
      <c r="BD71" s="318"/>
      <c r="BE71" s="318"/>
      <c r="BF71" s="318"/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8"/>
      <c r="BV71" s="318"/>
      <c r="BW71" s="318"/>
      <c r="BX71" s="318"/>
    </row>
    <row r="72" spans="2:76" hidden="1" outlineLevel="1">
      <c r="B72" s="352" t="s">
        <v>230</v>
      </c>
      <c r="C72" s="352" t="str">
        <f>'DATA (Real)'!C68</f>
        <v>NREL Utility PV - Class 4</v>
      </c>
      <c r="D72" s="352" t="str">
        <f>'DATA (Real)'!D68</f>
        <v>CAPEX ($/kW)</v>
      </c>
      <c r="E72" s="352" t="str">
        <f>'DATA (Real)'!E68</f>
        <v>100 MW/400 MWh Lithium-ion w/Solar (Solar Only)</v>
      </c>
      <c r="F72" s="313">
        <f>'DATA (Real)'!F68</f>
        <v>1302.7736478333236</v>
      </c>
      <c r="G72" s="323">
        <f>'DATA (Real)'!G68*G$4/100</f>
        <v>1167.6799999999998</v>
      </c>
      <c r="H72" s="323">
        <f>'DATA (Real)'!H68*H$4/100</f>
        <v>1202.2233446882801</v>
      </c>
      <c r="I72" s="323">
        <f>'DATA (Real)'!I68*I$4/100</f>
        <v>1189.3641508694125</v>
      </c>
      <c r="J72" s="323">
        <f>'DATA (Real)'!J68*J$4/100</f>
        <v>1165.1482253778688</v>
      </c>
      <c r="K72" s="323">
        <f>'DATA (Real)'!K68*K$4/100</f>
        <v>1137.8109807682031</v>
      </c>
      <c r="L72" s="323">
        <f>'DATA (Real)'!L68*L$4/100</f>
        <v>1108.671522523337</v>
      </c>
      <c r="M72" s="323">
        <f>'DATA (Real)'!M68*M$4/100</f>
        <v>1077.6629869776812</v>
      </c>
      <c r="N72" s="323">
        <f>'DATA (Real)'!N68*N$4/100</f>
        <v>1044.3757914191092</v>
      </c>
      <c r="O72" s="323">
        <f>'DATA (Real)'!O68*O$4/100</f>
        <v>1009.1023703702626</v>
      </c>
      <c r="P72" s="323">
        <f>'DATA (Real)'!P68*P$4/100</f>
        <v>971.77144091221999</v>
      </c>
      <c r="Q72" s="323">
        <f>'DATA (Real)'!Q68*Q$4/100</f>
        <v>984.30059213757636</v>
      </c>
      <c r="R72" s="323">
        <f>'DATA (Real)'!R68*R$4/100</f>
        <v>996.91068863944702</v>
      </c>
      <c r="S72" s="323">
        <f>'DATA (Real)'!S68*S$4/100</f>
        <v>1009.5992279008053</v>
      </c>
      <c r="T72" s="323">
        <f>'DATA (Real)'!T68*T$4/100</f>
        <v>1022.3635581163618</v>
      </c>
      <c r="U72" s="323">
        <f>'DATA (Real)'!U68*U$4/100</f>
        <v>1035.2008728350988</v>
      </c>
      <c r="V72" s="323">
        <f>'DATA (Real)'!V68*V$4/100</f>
        <v>1048.1082054393319</v>
      </c>
      <c r="W72" s="323">
        <f>'DATA (Real)'!W68*W$4/100</f>
        <v>1061.082423455699</v>
      </c>
      <c r="X72" s="323">
        <f>'DATA (Real)'!X68*X$4/100</f>
        <v>1074.1202226933538</v>
      </c>
      <c r="Y72" s="323">
        <f>'DATA (Real)'!Y68*Y$4/100</f>
        <v>1087.218121204513</v>
      </c>
      <c r="Z72" s="323">
        <f>'DATA (Real)'!Z68*Z$4/100</f>
        <v>1100.3724530623795</v>
      </c>
      <c r="AA72" s="323">
        <f>'DATA (Real)'!AA68*AA$4/100</f>
        <v>1113.5793619513288</v>
      </c>
      <c r="AB72" s="323">
        <f>'DATA (Real)'!AB68*AB$4/100</f>
        <v>1126.8347945641101</v>
      </c>
      <c r="AC72" s="323">
        <f>'DATA (Real)'!AC68*AC$4/100</f>
        <v>1140.1344938006689</v>
      </c>
      <c r="AD72" s="323">
        <f>'DATA (Real)'!AD68*AD$4/100</f>
        <v>1153.4739917630677</v>
      </c>
      <c r="AE72" s="323">
        <f>'DATA (Real)'!AE68*AE$4/100</f>
        <v>1166.8486025408124</v>
      </c>
      <c r="AF72" s="323">
        <f>'DATA (Real)'!AF68*AF$4/100</f>
        <v>1180.2534147807644</v>
      </c>
      <c r="AG72" s="323">
        <f>'DATA (Real)'!AG68*AG$4/100</f>
        <v>1193.6832840356446</v>
      </c>
      <c r="AH72" s="323">
        <f>'DATA (Real)'!AH68*AH$4/100</f>
        <v>1207.1328248849857</v>
      </c>
      <c r="AI72" s="323">
        <f>'DATA (Real)'!AI68*AI$4/100</f>
        <v>1220.5964028222245</v>
      </c>
      <c r="AJ72" s="323">
        <f>'DATA (Real)'!AJ68*AJ$4/100</f>
        <v>1234.0681259014577</v>
      </c>
      <c r="AK72" s="323">
        <f>'DATA (Real)'!AK68*AK$4/100</f>
        <v>1247.5418361372112</v>
      </c>
      <c r="AL72" s="323">
        <f>'DATA (Real)'!AL68*AL$4/100</f>
        <v>1261.0111006504017</v>
      </c>
      <c r="AM72" s="323">
        <f>'DATA (Real)'!AM68*AM$4/100</f>
        <v>1274.4692025534821</v>
      </c>
      <c r="AN72" s="323">
        <f>'DATA (Real)'!AN68*AN$4/100</f>
        <v>1287.909131567583</v>
      </c>
      <c r="AO72" s="323">
        <f>'DATA (Real)'!AO68*AO$4/100</f>
        <v>1301.3235743642688</v>
      </c>
      <c r="AP72" s="318"/>
      <c r="AQ72" s="318"/>
      <c r="AR72" s="318"/>
      <c r="AS72" s="318"/>
      <c r="AT72" s="318"/>
      <c r="AU72" s="318"/>
      <c r="AV72" s="318"/>
      <c r="AW72" s="318"/>
      <c r="AX72" s="318"/>
      <c r="AY72" s="318"/>
      <c r="AZ72" s="318"/>
      <c r="BA72" s="318"/>
      <c r="BB72" s="318"/>
      <c r="BC72" s="318"/>
      <c r="BD72" s="318"/>
      <c r="BE72" s="318"/>
      <c r="BF72" s="318"/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8"/>
      <c r="BV72" s="318"/>
      <c r="BW72" s="318"/>
      <c r="BX72" s="318"/>
    </row>
    <row r="73" spans="2:76" hidden="1" outlineLevel="1">
      <c r="B73" s="352" t="s">
        <v>230</v>
      </c>
      <c r="C73" s="352" t="str">
        <f>'DATA (Real)'!C69</f>
        <v>NREL Utility-Scale Battery Storage - 4Hr</v>
      </c>
      <c r="D73" s="352" t="str">
        <f>'DATA (Real)'!D69</f>
        <v>CAPEX ($/kW)</v>
      </c>
      <c r="E73" s="352" t="str">
        <f>'DATA (Real)'!E69</f>
        <v>100 MW/400 MWh Lithium-ion w/Solar (Battery Only)</v>
      </c>
      <c r="F73" s="313">
        <f>'DATA (Real)'!F69</f>
        <v>1727.2344448095646</v>
      </c>
      <c r="G73" s="323">
        <f>'DATA (Real)'!G69*G$4/100</f>
        <v>1512.3436040480101</v>
      </c>
      <c r="H73" s="323">
        <f>'DATA (Real)'!H69*H$4/100</f>
        <v>1506.1265577733022</v>
      </c>
      <c r="I73" s="323">
        <f>'DATA (Real)'!I69*I$4/100</f>
        <v>1423.4206645977451</v>
      </c>
      <c r="J73" s="323">
        <f>'DATA (Real)'!J69*J$4/100</f>
        <v>1353.7063269617065</v>
      </c>
      <c r="K73" s="323">
        <f>'DATA (Real)'!K69*K$4/100</f>
        <v>1309.4670423184125</v>
      </c>
      <c r="L73" s="323">
        <f>'DATA (Real)'!L69*L$4/100</f>
        <v>1281.610354811525</v>
      </c>
      <c r="M73" s="323">
        <f>'DATA (Real)'!M69*M$4/100</f>
        <v>1258.3425707791216</v>
      </c>
      <c r="N73" s="323">
        <f>'DATA (Real)'!N69*N$4/100</f>
        <v>1226.365102356745</v>
      </c>
      <c r="O73" s="323">
        <f>'DATA (Real)'!O69*O$4/100</f>
        <v>1205.9212646504304</v>
      </c>
      <c r="P73" s="323">
        <f>'DATA (Real)'!P69*P$4/100</f>
        <v>1183.9843373754975</v>
      </c>
      <c r="Q73" s="323">
        <f>'DATA (Real)'!Q69*Q$4/100</f>
        <v>1195.5080707789439</v>
      </c>
      <c r="R73" s="323">
        <f>'DATA (Real)'!R69*R$4/100</f>
        <v>1206.3510896280873</v>
      </c>
      <c r="S73" s="323">
        <f>'DATA (Real)'!S69*S$4/100</f>
        <v>1217.0925754003399</v>
      </c>
      <c r="T73" s="323">
        <f>'DATA (Real)'!T69*T$4/100</f>
        <v>1227.7228126191919</v>
      </c>
      <c r="U73" s="323">
        <f>'DATA (Real)'!U69*U$4/100</f>
        <v>1238.2317074691748</v>
      </c>
      <c r="V73" s="323">
        <f>'DATA (Real)'!V69*V$4/100</f>
        <v>1248.6087758512526</v>
      </c>
      <c r="W73" s="323">
        <f>'DATA (Real)'!W69*W$4/100</f>
        <v>1258.8431310957233</v>
      </c>
      <c r="X73" s="323">
        <f>'DATA (Real)'!X69*X$4/100</f>
        <v>1268.9234713234439</v>
      </c>
      <c r="Y73" s="323">
        <f>'DATA (Real)'!Y69*Y$4/100</f>
        <v>1278.8380664457336</v>
      </c>
      <c r="Z73" s="323">
        <f>'DATA (Real)'!Z69*Z$4/100</f>
        <v>1288.5747447932788</v>
      </c>
      <c r="AA73" s="323">
        <f>'DATA (Real)'!AA69*AA$4/100</f>
        <v>1298.1208793639594</v>
      </c>
      <c r="AB73" s="323">
        <f>'DATA (Real)'!AB69*AB$4/100</f>
        <v>1307.4633736792669</v>
      </c>
      <c r="AC73" s="323">
        <f>'DATA (Real)'!AC69*AC$4/100</f>
        <v>1316.5886472388406</v>
      </c>
      <c r="AD73" s="323">
        <f>'DATA (Real)'!AD69*AD$4/100</f>
        <v>1325.4826205621748</v>
      </c>
      <c r="AE73" s="323">
        <f>'DATA (Real)'!AE69*AE$4/100</f>
        <v>1334.130699806467</v>
      </c>
      <c r="AF73" s="323">
        <f>'DATA (Real)'!AF69*AF$4/100</f>
        <v>1342.5177609491593</v>
      </c>
      <c r="AG73" s="323">
        <f>'DATA (Real)'!AG69*AG$4/100</f>
        <v>1350.6281335234203</v>
      </c>
      <c r="AH73" s="323">
        <f>'DATA (Real)'!AH69*AH$4/100</f>
        <v>1358.4455838946551</v>
      </c>
      <c r="AI73" s="323">
        <f>'DATA (Real)'!AI69*AI$4/100</f>
        <v>1365.9532980655986</v>
      </c>
      <c r="AJ73" s="323">
        <f>'DATA (Real)'!AJ69*AJ$4/100</f>
        <v>1373.1338639974526</v>
      </c>
      <c r="AK73" s="323">
        <f>'DATA (Real)'!AK69*AK$4/100</f>
        <v>1379.9692534340447</v>
      </c>
      <c r="AL73" s="323">
        <f>'DATA (Real)'!AL69*AL$4/100</f>
        <v>1386.4408032156718</v>
      </c>
      <c r="AM73" s="323">
        <f>'DATA (Real)'!AM69*AM$4/100</f>
        <v>1392.5291960690288</v>
      </c>
      <c r="AN73" s="323">
        <f>'DATA (Real)'!AN69*AN$4/100</f>
        <v>1398.2144408591766</v>
      </c>
      <c r="AO73" s="323">
        <f>'DATA (Real)'!AO69*AO$4/100</f>
        <v>1403.4758522891941</v>
      </c>
      <c r="AP73" s="318"/>
      <c r="AQ73" s="318"/>
      <c r="AR73" s="318"/>
      <c r="AS73" s="318"/>
      <c r="AT73" s="318"/>
      <c r="AU73" s="318"/>
      <c r="AV73" s="318"/>
      <c r="AW73" s="318"/>
      <c r="AX73" s="318"/>
      <c r="AY73" s="318"/>
      <c r="AZ73" s="318"/>
      <c r="BA73" s="318"/>
      <c r="BB73" s="318"/>
      <c r="BC73" s="318"/>
      <c r="BD73" s="318"/>
      <c r="BE73" s="318"/>
      <c r="BF73" s="318"/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8"/>
      <c r="BV73" s="318"/>
      <c r="BW73" s="318"/>
      <c r="BX73" s="318"/>
    </row>
    <row r="74" spans="2:76" hidden="1" outlineLevel="1">
      <c r="B74" s="352" t="s">
        <v>230</v>
      </c>
      <c r="C74" s="352" t="str">
        <f>'DATA (Real)'!C70</f>
        <v>NREL Utility PV - Class 4</v>
      </c>
      <c r="D74" s="352" t="str">
        <f>'DATA (Real)'!D70</f>
        <v>CAPEX ($/kW)</v>
      </c>
      <c r="E74" s="352" t="str">
        <f>'DATA (Real)'!E70</f>
        <v>100 MW/200 MWh Lithium-ion w/Solar (Solar Only)</v>
      </c>
      <c r="F74" s="313">
        <f>'DATA (Real)'!F70</f>
        <v>1302.7736478333236</v>
      </c>
      <c r="G74" s="323">
        <f>'DATA (Real)'!G70*G$4/100</f>
        <v>1167.6799999999998</v>
      </c>
      <c r="H74" s="323">
        <f>'DATA (Real)'!H70*H$4/100</f>
        <v>1202.2233446882801</v>
      </c>
      <c r="I74" s="323">
        <f>'DATA (Real)'!I70*I$4/100</f>
        <v>1189.3641508694125</v>
      </c>
      <c r="J74" s="323">
        <f>'DATA (Real)'!J70*J$4/100</f>
        <v>1165.1482253778688</v>
      </c>
      <c r="K74" s="323">
        <f>'DATA (Real)'!K70*K$4/100</f>
        <v>1137.8109807682031</v>
      </c>
      <c r="L74" s="323">
        <f>'DATA (Real)'!L70*L$4/100</f>
        <v>1108.671522523337</v>
      </c>
      <c r="M74" s="323">
        <f>'DATA (Real)'!M70*M$4/100</f>
        <v>1077.6629869776812</v>
      </c>
      <c r="N74" s="323">
        <f>'DATA (Real)'!N70*N$4/100</f>
        <v>1044.3757914191092</v>
      </c>
      <c r="O74" s="323">
        <f>'DATA (Real)'!O70*O$4/100</f>
        <v>1009.1023703702626</v>
      </c>
      <c r="P74" s="323">
        <f>'DATA (Real)'!P70*P$4/100</f>
        <v>971.77144091221999</v>
      </c>
      <c r="Q74" s="323">
        <f>'DATA (Real)'!Q70*Q$4/100</f>
        <v>984.30059213757636</v>
      </c>
      <c r="R74" s="323">
        <f>'DATA (Real)'!R70*R$4/100</f>
        <v>996.91068863944702</v>
      </c>
      <c r="S74" s="323">
        <f>'DATA (Real)'!S70*S$4/100</f>
        <v>1009.5992279008053</v>
      </c>
      <c r="T74" s="323">
        <f>'DATA (Real)'!T70*T$4/100</f>
        <v>1022.3635581163618</v>
      </c>
      <c r="U74" s="323">
        <f>'DATA (Real)'!U70*U$4/100</f>
        <v>1035.2008728350988</v>
      </c>
      <c r="V74" s="323">
        <f>'DATA (Real)'!V70*V$4/100</f>
        <v>1048.1082054393319</v>
      </c>
      <c r="W74" s="323">
        <f>'DATA (Real)'!W70*W$4/100</f>
        <v>1061.082423455699</v>
      </c>
      <c r="X74" s="323">
        <f>'DATA (Real)'!X70*X$4/100</f>
        <v>1074.1202226933538</v>
      </c>
      <c r="Y74" s="323">
        <f>'DATA (Real)'!Y70*Y$4/100</f>
        <v>1087.218121204513</v>
      </c>
      <c r="Z74" s="323">
        <f>'DATA (Real)'!Z70*Z$4/100</f>
        <v>1100.3724530623795</v>
      </c>
      <c r="AA74" s="323">
        <f>'DATA (Real)'!AA70*AA$4/100</f>
        <v>1113.5793619513288</v>
      </c>
      <c r="AB74" s="323">
        <f>'DATA (Real)'!AB70*AB$4/100</f>
        <v>1126.8347945641101</v>
      </c>
      <c r="AC74" s="323">
        <f>'DATA (Real)'!AC70*AC$4/100</f>
        <v>1140.1344938006689</v>
      </c>
      <c r="AD74" s="323">
        <f>'DATA (Real)'!AD70*AD$4/100</f>
        <v>1153.4739917630677</v>
      </c>
      <c r="AE74" s="323">
        <f>'DATA (Real)'!AE70*AE$4/100</f>
        <v>1166.8486025408124</v>
      </c>
      <c r="AF74" s="323">
        <f>'DATA (Real)'!AF70*AF$4/100</f>
        <v>1180.2534147807644</v>
      </c>
      <c r="AG74" s="323">
        <f>'DATA (Real)'!AG70*AG$4/100</f>
        <v>1193.6832840356446</v>
      </c>
      <c r="AH74" s="323">
        <f>'DATA (Real)'!AH70*AH$4/100</f>
        <v>1207.1328248849857</v>
      </c>
      <c r="AI74" s="323">
        <f>'DATA (Real)'!AI70*AI$4/100</f>
        <v>1220.5964028222245</v>
      </c>
      <c r="AJ74" s="323">
        <f>'DATA (Real)'!AJ70*AJ$4/100</f>
        <v>1234.0681259014577</v>
      </c>
      <c r="AK74" s="323">
        <f>'DATA (Real)'!AK70*AK$4/100</f>
        <v>1247.5418361372112</v>
      </c>
      <c r="AL74" s="323">
        <f>'DATA (Real)'!AL70*AL$4/100</f>
        <v>1261.0111006504017</v>
      </c>
      <c r="AM74" s="323">
        <f>'DATA (Real)'!AM70*AM$4/100</f>
        <v>1274.4692025534821</v>
      </c>
      <c r="AN74" s="323">
        <f>'DATA (Real)'!AN70*AN$4/100</f>
        <v>1287.909131567583</v>
      </c>
      <c r="AO74" s="323">
        <f>'DATA (Real)'!AO70*AO$4/100</f>
        <v>1301.3235743642688</v>
      </c>
      <c r="AP74" s="318"/>
      <c r="AQ74" s="318"/>
      <c r="AR74" s="318"/>
      <c r="AS74" s="318"/>
      <c r="AT74" s="318"/>
      <c r="AU74" s="318"/>
      <c r="AV74" s="318"/>
      <c r="AW74" s="318"/>
      <c r="AX74" s="318"/>
      <c r="AY74" s="318"/>
      <c r="AZ74" s="318"/>
      <c r="BA74" s="318"/>
      <c r="BB74" s="318"/>
      <c r="BC74" s="318"/>
      <c r="BD74" s="318"/>
      <c r="BE74" s="318"/>
      <c r="BF74" s="318"/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8"/>
      <c r="BV74" s="318"/>
      <c r="BW74" s="318"/>
      <c r="BX74" s="318"/>
    </row>
    <row r="75" spans="2:76" hidden="1" outlineLevel="1">
      <c r="B75" s="352" t="s">
        <v>230</v>
      </c>
      <c r="C75" s="352" t="str">
        <f>'DATA (Real)'!C71</f>
        <v>NREL Utility-Scale Battery Storage - 2Hr/Internal</v>
      </c>
      <c r="D75" s="352" t="str">
        <f>'DATA (Real)'!D71</f>
        <v>CAPEX ($/kW)</v>
      </c>
      <c r="E75" s="352" t="str">
        <f>'DATA (Real)'!E71</f>
        <v>100 MW/200 MWh Lithium-ion w/Solar (Battery Only)</v>
      </c>
      <c r="F75" s="313">
        <f>'DATA (Real)'!F71</f>
        <v>988.32170015695567</v>
      </c>
      <c r="G75" s="323">
        <f>'DATA (Real)'!G71*G$4/100</f>
        <v>878.26937943294865</v>
      </c>
      <c r="H75" s="323">
        <f>'DATA (Real)'!H71*H$4/100</f>
        <v>886.30056195309817</v>
      </c>
      <c r="I75" s="323">
        <f>'DATA (Real)'!I71*I$4/100</f>
        <v>845.67734867085994</v>
      </c>
      <c r="J75" s="323">
        <f>'DATA (Real)'!J71*J$4/100</f>
        <v>821.05475590327524</v>
      </c>
      <c r="K75" s="323">
        <f>'DATA (Real)'!K71*K$4/100</f>
        <v>797.22324882570319</v>
      </c>
      <c r="L75" s="323">
        <f>'DATA (Real)'!L71*L$4/100</f>
        <v>790.9515610494152</v>
      </c>
      <c r="M75" s="323">
        <f>'DATA (Real)'!M71*M$4/100</f>
        <v>785.66516370892202</v>
      </c>
      <c r="N75" s="323">
        <f>'DATA (Real)'!N71*N$4/100</f>
        <v>772.86489294482226</v>
      </c>
      <c r="O75" s="323">
        <f>'DATA (Real)'!O71*O$4/100</f>
        <v>772.67082545877031</v>
      </c>
      <c r="P75" s="323">
        <f>'DATA (Real)'!P71*P$4/100</f>
        <v>766.94552508289257</v>
      </c>
      <c r="Q75" s="323">
        <f>'DATA (Real)'!Q71*Q$4/100</f>
        <v>774.4905280151105</v>
      </c>
      <c r="R75" s="323">
        <f>'DATA (Real)'!R71*R$4/100</f>
        <v>781.51604050868366</v>
      </c>
      <c r="S75" s="323">
        <f>'DATA (Real)'!S71*S$4/100</f>
        <v>788.47582213641635</v>
      </c>
      <c r="T75" s="323">
        <f>'DATA (Real)'!T71*T$4/100</f>
        <v>795.36358039216316</v>
      </c>
      <c r="U75" s="323">
        <f>'DATA (Real)'!U71*U$4/100</f>
        <v>802.17277771324723</v>
      </c>
      <c r="V75" s="323">
        <f>'DATA (Real)'!V71*V$4/100</f>
        <v>808.89662374354918</v>
      </c>
      <c r="W75" s="323">
        <f>'DATA (Real)'!W71*W$4/100</f>
        <v>815.5280673747709</v>
      </c>
      <c r="X75" s="323">
        <f>'DATA (Real)'!X71*X$4/100</f>
        <v>822.05978855987678</v>
      </c>
      <c r="Y75" s="323">
        <f>'DATA (Real)'!Y71*Y$4/100</f>
        <v>828.48418989251775</v>
      </c>
      <c r="Z75" s="323">
        <f>'DATA (Real)'!Z71*Z$4/100</f>
        <v>834.79338794612977</v>
      </c>
      <c r="AA75" s="323">
        <f>'DATA (Real)'!AA71*AA$4/100</f>
        <v>840.97920436619313</v>
      </c>
      <c r="AB75" s="323">
        <f>'DATA (Real)'!AB71*AB$4/100</f>
        <v>847.03315670897337</v>
      </c>
      <c r="AC75" s="323">
        <f>'DATA (Real)'!AC71*AC$4/100</f>
        <v>852.94644901992433</v>
      </c>
      <c r="AD75" s="323">
        <f>'DATA (Real)'!AD71*AD$4/100</f>
        <v>858.70996214471018</v>
      </c>
      <c r="AE75" s="323">
        <f>'DATA (Real)'!AE71*AE$4/100</f>
        <v>864.31424376565872</v>
      </c>
      <c r="AF75" s="323">
        <f>'DATA (Real)'!AF71*AF$4/100</f>
        <v>869.74949815625155</v>
      </c>
      <c r="AG75" s="323">
        <f>'DATA (Real)'!AG71*AG$4/100</f>
        <v>875.00557564604719</v>
      </c>
      <c r="AH75" s="323">
        <f>'DATA (Real)'!AH71*AH$4/100</f>
        <v>880.07196178828895</v>
      </c>
      <c r="AI75" s="323">
        <f>'DATA (Real)'!AI71*AI$4/100</f>
        <v>884.93776622217626</v>
      </c>
      <c r="AJ75" s="323">
        <f>'DATA (Real)'!AJ71*AJ$4/100</f>
        <v>889.79061790728144</v>
      </c>
      <c r="AK75" s="323">
        <f>'DATA (Real)'!AK71*AK$4/100</f>
        <v>894.42868518767966</v>
      </c>
      <c r="AL75" s="323">
        <f>'DATA (Real)'!AL71*AL$4/100</f>
        <v>898.84016876934834</v>
      </c>
      <c r="AM75" s="323">
        <f>'DATA (Real)'!AM71*AM$4/100</f>
        <v>903.01285414497966</v>
      </c>
      <c r="AN75" s="323">
        <f>'DATA (Real)'!AN71*AN$4/100</f>
        <v>906.93409903545432</v>
      </c>
      <c r="AO75" s="323">
        <f>'DATA (Real)'!AO71*AO$4/100</f>
        <v>910.59082047970367</v>
      </c>
      <c r="AP75" s="318"/>
      <c r="AQ75" s="318"/>
      <c r="AR75" s="318"/>
      <c r="AS75" s="318"/>
      <c r="AT75" s="318"/>
      <c r="AU75" s="318"/>
      <c r="AV75" s="318"/>
      <c r="AW75" s="318"/>
      <c r="AX75" s="318"/>
      <c r="AY75" s="318"/>
      <c r="AZ75" s="318"/>
      <c r="BA75" s="318"/>
      <c r="BB75" s="318"/>
      <c r="BC75" s="318"/>
      <c r="BD75" s="318"/>
      <c r="BE75" s="318"/>
      <c r="BF75" s="318"/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8"/>
      <c r="BV75" s="318"/>
      <c r="BW75" s="318"/>
      <c r="BX75" s="318"/>
    </row>
    <row r="76" spans="2:76" hidden="1" outlineLevel="1">
      <c r="B76" s="352" t="s">
        <v>230</v>
      </c>
      <c r="C76" s="352" t="str">
        <f>'DATA (Real)'!C72</f>
        <v>NREL Utility PV - Class 4</v>
      </c>
      <c r="D76" s="352" t="str">
        <f>'DATA (Real)'!D72</f>
        <v>CAPEX ($/kW)</v>
      </c>
      <c r="E76" s="352" t="str">
        <f>'DATA (Real)'!E72</f>
        <v>50 MW/200 MWh Lithium-ion w/Solar (Solar Only)</v>
      </c>
      <c r="F76" s="313">
        <f>'DATA (Real)'!F72</f>
        <v>1302.7736478333236</v>
      </c>
      <c r="G76" s="323">
        <f>'DATA (Real)'!G72*G$4/100</f>
        <v>1167.6799999999998</v>
      </c>
      <c r="H76" s="323">
        <f>'DATA (Real)'!H72*H$4/100</f>
        <v>1202.2233446882801</v>
      </c>
      <c r="I76" s="323">
        <f>'DATA (Real)'!I72*I$4/100</f>
        <v>1189.3641508694125</v>
      </c>
      <c r="J76" s="323">
        <f>'DATA (Real)'!J72*J$4/100</f>
        <v>1165.1482253778688</v>
      </c>
      <c r="K76" s="323">
        <f>'DATA (Real)'!K72*K$4/100</f>
        <v>1137.8109807682031</v>
      </c>
      <c r="L76" s="323">
        <f>'DATA (Real)'!L72*L$4/100</f>
        <v>1108.671522523337</v>
      </c>
      <c r="M76" s="323">
        <f>'DATA (Real)'!M72*M$4/100</f>
        <v>1077.6629869776812</v>
      </c>
      <c r="N76" s="323">
        <f>'DATA (Real)'!N72*N$4/100</f>
        <v>1044.3757914191092</v>
      </c>
      <c r="O76" s="323">
        <f>'DATA (Real)'!O72*O$4/100</f>
        <v>1009.1023703702626</v>
      </c>
      <c r="P76" s="323">
        <f>'DATA (Real)'!P72*P$4/100</f>
        <v>971.77144091221999</v>
      </c>
      <c r="Q76" s="323">
        <f>'DATA (Real)'!Q72*Q$4/100</f>
        <v>984.30059213757636</v>
      </c>
      <c r="R76" s="323">
        <f>'DATA (Real)'!R72*R$4/100</f>
        <v>996.91068863944702</v>
      </c>
      <c r="S76" s="323">
        <f>'DATA (Real)'!S72*S$4/100</f>
        <v>1009.5992279008053</v>
      </c>
      <c r="T76" s="323">
        <f>'DATA (Real)'!T72*T$4/100</f>
        <v>1022.3635581163618</v>
      </c>
      <c r="U76" s="323">
        <f>'DATA (Real)'!U72*U$4/100</f>
        <v>1035.2008728350988</v>
      </c>
      <c r="V76" s="323">
        <f>'DATA (Real)'!V72*V$4/100</f>
        <v>1048.1082054393319</v>
      </c>
      <c r="W76" s="323">
        <f>'DATA (Real)'!W72*W$4/100</f>
        <v>1061.082423455699</v>
      </c>
      <c r="X76" s="323">
        <f>'DATA (Real)'!X72*X$4/100</f>
        <v>1074.1202226933538</v>
      </c>
      <c r="Y76" s="323">
        <f>'DATA (Real)'!Y72*Y$4/100</f>
        <v>1087.218121204513</v>
      </c>
      <c r="Z76" s="323">
        <f>'DATA (Real)'!Z72*Z$4/100</f>
        <v>1100.3724530623795</v>
      </c>
      <c r="AA76" s="323">
        <f>'DATA (Real)'!AA72*AA$4/100</f>
        <v>1113.5793619513288</v>
      </c>
      <c r="AB76" s="323">
        <f>'DATA (Real)'!AB72*AB$4/100</f>
        <v>1126.8347945641101</v>
      </c>
      <c r="AC76" s="323">
        <f>'DATA (Real)'!AC72*AC$4/100</f>
        <v>1140.1344938006689</v>
      </c>
      <c r="AD76" s="323">
        <f>'DATA (Real)'!AD72*AD$4/100</f>
        <v>1153.4739917630677</v>
      </c>
      <c r="AE76" s="323">
        <f>'DATA (Real)'!AE72*AE$4/100</f>
        <v>1166.8486025408124</v>
      </c>
      <c r="AF76" s="323">
        <f>'DATA (Real)'!AF72*AF$4/100</f>
        <v>1180.2534147807644</v>
      </c>
      <c r="AG76" s="323">
        <f>'DATA (Real)'!AG72*AG$4/100</f>
        <v>1193.6832840356446</v>
      </c>
      <c r="AH76" s="323">
        <f>'DATA (Real)'!AH72*AH$4/100</f>
        <v>1207.1328248849857</v>
      </c>
      <c r="AI76" s="323">
        <f>'DATA (Real)'!AI72*AI$4/100</f>
        <v>1220.5964028222245</v>
      </c>
      <c r="AJ76" s="323">
        <f>'DATA (Real)'!AJ72*AJ$4/100</f>
        <v>1234.0681259014577</v>
      </c>
      <c r="AK76" s="323">
        <f>'DATA (Real)'!AK72*AK$4/100</f>
        <v>1247.5418361372112</v>
      </c>
      <c r="AL76" s="323">
        <f>'DATA (Real)'!AL72*AL$4/100</f>
        <v>1261.0111006504017</v>
      </c>
      <c r="AM76" s="323">
        <f>'DATA (Real)'!AM72*AM$4/100</f>
        <v>1274.4692025534821</v>
      </c>
      <c r="AN76" s="323">
        <f>'DATA (Real)'!AN72*AN$4/100</f>
        <v>1287.909131567583</v>
      </c>
      <c r="AO76" s="323">
        <f>'DATA (Real)'!AO72*AO$4/100</f>
        <v>1301.3235743642688</v>
      </c>
      <c r="AP76" s="318"/>
      <c r="AQ76" s="318"/>
      <c r="AR76" s="318"/>
      <c r="AS76" s="318"/>
      <c r="AT76" s="318"/>
      <c r="AU76" s="318"/>
      <c r="AV76" s="318"/>
      <c r="AW76" s="318"/>
      <c r="AX76" s="318"/>
      <c r="AY76" s="318"/>
      <c r="AZ76" s="318"/>
      <c r="BA76" s="318"/>
      <c r="BB76" s="318"/>
      <c r="BC76" s="318"/>
      <c r="BD76" s="318"/>
      <c r="BE76" s="318"/>
      <c r="BF76" s="318"/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8"/>
      <c r="BV76" s="318"/>
      <c r="BW76" s="318"/>
      <c r="BX76" s="318"/>
    </row>
    <row r="77" spans="2:76" hidden="1" outlineLevel="1">
      <c r="B77" s="352" t="s">
        <v>230</v>
      </c>
      <c r="C77" s="352" t="str">
        <f>'DATA (Real)'!C73</f>
        <v>NREL Utility-Scale Battery Storage - 2Hr</v>
      </c>
      <c r="D77" s="352" t="str">
        <f>'DATA (Real)'!D73</f>
        <v>CAPEX ($/kW)</v>
      </c>
      <c r="E77" s="352" t="str">
        <f>'DATA (Real)'!E73</f>
        <v>50 MW/200 MWh Lithium-ion w/Solar (Battery Only)</v>
      </c>
      <c r="F77" s="313">
        <f>'DATA (Real)'!F73</f>
        <v>988.32170015695567</v>
      </c>
      <c r="G77" s="323">
        <f>'DATA (Real)'!G73*G$4/100</f>
        <v>878.26937943294865</v>
      </c>
      <c r="H77" s="323">
        <f>'DATA (Real)'!H73*H$4/100</f>
        <v>886.30056195309817</v>
      </c>
      <c r="I77" s="323">
        <f>'DATA (Real)'!I73*I$4/100</f>
        <v>845.67734867085994</v>
      </c>
      <c r="J77" s="323">
        <f>'DATA (Real)'!J73*J$4/100</f>
        <v>821.05475590327524</v>
      </c>
      <c r="K77" s="323">
        <f>'DATA (Real)'!K73*K$4/100</f>
        <v>797.22324882570319</v>
      </c>
      <c r="L77" s="323">
        <f>'DATA (Real)'!L73*L$4/100</f>
        <v>790.9515610494152</v>
      </c>
      <c r="M77" s="323">
        <f>'DATA (Real)'!M73*M$4/100</f>
        <v>785.66516370892202</v>
      </c>
      <c r="N77" s="323">
        <f>'DATA (Real)'!N73*N$4/100</f>
        <v>772.86489294482226</v>
      </c>
      <c r="O77" s="323">
        <f>'DATA (Real)'!O73*O$4/100</f>
        <v>772.67082545877031</v>
      </c>
      <c r="P77" s="323">
        <f>'DATA (Real)'!P73*P$4/100</f>
        <v>766.94552508289257</v>
      </c>
      <c r="Q77" s="323">
        <f>'DATA (Real)'!Q73*Q$4/100</f>
        <v>774.4905280151105</v>
      </c>
      <c r="R77" s="323">
        <f>'DATA (Real)'!R73*R$4/100</f>
        <v>781.51604050868366</v>
      </c>
      <c r="S77" s="323">
        <f>'DATA (Real)'!S73*S$4/100</f>
        <v>788.47582213641635</v>
      </c>
      <c r="T77" s="323">
        <f>'DATA (Real)'!T73*T$4/100</f>
        <v>795.36358039216316</v>
      </c>
      <c r="U77" s="323">
        <f>'DATA (Real)'!U73*U$4/100</f>
        <v>802.17277771324723</v>
      </c>
      <c r="V77" s="323">
        <f>'DATA (Real)'!V73*V$4/100</f>
        <v>808.89662374354918</v>
      </c>
      <c r="W77" s="323">
        <f>'DATA (Real)'!W73*W$4/100</f>
        <v>815.5280673747709</v>
      </c>
      <c r="X77" s="323">
        <f>'DATA (Real)'!X73*X$4/100</f>
        <v>822.05978855987678</v>
      </c>
      <c r="Y77" s="323">
        <f>'DATA (Real)'!Y73*Y$4/100</f>
        <v>828.48418989251775</v>
      </c>
      <c r="Z77" s="323">
        <f>'DATA (Real)'!Z73*Z$4/100</f>
        <v>834.79338794612977</v>
      </c>
      <c r="AA77" s="323">
        <f>'DATA (Real)'!AA73*AA$4/100</f>
        <v>840.97920436619313</v>
      </c>
      <c r="AB77" s="323">
        <f>'DATA (Real)'!AB73*AB$4/100</f>
        <v>847.03315670897337</v>
      </c>
      <c r="AC77" s="323">
        <f>'DATA (Real)'!AC73*AC$4/100</f>
        <v>852.94644901992433</v>
      </c>
      <c r="AD77" s="323">
        <f>'DATA (Real)'!AD73*AD$4/100</f>
        <v>858.70996214471018</v>
      </c>
      <c r="AE77" s="323">
        <f>'DATA (Real)'!AE73*AE$4/100</f>
        <v>864.31424376565872</v>
      </c>
      <c r="AF77" s="323">
        <f>'DATA (Real)'!AF73*AF$4/100</f>
        <v>869.74949815625155</v>
      </c>
      <c r="AG77" s="323">
        <f>'DATA (Real)'!AG73*AG$4/100</f>
        <v>875.00557564604719</v>
      </c>
      <c r="AH77" s="323">
        <f>'DATA (Real)'!AH73*AH$4/100</f>
        <v>880.07196178828895</v>
      </c>
      <c r="AI77" s="323">
        <f>'DATA (Real)'!AI73*AI$4/100</f>
        <v>884.93776622217626</v>
      </c>
      <c r="AJ77" s="323">
        <f>'DATA (Real)'!AJ73*AJ$4/100</f>
        <v>889.79061790728144</v>
      </c>
      <c r="AK77" s="323">
        <f>'DATA (Real)'!AK73*AK$4/100</f>
        <v>894.42868518767966</v>
      </c>
      <c r="AL77" s="323">
        <f>'DATA (Real)'!AL73*AL$4/100</f>
        <v>898.84016876934834</v>
      </c>
      <c r="AM77" s="323">
        <f>'DATA (Real)'!AM73*AM$4/100</f>
        <v>903.01285414497966</v>
      </c>
      <c r="AN77" s="323">
        <f>'DATA (Real)'!AN73*AN$4/100</f>
        <v>906.93409903545432</v>
      </c>
      <c r="AO77" s="323">
        <f>'DATA (Real)'!AO73*AO$4/100</f>
        <v>910.59082047970367</v>
      </c>
      <c r="AP77" s="318"/>
      <c r="AQ77" s="318"/>
      <c r="AR77" s="318"/>
      <c r="AS77" s="318"/>
      <c r="AT77" s="318"/>
      <c r="AU77" s="318"/>
      <c r="AV77" s="318"/>
      <c r="AW77" s="318"/>
      <c r="AX77" s="318"/>
      <c r="AY77" s="318"/>
      <c r="AZ77" s="318"/>
      <c r="BA77" s="318"/>
      <c r="BB77" s="318"/>
      <c r="BC77" s="318"/>
      <c r="BD77" s="318"/>
      <c r="BE77" s="318"/>
      <c r="BF77" s="318"/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8"/>
      <c r="BV77" s="318"/>
      <c r="BW77" s="318"/>
      <c r="BX77" s="318"/>
    </row>
    <row r="78" spans="2:76" hidden="1" outlineLevel="1">
      <c r="B78" s="350" t="s">
        <v>230</v>
      </c>
      <c r="C78" s="350" t="str">
        <f>'DATA (Real)'!C74</f>
        <v>NREL Land-Based Wind - Class 8</v>
      </c>
      <c r="D78" s="350" t="str">
        <f>'DATA (Real)'!D74</f>
        <v>CAPEX ($/kW)</v>
      </c>
      <c r="E78" s="350" t="str">
        <f>'DATA (Real)'!E74</f>
        <v>NW Wind On System (Share)</v>
      </c>
      <c r="F78" s="313">
        <f>'DATA (Real)'!F74</f>
        <v>1405.1658156023161</v>
      </c>
      <c r="G78" s="323">
        <f>'DATA (Real)'!G74*G$4/100</f>
        <v>1389.8550827414779</v>
      </c>
      <c r="H78" s="323">
        <f>'DATA (Real)'!H74*H$4/100</f>
        <v>1435.734162071429</v>
      </c>
      <c r="I78" s="323">
        <f>'DATA (Real)'!I74*I$4/100</f>
        <v>1425.4935716809728</v>
      </c>
      <c r="J78" s="323">
        <f>'DATA (Real)'!J74*J$4/100</f>
        <v>1401.9311029925768</v>
      </c>
      <c r="K78" s="323">
        <f>'DATA (Real)'!K74*K$4/100</f>
        <v>1374.871557856387</v>
      </c>
      <c r="L78" s="323">
        <f>'DATA (Real)'!L74*L$4/100</f>
        <v>1345.9041009572986</v>
      </c>
      <c r="M78" s="323">
        <f>'DATA (Real)'!M74*M$4/100</f>
        <v>1314.957008936361</v>
      </c>
      <c r="N78" s="323">
        <f>'DATA (Real)'!N74*N$4/100</f>
        <v>1281.5383226179126</v>
      </c>
      <c r="O78" s="323">
        <f>'DATA (Real)'!O74*O$4/100</f>
        <v>1246.0127749091268</v>
      </c>
      <c r="P78" s="323">
        <f>'DATA (Real)'!P74*P$4/100</f>
        <v>1208.3038385530076</v>
      </c>
      <c r="Q78" s="323">
        <f>'DATA (Real)'!Q74*Q$4/100</f>
        <v>1222.537657771162</v>
      </c>
      <c r="R78" s="323">
        <f>'DATA (Real)'!R74*R$4/100</f>
        <v>1236.8129459770557</v>
      </c>
      <c r="S78" s="323">
        <f>'DATA (Real)'!S74*S$4/100</f>
        <v>1251.1246386376474</v>
      </c>
      <c r="T78" s="323">
        <f>'DATA (Real)'!T74*T$4/100</f>
        <v>1265.4674283094521</v>
      </c>
      <c r="U78" s="323">
        <f>'DATA (Real)'!U74*U$4/100</f>
        <v>1279.8357564017156</v>
      </c>
      <c r="V78" s="323">
        <f>'DATA (Real)'!V74*V$4/100</f>
        <v>1294.2238046947373</v>
      </c>
      <c r="W78" s="323">
        <f>'DATA (Real)'!W74*W$4/100</f>
        <v>1308.6254866065528</v>
      </c>
      <c r="X78" s="323">
        <f>'DATA (Real)'!X74*X$4/100</f>
        <v>1323.0344382010167</v>
      </c>
      <c r="Y78" s="323">
        <f>'DATA (Real)'!Y74*Y$4/100</f>
        <v>1337.4440089301188</v>
      </c>
      <c r="Z78" s="323">
        <f>'DATA (Real)'!Z74*Z$4/100</f>
        <v>1351.8472521032124</v>
      </c>
      <c r="AA78" s="323">
        <f>'DATA (Real)'!AA74*AA$4/100</f>
        <v>1366.2369150756003</v>
      </c>
      <c r="AB78" s="323">
        <f>'DATA (Real)'!AB74*AB$4/100</f>
        <v>1380.6054291487546</v>
      </c>
      <c r="AC78" s="323">
        <f>'DATA (Real)'!AC74*AC$4/100</f>
        <v>1394.9448991742318</v>
      </c>
      <c r="AD78" s="323">
        <f>'DATA (Real)'!AD74*AD$4/100</f>
        <v>1409.2470928531213</v>
      </c>
      <c r="AE78" s="323">
        <f>'DATA (Real)'!AE74*AE$4/100</f>
        <v>1423.5034297226821</v>
      </c>
      <c r="AF78" s="323">
        <f>'DATA (Real)'!AF74*AF$4/100</f>
        <v>1437.7049698215624</v>
      </c>
      <c r="AG78" s="323">
        <f>'DATA (Real)'!AG74*AG$4/100</f>
        <v>1451.8424020248078</v>
      </c>
      <c r="AH78" s="323">
        <f>'DATA (Real)'!AH74*AH$4/100</f>
        <v>1465.9060320396022</v>
      </c>
      <c r="AI78" s="323">
        <f>'DATA (Real)'!AI74*AI$4/100</f>
        <v>1479.8857700524677</v>
      </c>
      <c r="AJ78" s="323">
        <f>'DATA (Real)'!AJ74*AJ$4/100</f>
        <v>1493.7711180183924</v>
      </c>
      <c r="AK78" s="318"/>
      <c r="AL78" s="318"/>
      <c r="AM78" s="318"/>
      <c r="AN78" s="318"/>
      <c r="AO78" s="318"/>
      <c r="AP78" s="318"/>
      <c r="AQ78" s="318"/>
      <c r="AR78" s="318"/>
      <c r="AS78" s="318"/>
      <c r="AT78" s="318"/>
      <c r="AU78" s="318"/>
      <c r="AV78" s="318"/>
      <c r="AW78" s="318"/>
      <c r="AX78" s="318"/>
      <c r="AY78" s="318"/>
      <c r="AZ78" s="318"/>
      <c r="BA78" s="318"/>
      <c r="BB78" s="318"/>
      <c r="BC78" s="318"/>
      <c r="BD78" s="318"/>
      <c r="BE78" s="318"/>
      <c r="BF78" s="318"/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8"/>
      <c r="BV78" s="318"/>
      <c r="BW78" s="318"/>
      <c r="BX78" s="318"/>
    </row>
    <row r="79" spans="2:76" hidden="1" outlineLevel="1">
      <c r="B79" s="350" t="s">
        <v>230</v>
      </c>
      <c r="C79" s="350" t="str">
        <f>'DATA (Real)'!C75</f>
        <v>NREL Land-Based Wind - Class 8/Off System Adjustment</v>
      </c>
      <c r="D79" s="350" t="str">
        <f>'DATA (Real)'!D75</f>
        <v>CAPEX ($/kW)</v>
      </c>
      <c r="E79" s="350" t="str">
        <f>'DATA (Real)'!E75</f>
        <v>NW Wind Off System</v>
      </c>
      <c r="F79" s="313">
        <f>'DATA (Real)'!F75</f>
        <v>1520.8934786364061</v>
      </c>
      <c r="G79" s="323">
        <f>'DATA (Real)'!G75*G$4/100</f>
        <v>1509.7061782843689</v>
      </c>
      <c r="H79" s="323">
        <f>'DATA (Real)'!H75*H$4/100</f>
        <v>1565.5226030155086</v>
      </c>
      <c r="I79" s="323">
        <f>'DATA (Real)'!I75*I$4/100</f>
        <v>1560.7594404598806</v>
      </c>
      <c r="J79" s="323">
        <f>'DATA (Real)'!J75*J$4/100</f>
        <v>1541.7713618521741</v>
      </c>
      <c r="K79" s="323">
        <f>'DATA (Real)'!K75*K$4/100</f>
        <v>1519.2585582639222</v>
      </c>
      <c r="L79" s="323">
        <f>'DATA (Real)'!L75*L$4/100</f>
        <v>1494.9711814883556</v>
      </c>
      <c r="M79" s="323">
        <f>'DATA (Real)'!M75*M$4/100</f>
        <v>1468.8411961425868</v>
      </c>
      <c r="N79" s="323">
        <f>'DATA (Real)'!N75*N$4/100</f>
        <v>1440.3286385406029</v>
      </c>
      <c r="O79" s="323">
        <f>'DATA (Real)'!O75*O$4/100</f>
        <v>1409.8506092651994</v>
      </c>
      <c r="P79" s="323">
        <f>'DATA (Real)'!P75*P$4/100</f>
        <v>1377.3344276406235</v>
      </c>
      <c r="Q79" s="323">
        <f>'DATA (Real)'!Q75*Q$4/100</f>
        <v>1395.5881116535841</v>
      </c>
      <c r="R79" s="323">
        <f>'DATA (Real)'!R75*R$4/100</f>
        <v>1413.9783279001367</v>
      </c>
      <c r="S79" s="323">
        <f>'DATA (Real)'!S75*S$4/100</f>
        <v>1432.5022490154972</v>
      </c>
      <c r="T79" s="323">
        <f>'DATA (Real)'!T75*T$4/100</f>
        <v>1451.1568571492298</v>
      </c>
      <c r="U79" s="323">
        <f>'DATA (Real)'!U75*U$4/100</f>
        <v>1469.938936952323</v>
      </c>
      <c r="V79" s="323">
        <f>'DATA (Real)'!V75*V$4/100</f>
        <v>1488.8450683478923</v>
      </c>
      <c r="W79" s="323">
        <f>'DATA (Real)'!W75*W$4/100</f>
        <v>1507.8716190793816</v>
      </c>
      <c r="X79" s="323">
        <f>'DATA (Real)'!X75*X$4/100</f>
        <v>1527.0147370299765</v>
      </c>
      <c r="Y79" s="323">
        <f>'DATA (Real)'!Y75*Y$4/100</f>
        <v>1546.2703423067628</v>
      </c>
      <c r="Z79" s="323">
        <f>'DATA (Real)'!Z75*Z$4/100</f>
        <v>1565.6341190830053</v>
      </c>
      <c r="AA79" s="323">
        <f>'DATA (Real)'!AA75*AA$4/100</f>
        <v>1585.1015071917259</v>
      </c>
      <c r="AB79" s="323">
        <f>'DATA (Real)'!AB75*AB$4/100</f>
        <v>1604.6676934635939</v>
      </c>
      <c r="AC79" s="323">
        <f>'DATA (Real)'!AC75*AC$4/100</f>
        <v>1624.3276028019434</v>
      </c>
      <c r="AD79" s="323">
        <f>'DATA (Real)'!AD75*AD$4/100</f>
        <v>1644.075888987544</v>
      </c>
      <c r="AE79" s="323">
        <f>'DATA (Real)'!AE75*AE$4/100</f>
        <v>1663.9069252055551</v>
      </c>
      <c r="AF79" s="323">
        <f>'DATA (Real)'!AF75*AF$4/100</f>
        <v>1683.8147942868884</v>
      </c>
      <c r="AG79" s="323">
        <f>'DATA (Real)'!AG75*AG$4/100</f>
        <v>1703.7932786560009</v>
      </c>
      <c r="AH79" s="323">
        <f>'DATA (Real)'!AH75*AH$4/100</f>
        <v>1723.8358499769195</v>
      </c>
      <c r="AI79" s="323">
        <f>'DATA (Real)'!AI75*AI$4/100</f>
        <v>1743.9356584890888</v>
      </c>
      <c r="AJ79" s="323">
        <f>'DATA (Real)'!AJ75*AJ$4/100</f>
        <v>1764.085522024405</v>
      </c>
      <c r="AK79" s="318"/>
      <c r="AL79" s="318"/>
      <c r="AM79" s="318"/>
      <c r="AN79" s="318"/>
      <c r="AO79" s="318"/>
      <c r="AP79" s="318"/>
      <c r="AQ79" s="318"/>
      <c r="AR79" s="318"/>
      <c r="AS79" s="318"/>
      <c r="AT79" s="318"/>
      <c r="AU79" s="318"/>
      <c r="AV79" s="318"/>
      <c r="AW79" s="318"/>
      <c r="AX79" s="318"/>
      <c r="AY79" s="318"/>
      <c r="AZ79" s="318"/>
      <c r="BA79" s="318"/>
      <c r="BB79" s="318"/>
      <c r="BC79" s="318"/>
      <c r="BD79" s="318"/>
      <c r="BE79" s="318"/>
      <c r="BF79" s="318"/>
      <c r="BG79" s="318"/>
      <c r="BH79" s="318"/>
      <c r="BI79" s="318"/>
      <c r="BJ79" s="318"/>
      <c r="BK79" s="318"/>
      <c r="BL79" s="318"/>
      <c r="BM79" s="318"/>
      <c r="BN79" s="318"/>
      <c r="BO79" s="318"/>
      <c r="BP79" s="318"/>
      <c r="BQ79" s="318"/>
      <c r="BR79" s="318"/>
      <c r="BS79" s="318"/>
      <c r="BT79" s="318"/>
      <c r="BU79" s="318"/>
      <c r="BV79" s="318"/>
      <c r="BW79" s="318"/>
      <c r="BX79" s="318"/>
    </row>
    <row r="80" spans="2:76" hidden="1" outlineLevel="1">
      <c r="B80" s="350" t="s">
        <v>230</v>
      </c>
      <c r="C80" s="350" t="str">
        <f>'DATA (Real)'!C76</f>
        <v>NREL Land-Based Wind - Class 3/Off System Adjustment</v>
      </c>
      <c r="D80" s="350" t="str">
        <f>'DATA (Real)'!D76</f>
        <v>CAPEX ($/kW)</v>
      </c>
      <c r="E80" s="350" t="str">
        <f>'DATA (Real)'!E76</f>
        <v>Wind Montana</v>
      </c>
      <c r="F80" s="313">
        <f>'DATA (Real)'!F76</f>
        <v>1555.16581560232</v>
      </c>
      <c r="G80" s="323">
        <f>'DATA (Real)'!G76*G$4/100</f>
        <v>1543.6050827414779</v>
      </c>
      <c r="H80" s="323">
        <f>'DATA (Real)'!H76*H$4/100</f>
        <v>1600.5405094074945</v>
      </c>
      <c r="I80" s="323">
        <f>'DATA (Real)'!I76*I$4/100</f>
        <v>1595.5275763545383</v>
      </c>
      <c r="J80" s="323">
        <f>'DATA (Real)'!J76*J$4/100</f>
        <v>1575.9648033885783</v>
      </c>
      <c r="K80" s="323">
        <f>'DATA (Real)'!K76*K$4/100</f>
        <v>1552.7920108945657</v>
      </c>
      <c r="L80" s="323">
        <f>'DATA (Real)'!L76*L$4/100</f>
        <v>1527.7981107799967</v>
      </c>
      <c r="M80" s="323">
        <f>'DATA (Real)'!M76*M$4/100</f>
        <v>1500.9133183117658</v>
      </c>
      <c r="N80" s="323">
        <f>'DATA (Real)'!N76*N$4/100</f>
        <v>1471.5856707995765</v>
      </c>
      <c r="O80" s="323">
        <f>'DATA (Real)'!O76*O$4/100</f>
        <v>1440.2411647507874</v>
      </c>
      <c r="P80" s="323">
        <f>'DATA (Real)'!P76*P$4/100</f>
        <v>1406.8052529711847</v>
      </c>
      <c r="Q80" s="323">
        <f>'DATA (Real)'!Q76*Q$4/100</f>
        <v>1425.4061033065391</v>
      </c>
      <c r="R80" s="323">
        <f>'DATA (Real)'!R76*R$4/100</f>
        <v>1444.1444973142111</v>
      </c>
      <c r="S80" s="323">
        <f>'DATA (Real)'!S76*S$4/100</f>
        <v>1463.0174841042201</v>
      </c>
      <c r="T80" s="323">
        <f>'DATA (Real)'!T76*T$4/100</f>
        <v>1482.0219163762895</v>
      </c>
      <c r="U80" s="323">
        <f>'DATA (Real)'!U76*U$4/100</f>
        <v>1501.1544432060234</v>
      </c>
      <c r="V80" s="323">
        <f>'DATA (Real)'!V76*V$4/100</f>
        <v>1520.4115026087395</v>
      </c>
      <c r="W80" s="323">
        <f>'DATA (Real)'!W76*W$4/100</f>
        <v>1539.7893138746635</v>
      </c>
      <c r="X80" s="323">
        <f>'DATA (Real)'!X76*X$4/100</f>
        <v>1559.2838696690255</v>
      </c>
      <c r="Y80" s="323">
        <f>'DATA (Real)'!Y76*Y$4/100</f>
        <v>1578.8909278904241</v>
      </c>
      <c r="Z80" s="323">
        <f>'DATA (Real)'!Z76*Z$4/100</f>
        <v>1598.6060032806447</v>
      </c>
      <c r="AA80" s="323">
        <f>'DATA (Real)'!AA76*AA$4/100</f>
        <v>1618.4243587789356</v>
      </c>
      <c r="AB80" s="323">
        <f>'DATA (Real)'!AB76*AB$4/100</f>
        <v>1638.3409966135637</v>
      </c>
      <c r="AC80" s="323">
        <f>'DATA (Real)'!AC76*AC$4/100</f>
        <v>1658.3506491232663</v>
      </c>
      <c r="AD80" s="323">
        <f>'DATA (Real)'!AD76*AD$4/100</f>
        <v>1678.4477693010347</v>
      </c>
      <c r="AE80" s="323">
        <f>'DATA (Real)'!AE76*AE$4/100</f>
        <v>1698.6265210524496</v>
      </c>
      <c r="AF80" s="323">
        <f>'DATA (Real)'!AF76*AF$4/100</f>
        <v>1718.8807691605848</v>
      </c>
      <c r="AG80" s="323">
        <f>'DATA (Real)'!AG76*AG$4/100</f>
        <v>1739.2040689492887</v>
      </c>
      <c r="AH80" s="323">
        <f>'DATA (Real)'!AH76*AH$4/100</f>
        <v>1759.5896556364219</v>
      </c>
      <c r="AI80" s="323">
        <f>'DATA (Real)'!AI76*AI$4/100</f>
        <v>1780.0304333684171</v>
      </c>
      <c r="AJ80" s="323">
        <f>'DATA (Real)'!AJ76*AJ$4/100</f>
        <v>1800.5189639272926</v>
      </c>
      <c r="AK80" s="318"/>
      <c r="AL80" s="318"/>
      <c r="AM80" s="318"/>
      <c r="AN80" s="318"/>
      <c r="AO80" s="318"/>
      <c r="AP80" s="318"/>
      <c r="AQ80" s="318"/>
      <c r="AR80" s="318"/>
      <c r="AS80" s="318"/>
      <c r="AT80" s="318"/>
      <c r="AU80" s="318"/>
      <c r="AV80" s="318"/>
      <c r="AW80" s="318"/>
      <c r="AX80" s="318"/>
      <c r="AY80" s="318"/>
      <c r="AZ80" s="318"/>
      <c r="BA80" s="318"/>
      <c r="BB80" s="318"/>
      <c r="BC80" s="318"/>
      <c r="BD80" s="318"/>
      <c r="BE80" s="318"/>
      <c r="BF80" s="318"/>
      <c r="BG80" s="318"/>
      <c r="BH80" s="318"/>
      <c r="BI80" s="318"/>
      <c r="BJ80" s="318"/>
      <c r="BK80" s="318"/>
      <c r="BL80" s="318"/>
      <c r="BM80" s="318"/>
      <c r="BN80" s="318"/>
      <c r="BO80" s="318"/>
      <c r="BP80" s="318"/>
      <c r="BQ80" s="318"/>
      <c r="BR80" s="318"/>
      <c r="BS80" s="318"/>
      <c r="BT80" s="318"/>
      <c r="BU80" s="318"/>
      <c r="BV80" s="318"/>
      <c r="BW80" s="318"/>
      <c r="BX80" s="318"/>
    </row>
    <row r="81" spans="2:76" hidden="1" outlineLevel="1">
      <c r="B81" s="350" t="s">
        <v>230</v>
      </c>
      <c r="C81" s="350" t="str">
        <f>'DATA (Real)'!C77</f>
        <v>NREL Wind Speed Class 12</v>
      </c>
      <c r="D81" s="350" t="str">
        <f>'DATA (Real)'!D77</f>
        <v>CAPEX ($/kW)</v>
      </c>
      <c r="E81" s="350" t="str">
        <f>'DATA (Real)'!E77</f>
        <v>Off Shore Wind (Share)</v>
      </c>
      <c r="F81" s="313">
        <f>'DATA (Real)'!F77</f>
        <v>5291.9935008687917</v>
      </c>
      <c r="G81" s="323">
        <f>'DATA (Real)'!G77*G$4/100</f>
        <v>4970.0351548618146</v>
      </c>
      <c r="H81" s="323">
        <f>'DATA (Real)'!H77*H$4/100</f>
        <v>5085.1714233888415</v>
      </c>
      <c r="I81" s="323">
        <f>'DATA (Real)'!I77*I$4/100</f>
        <v>5069.1310130204683</v>
      </c>
      <c r="J81" s="323">
        <f>'DATA (Real)'!J77*J$4/100</f>
        <v>5047.5788342309834</v>
      </c>
      <c r="K81" s="323">
        <f>'DATA (Real)'!K77*K$4/100</f>
        <v>5042.7027571538119</v>
      </c>
      <c r="L81" s="323">
        <f>'DATA (Real)'!L77*L$4/100</f>
        <v>5053.6685321493651</v>
      </c>
      <c r="M81" s="323">
        <f>'DATA (Real)'!M77*M$4/100</f>
        <v>5076.5099768171103</v>
      </c>
      <c r="N81" s="323">
        <f>'DATA (Real)'!N77*N$4/100</f>
        <v>5107.039614161692</v>
      </c>
      <c r="O81" s="323">
        <f>'DATA (Real)'!O77*O$4/100</f>
        <v>5145.2030569552562</v>
      </c>
      <c r="P81" s="323">
        <f>'DATA (Real)'!P77*P$4/100</f>
        <v>5189.8066984043726</v>
      </c>
      <c r="Q81" s="323">
        <f>'DATA (Real)'!Q77*Q$4/100</f>
        <v>5239.9863204548419</v>
      </c>
      <c r="R81" s="323">
        <f>'DATA (Real)'!R77*R$4/100</f>
        <v>5295.100134982381</v>
      </c>
      <c r="S81" s="323">
        <f>'DATA (Real)'!S77*S$4/100</f>
        <v>5354.6619216214212</v>
      </c>
      <c r="T81" s="323">
        <f>'DATA (Real)'!T77*T$4/100</f>
        <v>5418.2975133987775</v>
      </c>
      <c r="U81" s="323">
        <f>'DATA (Real)'!U77*U$4/100</f>
        <v>5485.7155057504287</v>
      </c>
      <c r="V81" s="323">
        <f>'DATA (Real)'!V77*V$4/100</f>
        <v>5556.6869661931714</v>
      </c>
      <c r="W81" s="323">
        <f>'DATA (Real)'!W77*W$4/100</f>
        <v>5631.0310276941291</v>
      </c>
      <c r="X81" s="323">
        <f>'DATA (Real)'!X77*X$4/100</f>
        <v>5708.6044377270164</v>
      </c>
      <c r="Y81" s="323">
        <f>'DATA (Real)'!Y77*Y$4/100</f>
        <v>5789.2938328389337</v>
      </c>
      <c r="Z81" s="323">
        <f>'DATA (Real)'!Z77*Z$4/100</f>
        <v>5873.0099321789503</v>
      </c>
      <c r="AA81" s="323">
        <f>'DATA (Real)'!AA77*AA$4/100</f>
        <v>5959.6831083325806</v>
      </c>
      <c r="AB81" s="323">
        <f>'DATA (Real)'!AB77*AB$4/100</f>
        <v>6049.2599638410402</v>
      </c>
      <c r="AC81" s="323">
        <f>'DATA (Real)'!AC77*AC$4/100</f>
        <v>6141.700653510974</v>
      </c>
      <c r="AD81" s="323">
        <f>'DATA (Real)'!AD77*AD$4/100</f>
        <v>6236.976767591218</v>
      </c>
      <c r="AE81" s="323">
        <f>'DATA (Real)'!AE77*AE$4/100</f>
        <v>6335.069642162257</v>
      </c>
      <c r="AF81" s="323">
        <f>'DATA (Real)'!AF77*AF$4/100</f>
        <v>6435.968998753091</v>
      </c>
      <c r="AG81" s="323">
        <f>'DATA (Real)'!AG77*AG$4/100</f>
        <v>6539.6718404082803</v>
      </c>
      <c r="AH81" s="323">
        <f>'DATA (Real)'!AH77*AH$4/100</f>
        <v>6646.1815495005567</v>
      </c>
      <c r="AI81" s="323">
        <f>'DATA (Real)'!AI77*AI$4/100</f>
        <v>6755.5071457138065</v>
      </c>
      <c r="AJ81" s="323">
        <f>'DATA (Real)'!AJ77*AJ$4/100</f>
        <v>6867.662672276193</v>
      </c>
      <c r="AK81" s="318"/>
      <c r="AL81" s="318"/>
      <c r="AM81" s="318"/>
      <c r="AN81" s="318"/>
      <c r="AO81" s="318"/>
      <c r="AP81" s="318"/>
      <c r="AQ81" s="318"/>
      <c r="AR81" s="318"/>
      <c r="AS81" s="318"/>
      <c r="AT81" s="318"/>
      <c r="AU81" s="318"/>
      <c r="AV81" s="318"/>
      <c r="AW81" s="318"/>
      <c r="AX81" s="318"/>
      <c r="AY81" s="318"/>
      <c r="AZ81" s="318"/>
      <c r="BA81" s="318"/>
      <c r="BB81" s="318"/>
      <c r="BC81" s="318"/>
      <c r="BD81" s="318"/>
      <c r="BE81" s="318"/>
      <c r="BF81" s="318"/>
      <c r="BG81" s="318"/>
      <c r="BH81" s="318"/>
      <c r="BI81" s="318"/>
      <c r="BJ81" s="318"/>
      <c r="BK81" s="318"/>
      <c r="BL81" s="318"/>
      <c r="BM81" s="318"/>
      <c r="BN81" s="318"/>
      <c r="BO81" s="318"/>
      <c r="BP81" s="318"/>
      <c r="BQ81" s="318"/>
      <c r="BR81" s="318"/>
      <c r="BS81" s="318"/>
      <c r="BT81" s="318"/>
      <c r="BU81" s="318"/>
      <c r="BV81" s="318"/>
      <c r="BW81" s="318"/>
      <c r="BX81" s="318"/>
    </row>
    <row r="82" spans="2:76" hidden="1" outlineLevel="1">
      <c r="B82" s="351" t="s">
        <v>230</v>
      </c>
      <c r="C82" s="351" t="str">
        <f>'DATA (Real)'!C78</f>
        <v>NREL Nuclear - Small Modular Reactor</v>
      </c>
      <c r="D82" s="351" t="str">
        <f>'DATA (Real)'!D78</f>
        <v>CAPEX ($/kW)</v>
      </c>
      <c r="E82" s="351" t="str">
        <f>'DATA (Real)'!E78</f>
        <v>Small Modular Reactor (share)</v>
      </c>
      <c r="F82" s="313">
        <f>'DATA (Real)'!F78</f>
        <v>6809.4209964769625</v>
      </c>
      <c r="G82" s="323">
        <f>'DATA (Real)'!G78*G$4/100</f>
        <v>6936.0365268439873</v>
      </c>
      <c r="H82" s="323">
        <f>'DATA (Real)'!H78*H$4/100</f>
        <v>7388.058491101945</v>
      </c>
      <c r="I82" s="323">
        <f>'DATA (Real)'!I78*I$4/100</f>
        <v>7574.1678211954168</v>
      </c>
      <c r="J82" s="323">
        <f>'DATA (Real)'!J78*J$4/100</f>
        <v>7702.9519030762731</v>
      </c>
      <c r="K82" s="323">
        <f>'DATA (Real)'!K78*K$4/100</f>
        <v>7824.5049203706158</v>
      </c>
      <c r="L82" s="323">
        <f>'DATA (Real)'!L78*L$4/100</f>
        <v>7947.6473695162185</v>
      </c>
      <c r="M82" s="323">
        <f>'DATA (Real)'!M78*M$4/100</f>
        <v>8072.3832603257142</v>
      </c>
      <c r="N82" s="323">
        <f>'DATA (Real)'!N78*N$4/100</f>
        <v>8196.0565076216935</v>
      </c>
      <c r="O82" s="323">
        <f>'DATA (Real)'!O78*O$4/100</f>
        <v>8321.2614714012543</v>
      </c>
      <c r="P82" s="323">
        <f>'DATA (Real)'!P78*P$4/100</f>
        <v>8448.0080550302991</v>
      </c>
      <c r="Q82" s="323">
        <f>'DATA (Real)'!Q78*Q$4/100</f>
        <v>8576.3018056886685</v>
      </c>
      <c r="R82" s="323">
        <f>'DATA (Real)'!R78*R$4/100</f>
        <v>8706.1541803840755</v>
      </c>
      <c r="S82" s="323">
        <f>'DATA (Real)'!S78*S$4/100</f>
        <v>8837.574046105743</v>
      </c>
      <c r="T82" s="323">
        <f>'DATA (Real)'!T78*T$4/100</f>
        <v>8970.5508861157887</v>
      </c>
      <c r="U82" s="323">
        <f>'DATA (Real)'!U78*U$4/100</f>
        <v>9105.1103278930459</v>
      </c>
      <c r="V82" s="323">
        <f>'DATA (Real)'!V78*V$4/100</f>
        <v>9241.2464167336584</v>
      </c>
      <c r="W82" s="323">
        <f>'DATA (Real)'!W78*W$4/100</f>
        <v>9378.9709968108946</v>
      </c>
      <c r="X82" s="323">
        <f>'DATA (Real)'!X78*X$4/100</f>
        <v>9518.2768432092835</v>
      </c>
      <c r="Y82" s="323">
        <f>'DATA (Real)'!Y78*Y$4/100</f>
        <v>9659.1743454627467</v>
      </c>
      <c r="Z82" s="323">
        <f>'DATA (Real)'!Z78*Z$4/100</f>
        <v>9801.6669402460539</v>
      </c>
      <c r="AA82" s="323">
        <f>'DATA (Real)'!AA78*AA$4/100</f>
        <v>9945.7436036587296</v>
      </c>
      <c r="AB82" s="323">
        <f>'DATA (Real)'!AB78*AB$4/100</f>
        <v>10091.42345066358</v>
      </c>
      <c r="AC82" s="323">
        <f>'DATA (Real)'!AC78*AC$4/100</f>
        <v>10238.699075920456</v>
      </c>
      <c r="AD82" s="323">
        <f>'DATA (Real)'!AD78*AD$4/100</f>
        <v>10387.570531861184</v>
      </c>
      <c r="AE82" s="323">
        <f>'DATA (Real)'!AE78*AE$4/100</f>
        <v>10538.046599021247</v>
      </c>
      <c r="AF82" s="323">
        <f>'DATA (Real)'!AF78*AF$4/100</f>
        <v>10690.104902703375</v>
      </c>
      <c r="AG82" s="323">
        <f>'DATA (Real)'!AG78*AG$4/100</f>
        <v>10843.755026481091</v>
      </c>
      <c r="AH82" s="323">
        <f>'DATA (Real)'!AH78*AH$4/100</f>
        <v>10998.9856329347</v>
      </c>
      <c r="AI82" s="323">
        <f>'DATA (Real)'!AI78*AI$4/100</f>
        <v>11155.804310131318</v>
      </c>
      <c r="AJ82" s="323">
        <f>'DATA (Real)'!AJ78*AJ$4/100</f>
        <v>11314.199701836767</v>
      </c>
      <c r="AK82" s="318"/>
      <c r="AL82" s="318"/>
      <c r="AM82" s="318"/>
      <c r="AN82" s="318"/>
      <c r="AO82" s="318"/>
      <c r="AP82" s="318"/>
      <c r="AQ82" s="318"/>
      <c r="AR82" s="318"/>
      <c r="AS82" s="318"/>
      <c r="AT82" s="318"/>
      <c r="AU82" s="318"/>
      <c r="AV82" s="318"/>
      <c r="AW82" s="318"/>
      <c r="AX82" s="318"/>
      <c r="AY82" s="318"/>
      <c r="AZ82" s="318"/>
      <c r="BA82" s="318"/>
      <c r="BB82" s="318"/>
      <c r="BC82" s="318"/>
      <c r="BD82" s="318"/>
      <c r="BE82" s="318"/>
      <c r="BF82" s="318"/>
      <c r="BG82" s="318"/>
      <c r="BH82" s="318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  <c r="BU82" s="318"/>
      <c r="BV82" s="318"/>
      <c r="BW82" s="318"/>
      <c r="BX82" s="318"/>
    </row>
    <row r="83" spans="2:76" hidden="1" outlineLevel="1">
      <c r="B83" s="351" t="s">
        <v>230</v>
      </c>
      <c r="C83" s="351" t="str">
        <f>'DATA (Real)'!C79</f>
        <v>NREL Geothermal - Hydro / Flash</v>
      </c>
      <c r="D83" s="351" t="str">
        <f>'DATA (Real)'!D79</f>
        <v>CAPEX ($/kW)</v>
      </c>
      <c r="E83" s="351" t="str">
        <f>'DATA (Real)'!E79</f>
        <v>Geothermal (Off System)</v>
      </c>
      <c r="F83" s="313">
        <f>'DATA (Real)'!F79</f>
        <v>4559.2782029260652</v>
      </c>
      <c r="G83" s="323">
        <f>'DATA (Real)'!G79*G$4/100</f>
        <v>4605.9441880333115</v>
      </c>
      <c r="H83" s="323">
        <f>'DATA (Real)'!H79*H$4/100</f>
        <v>4865.0064295029933</v>
      </c>
      <c r="I83" s="323">
        <f>'DATA (Real)'!I79*I$4/100</f>
        <v>4944.8788792888563</v>
      </c>
      <c r="J83" s="323">
        <f>'DATA (Real)'!J79*J$4/100</f>
        <v>4985.0001223684931</v>
      </c>
      <c r="K83" s="323">
        <f>'DATA (Real)'!K79*K$4/100</f>
        <v>5018.4333340572384</v>
      </c>
      <c r="L83" s="323">
        <f>'DATA (Real)'!L79*L$4/100</f>
        <v>5050.8734885848235</v>
      </c>
      <c r="M83" s="323">
        <f>'DATA (Real)'!M79*M$4/100</f>
        <v>5082.2595536550207</v>
      </c>
      <c r="N83" s="323">
        <f>'DATA (Real)'!N79*N$4/100</f>
        <v>5110.8613185847207</v>
      </c>
      <c r="O83" s="323">
        <f>'DATA (Real)'!O79*O$4/100</f>
        <v>5138.261747547358</v>
      </c>
      <c r="P83" s="323">
        <f>'DATA (Real)'!P79*P$4/100</f>
        <v>5164.3941385061598</v>
      </c>
      <c r="Q83" s="323">
        <f>'DATA (Real)'!Q79*Q$4/100</f>
        <v>5251.620755505528</v>
      </c>
      <c r="R83" s="323">
        <f>'DATA (Real)'!R79*R$4/100</f>
        <v>5340.3206300660177</v>
      </c>
      <c r="S83" s="323">
        <f>'DATA (Real)'!S79*S$4/100</f>
        <v>5430.5186455078319</v>
      </c>
      <c r="T83" s="323">
        <f>'DATA (Real)'!T79*T$4/100</f>
        <v>5522.2401054304592</v>
      </c>
      <c r="U83" s="323">
        <f>'DATA (Real)'!U79*U$4/100</f>
        <v>5615.5107408111799</v>
      </c>
      <c r="V83" s="323">
        <f>'DATA (Real)'!V79*V$4/100</f>
        <v>5710.3567172234807</v>
      </c>
      <c r="W83" s="323">
        <f>'DATA (Real)'!W79*W$4/100</f>
        <v>5806.8046421773852</v>
      </c>
      <c r="X83" s="323">
        <f>'DATA (Real)'!X79*X$4/100</f>
        <v>5904.8815725837612</v>
      </c>
      <c r="Y83" s="323">
        <f>'DATA (Real)'!Y79*Y$4/100</f>
        <v>6004.6150223447012</v>
      </c>
      <c r="Z83" s="323">
        <f>'DATA (Real)'!Z79*Z$4/100</f>
        <v>6106.0329700721031</v>
      </c>
      <c r="AA83" s="323">
        <f>'DATA (Real)'!AA79*AA$4/100</f>
        <v>6209.1638669366212</v>
      </c>
      <c r="AB83" s="323">
        <f>'DATA (Real)'!AB79*AB$4/100</f>
        <v>6314.0366446491807</v>
      </c>
      <c r="AC83" s="323">
        <f>'DATA (Real)'!AC79*AC$4/100</f>
        <v>6420.6807235773058</v>
      </c>
      <c r="AD83" s="323">
        <f>'DATA (Real)'!AD79*AD$4/100</f>
        <v>6529.1260209985267</v>
      </c>
      <c r="AE83" s="323">
        <f>'DATA (Real)'!AE79*AE$4/100</f>
        <v>6639.4029594931917</v>
      </c>
      <c r="AF83" s="323">
        <f>'DATA (Real)'!AF79*AF$4/100</f>
        <v>6751.5424754790311</v>
      </c>
      <c r="AG83" s="323">
        <f>'DATA (Real)'!AG79*AG$4/100</f>
        <v>6865.5760278898724</v>
      </c>
      <c r="AH83" s="323">
        <f>'DATA (Real)'!AH79*AH$4/100</f>
        <v>6981.535607000932</v>
      </c>
      <c r="AI83" s="323">
        <f>'DATA (Real)'!AI79*AI$4/100</f>
        <v>7099.4537434031781</v>
      </c>
      <c r="AJ83" s="323">
        <f>'DATA (Real)'!AJ79*AJ$4/100</f>
        <v>7219.3635171292581</v>
      </c>
      <c r="AK83" s="318"/>
      <c r="AL83" s="318"/>
      <c r="AM83" s="318"/>
      <c r="AN83" s="318"/>
      <c r="AO83" s="318"/>
      <c r="AP83" s="318"/>
      <c r="AQ83" s="318"/>
      <c r="AR83" s="318"/>
      <c r="AS83" s="318"/>
      <c r="AT83" s="318"/>
      <c r="AU83" s="318"/>
      <c r="AV83" s="318"/>
      <c r="AW83" s="318"/>
      <c r="AX83" s="318"/>
      <c r="AY83" s="318"/>
      <c r="AZ83" s="318"/>
      <c r="BA83" s="318"/>
      <c r="BB83" s="318"/>
      <c r="BC83" s="318"/>
      <c r="BD83" s="318"/>
      <c r="BE83" s="318"/>
      <c r="BF83" s="318"/>
      <c r="BG83" s="318"/>
      <c r="BH83" s="318"/>
      <c r="BI83" s="318"/>
      <c r="BJ83" s="318"/>
      <c r="BK83" s="318"/>
      <c r="BL83" s="318"/>
      <c r="BM83" s="318"/>
      <c r="BN83" s="318"/>
      <c r="BO83" s="318"/>
      <c r="BP83" s="318"/>
      <c r="BQ83" s="318"/>
      <c r="BR83" s="318"/>
      <c r="BS83" s="318"/>
      <c r="BT83" s="318"/>
      <c r="BU83" s="318"/>
      <c r="BV83" s="318"/>
      <c r="BW83" s="318"/>
      <c r="BX83" s="318"/>
    </row>
    <row r="84" spans="2:76" hidden="1" outlineLevel="1">
      <c r="B84" s="353" t="s">
        <v>230</v>
      </c>
      <c r="C84" s="353" t="str">
        <f>'DATA (Real)'!C80</f>
        <v>Internal</v>
      </c>
      <c r="D84" s="353" t="str">
        <f>'DATA (Real)'!D80</f>
        <v>CAPEX ($/kW)</v>
      </c>
      <c r="E84" s="353" t="str">
        <f>'DATA (Real)'!E80</f>
        <v>7F.04 CT Frame Greenfield</v>
      </c>
      <c r="F84" s="313"/>
      <c r="G84" s="313"/>
      <c r="H84" s="313">
        <f>'DATA (Real)'!H80</f>
        <v>744.45829524363558</v>
      </c>
      <c r="I84" s="323">
        <f>'DATA (Real)'!I80*I$4/$H$4</f>
        <v>768.07251236876368</v>
      </c>
      <c r="J84" s="323">
        <f>'DATA (Real)'!J80*J$4/$H$4</f>
        <v>786.13981807117136</v>
      </c>
      <c r="K84" s="323">
        <f>'DATA (Real)'!K80*K$4/$H$4</f>
        <v>803.69694067476075</v>
      </c>
      <c r="L84" s="323">
        <f>'DATA (Real)'!L80*L$4/$H$4</f>
        <v>821.64617234983041</v>
      </c>
      <c r="M84" s="323">
        <f>'DATA (Real)'!M80*M$4/$H$4</f>
        <v>839.99627019897673</v>
      </c>
      <c r="N84" s="323">
        <f>'DATA (Real)'!N80*N$4/$H$4</f>
        <v>858.47618814335431</v>
      </c>
      <c r="O84" s="323">
        <f>'DATA (Real)'!O80*O$4/$H$4</f>
        <v>877.36266428250804</v>
      </c>
      <c r="P84" s="323">
        <f>'DATA (Real)'!P80*P$4/$H$4</f>
        <v>896.66464289672308</v>
      </c>
      <c r="Q84" s="323">
        <f>'DATA (Real)'!Q80*Q$4/$H$4</f>
        <v>916.391265040451</v>
      </c>
      <c r="R84" s="323">
        <f>'DATA (Real)'!R80*R$4/$H$4</f>
        <v>936.55187287134106</v>
      </c>
      <c r="S84" s="323">
        <f>'DATA (Real)'!S80*S$4/$H$4</f>
        <v>957.15601407451049</v>
      </c>
      <c r="T84" s="323">
        <f>'DATA (Real)'!T80*T$4/$H$4</f>
        <v>978.21344638414985</v>
      </c>
      <c r="U84" s="323">
        <f>'DATA (Real)'!U80*U$4/$H$4</f>
        <v>999.73414220460108</v>
      </c>
      <c r="V84" s="323">
        <f>'DATA (Real)'!V80*V$4/$H$4</f>
        <v>1021.7282933331022</v>
      </c>
      <c r="W84" s="323">
        <f>'DATA (Real)'!W80*W$4/$H$4</f>
        <v>1044.2063157864304</v>
      </c>
      <c r="X84" s="323">
        <f>'DATA (Real)'!X80*X$4/$H$4</f>
        <v>1067.1788547337319</v>
      </c>
      <c r="Y84" s="323">
        <f>'DATA (Real)'!Y80*Y$4/$H$4</f>
        <v>1090.6567895378741</v>
      </c>
      <c r="Z84" s="323">
        <f>'DATA (Real)'!Z80*Z$4/$H$4</f>
        <v>1114.6512389077072</v>
      </c>
      <c r="AA84" s="323">
        <f>'DATA (Real)'!AA80*AA$4/$H$4</f>
        <v>1139.1735661636769</v>
      </c>
      <c r="AB84" s="323">
        <f>'DATA (Real)'!AB80*AB$4/$H$4</f>
        <v>1164.235384619278</v>
      </c>
      <c r="AC84" s="323">
        <f>'DATA (Real)'!AC80*AC$4/$H$4</f>
        <v>1189.8485630809018</v>
      </c>
      <c r="AD84" s="323">
        <f>'DATA (Real)'!AD80*AD$4/$H$4</f>
        <v>1216.0252314686818</v>
      </c>
      <c r="AE84" s="323">
        <f>'DATA (Real)'!AE80*AE$4/$H$4</f>
        <v>1242.7777865609928</v>
      </c>
      <c r="AF84" s="323">
        <f>'DATA (Real)'!AF80*AF$4/$H$4</f>
        <v>1270.1188978653345</v>
      </c>
      <c r="AG84" s="323">
        <f>'DATA (Real)'!AG80*AG$4/$H$4</f>
        <v>1298.0615136183719</v>
      </c>
      <c r="AH84" s="323">
        <f>'DATA (Real)'!AH80*AH$4/$H$4</f>
        <v>1326.6188669179762</v>
      </c>
      <c r="AI84" s="323">
        <f>'DATA (Real)'!AI80*AI$4/$H$4</f>
        <v>1355.8044819901718</v>
      </c>
      <c r="AJ84" s="323">
        <f>'DATA (Real)'!AJ80*AJ$4/$H$4</f>
        <v>1385.6321805939556</v>
      </c>
      <c r="AK84" s="318"/>
      <c r="AL84" s="318"/>
      <c r="AM84" s="318"/>
      <c r="AN84" s="318"/>
      <c r="AO84" s="318"/>
      <c r="AP84" s="318"/>
      <c r="AQ84" s="318"/>
      <c r="AR84" s="318"/>
      <c r="AS84" s="318"/>
      <c r="AT84" s="318"/>
      <c r="AU84" s="318"/>
      <c r="AV84" s="318"/>
      <c r="AW84" s="318"/>
      <c r="AX84" s="318"/>
      <c r="AY84" s="318"/>
      <c r="AZ84" s="318"/>
      <c r="BA84" s="318"/>
      <c r="BB84" s="318"/>
      <c r="BC84" s="318"/>
      <c r="BD84" s="318"/>
      <c r="BE84" s="318"/>
      <c r="BF84" s="318"/>
      <c r="BG84" s="318"/>
      <c r="BH84" s="318"/>
      <c r="BI84" s="318"/>
      <c r="BJ84" s="318"/>
      <c r="BK84" s="318"/>
      <c r="BL84" s="318"/>
      <c r="BM84" s="318"/>
      <c r="BN84" s="318"/>
      <c r="BO84" s="318"/>
      <c r="BP84" s="318"/>
      <c r="BQ84" s="318"/>
      <c r="BR84" s="318"/>
      <c r="BS84" s="318"/>
      <c r="BT84" s="318"/>
      <c r="BU84" s="318"/>
      <c r="BV84" s="318"/>
      <c r="BW84" s="318"/>
      <c r="BX84" s="318"/>
    </row>
    <row r="85" spans="2:76" hidden="1" outlineLevel="1">
      <c r="B85" s="353" t="s">
        <v>230</v>
      </c>
      <c r="C85" s="353" t="str">
        <f>'DATA (Real)'!C81</f>
        <v>Internal</v>
      </c>
      <c r="D85" s="353" t="str">
        <f>'DATA (Real)'!D81</f>
        <v>CAPEX ($/kW)</v>
      </c>
      <c r="E85" s="353" t="str">
        <f>'DATA (Real)'!E81</f>
        <v>Reciprocating Engine (ICE) Machine</v>
      </c>
      <c r="F85" s="313"/>
      <c r="G85" s="313"/>
      <c r="H85" s="313">
        <f>'DATA (Real)'!H81</f>
        <v>1139.3241946095191</v>
      </c>
      <c r="I85" s="323">
        <f>'DATA (Real)'!I81*I$4/$H$4</f>
        <v>1175.4635580625331</v>
      </c>
      <c r="J85" s="323">
        <f>'DATA (Real)'!J81*J$4/$H$4</f>
        <v>1203.1138893835414</v>
      </c>
      <c r="K85" s="323">
        <f>'DATA (Real)'!K81*K$4/$H$4</f>
        <v>1229.9834329131072</v>
      </c>
      <c r="L85" s="323">
        <f>'DATA (Real)'!L81*L$4/$H$4</f>
        <v>1257.4530629148333</v>
      </c>
      <c r="M85" s="323">
        <f>'DATA (Real)'!M81*M$4/$H$4</f>
        <v>1285.5361813199308</v>
      </c>
      <c r="N85" s="323">
        <f>'DATA (Real)'!N81*N$4/$H$4</f>
        <v>1313.8179773089696</v>
      </c>
      <c r="O85" s="323">
        <f>'DATA (Real)'!O81*O$4/$H$4</f>
        <v>1342.7219728097671</v>
      </c>
      <c r="P85" s="323">
        <f>'DATA (Real)'!P81*P$4/$H$4</f>
        <v>1372.2618562115817</v>
      </c>
      <c r="Q85" s="323">
        <f>'DATA (Real)'!Q81*Q$4/$H$4</f>
        <v>1402.4516170482366</v>
      </c>
      <c r="R85" s="323">
        <f>'DATA (Real)'!R81*R$4/$H$4</f>
        <v>1433.3055526232979</v>
      </c>
      <c r="S85" s="323">
        <f>'DATA (Real)'!S81*S$4/$H$4</f>
        <v>1464.8382747810103</v>
      </c>
      <c r="T85" s="323">
        <f>'DATA (Real)'!T81*T$4/$H$4</f>
        <v>1497.0647168261926</v>
      </c>
      <c r="U85" s="323">
        <f>'DATA (Real)'!U81*U$4/$H$4</f>
        <v>1530.0001405963687</v>
      </c>
      <c r="V85" s="323">
        <f>'DATA (Real)'!V81*V$4/$H$4</f>
        <v>1563.6601436894889</v>
      </c>
      <c r="W85" s="323">
        <f>'DATA (Real)'!W81*W$4/$H$4</f>
        <v>1598.0606668506575</v>
      </c>
      <c r="X85" s="323">
        <f>'DATA (Real)'!X81*X$4/$H$4</f>
        <v>1633.2180015213723</v>
      </c>
      <c r="Y85" s="323">
        <f>'DATA (Real)'!Y81*Y$4/$H$4</f>
        <v>1669.1487975548423</v>
      </c>
      <c r="Z85" s="323">
        <f>'DATA (Real)'!Z81*Z$4/$H$4</f>
        <v>1705.870071101049</v>
      </c>
      <c r="AA85" s="323">
        <f>'DATA (Real)'!AA81*AA$4/$H$4</f>
        <v>1743.399212665272</v>
      </c>
      <c r="AB85" s="323">
        <f>'DATA (Real)'!AB81*AB$4/$H$4</f>
        <v>1781.7539953439082</v>
      </c>
      <c r="AC85" s="323">
        <f>'DATA (Real)'!AC81*AC$4/$H$4</f>
        <v>1820.952583241474</v>
      </c>
      <c r="AD85" s="323">
        <f>'DATA (Real)'!AD81*AD$4/$H$4</f>
        <v>1861.0135400727863</v>
      </c>
      <c r="AE85" s="323">
        <f>'DATA (Real)'!AE81*AE$4/$H$4</f>
        <v>1901.9558379543878</v>
      </c>
      <c r="AF85" s="323">
        <f>'DATA (Real)'!AF81*AF$4/$H$4</f>
        <v>1943.7988663893841</v>
      </c>
      <c r="AG85" s="323">
        <f>'DATA (Real)'!AG81*AG$4/$H$4</f>
        <v>1986.5624414499509</v>
      </c>
      <c r="AH85" s="323">
        <f>'DATA (Real)'!AH81*AH$4/$H$4</f>
        <v>2030.2668151618495</v>
      </c>
      <c r="AI85" s="323">
        <f>'DATA (Real)'!AI81*AI$4/$H$4</f>
        <v>2074.9326850954103</v>
      </c>
      <c r="AJ85" s="323">
        <f>'DATA (Real)'!AJ81*AJ$4/$H$4</f>
        <v>2120.5812041675094</v>
      </c>
      <c r="AK85" s="318"/>
      <c r="AL85" s="318"/>
      <c r="AM85" s="318"/>
      <c r="AN85" s="318"/>
      <c r="AO85" s="318"/>
      <c r="AP85" s="318"/>
      <c r="AQ85" s="318"/>
      <c r="AR85" s="318"/>
      <c r="AS85" s="318"/>
      <c r="AT85" s="318"/>
      <c r="AU85" s="318"/>
      <c r="AV85" s="318"/>
      <c r="AW85" s="318"/>
      <c r="AX85" s="318"/>
      <c r="AY85" s="318"/>
      <c r="AZ85" s="318"/>
      <c r="BA85" s="318"/>
      <c r="BB85" s="318"/>
      <c r="BC85" s="318"/>
      <c r="BD85" s="318"/>
      <c r="BE85" s="318"/>
      <c r="BF85" s="318"/>
      <c r="BG85" s="318"/>
      <c r="BH85" s="318"/>
      <c r="BI85" s="318"/>
      <c r="BJ85" s="318"/>
      <c r="BK85" s="318"/>
      <c r="BL85" s="318"/>
      <c r="BM85" s="318"/>
      <c r="BN85" s="318"/>
      <c r="BO85" s="318"/>
      <c r="BP85" s="318"/>
      <c r="BQ85" s="318"/>
      <c r="BR85" s="318"/>
      <c r="BS85" s="318"/>
      <c r="BT85" s="318"/>
      <c r="BU85" s="318"/>
      <c r="BV85" s="318"/>
      <c r="BW85" s="318"/>
      <c r="BX85" s="318"/>
    </row>
    <row r="86" spans="2:76" hidden="1" outlineLevel="1">
      <c r="B86" s="353" t="s">
        <v>230</v>
      </c>
      <c r="C86" s="353" t="str">
        <f>'DATA (Real)'!C82</f>
        <v>Internal</v>
      </c>
      <c r="D86" s="353" t="str">
        <f>'DATA (Real)'!D82</f>
        <v>CAPEX ($/kW)</v>
      </c>
      <c r="E86" s="353" t="str">
        <f>'DATA (Real)'!E82</f>
        <v>NG CCCT (1x1 w/DF)</v>
      </c>
      <c r="F86" s="313"/>
      <c r="G86" s="313"/>
      <c r="H86" s="313">
        <f>'DATA (Real)'!H82</f>
        <v>1139.1139386780339</v>
      </c>
      <c r="I86" s="323">
        <f>'DATA (Real)'!I82*I$4/$H$4</f>
        <v>1175.2466328129012</v>
      </c>
      <c r="J86" s="323">
        <f>'DATA (Real)'!J82*J$4/$H$4</f>
        <v>1202.8918614193396</v>
      </c>
      <c r="K86" s="323">
        <f>'DATA (Real)'!K82*K$4/$H$4</f>
        <v>1229.7564463243714</v>
      </c>
      <c r="L86" s="323">
        <f>'DATA (Real)'!L82*L$4/$H$4</f>
        <v>1257.2210069589489</v>
      </c>
      <c r="M86" s="323">
        <f>'DATA (Real)'!M82*M$4/$H$4</f>
        <v>1285.2989427810321</v>
      </c>
      <c r="N86" s="323">
        <f>'DATA (Real)'!N82*N$4/$H$4</f>
        <v>1313.575519522215</v>
      </c>
      <c r="O86" s="323">
        <f>'DATA (Real)'!O82*O$4/$H$4</f>
        <v>1342.4741809517036</v>
      </c>
      <c r="P86" s="323">
        <f>'DATA (Real)'!P82*P$4/$H$4</f>
        <v>1372.0086129326412</v>
      </c>
      <c r="Q86" s="323">
        <f>'DATA (Real)'!Q82*Q$4/$H$4</f>
        <v>1402.1928024171593</v>
      </c>
      <c r="R86" s="323">
        <f>'DATA (Real)'!R82*R$4/$H$4</f>
        <v>1433.041044070337</v>
      </c>
      <c r="S86" s="323">
        <f>'DATA (Real)'!S82*S$4/$H$4</f>
        <v>1464.5679470398843</v>
      </c>
      <c r="T86" s="323">
        <f>'DATA (Real)'!T82*T$4/$H$4</f>
        <v>1496.7884418747617</v>
      </c>
      <c r="U86" s="323">
        <f>'DATA (Real)'!U82*U$4/$H$4</f>
        <v>1529.7177875960065</v>
      </c>
      <c r="V86" s="323">
        <f>'DATA (Real)'!V82*V$4/$H$4</f>
        <v>1563.3715789231185</v>
      </c>
      <c r="W86" s="323">
        <f>'DATA (Real)'!W82*W$4/$H$4</f>
        <v>1597.765753659427</v>
      </c>
      <c r="X86" s="323">
        <f>'DATA (Real)'!X82*X$4/$H$4</f>
        <v>1632.9166002399347</v>
      </c>
      <c r="Y86" s="323">
        <f>'DATA (Real)'!Y82*Y$4/$H$4</f>
        <v>1668.8407654452133</v>
      </c>
      <c r="Z86" s="323">
        <f>'DATA (Real)'!Z82*Z$4/$H$4</f>
        <v>1705.555262285008</v>
      </c>
      <c r="AA86" s="323">
        <f>'DATA (Real)'!AA82*AA$4/$H$4</f>
        <v>1743.0774780552781</v>
      </c>
      <c r="AB86" s="323">
        <f>'DATA (Real)'!AB82*AB$4/$H$4</f>
        <v>1781.4251825724944</v>
      </c>
      <c r="AC86" s="323">
        <f>'DATA (Real)'!AC82*AC$4/$H$4</f>
        <v>1820.616536589089</v>
      </c>
      <c r="AD86" s="323">
        <f>'DATA (Real)'!AD82*AD$4/$H$4</f>
        <v>1860.6701003940491</v>
      </c>
      <c r="AE86" s="323">
        <f>'DATA (Real)'!AE82*AE$4/$H$4</f>
        <v>1901.6048426027182</v>
      </c>
      <c r="AF86" s="323">
        <f>'DATA (Real)'!AF82*AF$4/$H$4</f>
        <v>1943.4401491399778</v>
      </c>
      <c r="AG86" s="323">
        <f>'DATA (Real)'!AG82*AG$4/$H$4</f>
        <v>1986.1958324210573</v>
      </c>
      <c r="AH86" s="323">
        <f>'DATA (Real)'!AH82*AH$4/$H$4</f>
        <v>2029.8921407343207</v>
      </c>
      <c r="AI86" s="323">
        <f>'DATA (Real)'!AI82*AI$4/$H$4</f>
        <v>2074.549767830476</v>
      </c>
      <c r="AJ86" s="323">
        <f>'DATA (Real)'!AJ82*AJ$4/$H$4</f>
        <v>2120.1898627227461</v>
      </c>
      <c r="AK86" s="318"/>
      <c r="AL86" s="318"/>
      <c r="AM86" s="318"/>
      <c r="AN86" s="318"/>
      <c r="AO86" s="318"/>
      <c r="AP86" s="318"/>
      <c r="AQ86" s="318"/>
      <c r="AR86" s="318"/>
      <c r="AS86" s="318"/>
      <c r="AT86" s="318"/>
      <c r="AU86" s="318"/>
      <c r="AV86" s="318"/>
      <c r="AW86" s="318"/>
      <c r="AX86" s="318"/>
      <c r="AY86" s="318"/>
      <c r="AZ86" s="318"/>
      <c r="BA86" s="318"/>
      <c r="BB86" s="318"/>
      <c r="BC86" s="318"/>
      <c r="BD86" s="318"/>
      <c r="BE86" s="318"/>
      <c r="BF86" s="318"/>
      <c r="BG86" s="318"/>
      <c r="BH86" s="318"/>
      <c r="BI86" s="318"/>
      <c r="BJ86" s="318"/>
      <c r="BK86" s="318"/>
      <c r="BL86" s="318"/>
      <c r="BM86" s="318"/>
      <c r="BN86" s="318"/>
      <c r="BO86" s="318"/>
      <c r="BP86" s="318"/>
      <c r="BQ86" s="318"/>
      <c r="BR86" s="318"/>
      <c r="BS86" s="318"/>
      <c r="BT86" s="318"/>
      <c r="BU86" s="318"/>
      <c r="BV86" s="318"/>
      <c r="BW86" s="318"/>
      <c r="BX86" s="318"/>
    </row>
    <row r="87" spans="2:76" hidden="1" outlineLevel="1">
      <c r="B87" s="353" t="s">
        <v>230</v>
      </c>
      <c r="C87" s="353" t="str">
        <f>'DATA (Real)'!C83</f>
        <v>Internal</v>
      </c>
      <c r="D87" s="353" t="str">
        <f>'DATA (Real)'!D83</f>
        <v>CAPEX ($/kW)</v>
      </c>
      <c r="E87" s="353" t="str">
        <f>'DATA (Real)'!E83</f>
        <v xml:space="preserve">Hydrogen Fuel Cell with 40 hrs Storage </v>
      </c>
      <c r="F87" s="313">
        <f>'DATA (Real)'!F83</f>
        <v>5356</v>
      </c>
      <c r="G87" s="323">
        <f>'DATA (Real)'!G83*G$4/100</f>
        <v>5489.8999999999987</v>
      </c>
      <c r="H87" s="323">
        <f>'DATA (Real)'!H83*H$4/100</f>
        <v>5884.6853088797807</v>
      </c>
      <c r="I87" s="323">
        <f>'DATA (Real)'!I83*I$4/100</f>
        <v>6071.3475268774464</v>
      </c>
      <c r="J87" s="323">
        <f>'DATA (Real)'!J83*J$4/100</f>
        <v>6214.1633288065577</v>
      </c>
      <c r="K87" s="323">
        <f>'DATA (Real)'!K83*K$4/100</f>
        <v>6352.9463098165706</v>
      </c>
      <c r="L87" s="323">
        <f>'DATA (Real)'!L83*L$4/100</f>
        <v>6494.8287774024739</v>
      </c>
      <c r="M87" s="323">
        <f>'DATA (Real)'!M83*M$4/100</f>
        <v>6639.8799534311283</v>
      </c>
      <c r="N87" s="323">
        <f>'DATA (Real)'!N83*N$4/100</f>
        <v>6785.9573124066146</v>
      </c>
      <c r="O87" s="323">
        <f>'DATA (Real)'!O83*O$4/100</f>
        <v>6935.2483732795599</v>
      </c>
      <c r="P87" s="323">
        <f>'DATA (Real)'!P83*P$4/100</f>
        <v>7087.82383749171</v>
      </c>
      <c r="Q87" s="323">
        <f>'DATA (Real)'!Q83*Q$4/100</f>
        <v>7243.7559619165268</v>
      </c>
      <c r="R87" s="323">
        <f>'DATA (Real)'!R83*R$4/100</f>
        <v>7403.1185930786914</v>
      </c>
      <c r="S87" s="323">
        <f>'DATA (Real)'!S83*S$4/100</f>
        <v>7565.9872021264237</v>
      </c>
      <c r="T87" s="323">
        <f>'DATA (Real)'!T83*T$4/100</f>
        <v>7732.4389205732041</v>
      </c>
      <c r="U87" s="323">
        <f>'DATA (Real)'!U83*U$4/100</f>
        <v>7902.552576825814</v>
      </c>
      <c r="V87" s="323">
        <f>'DATA (Real)'!V83*V$4/100</f>
        <v>8076.408733515982</v>
      </c>
      <c r="W87" s="323">
        <f>'DATA (Real)'!W83*W$4/100</f>
        <v>8254.0897256533335</v>
      </c>
      <c r="X87" s="323">
        <f>'DATA (Real)'!X83*X$4/100</f>
        <v>8435.6796996177072</v>
      </c>
      <c r="Y87" s="323">
        <f>'DATA (Real)'!Y83*Y$4/100</f>
        <v>8621.264653009297</v>
      </c>
      <c r="Z87" s="323">
        <f>'DATA (Real)'!Z83*Z$4/100</f>
        <v>8810.9324753755009</v>
      </c>
      <c r="AA87" s="323">
        <f>'DATA (Real)'!AA83*AA$4/100</f>
        <v>9004.772989833762</v>
      </c>
      <c r="AB87" s="323">
        <f>'DATA (Real)'!AB83*AB$4/100</f>
        <v>9202.8779956101062</v>
      </c>
      <c r="AC87" s="323">
        <f>'DATA (Real)'!AC83*AC$4/100</f>
        <v>9405.3413115135281</v>
      </c>
      <c r="AD87" s="323">
        <f>'DATA (Real)'!AD83*AD$4/100</f>
        <v>9612.2588203668238</v>
      </c>
      <c r="AE87" s="323">
        <f>'DATA (Real)'!AE83*AE$4/100</f>
        <v>9823.7285144148955</v>
      </c>
      <c r="AF87" s="323">
        <f>'DATA (Real)'!AF83*AF$4/100</f>
        <v>10039.850541732023</v>
      </c>
      <c r="AG87" s="323">
        <f>'DATA (Real)'!AG83*AG$4/100</f>
        <v>10260.727253650128</v>
      </c>
      <c r="AH87" s="323">
        <f>'DATA (Real)'!AH83*AH$4/100</f>
        <v>10486.463253230431</v>
      </c>
      <c r="AI87" s="323">
        <f>'DATA (Real)'!AI83*AI$4/100</f>
        <v>10717.165444801502</v>
      </c>
      <c r="AJ87" s="323">
        <f>'DATA (Real)'!AJ83*AJ$4/100</f>
        <v>10952.943084587134</v>
      </c>
      <c r="AK87" s="318"/>
      <c r="AL87" s="318"/>
      <c r="AM87" s="318"/>
      <c r="AN87" s="318"/>
      <c r="AO87" s="318"/>
      <c r="AP87" s="318"/>
      <c r="AQ87" s="318"/>
      <c r="AR87" s="318"/>
      <c r="AS87" s="318"/>
      <c r="AT87" s="318"/>
      <c r="AU87" s="318"/>
      <c r="AV87" s="318"/>
      <c r="AW87" s="318"/>
      <c r="AX87" s="318"/>
      <c r="AY87" s="318"/>
      <c r="AZ87" s="318"/>
      <c r="BA87" s="318"/>
      <c r="BB87" s="318"/>
      <c r="BC87" s="318"/>
      <c r="BD87" s="318"/>
      <c r="BE87" s="318"/>
      <c r="BF87" s="318"/>
      <c r="BG87" s="318"/>
      <c r="BH87" s="318"/>
      <c r="BI87" s="318"/>
      <c r="BJ87" s="318"/>
      <c r="BK87" s="318"/>
      <c r="BL87" s="318"/>
      <c r="BM87" s="318"/>
      <c r="BN87" s="318"/>
      <c r="BO87" s="318"/>
      <c r="BP87" s="318"/>
      <c r="BQ87" s="318"/>
      <c r="BR87" s="318"/>
      <c r="BS87" s="318"/>
      <c r="BT87" s="318"/>
      <c r="BU87" s="318"/>
      <c r="BV87" s="318"/>
      <c r="BW87" s="318"/>
      <c r="BX87" s="318"/>
    </row>
    <row r="88" spans="2:76" hidden="1" outlineLevel="1">
      <c r="B88" s="353" t="s">
        <v>230</v>
      </c>
      <c r="C88" s="353" t="str">
        <f>'DATA (Real)'!C84</f>
        <v>Internal</v>
      </c>
      <c r="D88" s="353" t="str">
        <f>'DATA (Real)'!D84</f>
        <v>CAPEX ($/kW)</v>
      </c>
      <c r="E88" s="353" t="str">
        <f>'DATA (Real)'!E84</f>
        <v>7F.04 CT Frame Greenfield + amonia + storage</v>
      </c>
      <c r="F88" s="313"/>
      <c r="G88" s="313"/>
      <c r="H88" s="313">
        <f>'DATA (Real)'!H84*H$4/100</f>
        <v>939.68699574746392</v>
      </c>
      <c r="I88" s="323">
        <f>'DATA (Real)'!I84*I$4/$H$4</f>
        <v>882.39368470040711</v>
      </c>
      <c r="J88" s="323">
        <f>'DATA (Real)'!J84*J$4/$H$4</f>
        <v>903.15015781280783</v>
      </c>
      <c r="K88" s="323">
        <f>'DATA (Real)'!K84*K$4/$H$4</f>
        <v>923.32051133729374</v>
      </c>
      <c r="L88" s="323">
        <f>'DATA (Real)'!L84*L$4/$H$4</f>
        <v>943.94133609049334</v>
      </c>
      <c r="M88" s="323">
        <f>'DATA (Real)'!M84*M$4/$H$4</f>
        <v>965.02269259651439</v>
      </c>
      <c r="N88" s="323">
        <f>'DATA (Real)'!N84*N$4/$H$4</f>
        <v>986.25319183363774</v>
      </c>
      <c r="O88" s="323">
        <f>'DATA (Real)'!O84*O$4/$H$4</f>
        <v>1007.9507620539778</v>
      </c>
      <c r="P88" s="323">
        <f>'DATA (Real)'!P84*P$4/$H$4</f>
        <v>1030.1256788191652</v>
      </c>
      <c r="Q88" s="323">
        <f>'DATA (Real)'!Q84*Q$4/$H$4</f>
        <v>1052.7884437531868</v>
      </c>
      <c r="R88" s="323">
        <f>'DATA (Real)'!R84*R$4/$H$4</f>
        <v>1075.9497895157572</v>
      </c>
      <c r="S88" s="323">
        <f>'DATA (Real)'!S84*S$4/$H$4</f>
        <v>1099.6206848851036</v>
      </c>
      <c r="T88" s="323">
        <f>'DATA (Real)'!T84*T$4/$H$4</f>
        <v>1123.8123399525759</v>
      </c>
      <c r="U88" s="323">
        <f>'DATA (Real)'!U84*U$4/$H$4</f>
        <v>1148.5362114315326</v>
      </c>
      <c r="V88" s="323">
        <f>'DATA (Real)'!V84*V$4/$H$4</f>
        <v>1173.8040080830262</v>
      </c>
      <c r="W88" s="323">
        <f>'DATA (Real)'!W84*W$4/$H$4</f>
        <v>1199.6276962608526</v>
      </c>
      <c r="X88" s="323">
        <f>'DATA (Real)'!X84*X$4/$H$4</f>
        <v>1226.0195055785916</v>
      </c>
      <c r="Y88" s="323">
        <f>'DATA (Real)'!Y84*Y$4/$H$4</f>
        <v>1252.9919347013206</v>
      </c>
      <c r="Z88" s="323">
        <f>'DATA (Real)'!Z84*Z$4/$H$4</f>
        <v>1280.5577572647499</v>
      </c>
      <c r="AA88" s="323">
        <f>'DATA (Real)'!AA84*AA$4/$H$4</f>
        <v>1308.7300279245742</v>
      </c>
      <c r="AB88" s="323">
        <f>'DATA (Real)'!AB84*AB$4/$H$4</f>
        <v>1337.5220885389149</v>
      </c>
      <c r="AC88" s="323">
        <f>'DATA (Real)'!AC84*AC$4/$H$4</f>
        <v>1366.9475744867711</v>
      </c>
      <c r="AD88" s="323">
        <f>'DATA (Real)'!AD84*AD$4/$H$4</f>
        <v>1397.0204211254797</v>
      </c>
      <c r="AE88" s="323">
        <f>'DATA (Real)'!AE84*AE$4/$H$4</f>
        <v>1427.7548703902407</v>
      </c>
      <c r="AF88" s="323">
        <f>'DATA (Real)'!AF84*AF$4/$H$4</f>
        <v>1459.1654775388258</v>
      </c>
      <c r="AG88" s="323">
        <f>'DATA (Real)'!AG84*AG$4/$H$4</f>
        <v>1491.26711804468</v>
      </c>
      <c r="AH88" s="323">
        <f>'DATA (Real)'!AH84*AH$4/$H$4</f>
        <v>1524.0749946416629</v>
      </c>
      <c r="AI88" s="323">
        <f>'DATA (Real)'!AI84*AI$4/$H$4</f>
        <v>1557.6046445237796</v>
      </c>
      <c r="AJ88" s="323">
        <f>'DATA (Real)'!AJ84*AJ$4/$H$4</f>
        <v>1591.8719467033027</v>
      </c>
      <c r="AK88" s="318"/>
      <c r="AL88" s="318"/>
      <c r="AM88" s="318"/>
      <c r="AN88" s="318"/>
      <c r="AO88" s="318"/>
      <c r="AP88" s="318"/>
      <c r="AQ88" s="318"/>
      <c r="AR88" s="318"/>
      <c r="AS88" s="318"/>
      <c r="AT88" s="318"/>
      <c r="AU88" s="318"/>
      <c r="AV88" s="318"/>
      <c r="AW88" s="318"/>
      <c r="AX88" s="318"/>
      <c r="AY88" s="318"/>
      <c r="AZ88" s="318"/>
      <c r="BA88" s="318"/>
      <c r="BB88" s="318"/>
      <c r="BC88" s="318"/>
      <c r="BD88" s="318"/>
      <c r="BE88" s="318"/>
      <c r="BF88" s="318"/>
      <c r="BG88" s="318"/>
      <c r="BH88" s="318"/>
      <c r="BI88" s="318"/>
      <c r="BJ88" s="318"/>
      <c r="BK88" s="318"/>
      <c r="BL88" s="318"/>
      <c r="BM88" s="318"/>
      <c r="BN88" s="318"/>
      <c r="BO88" s="318"/>
      <c r="BP88" s="318"/>
      <c r="BQ88" s="318"/>
      <c r="BR88" s="318"/>
      <c r="BS88" s="318"/>
      <c r="BT88" s="318"/>
      <c r="BU88" s="318"/>
      <c r="BV88" s="318"/>
      <c r="BW88" s="318"/>
      <c r="BX88" s="318"/>
    </row>
    <row r="89" spans="2:76" collapsed="1"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  <c r="AA89" s="318"/>
      <c r="AB89" s="318"/>
      <c r="AC89" s="318"/>
      <c r="AD89" s="318"/>
      <c r="AE89" s="318"/>
      <c r="AF89" s="318"/>
      <c r="AG89" s="318"/>
      <c r="AH89" s="318"/>
      <c r="AI89" s="318"/>
      <c r="AJ89" s="318"/>
    </row>
    <row r="90" spans="2:76">
      <c r="B90" s="259" t="str">
        <f>D90</f>
        <v>Variable Operation and Maintenance Expenses ($/MWh)</v>
      </c>
      <c r="D90" s="259" t="str">
        <f>'DATA (Real)'!D86</f>
        <v>Variable Operation and Maintenance Expenses ($/MWh)</v>
      </c>
      <c r="F90" s="318"/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  <c r="AA90" s="318"/>
      <c r="AB90" s="318"/>
      <c r="AC90" s="318"/>
      <c r="AD90" s="318"/>
      <c r="AE90" s="318"/>
      <c r="AF90" s="318"/>
      <c r="AG90" s="318"/>
      <c r="AH90" s="318"/>
      <c r="AI90" s="318"/>
      <c r="AJ90" s="318"/>
      <c r="AK90" s="318"/>
      <c r="AL90" s="318"/>
      <c r="AM90" s="318"/>
      <c r="AN90" s="318"/>
      <c r="AO90" s="318"/>
      <c r="AP90" s="318"/>
      <c r="AQ90" s="318"/>
      <c r="AR90" s="318"/>
      <c r="AS90" s="318"/>
      <c r="AT90" s="318"/>
      <c r="AU90" s="318"/>
      <c r="AV90" s="318"/>
      <c r="AW90" s="318"/>
      <c r="AX90" s="318"/>
      <c r="AY90" s="318"/>
      <c r="AZ90" s="318"/>
      <c r="BA90" s="318"/>
      <c r="BB90" s="318"/>
      <c r="BC90" s="318"/>
      <c r="BD90" s="318"/>
      <c r="BE90" s="318"/>
      <c r="BF90" s="318"/>
      <c r="BG90" s="318"/>
      <c r="BH90" s="318"/>
      <c r="BI90" s="318"/>
      <c r="BJ90" s="318"/>
      <c r="BK90" s="318"/>
      <c r="BL90" s="318"/>
      <c r="BM90" s="318"/>
      <c r="BN90" s="318"/>
      <c r="BO90" s="318"/>
      <c r="BP90" s="318"/>
      <c r="BQ90" s="318"/>
      <c r="BR90" s="318"/>
      <c r="BS90" s="318"/>
      <c r="BT90" s="318"/>
      <c r="BU90" s="318"/>
      <c r="BV90" s="318"/>
      <c r="BW90" s="318"/>
      <c r="BX90" s="318"/>
    </row>
    <row r="91" spans="2:76" outlineLevel="1">
      <c r="B91" s="348" t="s">
        <v>230</v>
      </c>
      <c r="C91" s="348" t="str">
        <f>'DATA (Real)'!C87</f>
        <v>NREL Utility-Scale Battery Storage - 4Hr</v>
      </c>
      <c r="D91" s="348" t="str">
        <f>'DATA (Real)'!D87</f>
        <v>Variable Operation and Maintenance Expenses ($/MWh)</v>
      </c>
      <c r="E91" s="348" t="str">
        <f>'DATA (Real)'!E87</f>
        <v>Distribution Scale 4hr Lithium-Ion</v>
      </c>
      <c r="F91" s="314">
        <f>'DATA (Real)'!F87</f>
        <v>0</v>
      </c>
      <c r="G91" s="324">
        <f>'DATA (Real)'!G87*G$4/100</f>
        <v>0</v>
      </c>
      <c r="H91" s="324">
        <f>'DATA (Real)'!H87*H$4/100</f>
        <v>0</v>
      </c>
      <c r="I91" s="324">
        <f>'DATA (Real)'!I87*I$4/100</f>
        <v>0</v>
      </c>
      <c r="J91" s="324">
        <f>'DATA (Real)'!J87*J$4/100</f>
        <v>0</v>
      </c>
      <c r="K91" s="324">
        <f>'DATA (Real)'!K87*K$4/100</f>
        <v>0</v>
      </c>
      <c r="L91" s="324">
        <f>'DATA (Real)'!L87*L$4/100</f>
        <v>0</v>
      </c>
      <c r="M91" s="324">
        <f>'DATA (Real)'!M87*M$4/100</f>
        <v>0</v>
      </c>
      <c r="N91" s="324">
        <f>'DATA (Real)'!N87*N$4/100</f>
        <v>0</v>
      </c>
      <c r="O91" s="324">
        <f>'DATA (Real)'!O87*O$4/100</f>
        <v>0</v>
      </c>
      <c r="P91" s="324">
        <f>'DATA (Real)'!P87*P$4/100</f>
        <v>0</v>
      </c>
      <c r="Q91" s="324">
        <f>'DATA (Real)'!Q87*Q$4/100</f>
        <v>0</v>
      </c>
      <c r="R91" s="324">
        <f>'DATA (Real)'!R87*R$4/100</f>
        <v>0</v>
      </c>
      <c r="S91" s="324">
        <f>'DATA (Real)'!S87*S$4/100</f>
        <v>0</v>
      </c>
      <c r="T91" s="324">
        <f>'DATA (Real)'!T87*T$4/100</f>
        <v>0</v>
      </c>
      <c r="U91" s="324">
        <f>'DATA (Real)'!U87*U$4/100</f>
        <v>0</v>
      </c>
      <c r="V91" s="324">
        <f>'DATA (Real)'!V87*V$4/100</f>
        <v>0</v>
      </c>
      <c r="W91" s="324">
        <f>'DATA (Real)'!W87*W$4/100</f>
        <v>0</v>
      </c>
      <c r="X91" s="324">
        <f>'DATA (Real)'!X87*X$4/100</f>
        <v>0</v>
      </c>
      <c r="Y91" s="324">
        <f>'DATA (Real)'!Y87*Y$4/100</f>
        <v>0</v>
      </c>
      <c r="Z91" s="324">
        <f>'DATA (Real)'!Z87*Z$4/100</f>
        <v>0</v>
      </c>
      <c r="AA91" s="324">
        <f>'DATA (Real)'!AA87*AA$4/100</f>
        <v>0</v>
      </c>
      <c r="AB91" s="324">
        <f>'DATA (Real)'!AB87*AB$4/100</f>
        <v>0</v>
      </c>
      <c r="AC91" s="324">
        <f>'DATA (Real)'!AC87*AC$4/100</f>
        <v>0</v>
      </c>
      <c r="AD91" s="324">
        <f>'DATA (Real)'!AD87*AD$4/100</f>
        <v>0</v>
      </c>
      <c r="AE91" s="324">
        <f>'DATA (Real)'!AE87*AE$4/100</f>
        <v>0</v>
      </c>
      <c r="AF91" s="324">
        <f>'DATA (Real)'!AF87*AF$4/100</f>
        <v>0</v>
      </c>
      <c r="AG91" s="324">
        <f>'DATA (Real)'!AG87*AG$4/100</f>
        <v>0</v>
      </c>
      <c r="AH91" s="324">
        <f>'DATA (Real)'!AH87*AH$4/100</f>
        <v>0</v>
      </c>
      <c r="AI91" s="324">
        <f>'DATA (Real)'!AI87*AI$4/100</f>
        <v>0</v>
      </c>
      <c r="AJ91" s="324">
        <f>'DATA (Real)'!AJ87*AJ$4/100</f>
        <v>0</v>
      </c>
      <c r="AK91" s="324">
        <f>'DATA (Real)'!AK87*AK$4/100</f>
        <v>0</v>
      </c>
      <c r="AL91" s="324">
        <f>'DATA (Real)'!AL87*AL$4/100</f>
        <v>0</v>
      </c>
      <c r="AM91" s="324">
        <f>'DATA (Real)'!AM87*AM$4/100</f>
        <v>0</v>
      </c>
      <c r="AN91" s="324">
        <f>'DATA (Real)'!AN87*AN$4/100</f>
        <v>0</v>
      </c>
      <c r="AO91" s="324">
        <f>'DATA (Real)'!AO87*AO$4/100</f>
        <v>0</v>
      </c>
      <c r="AP91" s="324">
        <f>'DATA (Real)'!AP87*AP$4/100</f>
        <v>0</v>
      </c>
      <c r="AQ91" s="324">
        <f>'DATA (Real)'!AQ87*AQ$4/100</f>
        <v>0</v>
      </c>
      <c r="AR91" s="324">
        <f>'DATA (Real)'!AR87*AR$4/100</f>
        <v>0</v>
      </c>
      <c r="AS91" s="324">
        <f>'DATA (Real)'!AS87*AS$4/100</f>
        <v>0</v>
      </c>
      <c r="AT91" s="324">
        <f>'DATA (Real)'!AT87*AT$4/100</f>
        <v>0</v>
      </c>
      <c r="AU91" s="324">
        <f>'DATA (Real)'!AU87*AU$4/100</f>
        <v>0</v>
      </c>
      <c r="AV91" s="324">
        <f>'DATA (Real)'!AV87*AV$4/100</f>
        <v>0</v>
      </c>
      <c r="AW91" s="324">
        <f>'DATA (Real)'!AW87*AW$4/100</f>
        <v>0</v>
      </c>
      <c r="AX91" s="324">
        <f>'DATA (Real)'!AX87*AX$4/100</f>
        <v>0</v>
      </c>
      <c r="AY91" s="324">
        <f>'DATA (Real)'!AY87*AY$4/100</f>
        <v>0</v>
      </c>
      <c r="AZ91" s="324">
        <f>'DATA (Real)'!AZ87*AZ$4/100</f>
        <v>0</v>
      </c>
      <c r="BA91" s="324">
        <f>'DATA (Real)'!BA87*BA$4/100</f>
        <v>0</v>
      </c>
      <c r="BB91" s="324">
        <f>'DATA (Real)'!BB87*BB$4/100</f>
        <v>0</v>
      </c>
      <c r="BC91" s="324">
        <f>'DATA (Real)'!BC87*BC$4/100</f>
        <v>0</v>
      </c>
      <c r="BD91" s="324">
        <f>'DATA (Real)'!BD87*BD$4/100</f>
        <v>0</v>
      </c>
      <c r="BE91" s="324">
        <f>'DATA (Real)'!BE87*BE$4/100</f>
        <v>0</v>
      </c>
      <c r="BF91" s="324">
        <f>'DATA (Real)'!BF87*BF$4/100</f>
        <v>0</v>
      </c>
      <c r="BG91" s="324">
        <f>'DATA (Real)'!BG87*BG$4/100</f>
        <v>0</v>
      </c>
      <c r="BH91" s="324">
        <f>'DATA (Real)'!BH87*BH$4/100</f>
        <v>0</v>
      </c>
      <c r="BI91" s="324">
        <f>'DATA (Real)'!BI87*BI$4/100</f>
        <v>0</v>
      </c>
      <c r="BJ91" s="324">
        <f>'DATA (Real)'!BJ87*BJ$4/100</f>
        <v>0</v>
      </c>
      <c r="BK91" s="324">
        <f>'DATA (Real)'!BK87*BK$4/100</f>
        <v>0</v>
      </c>
      <c r="BL91" s="324">
        <f>'DATA (Real)'!BL87*BL$4/100</f>
        <v>0</v>
      </c>
      <c r="BM91" s="324">
        <f>'DATA (Real)'!BM87*BM$4/100</f>
        <v>0</v>
      </c>
      <c r="BN91" s="324">
        <f>'DATA (Real)'!BN87*BN$4/100</f>
        <v>0</v>
      </c>
      <c r="BO91" s="324">
        <f>'DATA (Real)'!BO87*BO$4/100</f>
        <v>0</v>
      </c>
      <c r="BP91" s="324">
        <f>'DATA (Real)'!BP87*BP$4/100</f>
        <v>0</v>
      </c>
      <c r="BQ91" s="324">
        <f>'DATA (Real)'!BQ87*BQ$4/100</f>
        <v>0</v>
      </c>
      <c r="BR91" s="324">
        <f>'DATA (Real)'!BR87*BR$4/100</f>
        <v>0</v>
      </c>
      <c r="BS91" s="324">
        <f>'DATA (Real)'!BS87*BS$4/100</f>
        <v>0</v>
      </c>
      <c r="BT91" s="324">
        <f>'DATA (Real)'!BT87*BT$4/100</f>
        <v>0</v>
      </c>
      <c r="BU91" s="324">
        <f>'DATA (Real)'!BU87*BU$4/100</f>
        <v>0</v>
      </c>
      <c r="BV91" s="324">
        <f>'DATA (Real)'!BV87*BV$4/100</f>
        <v>0</v>
      </c>
      <c r="BW91" s="324">
        <f>'DATA (Real)'!BW87*BW$4/100</f>
        <v>0</v>
      </c>
      <c r="BX91" s="324">
        <f>'DATA (Real)'!BX87*BX$4/100</f>
        <v>0</v>
      </c>
    </row>
    <row r="92" spans="2:76" outlineLevel="1">
      <c r="B92" s="348" t="s">
        <v>230</v>
      </c>
      <c r="C92" s="348" t="str">
        <f>'DATA (Real)'!C88</f>
        <v>NREL Utility-Scale Battery Storage - 8Hr</v>
      </c>
      <c r="D92" s="348" t="str">
        <f>'DATA (Real)'!D88</f>
        <v>Variable Operation and Maintenance Expenses ($/MWh)</v>
      </c>
      <c r="E92" s="348" t="str">
        <f>'DATA (Real)'!E88</f>
        <v>Distribution Scale 8hr Lithium-Ion</v>
      </c>
      <c r="F92" s="314">
        <f>'DATA (Real)'!F88</f>
        <v>0</v>
      </c>
      <c r="G92" s="324">
        <f>'DATA (Real)'!G88*G$4/100</f>
        <v>0</v>
      </c>
      <c r="H92" s="324">
        <f>'DATA (Real)'!H88*H$4/100</f>
        <v>0</v>
      </c>
      <c r="I92" s="324">
        <f>'DATA (Real)'!I88*I$4/100</f>
        <v>0</v>
      </c>
      <c r="J92" s="324">
        <f>'DATA (Real)'!J88*J$4/100</f>
        <v>0</v>
      </c>
      <c r="K92" s="324">
        <f>'DATA (Real)'!K88*K$4/100</f>
        <v>0</v>
      </c>
      <c r="L92" s="324">
        <f>'DATA (Real)'!L88*L$4/100</f>
        <v>0</v>
      </c>
      <c r="M92" s="324">
        <f>'DATA (Real)'!M88*M$4/100</f>
        <v>0</v>
      </c>
      <c r="N92" s="324">
        <f>'DATA (Real)'!N88*N$4/100</f>
        <v>0</v>
      </c>
      <c r="O92" s="324">
        <f>'DATA (Real)'!O88*O$4/100</f>
        <v>0</v>
      </c>
      <c r="P92" s="324">
        <f>'DATA (Real)'!P88*P$4/100</f>
        <v>0</v>
      </c>
      <c r="Q92" s="324">
        <f>'DATA (Real)'!Q88*Q$4/100</f>
        <v>0</v>
      </c>
      <c r="R92" s="324">
        <f>'DATA (Real)'!R88*R$4/100</f>
        <v>0</v>
      </c>
      <c r="S92" s="324">
        <f>'DATA (Real)'!S88*S$4/100</f>
        <v>0</v>
      </c>
      <c r="T92" s="324">
        <f>'DATA (Real)'!T88*T$4/100</f>
        <v>0</v>
      </c>
      <c r="U92" s="324">
        <f>'DATA (Real)'!U88*U$4/100</f>
        <v>0</v>
      </c>
      <c r="V92" s="324">
        <f>'DATA (Real)'!V88*V$4/100</f>
        <v>0</v>
      </c>
      <c r="W92" s="324">
        <f>'DATA (Real)'!W88*W$4/100</f>
        <v>0</v>
      </c>
      <c r="X92" s="324">
        <f>'DATA (Real)'!X88*X$4/100</f>
        <v>0</v>
      </c>
      <c r="Y92" s="324">
        <f>'DATA (Real)'!Y88*Y$4/100</f>
        <v>0</v>
      </c>
      <c r="Z92" s="324">
        <f>'DATA (Real)'!Z88*Z$4/100</f>
        <v>0</v>
      </c>
      <c r="AA92" s="324">
        <f>'DATA (Real)'!AA88*AA$4/100</f>
        <v>0</v>
      </c>
      <c r="AB92" s="324">
        <f>'DATA (Real)'!AB88*AB$4/100</f>
        <v>0</v>
      </c>
      <c r="AC92" s="324">
        <f>'DATA (Real)'!AC88*AC$4/100</f>
        <v>0</v>
      </c>
      <c r="AD92" s="324">
        <f>'DATA (Real)'!AD88*AD$4/100</f>
        <v>0</v>
      </c>
      <c r="AE92" s="324">
        <f>'DATA (Real)'!AE88*AE$4/100</f>
        <v>0</v>
      </c>
      <c r="AF92" s="324">
        <f>'DATA (Real)'!AF88*AF$4/100</f>
        <v>0</v>
      </c>
      <c r="AG92" s="324">
        <f>'DATA (Real)'!AG88*AG$4/100</f>
        <v>0</v>
      </c>
      <c r="AH92" s="324">
        <f>'DATA (Real)'!AH88*AH$4/100</f>
        <v>0</v>
      </c>
      <c r="AI92" s="324">
        <f>'DATA (Real)'!AI88*AI$4/100</f>
        <v>0</v>
      </c>
      <c r="AJ92" s="324">
        <f>'DATA (Real)'!AJ88*AJ$4/100</f>
        <v>0</v>
      </c>
      <c r="AK92" s="324">
        <f>'DATA (Real)'!AK88*AK$4/100</f>
        <v>0</v>
      </c>
      <c r="AL92" s="324">
        <f>'DATA (Real)'!AL88*AL$4/100</f>
        <v>0</v>
      </c>
      <c r="AM92" s="324">
        <f>'DATA (Real)'!AM88*AM$4/100</f>
        <v>0</v>
      </c>
      <c r="AN92" s="324">
        <f>'DATA (Real)'!AN88*AN$4/100</f>
        <v>0</v>
      </c>
      <c r="AO92" s="324">
        <f>'DATA (Real)'!AO88*AO$4/100</f>
        <v>0</v>
      </c>
      <c r="AP92" s="324">
        <f>'DATA (Real)'!AP88*AP$4/100</f>
        <v>0</v>
      </c>
      <c r="AQ92" s="324">
        <f>'DATA (Real)'!AQ88*AQ$4/100</f>
        <v>0</v>
      </c>
      <c r="AR92" s="324">
        <f>'DATA (Real)'!AR88*AR$4/100</f>
        <v>0</v>
      </c>
      <c r="AS92" s="324">
        <f>'DATA (Real)'!AS88*AS$4/100</f>
        <v>0</v>
      </c>
      <c r="AT92" s="324">
        <f>'DATA (Real)'!AT88*AT$4/100</f>
        <v>0</v>
      </c>
      <c r="AU92" s="324">
        <f>'DATA (Real)'!AU88*AU$4/100</f>
        <v>0</v>
      </c>
      <c r="AV92" s="324">
        <f>'DATA (Real)'!AV88*AV$4/100</f>
        <v>0</v>
      </c>
      <c r="AW92" s="324">
        <f>'DATA (Real)'!AW88*AW$4/100</f>
        <v>0</v>
      </c>
      <c r="AX92" s="324">
        <f>'DATA (Real)'!AX88*AX$4/100</f>
        <v>0</v>
      </c>
      <c r="AY92" s="324">
        <f>'DATA (Real)'!AY88*AY$4/100</f>
        <v>0</v>
      </c>
      <c r="AZ92" s="324">
        <f>'DATA (Real)'!AZ88*AZ$4/100</f>
        <v>0</v>
      </c>
      <c r="BA92" s="324">
        <f>'DATA (Real)'!BA88*BA$4/100</f>
        <v>0</v>
      </c>
      <c r="BB92" s="324">
        <f>'DATA (Real)'!BB88*BB$4/100</f>
        <v>0</v>
      </c>
      <c r="BC92" s="324">
        <f>'DATA (Real)'!BC88*BC$4/100</f>
        <v>0</v>
      </c>
      <c r="BD92" s="324">
        <f>'DATA (Real)'!BD88*BD$4/100</f>
        <v>0</v>
      </c>
      <c r="BE92" s="324">
        <f>'DATA (Real)'!BE88*BE$4/100</f>
        <v>0</v>
      </c>
      <c r="BF92" s="324">
        <f>'DATA (Real)'!BF88*BF$4/100</f>
        <v>0</v>
      </c>
      <c r="BG92" s="324">
        <f>'DATA (Real)'!BG88*BG$4/100</f>
        <v>0</v>
      </c>
      <c r="BH92" s="324">
        <f>'DATA (Real)'!BH88*BH$4/100</f>
        <v>0</v>
      </c>
      <c r="BI92" s="324">
        <f>'DATA (Real)'!BI88*BI$4/100</f>
        <v>0</v>
      </c>
      <c r="BJ92" s="324">
        <f>'DATA (Real)'!BJ88*BJ$4/100</f>
        <v>0</v>
      </c>
      <c r="BK92" s="324">
        <f>'DATA (Real)'!BK88*BK$4/100</f>
        <v>0</v>
      </c>
      <c r="BL92" s="324">
        <f>'DATA (Real)'!BL88*BL$4/100</f>
        <v>0</v>
      </c>
      <c r="BM92" s="324">
        <f>'DATA (Real)'!BM88*BM$4/100</f>
        <v>0</v>
      </c>
      <c r="BN92" s="324">
        <f>'DATA (Real)'!BN88*BN$4/100</f>
        <v>0</v>
      </c>
      <c r="BO92" s="324">
        <f>'DATA (Real)'!BO88*BO$4/100</f>
        <v>0</v>
      </c>
      <c r="BP92" s="324">
        <f>'DATA (Real)'!BP88*BP$4/100</f>
        <v>0</v>
      </c>
      <c r="BQ92" s="324">
        <f>'DATA (Real)'!BQ88*BQ$4/100</f>
        <v>0</v>
      </c>
      <c r="BR92" s="324">
        <f>'DATA (Real)'!BR88*BR$4/100</f>
        <v>0</v>
      </c>
      <c r="BS92" s="324">
        <f>'DATA (Real)'!BS88*BS$4/100</f>
        <v>0</v>
      </c>
      <c r="BT92" s="324">
        <f>'DATA (Real)'!BT88*BT$4/100</f>
        <v>0</v>
      </c>
      <c r="BU92" s="324">
        <f>'DATA (Real)'!BU88*BU$4/100</f>
        <v>0</v>
      </c>
      <c r="BV92" s="324">
        <f>'DATA (Real)'!BV88*BV$4/100</f>
        <v>0</v>
      </c>
      <c r="BW92" s="324">
        <f>'DATA (Real)'!BW88*BW$4/100</f>
        <v>0</v>
      </c>
      <c r="BX92" s="324">
        <f>'DATA (Real)'!BX88*BX$4/100</f>
        <v>0</v>
      </c>
    </row>
    <row r="93" spans="2:76" outlineLevel="1">
      <c r="B93" s="348" t="s">
        <v>230</v>
      </c>
      <c r="C93" s="348" t="str">
        <f>'DATA (Real)'!C89</f>
        <v>NREL Utility-Scale Battery Storage - 4Hr</v>
      </c>
      <c r="D93" s="348" t="str">
        <f>'DATA (Real)'!D89</f>
        <v>Variable Operation and Maintenance Expenses ($/MWh)</v>
      </c>
      <c r="E93" s="348" t="str">
        <f>'DATA (Real)'!E89</f>
        <v>4hr Lithium-Ion</v>
      </c>
      <c r="F93" s="314">
        <f>'DATA (Real)'!F89</f>
        <v>0</v>
      </c>
      <c r="G93" s="324">
        <f>'DATA (Real)'!G89*G$4/100</f>
        <v>0</v>
      </c>
      <c r="H93" s="324">
        <f>'DATA (Real)'!H89*H$4/100</f>
        <v>0</v>
      </c>
      <c r="I93" s="324">
        <f>'DATA (Real)'!I89*I$4/100</f>
        <v>0</v>
      </c>
      <c r="J93" s="324">
        <f>'DATA (Real)'!J89*J$4/100</f>
        <v>0</v>
      </c>
      <c r="K93" s="324">
        <f>'DATA (Real)'!K89*K$4/100</f>
        <v>0</v>
      </c>
      <c r="L93" s="324">
        <f>'DATA (Real)'!L89*L$4/100</f>
        <v>0</v>
      </c>
      <c r="M93" s="324">
        <f>'DATA (Real)'!M89*M$4/100</f>
        <v>0</v>
      </c>
      <c r="N93" s="324">
        <f>'DATA (Real)'!N89*N$4/100</f>
        <v>0</v>
      </c>
      <c r="O93" s="324">
        <f>'DATA (Real)'!O89*O$4/100</f>
        <v>0</v>
      </c>
      <c r="P93" s="324">
        <f>'DATA (Real)'!P89*P$4/100</f>
        <v>0</v>
      </c>
      <c r="Q93" s="324">
        <f>'DATA (Real)'!Q89*Q$4/100</f>
        <v>0</v>
      </c>
      <c r="R93" s="324">
        <f>'DATA (Real)'!R89*R$4/100</f>
        <v>0</v>
      </c>
      <c r="S93" s="324">
        <f>'DATA (Real)'!S89*S$4/100</f>
        <v>0</v>
      </c>
      <c r="T93" s="324">
        <f>'DATA (Real)'!T89*T$4/100</f>
        <v>0</v>
      </c>
      <c r="U93" s="324">
        <f>'DATA (Real)'!U89*U$4/100</f>
        <v>0</v>
      </c>
      <c r="V93" s="324">
        <f>'DATA (Real)'!V89*V$4/100</f>
        <v>0</v>
      </c>
      <c r="W93" s="324">
        <f>'DATA (Real)'!W89*W$4/100</f>
        <v>0</v>
      </c>
      <c r="X93" s="324">
        <f>'DATA (Real)'!X89*X$4/100</f>
        <v>0</v>
      </c>
      <c r="Y93" s="324">
        <f>'DATA (Real)'!Y89*Y$4/100</f>
        <v>0</v>
      </c>
      <c r="Z93" s="324">
        <f>'DATA (Real)'!Z89*Z$4/100</f>
        <v>0</v>
      </c>
      <c r="AA93" s="324">
        <f>'DATA (Real)'!AA89*AA$4/100</f>
        <v>0</v>
      </c>
      <c r="AB93" s="324">
        <f>'DATA (Real)'!AB89*AB$4/100</f>
        <v>0</v>
      </c>
      <c r="AC93" s="324">
        <f>'DATA (Real)'!AC89*AC$4/100</f>
        <v>0</v>
      </c>
      <c r="AD93" s="324">
        <f>'DATA (Real)'!AD89*AD$4/100</f>
        <v>0</v>
      </c>
      <c r="AE93" s="324">
        <f>'DATA (Real)'!AE89*AE$4/100</f>
        <v>0</v>
      </c>
      <c r="AF93" s="324">
        <f>'DATA (Real)'!AF89*AF$4/100</f>
        <v>0</v>
      </c>
      <c r="AG93" s="324">
        <f>'DATA (Real)'!AG89*AG$4/100</f>
        <v>0</v>
      </c>
      <c r="AH93" s="324">
        <f>'DATA (Real)'!AH89*AH$4/100</f>
        <v>0</v>
      </c>
      <c r="AI93" s="324">
        <f>'DATA (Real)'!AI89*AI$4/100</f>
        <v>0</v>
      </c>
      <c r="AJ93" s="324">
        <f>'DATA (Real)'!AJ89*AJ$4/100</f>
        <v>0</v>
      </c>
      <c r="AK93" s="324">
        <f>'DATA (Real)'!AK89*AK$4/100</f>
        <v>0</v>
      </c>
      <c r="AL93" s="324">
        <f>'DATA (Real)'!AL89*AL$4/100</f>
        <v>0</v>
      </c>
      <c r="AM93" s="324">
        <f>'DATA (Real)'!AM89*AM$4/100</f>
        <v>0</v>
      </c>
      <c r="AN93" s="324">
        <f>'DATA (Real)'!AN89*AN$4/100</f>
        <v>0</v>
      </c>
      <c r="AO93" s="324">
        <f>'DATA (Real)'!AO89*AO$4/100</f>
        <v>0</v>
      </c>
      <c r="AP93" s="324">
        <f>'DATA (Real)'!AP89*AP$4/100</f>
        <v>0</v>
      </c>
      <c r="AQ93" s="324">
        <f>'DATA (Real)'!AQ89*AQ$4/100</f>
        <v>0</v>
      </c>
      <c r="AR93" s="324">
        <f>'DATA (Real)'!AR89*AR$4/100</f>
        <v>0</v>
      </c>
      <c r="AS93" s="324">
        <f>'DATA (Real)'!AS89*AS$4/100</f>
        <v>0</v>
      </c>
      <c r="AT93" s="324">
        <f>'DATA (Real)'!AT89*AT$4/100</f>
        <v>0</v>
      </c>
      <c r="AU93" s="324">
        <f>'DATA (Real)'!AU89*AU$4/100</f>
        <v>0</v>
      </c>
      <c r="AV93" s="324">
        <f>'DATA (Real)'!AV89*AV$4/100</f>
        <v>0</v>
      </c>
      <c r="AW93" s="324">
        <f>'DATA (Real)'!AW89*AW$4/100</f>
        <v>0</v>
      </c>
      <c r="AX93" s="324">
        <f>'DATA (Real)'!AX89*AX$4/100</f>
        <v>0</v>
      </c>
      <c r="AY93" s="324">
        <f>'DATA (Real)'!AY89*AY$4/100</f>
        <v>0</v>
      </c>
      <c r="AZ93" s="324">
        <f>'DATA (Real)'!AZ89*AZ$4/100</f>
        <v>0</v>
      </c>
      <c r="BA93" s="324">
        <f>'DATA (Real)'!BA89*BA$4/100</f>
        <v>0</v>
      </c>
      <c r="BB93" s="324">
        <f>'DATA (Real)'!BB89*BB$4/100</f>
        <v>0</v>
      </c>
      <c r="BC93" s="324">
        <f>'DATA (Real)'!BC89*BC$4/100</f>
        <v>0</v>
      </c>
      <c r="BD93" s="324">
        <f>'DATA (Real)'!BD89*BD$4/100</f>
        <v>0</v>
      </c>
      <c r="BE93" s="324">
        <f>'DATA (Real)'!BE89*BE$4/100</f>
        <v>0</v>
      </c>
      <c r="BF93" s="324">
        <f>'DATA (Real)'!BF89*BF$4/100</f>
        <v>0</v>
      </c>
      <c r="BG93" s="324">
        <f>'DATA (Real)'!BG89*BG$4/100</f>
        <v>0</v>
      </c>
      <c r="BH93" s="324">
        <f>'DATA (Real)'!BH89*BH$4/100</f>
        <v>0</v>
      </c>
      <c r="BI93" s="324">
        <f>'DATA (Real)'!BI89*BI$4/100</f>
        <v>0</v>
      </c>
      <c r="BJ93" s="324">
        <f>'DATA (Real)'!BJ89*BJ$4/100</f>
        <v>0</v>
      </c>
      <c r="BK93" s="324">
        <f>'DATA (Real)'!BK89*BK$4/100</f>
        <v>0</v>
      </c>
      <c r="BL93" s="324">
        <f>'DATA (Real)'!BL89*BL$4/100</f>
        <v>0</v>
      </c>
      <c r="BM93" s="324">
        <f>'DATA (Real)'!BM89*BM$4/100</f>
        <v>0</v>
      </c>
      <c r="BN93" s="324">
        <f>'DATA (Real)'!BN89*BN$4/100</f>
        <v>0</v>
      </c>
      <c r="BO93" s="324">
        <f>'DATA (Real)'!BO89*BO$4/100</f>
        <v>0</v>
      </c>
      <c r="BP93" s="324">
        <f>'DATA (Real)'!BP89*BP$4/100</f>
        <v>0</v>
      </c>
      <c r="BQ93" s="324">
        <f>'DATA (Real)'!BQ89*BQ$4/100</f>
        <v>0</v>
      </c>
      <c r="BR93" s="324">
        <f>'DATA (Real)'!BR89*BR$4/100</f>
        <v>0</v>
      </c>
      <c r="BS93" s="324">
        <f>'DATA (Real)'!BS89*BS$4/100</f>
        <v>0</v>
      </c>
      <c r="BT93" s="324">
        <f>'DATA (Real)'!BT89*BT$4/100</f>
        <v>0</v>
      </c>
      <c r="BU93" s="324">
        <f>'DATA (Real)'!BU89*BU$4/100</f>
        <v>0</v>
      </c>
      <c r="BV93" s="324">
        <f>'DATA (Real)'!BV89*BV$4/100</f>
        <v>0</v>
      </c>
      <c r="BW93" s="324">
        <f>'DATA (Real)'!BW89*BW$4/100</f>
        <v>0</v>
      </c>
      <c r="BX93" s="324">
        <f>'DATA (Real)'!BX89*BX$4/100</f>
        <v>0</v>
      </c>
    </row>
    <row r="94" spans="2:76" outlineLevel="1">
      <c r="B94" s="348" t="s">
        <v>230</v>
      </c>
      <c r="C94" s="348" t="str">
        <f>'DATA (Real)'!C90</f>
        <v>NREL Utility-Scale Battery Storage - 8Hr</v>
      </c>
      <c r="D94" s="348" t="str">
        <f>'DATA (Real)'!D90</f>
        <v>Variable Operation and Maintenance Expenses ($/MWh)</v>
      </c>
      <c r="E94" s="348" t="str">
        <f>'DATA (Real)'!E90</f>
        <v>8hr Lithium-Ion</v>
      </c>
      <c r="F94" s="314">
        <f>'DATA (Real)'!F90</f>
        <v>0</v>
      </c>
      <c r="G94" s="324">
        <f>'DATA (Real)'!G90*G$4/100</f>
        <v>0</v>
      </c>
      <c r="H94" s="324">
        <f>'DATA (Real)'!H90*H$4/100</f>
        <v>0</v>
      </c>
      <c r="I94" s="324">
        <f>'DATA (Real)'!I90*I$4/100</f>
        <v>0</v>
      </c>
      <c r="J94" s="324">
        <f>'DATA (Real)'!J90*J$4/100</f>
        <v>0</v>
      </c>
      <c r="K94" s="324">
        <f>'DATA (Real)'!K90*K$4/100</f>
        <v>0</v>
      </c>
      <c r="L94" s="324">
        <f>'DATA (Real)'!L90*L$4/100</f>
        <v>0</v>
      </c>
      <c r="M94" s="324">
        <f>'DATA (Real)'!M90*M$4/100</f>
        <v>0</v>
      </c>
      <c r="N94" s="324">
        <f>'DATA (Real)'!N90*N$4/100</f>
        <v>0</v>
      </c>
      <c r="O94" s="324">
        <f>'DATA (Real)'!O90*O$4/100</f>
        <v>0</v>
      </c>
      <c r="P94" s="324">
        <f>'DATA (Real)'!P90*P$4/100</f>
        <v>0</v>
      </c>
      <c r="Q94" s="324">
        <f>'DATA (Real)'!Q90*Q$4/100</f>
        <v>0</v>
      </c>
      <c r="R94" s="324">
        <f>'DATA (Real)'!R90*R$4/100</f>
        <v>0</v>
      </c>
      <c r="S94" s="324">
        <f>'DATA (Real)'!S90*S$4/100</f>
        <v>0</v>
      </c>
      <c r="T94" s="324">
        <f>'DATA (Real)'!T90*T$4/100</f>
        <v>0</v>
      </c>
      <c r="U94" s="324">
        <f>'DATA (Real)'!U90*U$4/100</f>
        <v>0</v>
      </c>
      <c r="V94" s="324">
        <f>'DATA (Real)'!V90*V$4/100</f>
        <v>0</v>
      </c>
      <c r="W94" s="324">
        <f>'DATA (Real)'!W90*W$4/100</f>
        <v>0</v>
      </c>
      <c r="X94" s="324">
        <f>'DATA (Real)'!X90*X$4/100</f>
        <v>0</v>
      </c>
      <c r="Y94" s="324">
        <f>'DATA (Real)'!Y90*Y$4/100</f>
        <v>0</v>
      </c>
      <c r="Z94" s="324">
        <f>'DATA (Real)'!Z90*Z$4/100</f>
        <v>0</v>
      </c>
      <c r="AA94" s="324">
        <f>'DATA (Real)'!AA90*AA$4/100</f>
        <v>0</v>
      </c>
      <c r="AB94" s="324">
        <f>'DATA (Real)'!AB90*AB$4/100</f>
        <v>0</v>
      </c>
      <c r="AC94" s="324">
        <f>'DATA (Real)'!AC90*AC$4/100</f>
        <v>0</v>
      </c>
      <c r="AD94" s="324">
        <f>'DATA (Real)'!AD90*AD$4/100</f>
        <v>0</v>
      </c>
      <c r="AE94" s="324">
        <f>'DATA (Real)'!AE90*AE$4/100</f>
        <v>0</v>
      </c>
      <c r="AF94" s="324">
        <f>'DATA (Real)'!AF90*AF$4/100</f>
        <v>0</v>
      </c>
      <c r="AG94" s="324">
        <f>'DATA (Real)'!AG90*AG$4/100</f>
        <v>0</v>
      </c>
      <c r="AH94" s="324">
        <f>'DATA (Real)'!AH90*AH$4/100</f>
        <v>0</v>
      </c>
      <c r="AI94" s="324">
        <f>'DATA (Real)'!AI90*AI$4/100</f>
        <v>0</v>
      </c>
      <c r="AJ94" s="324">
        <f>'DATA (Real)'!AJ90*AJ$4/100</f>
        <v>0</v>
      </c>
      <c r="AK94" s="324">
        <f>'DATA (Real)'!AK90*AK$4/100</f>
        <v>0</v>
      </c>
      <c r="AL94" s="324">
        <f>'DATA (Real)'!AL90*AL$4/100</f>
        <v>0</v>
      </c>
      <c r="AM94" s="324">
        <f>'DATA (Real)'!AM90*AM$4/100</f>
        <v>0</v>
      </c>
      <c r="AN94" s="324">
        <f>'DATA (Real)'!AN90*AN$4/100</f>
        <v>0</v>
      </c>
      <c r="AO94" s="324">
        <f>'DATA (Real)'!AO90*AO$4/100</f>
        <v>0</v>
      </c>
      <c r="AP94" s="324">
        <f>'DATA (Real)'!AP90*AP$4/100</f>
        <v>0</v>
      </c>
      <c r="AQ94" s="324">
        <f>'DATA (Real)'!AQ90*AQ$4/100</f>
        <v>0</v>
      </c>
      <c r="AR94" s="324">
        <f>'DATA (Real)'!AR90*AR$4/100</f>
        <v>0</v>
      </c>
      <c r="AS94" s="324">
        <f>'DATA (Real)'!AS90*AS$4/100</f>
        <v>0</v>
      </c>
      <c r="AT94" s="324">
        <f>'DATA (Real)'!AT90*AT$4/100</f>
        <v>0</v>
      </c>
      <c r="AU94" s="324">
        <f>'DATA (Real)'!AU90*AU$4/100</f>
        <v>0</v>
      </c>
      <c r="AV94" s="324">
        <f>'DATA (Real)'!AV90*AV$4/100</f>
        <v>0</v>
      </c>
      <c r="AW94" s="324">
        <f>'DATA (Real)'!AW90*AW$4/100</f>
        <v>0</v>
      </c>
      <c r="AX94" s="324">
        <f>'DATA (Real)'!AX90*AX$4/100</f>
        <v>0</v>
      </c>
      <c r="AY94" s="324">
        <f>'DATA (Real)'!AY90*AY$4/100</f>
        <v>0</v>
      </c>
      <c r="AZ94" s="324">
        <f>'DATA (Real)'!AZ90*AZ$4/100</f>
        <v>0</v>
      </c>
      <c r="BA94" s="324">
        <f>'DATA (Real)'!BA90*BA$4/100</f>
        <v>0</v>
      </c>
      <c r="BB94" s="324">
        <f>'DATA (Real)'!BB90*BB$4/100</f>
        <v>0</v>
      </c>
      <c r="BC94" s="324">
        <f>'DATA (Real)'!BC90*BC$4/100</f>
        <v>0</v>
      </c>
      <c r="BD94" s="324">
        <f>'DATA (Real)'!BD90*BD$4/100</f>
        <v>0</v>
      </c>
      <c r="BE94" s="324">
        <f>'DATA (Real)'!BE90*BE$4/100</f>
        <v>0</v>
      </c>
      <c r="BF94" s="324">
        <f>'DATA (Real)'!BF90*BF$4/100</f>
        <v>0</v>
      </c>
      <c r="BG94" s="324">
        <f>'DATA (Real)'!BG90*BG$4/100</f>
        <v>0</v>
      </c>
      <c r="BH94" s="324">
        <f>'DATA (Real)'!BH90*BH$4/100</f>
        <v>0</v>
      </c>
      <c r="BI94" s="324">
        <f>'DATA (Real)'!BI90*BI$4/100</f>
        <v>0</v>
      </c>
      <c r="BJ94" s="324">
        <f>'DATA (Real)'!BJ90*BJ$4/100</f>
        <v>0</v>
      </c>
      <c r="BK94" s="324">
        <f>'DATA (Real)'!BK90*BK$4/100</f>
        <v>0</v>
      </c>
      <c r="BL94" s="324">
        <f>'DATA (Real)'!BL90*BL$4/100</f>
        <v>0</v>
      </c>
      <c r="BM94" s="324">
        <f>'DATA (Real)'!BM90*BM$4/100</f>
        <v>0</v>
      </c>
      <c r="BN94" s="324">
        <f>'DATA (Real)'!BN90*BN$4/100</f>
        <v>0</v>
      </c>
      <c r="BO94" s="324">
        <f>'DATA (Real)'!BO90*BO$4/100</f>
        <v>0</v>
      </c>
      <c r="BP94" s="324">
        <f>'DATA (Real)'!BP90*BP$4/100</f>
        <v>0</v>
      </c>
      <c r="BQ94" s="324">
        <f>'DATA (Real)'!BQ90*BQ$4/100</f>
        <v>0</v>
      </c>
      <c r="BR94" s="324">
        <f>'DATA (Real)'!BR90*BR$4/100</f>
        <v>0</v>
      </c>
      <c r="BS94" s="324">
        <f>'DATA (Real)'!BS90*BS$4/100</f>
        <v>0</v>
      </c>
      <c r="BT94" s="324">
        <f>'DATA (Real)'!BT90*BT$4/100</f>
        <v>0</v>
      </c>
      <c r="BU94" s="324">
        <f>'DATA (Real)'!BU90*BU$4/100</f>
        <v>0</v>
      </c>
      <c r="BV94" s="324">
        <f>'DATA (Real)'!BV90*BV$4/100</f>
        <v>0</v>
      </c>
      <c r="BW94" s="324">
        <f>'DATA (Real)'!BW90*BW$4/100</f>
        <v>0</v>
      </c>
      <c r="BX94" s="324">
        <f>'DATA (Real)'!BX90*BX$4/100</f>
        <v>0</v>
      </c>
    </row>
    <row r="95" spans="2:76" outlineLevel="1">
      <c r="B95" s="348" t="s">
        <v>230</v>
      </c>
      <c r="C95" s="348" t="str">
        <f>'DATA (Real)'!C91</f>
        <v>NREL Utility-Scale Battery Storage - 16Hr</v>
      </c>
      <c r="D95" s="348" t="str">
        <f>'DATA (Real)'!D91</f>
        <v>Variable Operation and Maintenance Expenses ($/MWh)</v>
      </c>
      <c r="E95" s="348" t="str">
        <f>'DATA (Real)'!E91</f>
        <v>16hr Lithium-Ion</v>
      </c>
      <c r="F95" s="314">
        <f>'DATA (Real)'!F91</f>
        <v>0</v>
      </c>
      <c r="G95" s="324">
        <f>'DATA (Real)'!G91*G$4/100</f>
        <v>0</v>
      </c>
      <c r="H95" s="324">
        <f>'DATA (Real)'!H91*H$4/100</f>
        <v>0</v>
      </c>
      <c r="I95" s="324">
        <f>'DATA (Real)'!I91*I$4/100</f>
        <v>0</v>
      </c>
      <c r="J95" s="324">
        <f>'DATA (Real)'!J91*J$4/100</f>
        <v>0</v>
      </c>
      <c r="K95" s="324">
        <f>'DATA (Real)'!K91*K$4/100</f>
        <v>0</v>
      </c>
      <c r="L95" s="324">
        <f>'DATA (Real)'!L91*L$4/100</f>
        <v>0</v>
      </c>
      <c r="M95" s="324">
        <f>'DATA (Real)'!M91*M$4/100</f>
        <v>0</v>
      </c>
      <c r="N95" s="324">
        <f>'DATA (Real)'!N91*N$4/100</f>
        <v>0</v>
      </c>
      <c r="O95" s="324">
        <f>'DATA (Real)'!O91*O$4/100</f>
        <v>0</v>
      </c>
      <c r="P95" s="324">
        <f>'DATA (Real)'!P91*P$4/100</f>
        <v>0</v>
      </c>
      <c r="Q95" s="324">
        <f>'DATA (Real)'!Q91*Q$4/100</f>
        <v>0</v>
      </c>
      <c r="R95" s="324">
        <f>'DATA (Real)'!R91*R$4/100</f>
        <v>0</v>
      </c>
      <c r="S95" s="324">
        <f>'DATA (Real)'!S91*S$4/100</f>
        <v>0</v>
      </c>
      <c r="T95" s="324">
        <f>'DATA (Real)'!T91*T$4/100</f>
        <v>0</v>
      </c>
      <c r="U95" s="324">
        <f>'DATA (Real)'!U91*U$4/100</f>
        <v>0</v>
      </c>
      <c r="V95" s="324">
        <f>'DATA (Real)'!V91*V$4/100</f>
        <v>0</v>
      </c>
      <c r="W95" s="324">
        <f>'DATA (Real)'!W91*W$4/100</f>
        <v>0</v>
      </c>
      <c r="X95" s="324">
        <f>'DATA (Real)'!X91*X$4/100</f>
        <v>0</v>
      </c>
      <c r="Y95" s="324">
        <f>'DATA (Real)'!Y91*Y$4/100</f>
        <v>0</v>
      </c>
      <c r="Z95" s="324">
        <f>'DATA (Real)'!Z91*Z$4/100</f>
        <v>0</v>
      </c>
      <c r="AA95" s="324">
        <f>'DATA (Real)'!AA91*AA$4/100</f>
        <v>0</v>
      </c>
      <c r="AB95" s="324">
        <f>'DATA (Real)'!AB91*AB$4/100</f>
        <v>0</v>
      </c>
      <c r="AC95" s="324">
        <f>'DATA (Real)'!AC91*AC$4/100</f>
        <v>0</v>
      </c>
      <c r="AD95" s="324">
        <f>'DATA (Real)'!AD91*AD$4/100</f>
        <v>0</v>
      </c>
      <c r="AE95" s="324">
        <f>'DATA (Real)'!AE91*AE$4/100</f>
        <v>0</v>
      </c>
      <c r="AF95" s="324">
        <f>'DATA (Real)'!AF91*AF$4/100</f>
        <v>0</v>
      </c>
      <c r="AG95" s="324">
        <f>'DATA (Real)'!AG91*AG$4/100</f>
        <v>0</v>
      </c>
      <c r="AH95" s="324">
        <f>'DATA (Real)'!AH91*AH$4/100</f>
        <v>0</v>
      </c>
      <c r="AI95" s="324">
        <f>'DATA (Real)'!AI91*AI$4/100</f>
        <v>0</v>
      </c>
      <c r="AJ95" s="324">
        <f>'DATA (Real)'!AJ91*AJ$4/100</f>
        <v>0</v>
      </c>
      <c r="AK95" s="324">
        <f>'DATA (Real)'!AK91*AK$4/100</f>
        <v>0</v>
      </c>
      <c r="AL95" s="324">
        <f>'DATA (Real)'!AL91*AL$4/100</f>
        <v>0</v>
      </c>
      <c r="AM95" s="324">
        <f>'DATA (Real)'!AM91*AM$4/100</f>
        <v>0</v>
      </c>
      <c r="AN95" s="324">
        <f>'DATA (Real)'!AN91*AN$4/100</f>
        <v>0</v>
      </c>
      <c r="AO95" s="324">
        <f>'DATA (Real)'!AO91*AO$4/100</f>
        <v>0</v>
      </c>
      <c r="AP95" s="324">
        <f>'DATA (Real)'!AP91*AP$4/100</f>
        <v>0</v>
      </c>
      <c r="AQ95" s="324">
        <f>'DATA (Real)'!AQ91*AQ$4/100</f>
        <v>0</v>
      </c>
      <c r="AR95" s="324">
        <f>'DATA (Real)'!AR91*AR$4/100</f>
        <v>0</v>
      </c>
      <c r="AS95" s="324">
        <f>'DATA (Real)'!AS91*AS$4/100</f>
        <v>0</v>
      </c>
      <c r="AT95" s="324">
        <f>'DATA (Real)'!AT91*AT$4/100</f>
        <v>0</v>
      </c>
      <c r="AU95" s="324">
        <f>'DATA (Real)'!AU91*AU$4/100</f>
        <v>0</v>
      </c>
      <c r="AV95" s="324">
        <f>'DATA (Real)'!AV91*AV$4/100</f>
        <v>0</v>
      </c>
      <c r="AW95" s="324">
        <f>'DATA (Real)'!AW91*AW$4/100</f>
        <v>0</v>
      </c>
      <c r="AX95" s="324">
        <f>'DATA (Real)'!AX91*AX$4/100</f>
        <v>0</v>
      </c>
      <c r="AY95" s="324">
        <f>'DATA (Real)'!AY91*AY$4/100</f>
        <v>0</v>
      </c>
      <c r="AZ95" s="324">
        <f>'DATA (Real)'!AZ91*AZ$4/100</f>
        <v>0</v>
      </c>
      <c r="BA95" s="324">
        <f>'DATA (Real)'!BA91*BA$4/100</f>
        <v>0</v>
      </c>
      <c r="BB95" s="324">
        <f>'DATA (Real)'!BB91*BB$4/100</f>
        <v>0</v>
      </c>
      <c r="BC95" s="324">
        <f>'DATA (Real)'!BC91*BC$4/100</f>
        <v>0</v>
      </c>
      <c r="BD95" s="324">
        <f>'DATA (Real)'!BD91*BD$4/100</f>
        <v>0</v>
      </c>
      <c r="BE95" s="324">
        <f>'DATA (Real)'!BE91*BE$4/100</f>
        <v>0</v>
      </c>
      <c r="BF95" s="324">
        <f>'DATA (Real)'!BF91*BF$4/100</f>
        <v>0</v>
      </c>
      <c r="BG95" s="324">
        <f>'DATA (Real)'!BG91*BG$4/100</f>
        <v>0</v>
      </c>
      <c r="BH95" s="324">
        <f>'DATA (Real)'!BH91*BH$4/100</f>
        <v>0</v>
      </c>
      <c r="BI95" s="324">
        <f>'DATA (Real)'!BI91*BI$4/100</f>
        <v>0</v>
      </c>
      <c r="BJ95" s="324">
        <f>'DATA (Real)'!BJ91*BJ$4/100</f>
        <v>0</v>
      </c>
      <c r="BK95" s="324">
        <f>'DATA (Real)'!BK91*BK$4/100</f>
        <v>0</v>
      </c>
      <c r="BL95" s="324">
        <f>'DATA (Real)'!BL91*BL$4/100</f>
        <v>0</v>
      </c>
      <c r="BM95" s="324">
        <f>'DATA (Real)'!BM91*BM$4/100</f>
        <v>0</v>
      </c>
      <c r="BN95" s="324">
        <f>'DATA (Real)'!BN91*BN$4/100</f>
        <v>0</v>
      </c>
      <c r="BO95" s="324">
        <f>'DATA (Real)'!BO91*BO$4/100</f>
        <v>0</v>
      </c>
      <c r="BP95" s="324">
        <f>'DATA (Real)'!BP91*BP$4/100</f>
        <v>0</v>
      </c>
      <c r="BQ95" s="324">
        <f>'DATA (Real)'!BQ91*BQ$4/100</f>
        <v>0</v>
      </c>
      <c r="BR95" s="324">
        <f>'DATA (Real)'!BR91*BR$4/100</f>
        <v>0</v>
      </c>
      <c r="BS95" s="324">
        <f>'DATA (Real)'!BS91*BS$4/100</f>
        <v>0</v>
      </c>
      <c r="BT95" s="324">
        <f>'DATA (Real)'!BT91*BT$4/100</f>
        <v>0</v>
      </c>
      <c r="BU95" s="324">
        <f>'DATA (Real)'!BU91*BU$4/100</f>
        <v>0</v>
      </c>
      <c r="BV95" s="324">
        <f>'DATA (Real)'!BV91*BV$4/100</f>
        <v>0</v>
      </c>
      <c r="BW95" s="324">
        <f>'DATA (Real)'!BW91*BW$4/100</f>
        <v>0</v>
      </c>
      <c r="BX95" s="324">
        <f>'DATA (Real)'!BX91*BX$4/100</f>
        <v>0</v>
      </c>
    </row>
    <row r="96" spans="2:76" outlineLevel="1">
      <c r="B96" s="348" t="s">
        <v>230</v>
      </c>
      <c r="C96" s="348" t="str">
        <f>'DATA (Real)'!C92</f>
        <v>Internal</v>
      </c>
      <c r="D96" s="348" t="str">
        <f>'DATA (Real)'!D92</f>
        <v>Variable Operation and Maintenance Expenses ($/MWh)</v>
      </c>
      <c r="E96" s="348" t="str">
        <f>'DATA (Real)'!E92</f>
        <v>4 hr Vanadium Flow Battery</v>
      </c>
      <c r="F96" s="314">
        <f>'DATA (Real)'!F92</f>
        <v>0</v>
      </c>
      <c r="G96" s="324">
        <f>'DATA (Real)'!G92*G$4/100</f>
        <v>0</v>
      </c>
      <c r="H96" s="324">
        <f>'DATA (Real)'!H92*H$4/100</f>
        <v>0</v>
      </c>
      <c r="I96" s="324">
        <f>'DATA (Real)'!I92*I$4/100</f>
        <v>0</v>
      </c>
      <c r="J96" s="324">
        <f>'DATA (Real)'!J92*J$4/100</f>
        <v>0</v>
      </c>
      <c r="K96" s="324">
        <f>'DATA (Real)'!K92*K$4/100</f>
        <v>0</v>
      </c>
      <c r="L96" s="324">
        <f>'DATA (Real)'!L92*L$4/100</f>
        <v>0</v>
      </c>
      <c r="M96" s="324">
        <f>'DATA (Real)'!M92*M$4/100</f>
        <v>0</v>
      </c>
      <c r="N96" s="324">
        <f>'DATA (Real)'!N92*N$4/100</f>
        <v>0</v>
      </c>
      <c r="O96" s="324">
        <f>'DATA (Real)'!O92*O$4/100</f>
        <v>0</v>
      </c>
      <c r="P96" s="324">
        <f>'DATA (Real)'!P92*P$4/100</f>
        <v>0</v>
      </c>
      <c r="Q96" s="324">
        <f>'DATA (Real)'!Q92*Q$4/100</f>
        <v>0</v>
      </c>
      <c r="R96" s="324">
        <f>'DATA (Real)'!R92*R$4/100</f>
        <v>0</v>
      </c>
      <c r="S96" s="324">
        <f>'DATA (Real)'!S92*S$4/100</f>
        <v>0</v>
      </c>
      <c r="T96" s="324">
        <f>'DATA (Real)'!T92*T$4/100</f>
        <v>0</v>
      </c>
      <c r="U96" s="324">
        <f>'DATA (Real)'!U92*U$4/100</f>
        <v>0</v>
      </c>
      <c r="V96" s="324">
        <f>'DATA (Real)'!V92*V$4/100</f>
        <v>0</v>
      </c>
      <c r="W96" s="324">
        <f>'DATA (Real)'!W92*W$4/100</f>
        <v>0</v>
      </c>
      <c r="X96" s="324">
        <f>'DATA (Real)'!X92*X$4/100</f>
        <v>0</v>
      </c>
      <c r="Y96" s="324">
        <f>'DATA (Real)'!Y92*Y$4/100</f>
        <v>0</v>
      </c>
      <c r="Z96" s="324">
        <f>'DATA (Real)'!Z92*Z$4/100</f>
        <v>0</v>
      </c>
      <c r="AA96" s="324">
        <f>'DATA (Real)'!AA92*AA$4/100</f>
        <v>0</v>
      </c>
      <c r="AB96" s="324">
        <f>'DATA (Real)'!AB92*AB$4/100</f>
        <v>0</v>
      </c>
      <c r="AC96" s="324">
        <f>'DATA (Real)'!AC92*AC$4/100</f>
        <v>0</v>
      </c>
      <c r="AD96" s="324">
        <f>'DATA (Real)'!AD92*AD$4/100</f>
        <v>0</v>
      </c>
      <c r="AE96" s="324">
        <f>'DATA (Real)'!AE92*AE$4/100</f>
        <v>0</v>
      </c>
      <c r="AF96" s="324">
        <f>'DATA (Real)'!AF92*AF$4/100</f>
        <v>0</v>
      </c>
      <c r="AG96" s="324">
        <f>'DATA (Real)'!AG92*AG$4/100</f>
        <v>0</v>
      </c>
      <c r="AH96" s="324">
        <f>'DATA (Real)'!AH92*AH$4/100</f>
        <v>0</v>
      </c>
      <c r="AI96" s="324">
        <f>'DATA (Real)'!AI92*AI$4/100</f>
        <v>0</v>
      </c>
      <c r="AJ96" s="324">
        <f>'DATA (Real)'!AJ92*AJ$4/100</f>
        <v>0</v>
      </c>
      <c r="AK96" s="324">
        <f>'DATA (Real)'!AK92*AK$4/100</f>
        <v>0</v>
      </c>
      <c r="AL96" s="324">
        <f>'DATA (Real)'!AL92*AL$4/100</f>
        <v>0</v>
      </c>
      <c r="AM96" s="324">
        <f>'DATA (Real)'!AM92*AM$4/100</f>
        <v>0</v>
      </c>
      <c r="AN96" s="324">
        <f>'DATA (Real)'!AN92*AN$4/100</f>
        <v>0</v>
      </c>
      <c r="AO96" s="324">
        <f>'DATA (Real)'!AO92*AO$4/100</f>
        <v>0</v>
      </c>
      <c r="AP96" s="324">
        <f>'DATA (Real)'!AP92*AP$4/100</f>
        <v>0</v>
      </c>
      <c r="AQ96" s="324">
        <f>'DATA (Real)'!AQ92*AQ$4/100</f>
        <v>0</v>
      </c>
      <c r="AR96" s="324">
        <f>'DATA (Real)'!AR92*AR$4/100</f>
        <v>0</v>
      </c>
      <c r="AS96" s="324">
        <f>'DATA (Real)'!AS92*AS$4/100</f>
        <v>0</v>
      </c>
      <c r="AT96" s="324">
        <f>'DATA (Real)'!AT92*AT$4/100</f>
        <v>0</v>
      </c>
      <c r="AU96" s="324">
        <f>'DATA (Real)'!AU92*AU$4/100</f>
        <v>0</v>
      </c>
      <c r="AV96" s="324">
        <f>'DATA (Real)'!AV92*AV$4/100</f>
        <v>0</v>
      </c>
      <c r="AW96" s="324">
        <f>'DATA (Real)'!AW92*AW$4/100</f>
        <v>0</v>
      </c>
      <c r="AX96" s="324">
        <f>'DATA (Real)'!AX92*AX$4/100</f>
        <v>0</v>
      </c>
      <c r="AY96" s="324">
        <f>'DATA (Real)'!AY92*AY$4/100</f>
        <v>0</v>
      </c>
      <c r="AZ96" s="324">
        <f>'DATA (Real)'!AZ92*AZ$4/100</f>
        <v>0</v>
      </c>
      <c r="BA96" s="324">
        <f>'DATA (Real)'!BA92*BA$4/100</f>
        <v>0</v>
      </c>
      <c r="BB96" s="324">
        <f>'DATA (Real)'!BB92*BB$4/100</f>
        <v>0</v>
      </c>
      <c r="BC96" s="324">
        <f>'DATA (Real)'!BC92*BC$4/100</f>
        <v>0</v>
      </c>
      <c r="BD96" s="324">
        <f>'DATA (Real)'!BD92*BD$4/100</f>
        <v>0</v>
      </c>
      <c r="BE96" s="324">
        <f>'DATA (Real)'!BE92*BE$4/100</f>
        <v>0</v>
      </c>
      <c r="BF96" s="324">
        <f>'DATA (Real)'!BF92*BF$4/100</f>
        <v>0</v>
      </c>
      <c r="BG96" s="324">
        <f>'DATA (Real)'!BG92*BG$4/100</f>
        <v>0</v>
      </c>
      <c r="BH96" s="324">
        <f>'DATA (Real)'!BH92*BH$4/100</f>
        <v>0</v>
      </c>
      <c r="BI96" s="324">
        <f>'DATA (Real)'!BI92*BI$4/100</f>
        <v>0</v>
      </c>
      <c r="BJ96" s="324">
        <f>'DATA (Real)'!BJ92*BJ$4/100</f>
        <v>0</v>
      </c>
      <c r="BK96" s="324">
        <f>'DATA (Real)'!BK92*BK$4/100</f>
        <v>0</v>
      </c>
      <c r="BL96" s="324">
        <f>'DATA (Real)'!BL92*BL$4/100</f>
        <v>0</v>
      </c>
      <c r="BM96" s="324">
        <f>'DATA (Real)'!BM92*BM$4/100</f>
        <v>0</v>
      </c>
      <c r="BN96" s="324">
        <f>'DATA (Real)'!BN92*BN$4/100</f>
        <v>0</v>
      </c>
      <c r="BO96" s="324">
        <f>'DATA (Real)'!BO92*BO$4/100</f>
        <v>0</v>
      </c>
      <c r="BP96" s="324">
        <f>'DATA (Real)'!BP92*BP$4/100</f>
        <v>0</v>
      </c>
      <c r="BQ96" s="324">
        <f>'DATA (Real)'!BQ92*BQ$4/100</f>
        <v>0</v>
      </c>
      <c r="BR96" s="324">
        <f>'DATA (Real)'!BR92*BR$4/100</f>
        <v>0</v>
      </c>
      <c r="BS96" s="324">
        <f>'DATA (Real)'!BS92*BS$4/100</f>
        <v>0</v>
      </c>
      <c r="BT96" s="324">
        <f>'DATA (Real)'!BT92*BT$4/100</f>
        <v>0</v>
      </c>
      <c r="BU96" s="324">
        <f>'DATA (Real)'!BU92*BU$4/100</f>
        <v>0</v>
      </c>
      <c r="BV96" s="324">
        <f>'DATA (Real)'!BV92*BV$4/100</f>
        <v>0</v>
      </c>
      <c r="BW96" s="324">
        <f>'DATA (Real)'!BW92*BW$4/100</f>
        <v>0</v>
      </c>
      <c r="BX96" s="324">
        <f>'DATA (Real)'!BX92*BX$4/100</f>
        <v>0</v>
      </c>
    </row>
    <row r="97" spans="2:76" outlineLevel="1">
      <c r="B97" s="348" t="s">
        <v>230</v>
      </c>
      <c r="C97" s="348" t="str">
        <f>'DATA (Real)'!C93</f>
        <v>Internal</v>
      </c>
      <c r="D97" s="348" t="str">
        <f>'DATA (Real)'!D93</f>
        <v>Variable Operation and Maintenance Expenses ($/MWh)</v>
      </c>
      <c r="E97" s="348" t="str">
        <f>'DATA (Real)'!E93</f>
        <v>4 hr Zinc Bromide Flow Battery</v>
      </c>
      <c r="F97" s="314">
        <f>'DATA (Real)'!F93</f>
        <v>0</v>
      </c>
      <c r="G97" s="324">
        <f>'DATA (Real)'!G93*G$4/100</f>
        <v>0</v>
      </c>
      <c r="H97" s="324">
        <f>'DATA (Real)'!H93*H$4/100</f>
        <v>0</v>
      </c>
      <c r="I97" s="324">
        <f>'DATA (Real)'!I93*I$4/100</f>
        <v>0</v>
      </c>
      <c r="J97" s="324">
        <f>'DATA (Real)'!J93*J$4/100</f>
        <v>0</v>
      </c>
      <c r="K97" s="324">
        <f>'DATA (Real)'!K93*K$4/100</f>
        <v>0</v>
      </c>
      <c r="L97" s="324">
        <f>'DATA (Real)'!L93*L$4/100</f>
        <v>0</v>
      </c>
      <c r="M97" s="324">
        <f>'DATA (Real)'!M93*M$4/100</f>
        <v>0</v>
      </c>
      <c r="N97" s="324">
        <f>'DATA (Real)'!N93*N$4/100</f>
        <v>0</v>
      </c>
      <c r="O97" s="324">
        <f>'DATA (Real)'!O93*O$4/100</f>
        <v>0</v>
      </c>
      <c r="P97" s="324">
        <f>'DATA (Real)'!P93*P$4/100</f>
        <v>0</v>
      </c>
      <c r="Q97" s="324">
        <f>'DATA (Real)'!Q93*Q$4/100</f>
        <v>0</v>
      </c>
      <c r="R97" s="324">
        <f>'DATA (Real)'!R93*R$4/100</f>
        <v>0</v>
      </c>
      <c r="S97" s="324">
        <f>'DATA (Real)'!S93*S$4/100</f>
        <v>0</v>
      </c>
      <c r="T97" s="324">
        <f>'DATA (Real)'!T93*T$4/100</f>
        <v>0</v>
      </c>
      <c r="U97" s="324">
        <f>'DATA (Real)'!U93*U$4/100</f>
        <v>0</v>
      </c>
      <c r="V97" s="324">
        <f>'DATA (Real)'!V93*V$4/100</f>
        <v>0</v>
      </c>
      <c r="W97" s="324">
        <f>'DATA (Real)'!W93*W$4/100</f>
        <v>0</v>
      </c>
      <c r="X97" s="324">
        <f>'DATA (Real)'!X93*X$4/100</f>
        <v>0</v>
      </c>
      <c r="Y97" s="324">
        <f>'DATA (Real)'!Y93*Y$4/100</f>
        <v>0</v>
      </c>
      <c r="Z97" s="324">
        <f>'DATA (Real)'!Z93*Z$4/100</f>
        <v>0</v>
      </c>
      <c r="AA97" s="324">
        <f>'DATA (Real)'!AA93*AA$4/100</f>
        <v>0</v>
      </c>
      <c r="AB97" s="324">
        <f>'DATA (Real)'!AB93*AB$4/100</f>
        <v>0</v>
      </c>
      <c r="AC97" s="324">
        <f>'DATA (Real)'!AC93*AC$4/100</f>
        <v>0</v>
      </c>
      <c r="AD97" s="324">
        <f>'DATA (Real)'!AD93*AD$4/100</f>
        <v>0</v>
      </c>
      <c r="AE97" s="324">
        <f>'DATA (Real)'!AE93*AE$4/100</f>
        <v>0</v>
      </c>
      <c r="AF97" s="324">
        <f>'DATA (Real)'!AF93*AF$4/100</f>
        <v>0</v>
      </c>
      <c r="AG97" s="324">
        <f>'DATA (Real)'!AG93*AG$4/100</f>
        <v>0</v>
      </c>
      <c r="AH97" s="324">
        <f>'DATA (Real)'!AH93*AH$4/100</f>
        <v>0</v>
      </c>
      <c r="AI97" s="324">
        <f>'DATA (Real)'!AI93*AI$4/100</f>
        <v>0</v>
      </c>
      <c r="AJ97" s="324">
        <f>'DATA (Real)'!AJ93*AJ$4/100</f>
        <v>0</v>
      </c>
      <c r="AK97" s="324">
        <f>'DATA (Real)'!AK93*AK$4/100</f>
        <v>0</v>
      </c>
      <c r="AL97" s="324">
        <f>'DATA (Real)'!AL93*AL$4/100</f>
        <v>0</v>
      </c>
      <c r="AM97" s="324">
        <f>'DATA (Real)'!AM93*AM$4/100</f>
        <v>0</v>
      </c>
      <c r="AN97" s="324">
        <f>'DATA (Real)'!AN93*AN$4/100</f>
        <v>0</v>
      </c>
      <c r="AO97" s="324">
        <f>'DATA (Real)'!AO93*AO$4/100</f>
        <v>0</v>
      </c>
      <c r="AP97" s="324">
        <f>'DATA (Real)'!AP93*AP$4/100</f>
        <v>0</v>
      </c>
      <c r="AQ97" s="324">
        <f>'DATA (Real)'!AQ93*AQ$4/100</f>
        <v>0</v>
      </c>
      <c r="AR97" s="324">
        <f>'DATA (Real)'!AR93*AR$4/100</f>
        <v>0</v>
      </c>
      <c r="AS97" s="324">
        <f>'DATA (Real)'!AS93*AS$4/100</f>
        <v>0</v>
      </c>
      <c r="AT97" s="324">
        <f>'DATA (Real)'!AT93*AT$4/100</f>
        <v>0</v>
      </c>
      <c r="AU97" s="324">
        <f>'DATA (Real)'!AU93*AU$4/100</f>
        <v>0</v>
      </c>
      <c r="AV97" s="324">
        <f>'DATA (Real)'!AV93*AV$4/100</f>
        <v>0</v>
      </c>
      <c r="AW97" s="324">
        <f>'DATA (Real)'!AW93*AW$4/100</f>
        <v>0</v>
      </c>
      <c r="AX97" s="324">
        <f>'DATA (Real)'!AX93*AX$4/100</f>
        <v>0</v>
      </c>
      <c r="AY97" s="324">
        <f>'DATA (Real)'!AY93*AY$4/100</f>
        <v>0</v>
      </c>
      <c r="AZ97" s="324">
        <f>'DATA (Real)'!AZ93*AZ$4/100</f>
        <v>0</v>
      </c>
      <c r="BA97" s="324">
        <f>'DATA (Real)'!BA93*BA$4/100</f>
        <v>0</v>
      </c>
      <c r="BB97" s="324">
        <f>'DATA (Real)'!BB93*BB$4/100</f>
        <v>0</v>
      </c>
      <c r="BC97" s="324">
        <f>'DATA (Real)'!BC93*BC$4/100</f>
        <v>0</v>
      </c>
      <c r="BD97" s="324">
        <f>'DATA (Real)'!BD93*BD$4/100</f>
        <v>0</v>
      </c>
      <c r="BE97" s="324">
        <f>'DATA (Real)'!BE93*BE$4/100</f>
        <v>0</v>
      </c>
      <c r="BF97" s="324">
        <f>'DATA (Real)'!BF93*BF$4/100</f>
        <v>0</v>
      </c>
      <c r="BG97" s="324">
        <f>'DATA (Real)'!BG93*BG$4/100</f>
        <v>0</v>
      </c>
      <c r="BH97" s="324">
        <f>'DATA (Real)'!BH93*BH$4/100</f>
        <v>0</v>
      </c>
      <c r="BI97" s="324">
        <f>'DATA (Real)'!BI93*BI$4/100</f>
        <v>0</v>
      </c>
      <c r="BJ97" s="324">
        <f>'DATA (Real)'!BJ93*BJ$4/100</f>
        <v>0</v>
      </c>
      <c r="BK97" s="324">
        <f>'DATA (Real)'!BK93*BK$4/100</f>
        <v>0</v>
      </c>
      <c r="BL97" s="324">
        <f>'DATA (Real)'!BL93*BL$4/100</f>
        <v>0</v>
      </c>
      <c r="BM97" s="324">
        <f>'DATA (Real)'!BM93*BM$4/100</f>
        <v>0</v>
      </c>
      <c r="BN97" s="324">
        <f>'DATA (Real)'!BN93*BN$4/100</f>
        <v>0</v>
      </c>
      <c r="BO97" s="324">
        <f>'DATA (Real)'!BO93*BO$4/100</f>
        <v>0</v>
      </c>
      <c r="BP97" s="324">
        <f>'DATA (Real)'!BP93*BP$4/100</f>
        <v>0</v>
      </c>
      <c r="BQ97" s="324">
        <f>'DATA (Real)'!BQ93*BQ$4/100</f>
        <v>0</v>
      </c>
      <c r="BR97" s="324">
        <f>'DATA (Real)'!BR93*BR$4/100</f>
        <v>0</v>
      </c>
      <c r="BS97" s="324">
        <f>'DATA (Real)'!BS93*BS$4/100</f>
        <v>0</v>
      </c>
      <c r="BT97" s="324">
        <f>'DATA (Real)'!BT93*BT$4/100</f>
        <v>0</v>
      </c>
      <c r="BU97" s="324">
        <f>'DATA (Real)'!BU93*BU$4/100</f>
        <v>0</v>
      </c>
      <c r="BV97" s="324">
        <f>'DATA (Real)'!BV93*BV$4/100</f>
        <v>0</v>
      </c>
      <c r="BW97" s="324">
        <f>'DATA (Real)'!BW93*BW$4/100</f>
        <v>0</v>
      </c>
      <c r="BX97" s="324">
        <f>'DATA (Real)'!BX93*BX$4/100</f>
        <v>0</v>
      </c>
    </row>
    <row r="98" spans="2:76" outlineLevel="1">
      <c r="B98" s="348" t="s">
        <v>230</v>
      </c>
      <c r="C98" s="348" t="str">
        <f>'DATA (Real)'!C94</f>
        <v>Form Energy</v>
      </c>
      <c r="D98" s="348" t="str">
        <f>'DATA (Real)'!D94</f>
        <v>Variable Operation and Maintenance Expenses ($/MWh)</v>
      </c>
      <c r="E98" s="348" t="str">
        <f>'DATA (Real)'!E94</f>
        <v>100hr Iron Oxide</v>
      </c>
      <c r="F98" s="314">
        <f>'DATA (Real)'!F94</f>
        <v>0</v>
      </c>
      <c r="G98" s="324">
        <f>'DATA (Real)'!G94*G$4/100</f>
        <v>0</v>
      </c>
      <c r="H98" s="324">
        <f>'DATA (Real)'!H94*H$4/100</f>
        <v>0</v>
      </c>
      <c r="I98" s="324">
        <f>'DATA (Real)'!I94*I$4/100</f>
        <v>0</v>
      </c>
      <c r="J98" s="324">
        <f>'DATA (Real)'!J94*J$4/100</f>
        <v>0</v>
      </c>
      <c r="K98" s="324">
        <f>'DATA (Real)'!K94*K$4/100</f>
        <v>0</v>
      </c>
      <c r="L98" s="324">
        <f>'DATA (Real)'!L94*L$4/100</f>
        <v>0</v>
      </c>
      <c r="M98" s="324">
        <f>'DATA (Real)'!M94*M$4/100</f>
        <v>0</v>
      </c>
      <c r="N98" s="324">
        <f>'DATA (Real)'!N94*N$4/100</f>
        <v>0</v>
      </c>
      <c r="O98" s="324">
        <f>'DATA (Real)'!O94*O$4/100</f>
        <v>0</v>
      </c>
      <c r="P98" s="324">
        <f>'DATA (Real)'!P94*P$4/100</f>
        <v>0</v>
      </c>
      <c r="Q98" s="324">
        <f>'DATA (Real)'!Q94*Q$4/100</f>
        <v>0</v>
      </c>
      <c r="R98" s="324">
        <f>'DATA (Real)'!R94*R$4/100</f>
        <v>0</v>
      </c>
      <c r="S98" s="324">
        <f>'DATA (Real)'!S94*S$4/100</f>
        <v>0</v>
      </c>
      <c r="T98" s="324">
        <f>'DATA (Real)'!T94*T$4/100</f>
        <v>0</v>
      </c>
      <c r="U98" s="324">
        <f>'DATA (Real)'!U94*U$4/100</f>
        <v>0</v>
      </c>
      <c r="V98" s="324">
        <f>'DATA (Real)'!V94*V$4/100</f>
        <v>0</v>
      </c>
      <c r="W98" s="324">
        <f>'DATA (Real)'!W94*W$4/100</f>
        <v>0</v>
      </c>
      <c r="X98" s="324">
        <f>'DATA (Real)'!X94*X$4/100</f>
        <v>0</v>
      </c>
      <c r="Y98" s="324">
        <f>'DATA (Real)'!Y94*Y$4/100</f>
        <v>0</v>
      </c>
      <c r="Z98" s="324">
        <f>'DATA (Real)'!Z94*Z$4/100</f>
        <v>0</v>
      </c>
      <c r="AA98" s="324">
        <f>'DATA (Real)'!AA94*AA$4/100</f>
        <v>0</v>
      </c>
      <c r="AB98" s="324">
        <f>'DATA (Real)'!AB94*AB$4/100</f>
        <v>0</v>
      </c>
      <c r="AC98" s="324">
        <f>'DATA (Real)'!AC94*AC$4/100</f>
        <v>0</v>
      </c>
      <c r="AD98" s="324">
        <f>'DATA (Real)'!AD94*AD$4/100</f>
        <v>0</v>
      </c>
      <c r="AE98" s="324">
        <f>'DATA (Real)'!AE94*AE$4/100</f>
        <v>0</v>
      </c>
      <c r="AF98" s="324">
        <f>'DATA (Real)'!AF94*AF$4/100</f>
        <v>0</v>
      </c>
      <c r="AG98" s="324">
        <f>'DATA (Real)'!AG94*AG$4/100</f>
        <v>0</v>
      </c>
      <c r="AH98" s="324">
        <f>'DATA (Real)'!AH94*AH$4/100</f>
        <v>0</v>
      </c>
      <c r="AI98" s="324">
        <f>'DATA (Real)'!AI94*AI$4/100</f>
        <v>0</v>
      </c>
      <c r="AJ98" s="324">
        <f>'DATA (Real)'!AJ94*AJ$4/100</f>
        <v>0</v>
      </c>
      <c r="AK98" s="324">
        <f>'DATA (Real)'!AK94*AK$4/100</f>
        <v>0</v>
      </c>
      <c r="AL98" s="324">
        <f>'DATA (Real)'!AL94*AL$4/100</f>
        <v>0</v>
      </c>
      <c r="AM98" s="324">
        <f>'DATA (Real)'!AM94*AM$4/100</f>
        <v>0</v>
      </c>
      <c r="AN98" s="324">
        <f>'DATA (Real)'!AN94*AN$4/100</f>
        <v>0</v>
      </c>
      <c r="AO98" s="324">
        <f>'DATA (Real)'!AO94*AO$4/100</f>
        <v>0</v>
      </c>
      <c r="AP98" s="324">
        <f>'DATA (Real)'!AP94*AP$4/100</f>
        <v>0</v>
      </c>
      <c r="AQ98" s="324">
        <f>'DATA (Real)'!AQ94*AQ$4/100</f>
        <v>0</v>
      </c>
      <c r="AR98" s="324">
        <f>'DATA (Real)'!AR94*AR$4/100</f>
        <v>0</v>
      </c>
      <c r="AS98" s="324">
        <f>'DATA (Real)'!AS94*AS$4/100</f>
        <v>0</v>
      </c>
      <c r="AT98" s="324">
        <f>'DATA (Real)'!AT94*AT$4/100</f>
        <v>0</v>
      </c>
      <c r="AU98" s="324">
        <f>'DATA (Real)'!AU94*AU$4/100</f>
        <v>0</v>
      </c>
      <c r="AV98" s="324">
        <f>'DATA (Real)'!AV94*AV$4/100</f>
        <v>0</v>
      </c>
      <c r="AW98" s="324">
        <f>'DATA (Real)'!AW94*AW$4/100</f>
        <v>0</v>
      </c>
      <c r="AX98" s="324">
        <f>'DATA (Real)'!AX94*AX$4/100</f>
        <v>0</v>
      </c>
      <c r="AY98" s="324">
        <f>'DATA (Real)'!AY94*AY$4/100</f>
        <v>0</v>
      </c>
      <c r="AZ98" s="324">
        <f>'DATA (Real)'!AZ94*AZ$4/100</f>
        <v>0</v>
      </c>
      <c r="BA98" s="324">
        <f>'DATA (Real)'!BA94*BA$4/100</f>
        <v>0</v>
      </c>
      <c r="BB98" s="324">
        <f>'DATA (Real)'!BB94*BB$4/100</f>
        <v>0</v>
      </c>
      <c r="BC98" s="324">
        <f>'DATA (Real)'!BC94*BC$4/100</f>
        <v>0</v>
      </c>
      <c r="BD98" s="324">
        <f>'DATA (Real)'!BD94*BD$4/100</f>
        <v>0</v>
      </c>
      <c r="BE98" s="324">
        <f>'DATA (Real)'!BE94*BE$4/100</f>
        <v>0</v>
      </c>
      <c r="BF98" s="324">
        <f>'DATA (Real)'!BF94*BF$4/100</f>
        <v>0</v>
      </c>
      <c r="BG98" s="324">
        <f>'DATA (Real)'!BG94*BG$4/100</f>
        <v>0</v>
      </c>
      <c r="BH98" s="324">
        <f>'DATA (Real)'!BH94*BH$4/100</f>
        <v>0</v>
      </c>
      <c r="BI98" s="324">
        <f>'DATA (Real)'!BI94*BI$4/100</f>
        <v>0</v>
      </c>
      <c r="BJ98" s="324">
        <f>'DATA (Real)'!BJ94*BJ$4/100</f>
        <v>0</v>
      </c>
      <c r="BK98" s="324">
        <f>'DATA (Real)'!BK94*BK$4/100</f>
        <v>0</v>
      </c>
      <c r="BL98" s="324">
        <f>'DATA (Real)'!BL94*BL$4/100</f>
        <v>0</v>
      </c>
      <c r="BM98" s="324">
        <f>'DATA (Real)'!BM94*BM$4/100</f>
        <v>0</v>
      </c>
      <c r="BN98" s="324">
        <f>'DATA (Real)'!BN94*BN$4/100</f>
        <v>0</v>
      </c>
      <c r="BO98" s="324">
        <f>'DATA (Real)'!BO94*BO$4/100</f>
        <v>0</v>
      </c>
      <c r="BP98" s="324">
        <f>'DATA (Real)'!BP94*BP$4/100</f>
        <v>0</v>
      </c>
      <c r="BQ98" s="324">
        <f>'DATA (Real)'!BQ94*BQ$4/100</f>
        <v>0</v>
      </c>
      <c r="BR98" s="324">
        <f>'DATA (Real)'!BR94*BR$4/100</f>
        <v>0</v>
      </c>
      <c r="BS98" s="324">
        <f>'DATA (Real)'!BS94*BS$4/100</f>
        <v>0</v>
      </c>
      <c r="BT98" s="324">
        <f>'DATA (Real)'!BT94*BT$4/100</f>
        <v>0</v>
      </c>
      <c r="BU98" s="324">
        <f>'DATA (Real)'!BU94*BU$4/100</f>
        <v>0</v>
      </c>
      <c r="BV98" s="324">
        <f>'DATA (Real)'!BV94*BV$4/100</f>
        <v>0</v>
      </c>
      <c r="BW98" s="324">
        <f>'DATA (Real)'!BW94*BW$4/100</f>
        <v>0</v>
      </c>
      <c r="BX98" s="324">
        <f>'DATA (Real)'!BX94*BX$4/100</f>
        <v>0</v>
      </c>
    </row>
    <row r="99" spans="2:76" outlineLevel="1">
      <c r="B99" s="348" t="s">
        <v>230</v>
      </c>
      <c r="C99" s="348" t="str">
        <f>'DATA (Real)'!C95</f>
        <v>Internal</v>
      </c>
      <c r="D99" s="348" t="str">
        <f>'DATA (Real)'!D95</f>
        <v>Variable Operation and Maintenance Expenses ($/MWh)</v>
      </c>
      <c r="E99" s="348" t="str">
        <f>'DATA (Real)'!E95</f>
        <v>Liquid Air</v>
      </c>
      <c r="F99" s="314"/>
      <c r="G99" s="314"/>
      <c r="H99" s="314">
        <f>'DATA (Real)'!H95</f>
        <v>5.75</v>
      </c>
      <c r="I99" s="324">
        <f>'DATA (Real)'!I95*I$4/$H$4</f>
        <v>5.9323899999999998</v>
      </c>
      <c r="J99" s="324">
        <f>'DATA (Real)'!J95*J$4/$H$4</f>
        <v>6.0719371156041655</v>
      </c>
      <c r="K99" s="324">
        <f>'DATA (Real)'!K95*K$4/$H$4</f>
        <v>6.2075437111859921</v>
      </c>
      <c r="L99" s="324">
        <f>'DATA (Real)'!L95*L$4/$H$4</f>
        <v>6.3461788540691462</v>
      </c>
      <c r="M99" s="324">
        <f>'DATA (Real)'!M95*M$4/$H$4</f>
        <v>6.4879101818100242</v>
      </c>
      <c r="N99" s="324">
        <f>'DATA (Real)'!N95*N$4/$H$4</f>
        <v>6.630644205809844</v>
      </c>
      <c r="O99" s="324">
        <f>'DATA (Real)'!O95*O$4/$H$4</f>
        <v>6.776518378337661</v>
      </c>
      <c r="P99" s="324">
        <f>'DATA (Real)'!P95*P$4/$H$4</f>
        <v>6.9256017826610892</v>
      </c>
      <c r="Q99" s="324">
        <f>'DATA (Real)'!Q95*Q$4/$H$4</f>
        <v>7.0779650218796331</v>
      </c>
      <c r="R99" s="324">
        <f>'DATA (Real)'!R95*R$4/$H$4</f>
        <v>7.233680252360986</v>
      </c>
      <c r="S99" s="324">
        <f>'DATA (Real)'!S95*S$4/$H$4</f>
        <v>7.3928212179129282</v>
      </c>
      <c r="T99" s="324">
        <f>'DATA (Real)'!T95*T$4/$H$4</f>
        <v>7.5554632847070122</v>
      </c>
      <c r="U99" s="324">
        <f>'DATA (Real)'!U95*U$4/$H$4</f>
        <v>7.7216834769705658</v>
      </c>
      <c r="V99" s="324">
        <f>'DATA (Real)'!V95*V$4/$H$4</f>
        <v>7.8915605134639186</v>
      </c>
      <c r="W99" s="324">
        <f>'DATA (Real)'!W95*W$4/$H$4</f>
        <v>8.0651748447601239</v>
      </c>
      <c r="X99" s="324">
        <f>'DATA (Real)'!X95*X$4/$H$4</f>
        <v>8.2426086913448469</v>
      </c>
      <c r="Y99" s="324">
        <f>'DATA (Real)'!Y95*Y$4/$H$4</f>
        <v>8.4239460825544352</v>
      </c>
      <c r="Z99" s="324">
        <f>'DATA (Real)'!Z95*Z$4/$H$4</f>
        <v>8.6092728963706318</v>
      </c>
      <c r="AA99" s="324">
        <f>'DATA (Real)'!AA95*AA$4/$H$4</f>
        <v>8.7986769000907845</v>
      </c>
      <c r="AB99" s="324">
        <f>'DATA (Real)'!AB95*AB$4/$H$4</f>
        <v>8.9922477918927832</v>
      </c>
      <c r="AC99" s="324">
        <f>'DATA (Real)'!AC95*AC$4/$H$4</f>
        <v>9.1900772433144251</v>
      </c>
      <c r="AD99" s="324">
        <f>'DATA (Real)'!AD95*AD$4/$H$4</f>
        <v>9.3922589426673415</v>
      </c>
      <c r="AE99" s="324">
        <f>'DATA (Real)'!AE95*AE$4/$H$4</f>
        <v>9.5988886394060238</v>
      </c>
      <c r="AF99" s="324">
        <f>'DATA (Real)'!AF95*AF$4/$H$4</f>
        <v>9.8100641894729552</v>
      </c>
      <c r="AG99" s="324">
        <f>'DATA (Real)'!AG95*AG$4/$H$4</f>
        <v>10.02588560164136</v>
      </c>
      <c r="AH99" s="324">
        <f>'DATA (Real)'!AH95*AH$4/$H$4</f>
        <v>10.24645508487747</v>
      </c>
      <c r="AI99" s="324">
        <f>'DATA (Real)'!AI95*AI$4/$H$4</f>
        <v>10.471877096744775</v>
      </c>
      <c r="AJ99" s="324">
        <f>'DATA (Real)'!AJ95*AJ$4/$H$4</f>
        <v>10.70225839287316</v>
      </c>
      <c r="AK99" s="324">
        <f>'DATA (Real)'!AK95*AK$4/$H$4</f>
        <v>10.937708077516367</v>
      </c>
      <c r="AL99" s="324">
        <f>'DATA (Real)'!AL95*AL$4/$H$4</f>
        <v>11.17833765522173</v>
      </c>
      <c r="AM99" s="324">
        <f>'DATA (Real)'!AM95*AM$4/$H$4</f>
        <v>11.424261083636608</v>
      </c>
      <c r="AN99" s="324">
        <f>'DATA (Real)'!AN95*AN$4/$H$4</f>
        <v>11.675594827476612</v>
      </c>
      <c r="AO99" s="324">
        <f>'DATA (Real)'!AO95*AO$4/$H$4</f>
        <v>11.932457913681098</v>
      </c>
      <c r="AP99" s="324">
        <f>'DATA (Real)'!AP95*AP$4/$H$4</f>
        <v>12.194971987782084</v>
      </c>
      <c r="AQ99" s="324">
        <f>'DATA (Real)'!AQ95*AQ$4/$H$4</f>
        <v>12.46326137151329</v>
      </c>
      <c r="AR99" s="324">
        <f>'DATA (Real)'!AR95*AR$4/$H$4</f>
        <v>12.737453121686581</v>
      </c>
      <c r="AS99" s="324">
        <f>'DATA (Real)'!AS95*AS$4/$H$4</f>
        <v>13.017677090363685</v>
      </c>
      <c r="AT99" s="324">
        <f>'DATA (Real)'!AT95*AT$4/$H$4</f>
        <v>13.304065986351686</v>
      </c>
      <c r="AU99" s="324">
        <f>'DATA (Real)'!AU95*AU$4/$H$4</f>
        <v>13.596755438051424</v>
      </c>
      <c r="AV99" s="324">
        <f>'DATA (Real)'!AV95*AV$4/$H$4</f>
        <v>13.895884057688555</v>
      </c>
      <c r="AW99" s="324">
        <f>'DATA (Real)'!AW95*AW$4/$H$4</f>
        <v>14.201593506957705</v>
      </c>
      <c r="AX99" s="324">
        <f>'DATA (Real)'!AX95*AX$4/$H$4</f>
        <v>14.514028564110776</v>
      </c>
      <c r="AY99" s="324">
        <f>'DATA (Real)'!AY95*AY$4/$H$4</f>
        <v>14.833337192521213</v>
      </c>
      <c r="AZ99" s="324">
        <f>'DATA (Real)'!AZ95*AZ$4/$H$4</f>
        <v>15.159670610756679</v>
      </c>
      <c r="BA99" s="324">
        <f>'DATA (Real)'!BA95*BA$4/$H$4</f>
        <v>15.493183364193328</v>
      </c>
      <c r="BB99" s="324">
        <f>'DATA (Real)'!BB95*BB$4/$H$4</f>
        <v>15.83403339820558</v>
      </c>
      <c r="BC99" s="324">
        <f>'DATA (Real)'!BC95*BC$4/$H$4</f>
        <v>16.182382132966104</v>
      </c>
      <c r="BD99" s="324">
        <f>'DATA (Real)'!BD95*BD$4/$H$4</f>
        <v>16.538394539891357</v>
      </c>
      <c r="BE99" s="324">
        <f>'DATA (Real)'!BE95*BE$4/$H$4</f>
        <v>16.902239219768965</v>
      </c>
      <c r="BF99" s="324">
        <f>'DATA (Real)'!BF95*BF$4/$H$4</f>
        <v>17.274088482603883</v>
      </c>
      <c r="BG99" s="324">
        <f>'DATA (Real)'!BG95*BG$4/$H$4</f>
        <v>17.654118429221167</v>
      </c>
      <c r="BH99" s="324">
        <f>'DATA (Real)'!BH95*BH$4/$H$4</f>
        <v>18.042509034664036</v>
      </c>
      <c r="BI99" s="324">
        <f>'DATA (Real)'!BI95*BI$4/$H$4</f>
        <v>18.439444233426642</v>
      </c>
      <c r="BJ99" s="324">
        <f>'DATA (Real)'!BJ95*BJ$4/$H$4</f>
        <v>18.845112006562033</v>
      </c>
      <c r="BK99" s="324">
        <f>'DATA (Real)'!BK95*BK$4/$H$4</f>
        <v>19.259704470706396</v>
      </c>
      <c r="BL99" s="324">
        <f>'DATA (Real)'!BL95*BL$4/$H$4</f>
        <v>19.683417969061939</v>
      </c>
      <c r="BM99" s="324">
        <f>'DATA (Real)'!BM95*BM$4/$H$4</f>
        <v>20.116453164381298</v>
      </c>
      <c r="BN99" s="324">
        <f>'DATA (Real)'!BN95*BN$4/$H$4</f>
        <v>20.559015133997686</v>
      </c>
      <c r="BO99" s="324">
        <f>'DATA (Real)'!BO95*BO$4/$H$4</f>
        <v>21.011313466945641</v>
      </c>
      <c r="BP99" s="324">
        <f>'DATA (Real)'!BP95*BP$4/$H$4</f>
        <v>21.473562363218441</v>
      </c>
      <c r="BQ99" s="324">
        <f>'DATA (Real)'!BQ95*BQ$4/$H$4</f>
        <v>21.945980735209247</v>
      </c>
      <c r="BR99" s="324">
        <f>'DATA (Real)'!BR95*BR$4/$H$4</f>
        <v>22.428792311383855</v>
      </c>
      <c r="BS99" s="324">
        <f>'DATA (Real)'!BS95*BS$4/$H$4</f>
        <v>22.9222257422343</v>
      </c>
      <c r="BT99" s="324">
        <f>'DATA (Real)'!BT95*BT$4/$H$4</f>
        <v>23.426514708563456</v>
      </c>
      <c r="BU99" s="324">
        <f>'DATA (Real)'!BU95*BU$4/$H$4</f>
        <v>23.941898032151851</v>
      </c>
      <c r="BV99" s="324">
        <f>'DATA (Real)'!BV95*BV$4/$H$4</f>
        <v>24.468619788859193</v>
      </c>
      <c r="BW99" s="324">
        <f>'DATA (Real)'!BW95*BW$4/$H$4</f>
        <v>25.0069294242141</v>
      </c>
      <c r="BX99" s="324">
        <f>'DATA (Real)'!BX95*BX$4/$H$4</f>
        <v>25.55708187154681</v>
      </c>
    </row>
    <row r="100" spans="2:76" outlineLevel="1">
      <c r="B100" s="348" t="s">
        <v>230</v>
      </c>
      <c r="C100" s="348" t="str">
        <f>'DATA (Real)'!C96</f>
        <v>NREL Pumped Storage Hydropower - National Class 10</v>
      </c>
      <c r="D100" s="348" t="str">
        <f>'DATA (Real)'!D96</f>
        <v>Variable Operation and Maintenance Expenses ($/MWh)</v>
      </c>
      <c r="E100" s="348" t="str">
        <f>'DATA (Real)'!E96</f>
        <v>Pumped Hydro (8.5 hr/ 400 MW share)</v>
      </c>
      <c r="F100" s="314">
        <f>'DATA (Real)'!F96</f>
        <v>0.51249999999999996</v>
      </c>
      <c r="G100" s="324">
        <f>'DATA (Real)'!G96*G$4/100</f>
        <v>0.52531249999999985</v>
      </c>
      <c r="H100" s="324">
        <f>'DATA (Real)'!H96*H$4/100</f>
        <v>0.56308835339822394</v>
      </c>
      <c r="I100" s="324">
        <f>'DATA (Real)'!I96*I$4/100</f>
        <v>0.58094951596801558</v>
      </c>
      <c r="J100" s="324">
        <f>'DATA (Real)'!J96*J$4/100</f>
        <v>0.59461514301967144</v>
      </c>
      <c r="K100" s="324">
        <f>'DATA (Real)'!K96*K$4/100</f>
        <v>0.60789488121377744</v>
      </c>
      <c r="L100" s="324">
        <f>'DATA (Real)'!L96*L$4/100</f>
        <v>0.62147120022755187</v>
      </c>
      <c r="M100" s="324">
        <f>'DATA (Real)'!M96*M$4/100</f>
        <v>0.63535072369930046</v>
      </c>
      <c r="N100" s="324">
        <f>'DATA (Real)'!N96*N$4/100</f>
        <v>0.6493284396206852</v>
      </c>
      <c r="O100" s="324">
        <f>'DATA (Real)'!O96*O$4/100</f>
        <v>0.66361366529234023</v>
      </c>
      <c r="P100" s="324">
        <f>'DATA (Real)'!P96*P$4/100</f>
        <v>0.67821316592877168</v>
      </c>
      <c r="Q100" s="324">
        <f>'DATA (Real)'!Q96*Q$4/100</f>
        <v>0.69313385557920459</v>
      </c>
      <c r="R100" s="324">
        <f>'DATA (Real)'!R96*R$4/100</f>
        <v>0.70838280040194723</v>
      </c>
      <c r="S100" s="324">
        <f>'DATA (Real)'!S96*S$4/100</f>
        <v>0.72396722201079</v>
      </c>
      <c r="T100" s="324">
        <f>'DATA (Real)'!T96*T$4/100</f>
        <v>0.7398945008950274</v>
      </c>
      <c r="U100" s="324">
        <f>'DATA (Real)'!U96*U$4/100</f>
        <v>0.75617217991471786</v>
      </c>
      <c r="V100" s="324">
        <f>'DATA (Real)'!V96*V$4/100</f>
        <v>0.77280796787284178</v>
      </c>
      <c r="W100" s="324">
        <f>'DATA (Real)'!W96*W$4/100</f>
        <v>0.78980974316604413</v>
      </c>
      <c r="X100" s="324">
        <f>'DATA (Real)'!X96*X$4/100</f>
        <v>0.80718555751569721</v>
      </c>
      <c r="Y100" s="324">
        <f>'DATA (Real)'!Y96*Y$4/100</f>
        <v>0.82494363978104257</v>
      </c>
      <c r="Z100" s="324">
        <f>'DATA (Real)'!Z96*Z$4/100</f>
        <v>0.84309239985622553</v>
      </c>
      <c r="AA100" s="324">
        <f>'DATA (Real)'!AA96*AA$4/100</f>
        <v>0.86164043265306245</v>
      </c>
      <c r="AB100" s="324">
        <f>'DATA (Real)'!AB96*AB$4/100</f>
        <v>0.88059652217142992</v>
      </c>
      <c r="AC100" s="324">
        <f>'DATA (Real)'!AC96*AC$4/100</f>
        <v>0.89996964565920134</v>
      </c>
      <c r="AD100" s="324">
        <f>'DATA (Real)'!AD96*AD$4/100</f>
        <v>0.91976897786370371</v>
      </c>
      <c r="AE100" s="324">
        <f>'DATA (Real)'!AE96*AE$4/100</f>
        <v>0.94000389537670526</v>
      </c>
      <c r="AF100" s="324">
        <f>'DATA (Real)'!AF96*AF$4/100</f>
        <v>0.96068398107499275</v>
      </c>
      <c r="AG100" s="324">
        <f>'DATA (Real)'!AG96*AG$4/100</f>
        <v>0.98181902865864257</v>
      </c>
      <c r="AH100" s="324">
        <f>'DATA (Real)'!AH96*AH$4/100</f>
        <v>1.0034190472891327</v>
      </c>
      <c r="AI100" s="324">
        <f>'DATA (Real)'!AI96*AI$4/100</f>
        <v>1.0254942663294937</v>
      </c>
      <c r="AJ100" s="324">
        <f>'DATA (Real)'!AJ96*AJ$4/100</f>
        <v>1.0480551401887426</v>
      </c>
      <c r="AK100" s="324">
        <f>'DATA (Real)'!AK96*AK$4/100</f>
        <v>1.071112353272895</v>
      </c>
      <c r="AL100" s="324">
        <f>'DATA (Real)'!AL96*AL$4/100</f>
        <v>1.0946768250448986</v>
      </c>
      <c r="AM100" s="324">
        <f>'DATA (Real)'!AM96*AM$4/100</f>
        <v>1.1187597151958864</v>
      </c>
      <c r="AN100" s="324">
        <f>'DATA (Real)'!AN96*AN$4/100</f>
        <v>1.1433724289301959</v>
      </c>
      <c r="AO100" s="324">
        <f>'DATA (Real)'!AO96*AO$4/100</f>
        <v>1.1685266223666602</v>
      </c>
      <c r="AP100" s="324">
        <f>'DATA (Real)'!AP96*AP$4/100</f>
        <v>1.1942342080587267</v>
      </c>
      <c r="AQ100" s="324">
        <f>'DATA (Real)'!AQ96*AQ$4/100</f>
        <v>1.2205073606360188</v>
      </c>
      <c r="AR100" s="324">
        <f>'DATA (Real)'!AR96*AR$4/100</f>
        <v>1.2473585225700112</v>
      </c>
      <c r="AS100" s="324">
        <f>'DATA (Real)'!AS96*AS$4/100</f>
        <v>1.2748004100665513</v>
      </c>
      <c r="AT100" s="324">
        <f>'DATA (Real)'!AT96*AT$4/100</f>
        <v>1.3028460190880153</v>
      </c>
      <c r="AU100" s="324">
        <f>'DATA (Real)'!AU96*AU$4/100</f>
        <v>1.3315086315079518</v>
      </c>
      <c r="AV100" s="324">
        <f>'DATA (Real)'!AV96*AV$4/100</f>
        <v>1.3608018214011266</v>
      </c>
      <c r="AW100" s="324">
        <f>'DATA (Real)'!AW96*AW$4/100</f>
        <v>1.3907394614719515</v>
      </c>
      <c r="AX100" s="324">
        <f>'DATA (Real)'!AX96*AX$4/100</f>
        <v>1.4213357296243347</v>
      </c>
      <c r="AY100" s="324">
        <f>'DATA (Real)'!AY96*AY$4/100</f>
        <v>1.4526051156760702</v>
      </c>
      <c r="AZ100" s="324">
        <f>'DATA (Real)'!AZ96*AZ$4/100</f>
        <v>1.4845624282209438</v>
      </c>
      <c r="BA100" s="324">
        <f>'DATA (Real)'!BA96*BA$4/100</f>
        <v>1.5172228016418046</v>
      </c>
      <c r="BB100" s="324">
        <f>'DATA (Real)'!BB96*BB$4/100</f>
        <v>1.550601703277924</v>
      </c>
      <c r="BC100" s="324">
        <f>'DATA (Real)'!BC96*BC$4/100</f>
        <v>1.5847149407500385</v>
      </c>
      <c r="BD100" s="324">
        <f>'DATA (Real)'!BD96*BD$4/100</f>
        <v>1.6195786694465391</v>
      </c>
      <c r="BE100" s="324">
        <f>'DATA (Real)'!BE96*BE$4/100</f>
        <v>1.6552094001743631</v>
      </c>
      <c r="BF100" s="324">
        <f>'DATA (Real)'!BF96*BF$4/100</f>
        <v>1.6916240069781991</v>
      </c>
      <c r="BG100" s="324">
        <f>'DATA (Real)'!BG96*BG$4/100</f>
        <v>1.7288397351317195</v>
      </c>
      <c r="BH100" s="324">
        <f>'DATA (Real)'!BH96*BH$4/100</f>
        <v>1.7668742093046175</v>
      </c>
      <c r="BI100" s="324">
        <f>'DATA (Real)'!BI96*BI$4/100</f>
        <v>1.8057454419093191</v>
      </c>
      <c r="BJ100" s="324">
        <f>'DATA (Real)'!BJ96*BJ$4/100</f>
        <v>1.8454718416313241</v>
      </c>
      <c r="BK100" s="324">
        <f>'DATA (Real)'!BK96*BK$4/100</f>
        <v>1.8860722221472133</v>
      </c>
      <c r="BL100" s="324">
        <f>'DATA (Real)'!BL96*BL$4/100</f>
        <v>1.927565811034452</v>
      </c>
      <c r="BM100" s="324">
        <f>'DATA (Real)'!BM96*BM$4/100</f>
        <v>1.9699722588772099</v>
      </c>
      <c r="BN100" s="324">
        <f>'DATA (Real)'!BN96*BN$4/100</f>
        <v>2.0133116485725084</v>
      </c>
      <c r="BO100" s="324">
        <f>'DATA (Real)'!BO96*BO$4/100</f>
        <v>2.0576045048411036</v>
      </c>
      <c r="BP100" s="324">
        <f>'DATA (Real)'!BP96*BP$4/100</f>
        <v>2.102871803947608</v>
      </c>
      <c r="BQ100" s="324">
        <f>'DATA (Real)'!BQ96*BQ$4/100</f>
        <v>2.1491349836344558</v>
      </c>
      <c r="BR100" s="324">
        <f>'DATA (Real)'!BR96*BR$4/100</f>
        <v>2.1964159532744136</v>
      </c>
      <c r="BS100" s="324">
        <f>'DATA (Real)'!BS96*BS$4/100</f>
        <v>2.2447371042464508</v>
      </c>
      <c r="BT100" s="324">
        <f>'DATA (Real)'!BT96*BT$4/100</f>
        <v>2.2941213205398729</v>
      </c>
      <c r="BU100" s="324">
        <f>'DATA (Real)'!BU96*BU$4/100</f>
        <v>2.3445919895917502</v>
      </c>
      <c r="BV100" s="324">
        <f>'DATA (Real)'!BV96*BV$4/100</f>
        <v>2.3961730133627688</v>
      </c>
      <c r="BW100" s="324">
        <f>'DATA (Real)'!BW96*BW$4/100</f>
        <v>2.4488888196567498</v>
      </c>
      <c r="BX100" s="324">
        <f>'DATA (Real)'!BX96*BX$4/100</f>
        <v>2.5027643736891982</v>
      </c>
    </row>
    <row r="101" spans="2:76" outlineLevel="1">
      <c r="B101" s="348" t="s">
        <v>230</v>
      </c>
      <c r="C101" s="348" t="str">
        <f>'DATA (Real)'!C97</f>
        <v>NREL Pumped Storage Hydropower - National Class 7</v>
      </c>
      <c r="D101" s="348" t="str">
        <f>'DATA (Real)'!D97</f>
        <v>Variable Operation and Maintenance Expenses ($/MWh)</v>
      </c>
      <c r="E101" s="348" t="str">
        <f>'DATA (Real)'!E97</f>
        <v>Pumped Hydro (16 hr/ 100 MW)</v>
      </c>
      <c r="F101" s="314">
        <f>'DATA (Real)'!F97</f>
        <v>0.51249999999999996</v>
      </c>
      <c r="G101" s="324">
        <f>'DATA (Real)'!G97*G$4/100</f>
        <v>0.52531249999999985</v>
      </c>
      <c r="H101" s="324">
        <f>'DATA (Real)'!H97*H$4/100</f>
        <v>0.56308835339822394</v>
      </c>
      <c r="I101" s="324">
        <f>'DATA (Real)'!I97*I$4/100</f>
        <v>0.58094951596801558</v>
      </c>
      <c r="J101" s="324">
        <f>'DATA (Real)'!J97*J$4/100</f>
        <v>0.59461514301967144</v>
      </c>
      <c r="K101" s="324">
        <f>'DATA (Real)'!K97*K$4/100</f>
        <v>0.60789488121377744</v>
      </c>
      <c r="L101" s="324">
        <f>'DATA (Real)'!L97*L$4/100</f>
        <v>0.62147120022755187</v>
      </c>
      <c r="M101" s="324">
        <f>'DATA (Real)'!M97*M$4/100</f>
        <v>0.63535072369930046</v>
      </c>
      <c r="N101" s="324">
        <f>'DATA (Real)'!N97*N$4/100</f>
        <v>0.6493284396206852</v>
      </c>
      <c r="O101" s="324">
        <f>'DATA (Real)'!O97*O$4/100</f>
        <v>0.66361366529234023</v>
      </c>
      <c r="P101" s="324">
        <f>'DATA (Real)'!P97*P$4/100</f>
        <v>0.67821316592877168</v>
      </c>
      <c r="Q101" s="324">
        <f>'DATA (Real)'!Q97*Q$4/100</f>
        <v>0.69313385557920459</v>
      </c>
      <c r="R101" s="324">
        <f>'DATA (Real)'!R97*R$4/100</f>
        <v>0.70838280040194723</v>
      </c>
      <c r="S101" s="324">
        <f>'DATA (Real)'!S97*S$4/100</f>
        <v>0.72396722201079</v>
      </c>
      <c r="T101" s="324">
        <f>'DATA (Real)'!T97*T$4/100</f>
        <v>0.7398945008950274</v>
      </c>
      <c r="U101" s="324">
        <f>'DATA (Real)'!U97*U$4/100</f>
        <v>0.75617217991471786</v>
      </c>
      <c r="V101" s="324">
        <f>'DATA (Real)'!V97*V$4/100</f>
        <v>0.77280796787284178</v>
      </c>
      <c r="W101" s="324">
        <f>'DATA (Real)'!W97*W$4/100</f>
        <v>0.78980974316604413</v>
      </c>
      <c r="X101" s="324">
        <f>'DATA (Real)'!X97*X$4/100</f>
        <v>0.80718555751569721</v>
      </c>
      <c r="Y101" s="324">
        <f>'DATA (Real)'!Y97*Y$4/100</f>
        <v>0.82494363978104257</v>
      </c>
      <c r="Z101" s="324">
        <f>'DATA (Real)'!Z97*Z$4/100</f>
        <v>0.84309239985622553</v>
      </c>
      <c r="AA101" s="324">
        <f>'DATA (Real)'!AA97*AA$4/100</f>
        <v>0.86164043265306245</v>
      </c>
      <c r="AB101" s="324">
        <f>'DATA (Real)'!AB97*AB$4/100</f>
        <v>0.88059652217142992</v>
      </c>
      <c r="AC101" s="324">
        <f>'DATA (Real)'!AC97*AC$4/100</f>
        <v>0.89996964565920134</v>
      </c>
      <c r="AD101" s="324">
        <f>'DATA (Real)'!AD97*AD$4/100</f>
        <v>0.91976897786370371</v>
      </c>
      <c r="AE101" s="324">
        <f>'DATA (Real)'!AE97*AE$4/100</f>
        <v>0.94000389537670526</v>
      </c>
      <c r="AF101" s="324">
        <f>'DATA (Real)'!AF97*AF$4/100</f>
        <v>0.96068398107499275</v>
      </c>
      <c r="AG101" s="324">
        <f>'DATA (Real)'!AG97*AG$4/100</f>
        <v>0.98181902865864257</v>
      </c>
      <c r="AH101" s="324">
        <f>'DATA (Real)'!AH97*AH$4/100</f>
        <v>1.0034190472891327</v>
      </c>
      <c r="AI101" s="324">
        <f>'DATA (Real)'!AI97*AI$4/100</f>
        <v>1.0254942663294937</v>
      </c>
      <c r="AJ101" s="324">
        <f>'DATA (Real)'!AJ97*AJ$4/100</f>
        <v>1.0480551401887426</v>
      </c>
      <c r="AK101" s="324">
        <f>'DATA (Real)'!AK97*AK$4/100</f>
        <v>1.071112353272895</v>
      </c>
      <c r="AL101" s="324">
        <f>'DATA (Real)'!AL97*AL$4/100</f>
        <v>1.0946768250448986</v>
      </c>
      <c r="AM101" s="324">
        <f>'DATA (Real)'!AM97*AM$4/100</f>
        <v>1.1187597151958864</v>
      </c>
      <c r="AN101" s="324">
        <f>'DATA (Real)'!AN97*AN$4/100</f>
        <v>1.1433724289301959</v>
      </c>
      <c r="AO101" s="324">
        <f>'DATA (Real)'!AO97*AO$4/100</f>
        <v>1.1685266223666602</v>
      </c>
      <c r="AP101" s="324">
        <f>'DATA (Real)'!AP97*AP$4/100</f>
        <v>1.1942342080587267</v>
      </c>
      <c r="AQ101" s="324">
        <f>'DATA (Real)'!AQ97*AQ$4/100</f>
        <v>1.2205073606360188</v>
      </c>
      <c r="AR101" s="324">
        <f>'DATA (Real)'!AR97*AR$4/100</f>
        <v>1.2473585225700112</v>
      </c>
      <c r="AS101" s="324">
        <f>'DATA (Real)'!AS97*AS$4/100</f>
        <v>1.2748004100665513</v>
      </c>
      <c r="AT101" s="324">
        <f>'DATA (Real)'!AT97*AT$4/100</f>
        <v>1.3028460190880153</v>
      </c>
      <c r="AU101" s="324">
        <f>'DATA (Real)'!AU97*AU$4/100</f>
        <v>1.3315086315079518</v>
      </c>
      <c r="AV101" s="324">
        <f>'DATA (Real)'!AV97*AV$4/100</f>
        <v>1.3608018214011266</v>
      </c>
      <c r="AW101" s="324">
        <f>'DATA (Real)'!AW97*AW$4/100</f>
        <v>1.3907394614719515</v>
      </c>
      <c r="AX101" s="324">
        <f>'DATA (Real)'!AX97*AX$4/100</f>
        <v>1.4213357296243347</v>
      </c>
      <c r="AY101" s="324">
        <f>'DATA (Real)'!AY97*AY$4/100</f>
        <v>1.4526051156760702</v>
      </c>
      <c r="AZ101" s="324">
        <f>'DATA (Real)'!AZ97*AZ$4/100</f>
        <v>1.4845624282209438</v>
      </c>
      <c r="BA101" s="324">
        <f>'DATA (Real)'!BA97*BA$4/100</f>
        <v>1.5172228016418046</v>
      </c>
      <c r="BB101" s="324">
        <f>'DATA (Real)'!BB97*BB$4/100</f>
        <v>1.550601703277924</v>
      </c>
      <c r="BC101" s="324">
        <f>'DATA (Real)'!BC97*BC$4/100</f>
        <v>1.5847149407500385</v>
      </c>
      <c r="BD101" s="324">
        <f>'DATA (Real)'!BD97*BD$4/100</f>
        <v>1.6195786694465391</v>
      </c>
      <c r="BE101" s="324">
        <f>'DATA (Real)'!BE97*BE$4/100</f>
        <v>1.6552094001743631</v>
      </c>
      <c r="BF101" s="324">
        <f>'DATA (Real)'!BF97*BF$4/100</f>
        <v>1.6916240069781991</v>
      </c>
      <c r="BG101" s="324">
        <f>'DATA (Real)'!BG97*BG$4/100</f>
        <v>1.7288397351317195</v>
      </c>
      <c r="BH101" s="324">
        <f>'DATA (Real)'!BH97*BH$4/100</f>
        <v>1.7668742093046175</v>
      </c>
      <c r="BI101" s="324">
        <f>'DATA (Real)'!BI97*BI$4/100</f>
        <v>1.8057454419093191</v>
      </c>
      <c r="BJ101" s="324">
        <f>'DATA (Real)'!BJ97*BJ$4/100</f>
        <v>1.8454718416313241</v>
      </c>
      <c r="BK101" s="324">
        <f>'DATA (Real)'!BK97*BK$4/100</f>
        <v>1.8860722221472133</v>
      </c>
      <c r="BL101" s="324">
        <f>'DATA (Real)'!BL97*BL$4/100</f>
        <v>1.927565811034452</v>
      </c>
      <c r="BM101" s="324">
        <f>'DATA (Real)'!BM97*BM$4/100</f>
        <v>1.9699722588772099</v>
      </c>
      <c r="BN101" s="324">
        <f>'DATA (Real)'!BN97*BN$4/100</f>
        <v>2.0133116485725084</v>
      </c>
      <c r="BO101" s="324">
        <f>'DATA (Real)'!BO97*BO$4/100</f>
        <v>2.0576045048411036</v>
      </c>
      <c r="BP101" s="324">
        <f>'DATA (Real)'!BP97*BP$4/100</f>
        <v>2.102871803947608</v>
      </c>
      <c r="BQ101" s="324">
        <f>'DATA (Real)'!BQ97*BQ$4/100</f>
        <v>2.1491349836344558</v>
      </c>
      <c r="BR101" s="324">
        <f>'DATA (Real)'!BR97*BR$4/100</f>
        <v>2.1964159532744136</v>
      </c>
      <c r="BS101" s="324">
        <f>'DATA (Real)'!BS97*BS$4/100</f>
        <v>2.2447371042464508</v>
      </c>
      <c r="BT101" s="324">
        <f>'DATA (Real)'!BT97*BT$4/100</f>
        <v>2.2941213205398729</v>
      </c>
      <c r="BU101" s="324">
        <f>'DATA (Real)'!BU97*BU$4/100</f>
        <v>2.3445919895917502</v>
      </c>
      <c r="BV101" s="324">
        <f>'DATA (Real)'!BV97*BV$4/100</f>
        <v>2.3961730133627688</v>
      </c>
      <c r="BW101" s="324">
        <f>'DATA (Real)'!BW97*BW$4/100</f>
        <v>2.4488888196567498</v>
      </c>
      <c r="BX101" s="324">
        <f>'DATA (Real)'!BX97*BX$4/100</f>
        <v>2.5027643736891982</v>
      </c>
    </row>
    <row r="102" spans="2:76" outlineLevel="1">
      <c r="B102" s="348" t="s">
        <v>230</v>
      </c>
      <c r="C102" s="348" t="str">
        <f>'DATA (Real)'!C98</f>
        <v>NREL Pumped Storage Hydropower - National Class 5</v>
      </c>
      <c r="D102" s="348" t="str">
        <f>'DATA (Real)'!D98</f>
        <v>Variable Operation and Maintenance Expenses ($/MWh)</v>
      </c>
      <c r="E102" s="348" t="str">
        <f>'DATA (Real)'!E98</f>
        <v>Pumped Hyrdo (24 hr/ 100 MW)</v>
      </c>
      <c r="F102" s="314">
        <f>'DATA (Real)'!F98</f>
        <v>0.51249999999999996</v>
      </c>
      <c r="G102" s="324">
        <f>'DATA (Real)'!G98*G$4/100</f>
        <v>0.52531249999999985</v>
      </c>
      <c r="H102" s="324">
        <f>'DATA (Real)'!H98*H$4/100</f>
        <v>0.56308835339822394</v>
      </c>
      <c r="I102" s="324">
        <f>'DATA (Real)'!I98*I$4/100</f>
        <v>0.58094951596801558</v>
      </c>
      <c r="J102" s="324">
        <f>'DATA (Real)'!J98*J$4/100</f>
        <v>0.59461514301967144</v>
      </c>
      <c r="K102" s="324">
        <f>'DATA (Real)'!K98*K$4/100</f>
        <v>0.60789488121377744</v>
      </c>
      <c r="L102" s="324">
        <f>'DATA (Real)'!L98*L$4/100</f>
        <v>0.62147120022755187</v>
      </c>
      <c r="M102" s="324">
        <f>'DATA (Real)'!M98*M$4/100</f>
        <v>0.63535072369930046</v>
      </c>
      <c r="N102" s="324">
        <f>'DATA (Real)'!N98*N$4/100</f>
        <v>0.6493284396206852</v>
      </c>
      <c r="O102" s="324">
        <f>'DATA (Real)'!O98*O$4/100</f>
        <v>0.66361366529234023</v>
      </c>
      <c r="P102" s="324">
        <f>'DATA (Real)'!P98*P$4/100</f>
        <v>0.67821316592877168</v>
      </c>
      <c r="Q102" s="324">
        <f>'DATA (Real)'!Q98*Q$4/100</f>
        <v>0.69313385557920459</v>
      </c>
      <c r="R102" s="324">
        <f>'DATA (Real)'!R98*R$4/100</f>
        <v>0.70838280040194723</v>
      </c>
      <c r="S102" s="324">
        <f>'DATA (Real)'!S98*S$4/100</f>
        <v>0.72396722201079</v>
      </c>
      <c r="T102" s="324">
        <f>'DATA (Real)'!T98*T$4/100</f>
        <v>0.7398945008950274</v>
      </c>
      <c r="U102" s="324">
        <f>'DATA (Real)'!U98*U$4/100</f>
        <v>0.75617217991471786</v>
      </c>
      <c r="V102" s="324">
        <f>'DATA (Real)'!V98*V$4/100</f>
        <v>0.77280796787284178</v>
      </c>
      <c r="W102" s="324">
        <f>'DATA (Real)'!W98*W$4/100</f>
        <v>0.78980974316604413</v>
      </c>
      <c r="X102" s="324">
        <f>'DATA (Real)'!X98*X$4/100</f>
        <v>0.80718555751569721</v>
      </c>
      <c r="Y102" s="324">
        <f>'DATA (Real)'!Y98*Y$4/100</f>
        <v>0.82494363978104257</v>
      </c>
      <c r="Z102" s="324">
        <f>'DATA (Real)'!Z98*Z$4/100</f>
        <v>0.84309239985622553</v>
      </c>
      <c r="AA102" s="324">
        <f>'DATA (Real)'!AA98*AA$4/100</f>
        <v>0.86164043265306245</v>
      </c>
      <c r="AB102" s="324">
        <f>'DATA (Real)'!AB98*AB$4/100</f>
        <v>0.88059652217142992</v>
      </c>
      <c r="AC102" s="324">
        <f>'DATA (Real)'!AC98*AC$4/100</f>
        <v>0.89996964565920134</v>
      </c>
      <c r="AD102" s="324">
        <f>'DATA (Real)'!AD98*AD$4/100</f>
        <v>0.91976897786370371</v>
      </c>
      <c r="AE102" s="324">
        <f>'DATA (Real)'!AE98*AE$4/100</f>
        <v>0.94000389537670526</v>
      </c>
      <c r="AF102" s="324">
        <f>'DATA (Real)'!AF98*AF$4/100</f>
        <v>0.96068398107499275</v>
      </c>
      <c r="AG102" s="324">
        <f>'DATA (Real)'!AG98*AG$4/100</f>
        <v>0.98181902865864257</v>
      </c>
      <c r="AH102" s="324">
        <f>'DATA (Real)'!AH98*AH$4/100</f>
        <v>1.0034190472891327</v>
      </c>
      <c r="AI102" s="324">
        <f>'DATA (Real)'!AI98*AI$4/100</f>
        <v>1.0254942663294937</v>
      </c>
      <c r="AJ102" s="324">
        <f>'DATA (Real)'!AJ98*AJ$4/100</f>
        <v>1.0480551401887426</v>
      </c>
      <c r="AK102" s="324">
        <f>'DATA (Real)'!AK98*AK$4/100</f>
        <v>1.071112353272895</v>
      </c>
      <c r="AL102" s="324">
        <f>'DATA (Real)'!AL98*AL$4/100</f>
        <v>1.0946768250448986</v>
      </c>
      <c r="AM102" s="324">
        <f>'DATA (Real)'!AM98*AM$4/100</f>
        <v>1.1187597151958864</v>
      </c>
      <c r="AN102" s="324">
        <f>'DATA (Real)'!AN98*AN$4/100</f>
        <v>1.1433724289301959</v>
      </c>
      <c r="AO102" s="324">
        <f>'DATA (Real)'!AO98*AO$4/100</f>
        <v>1.1685266223666602</v>
      </c>
      <c r="AP102" s="324">
        <f>'DATA (Real)'!AP98*AP$4/100</f>
        <v>1.1942342080587267</v>
      </c>
      <c r="AQ102" s="324">
        <f>'DATA (Real)'!AQ98*AQ$4/100</f>
        <v>1.2205073606360188</v>
      </c>
      <c r="AR102" s="324">
        <f>'DATA (Real)'!AR98*AR$4/100</f>
        <v>1.2473585225700112</v>
      </c>
      <c r="AS102" s="324">
        <f>'DATA (Real)'!AS98*AS$4/100</f>
        <v>1.2748004100665513</v>
      </c>
      <c r="AT102" s="324">
        <f>'DATA (Real)'!AT98*AT$4/100</f>
        <v>1.3028460190880153</v>
      </c>
      <c r="AU102" s="324">
        <f>'DATA (Real)'!AU98*AU$4/100</f>
        <v>1.3315086315079518</v>
      </c>
      <c r="AV102" s="324">
        <f>'DATA (Real)'!AV98*AV$4/100</f>
        <v>1.3608018214011266</v>
      </c>
      <c r="AW102" s="324">
        <f>'DATA (Real)'!AW98*AW$4/100</f>
        <v>1.3907394614719515</v>
      </c>
      <c r="AX102" s="324">
        <f>'DATA (Real)'!AX98*AX$4/100</f>
        <v>1.4213357296243347</v>
      </c>
      <c r="AY102" s="324">
        <f>'DATA (Real)'!AY98*AY$4/100</f>
        <v>1.4526051156760702</v>
      </c>
      <c r="AZ102" s="324">
        <f>'DATA (Real)'!AZ98*AZ$4/100</f>
        <v>1.4845624282209438</v>
      </c>
      <c r="BA102" s="324">
        <f>'DATA (Real)'!BA98*BA$4/100</f>
        <v>1.5172228016418046</v>
      </c>
      <c r="BB102" s="324">
        <f>'DATA (Real)'!BB98*BB$4/100</f>
        <v>1.550601703277924</v>
      </c>
      <c r="BC102" s="324">
        <f>'DATA (Real)'!BC98*BC$4/100</f>
        <v>1.5847149407500385</v>
      </c>
      <c r="BD102" s="324">
        <f>'DATA (Real)'!BD98*BD$4/100</f>
        <v>1.6195786694465391</v>
      </c>
      <c r="BE102" s="324">
        <f>'DATA (Real)'!BE98*BE$4/100</f>
        <v>1.6552094001743631</v>
      </c>
      <c r="BF102" s="324">
        <f>'DATA (Real)'!BF98*BF$4/100</f>
        <v>1.6916240069781991</v>
      </c>
      <c r="BG102" s="324">
        <f>'DATA (Real)'!BG98*BG$4/100</f>
        <v>1.7288397351317195</v>
      </c>
      <c r="BH102" s="324">
        <f>'DATA (Real)'!BH98*BH$4/100</f>
        <v>1.7668742093046175</v>
      </c>
      <c r="BI102" s="324">
        <f>'DATA (Real)'!BI98*BI$4/100</f>
        <v>1.8057454419093191</v>
      </c>
      <c r="BJ102" s="324">
        <f>'DATA (Real)'!BJ98*BJ$4/100</f>
        <v>1.8454718416313241</v>
      </c>
      <c r="BK102" s="324">
        <f>'DATA (Real)'!BK98*BK$4/100</f>
        <v>1.8860722221472133</v>
      </c>
      <c r="BL102" s="324">
        <f>'DATA (Real)'!BL98*BL$4/100</f>
        <v>1.927565811034452</v>
      </c>
      <c r="BM102" s="324">
        <f>'DATA (Real)'!BM98*BM$4/100</f>
        <v>1.9699722588772099</v>
      </c>
      <c r="BN102" s="324">
        <f>'DATA (Real)'!BN98*BN$4/100</f>
        <v>2.0133116485725084</v>
      </c>
      <c r="BO102" s="324">
        <f>'DATA (Real)'!BO98*BO$4/100</f>
        <v>2.0576045048411036</v>
      </c>
      <c r="BP102" s="324">
        <f>'DATA (Real)'!BP98*BP$4/100</f>
        <v>2.102871803947608</v>
      </c>
      <c r="BQ102" s="324">
        <f>'DATA (Real)'!BQ98*BQ$4/100</f>
        <v>2.1491349836344558</v>
      </c>
      <c r="BR102" s="324">
        <f>'DATA (Real)'!BR98*BR$4/100</f>
        <v>2.1964159532744136</v>
      </c>
      <c r="BS102" s="324">
        <f>'DATA (Real)'!BS98*BS$4/100</f>
        <v>2.2447371042464508</v>
      </c>
      <c r="BT102" s="324">
        <f>'DATA (Real)'!BT98*BT$4/100</f>
        <v>2.2941213205398729</v>
      </c>
      <c r="BU102" s="324">
        <f>'DATA (Real)'!BU98*BU$4/100</f>
        <v>2.3445919895917502</v>
      </c>
      <c r="BV102" s="324">
        <f>'DATA (Real)'!BV98*BV$4/100</f>
        <v>2.3961730133627688</v>
      </c>
      <c r="BW102" s="324">
        <f>'DATA (Real)'!BW98*BW$4/100</f>
        <v>2.4488888196567498</v>
      </c>
      <c r="BX102" s="324">
        <f>'DATA (Real)'!BX98*BX$4/100</f>
        <v>2.5027643736891982</v>
      </c>
    </row>
    <row r="103" spans="2:76" outlineLevel="1">
      <c r="B103" s="349" t="s">
        <v>230</v>
      </c>
      <c r="C103" s="349" t="str">
        <f>'DATA (Real)'!C99</f>
        <v>Internal</v>
      </c>
      <c r="D103" s="349" t="str">
        <f>'DATA (Real)'!D99</f>
        <v>Variable Operation and Maintenance Expenses ($/MWh)</v>
      </c>
      <c r="E103" s="349" t="str">
        <f>'DATA (Real)'!E99</f>
        <v>Wood Biomass</v>
      </c>
      <c r="F103" s="314"/>
      <c r="G103" s="314"/>
      <c r="H103" s="314">
        <f>'DATA (Real)'!H99</f>
        <v>3.5074999999999994</v>
      </c>
      <c r="I103" s="324">
        <f>'DATA (Real)'!I99*I$4/$H$4</f>
        <v>3.6187578999999994</v>
      </c>
      <c r="J103" s="324">
        <f>'DATA (Real)'!J99*J$4/$H$4</f>
        <v>3.7038816405185409</v>
      </c>
      <c r="K103" s="324">
        <f>'DATA (Real)'!K99*K$4/$H$4</f>
        <v>3.7866016638234545</v>
      </c>
      <c r="L103" s="324">
        <f>'DATA (Real)'!L99*L$4/$H$4</f>
        <v>3.8711691009821783</v>
      </c>
      <c r="M103" s="324">
        <f>'DATA (Real)'!M99*M$4/$H$4</f>
        <v>3.9576252109041139</v>
      </c>
      <c r="N103" s="324">
        <f>'DATA (Real)'!N99*N$4/$H$4</f>
        <v>4.0446929655440043</v>
      </c>
      <c r="O103" s="324">
        <f>'DATA (Real)'!O99*O$4/$H$4</f>
        <v>4.1336762107859721</v>
      </c>
      <c r="P103" s="324">
        <f>'DATA (Real)'!P99*P$4/$H$4</f>
        <v>4.2246170874232636</v>
      </c>
      <c r="Q103" s="324">
        <f>'DATA (Real)'!Q99*Q$4/$H$4</f>
        <v>4.3175586633465759</v>
      </c>
      <c r="R103" s="324">
        <f>'DATA (Real)'!R99*R$4/$H$4</f>
        <v>4.4125449539402002</v>
      </c>
      <c r="S103" s="324">
        <f>'DATA (Real)'!S99*S$4/$H$4</f>
        <v>4.509620942926885</v>
      </c>
      <c r="T103" s="324">
        <f>'DATA (Real)'!T99*T$4/$H$4</f>
        <v>4.6088326036712761</v>
      </c>
      <c r="U103" s="324">
        <f>'DATA (Real)'!U99*U$4/$H$4</f>
        <v>4.7102269209520449</v>
      </c>
      <c r="V103" s="324">
        <f>'DATA (Real)'!V99*V$4/$H$4</f>
        <v>4.8138519132129893</v>
      </c>
      <c r="W103" s="324">
        <f>'DATA (Real)'!W99*W$4/$H$4</f>
        <v>4.9197566553036749</v>
      </c>
      <c r="X103" s="324">
        <f>'DATA (Real)'!X99*X$4/$H$4</f>
        <v>5.0279913017203555</v>
      </c>
      <c r="Y103" s="324">
        <f>'DATA (Real)'!Y99*Y$4/$H$4</f>
        <v>5.1386071103582038</v>
      </c>
      <c r="Z103" s="324">
        <f>'DATA (Real)'!Z99*Z$4/$H$4</f>
        <v>5.2516564667860841</v>
      </c>
      <c r="AA103" s="324">
        <f>'DATA (Real)'!AA99*AA$4/$H$4</f>
        <v>5.3671929090553778</v>
      </c>
      <c r="AB103" s="324">
        <f>'DATA (Real)'!AB99*AB$4/$H$4</f>
        <v>5.4852711530545966</v>
      </c>
      <c r="AC103" s="324">
        <f>'DATA (Real)'!AC99*AC$4/$H$4</f>
        <v>5.6059471184217973</v>
      </c>
      <c r="AD103" s="324">
        <f>'DATA (Real)'!AD99*AD$4/$H$4</f>
        <v>5.7292779550270767</v>
      </c>
      <c r="AE103" s="324">
        <f>'DATA (Real)'!AE99*AE$4/$H$4</f>
        <v>5.8553220700376727</v>
      </c>
      <c r="AF103" s="324">
        <f>'DATA (Real)'!AF99*AF$4/$H$4</f>
        <v>5.984139155578502</v>
      </c>
      <c r="AG103" s="324">
        <f>'DATA (Real)'!AG99*AG$4/$H$4</f>
        <v>6.1157902170012282</v>
      </c>
      <c r="AH103" s="324">
        <f>'DATA (Real)'!AH99*AH$4/$H$4</f>
        <v>6.2503376017752563</v>
      </c>
      <c r="AI103" s="324">
        <f>'DATA (Real)'!AI99*AI$4/$H$4</f>
        <v>6.3878450290143123</v>
      </c>
      <c r="AJ103" s="324">
        <f>'DATA (Real)'!AJ99*AJ$4/$H$4</f>
        <v>6.528377619652626</v>
      </c>
      <c r="AK103" s="324">
        <f>'DATA (Real)'!AK99*AK$4/$H$4</f>
        <v>6.6720019272849838</v>
      </c>
      <c r="AL103" s="324">
        <f>'DATA (Real)'!AL99*AL$4/$H$4</f>
        <v>6.818785969685254</v>
      </c>
      <c r="AM103" s="324">
        <f>'DATA (Real)'!AM99*AM$4/$H$4</f>
        <v>6.9687992610183302</v>
      </c>
      <c r="AN103" s="324">
        <f>'DATA (Real)'!AN99*AN$4/$H$4</f>
        <v>7.1221128447607329</v>
      </c>
      <c r="AO103" s="324">
        <f>'DATA (Real)'!AO99*AO$4/$H$4</f>
        <v>7.2787993273454692</v>
      </c>
      <c r="AP103" s="324">
        <f>'DATA (Real)'!AP99*AP$4/$H$4</f>
        <v>7.4389329125470693</v>
      </c>
      <c r="AQ103" s="324">
        <f>'DATA (Real)'!AQ99*AQ$4/$H$4</f>
        <v>7.6025894366231048</v>
      </c>
      <c r="AR103" s="324">
        <f>'DATA (Real)'!AR99*AR$4/$H$4</f>
        <v>7.7698464042288133</v>
      </c>
      <c r="AS103" s="324">
        <f>'DATA (Real)'!AS99*AS$4/$H$4</f>
        <v>7.9407830251218465</v>
      </c>
      <c r="AT103" s="324">
        <f>'DATA (Real)'!AT99*AT$4/$H$4</f>
        <v>8.1154802516745281</v>
      </c>
      <c r="AU103" s="324">
        <f>'DATA (Real)'!AU99*AU$4/$H$4</f>
        <v>8.2940208172113667</v>
      </c>
      <c r="AV103" s="324">
        <f>'DATA (Real)'!AV99*AV$4/$H$4</f>
        <v>8.4764892751900174</v>
      </c>
      <c r="AW103" s="324">
        <f>'DATA (Real)'!AW99*AW$4/$H$4</f>
        <v>8.6629720392441971</v>
      </c>
      <c r="AX103" s="324">
        <f>'DATA (Real)'!AX99*AX$4/$H$4</f>
        <v>8.8535574241075707</v>
      </c>
      <c r="AY103" s="324">
        <f>'DATA (Real)'!AY99*AY$4/$H$4</f>
        <v>9.0483356874379393</v>
      </c>
      <c r="AZ103" s="324">
        <f>'DATA (Real)'!AZ99*AZ$4/$H$4</f>
        <v>9.2473990725615725</v>
      </c>
      <c r="BA103" s="324">
        <f>'DATA (Real)'!BA99*BA$4/$H$4</f>
        <v>9.4508418521579269</v>
      </c>
      <c r="BB103" s="324">
        <f>'DATA (Real)'!BB99*BB$4/$H$4</f>
        <v>9.6587603729054017</v>
      </c>
      <c r="BC103" s="324">
        <f>'DATA (Real)'!BC99*BC$4/$H$4</f>
        <v>9.8712531011093212</v>
      </c>
      <c r="BD103" s="324">
        <f>'DATA (Real)'!BD99*BD$4/$H$4</f>
        <v>10.088420669333725</v>
      </c>
      <c r="BE103" s="324">
        <f>'DATA (Real)'!BE99*BE$4/$H$4</f>
        <v>10.310365924059067</v>
      </c>
      <c r="BF103" s="324">
        <f>'DATA (Real)'!BF99*BF$4/$H$4</f>
        <v>10.537193974388368</v>
      </c>
      <c r="BG103" s="324">
        <f>'DATA (Real)'!BG99*BG$4/$H$4</f>
        <v>10.76901224182491</v>
      </c>
      <c r="BH103" s="324">
        <f>'DATA (Real)'!BH99*BH$4/$H$4</f>
        <v>11.00593051114506</v>
      </c>
      <c r="BI103" s="324">
        <f>'DATA (Real)'!BI99*BI$4/$H$4</f>
        <v>11.24806098239025</v>
      </c>
      <c r="BJ103" s="324">
        <f>'DATA (Real)'!BJ99*BJ$4/$H$4</f>
        <v>11.495518324002838</v>
      </c>
      <c r="BK103" s="324">
        <f>'DATA (Real)'!BK99*BK$4/$H$4</f>
        <v>11.7484197271309</v>
      </c>
      <c r="BL103" s="324">
        <f>'DATA (Real)'!BL99*BL$4/$H$4</f>
        <v>12.006884961127779</v>
      </c>
      <c r="BM103" s="324">
        <f>'DATA (Real)'!BM99*BM$4/$H$4</f>
        <v>12.271036430272591</v>
      </c>
      <c r="BN103" s="324">
        <f>'DATA (Real)'!BN99*BN$4/$H$4</f>
        <v>12.540999231738589</v>
      </c>
      <c r="BO103" s="324">
        <f>'DATA (Real)'!BO99*BO$4/$H$4</f>
        <v>12.816901214836838</v>
      </c>
      <c r="BP103" s="324">
        <f>'DATA (Real)'!BP99*BP$4/$H$4</f>
        <v>13.098873041563248</v>
      </c>
      <c r="BQ103" s="324">
        <f>'DATA (Real)'!BQ99*BQ$4/$H$4</f>
        <v>13.38704824847764</v>
      </c>
      <c r="BR103" s="324">
        <f>'DATA (Real)'!BR99*BR$4/$H$4</f>
        <v>13.681563309944147</v>
      </c>
      <c r="BS103" s="324">
        <f>'DATA (Real)'!BS99*BS$4/$H$4</f>
        <v>13.982557702762922</v>
      </c>
      <c r="BT103" s="324">
        <f>'DATA (Real)'!BT99*BT$4/$H$4</f>
        <v>14.290173972223705</v>
      </c>
      <c r="BU103" s="324">
        <f>'DATA (Real)'!BU99*BU$4/$H$4</f>
        <v>14.604557799612627</v>
      </c>
      <c r="BV103" s="324">
        <f>'DATA (Real)'!BV99*BV$4/$H$4</f>
        <v>14.925858071204106</v>
      </c>
      <c r="BW103" s="324">
        <f>'DATA (Real)'!BW99*BW$4/$H$4</f>
        <v>15.254226948770597</v>
      </c>
      <c r="BX103" s="324">
        <f>'DATA (Real)'!BX99*BX$4/$H$4</f>
        <v>15.589819941643549</v>
      </c>
    </row>
    <row r="104" spans="2:76" outlineLevel="1">
      <c r="B104" s="349" t="s">
        <v>230</v>
      </c>
      <c r="C104" s="349" t="str">
        <f>'DATA (Real)'!C100</f>
        <v>Internal</v>
      </c>
      <c r="D104" s="349" t="str">
        <f>'DATA (Real)'!D100</f>
        <v>Variable Operation and Maintenance Expenses ($/MWh)</v>
      </c>
      <c r="E104" s="349" t="str">
        <f>'DATA (Real)'!E100</f>
        <v>Rathdrum CT 2055 Uprates two unit operation</v>
      </c>
      <c r="F104" s="314"/>
      <c r="G104" s="314"/>
      <c r="H104" s="314">
        <f>'DATA (Real)'!H100</f>
        <v>4.5999999999999996</v>
      </c>
      <c r="I104" s="324">
        <f>'DATA (Real)'!I100*I$4/$H$4</f>
        <v>4.7459119999999997</v>
      </c>
      <c r="J104" s="324">
        <f>'DATA (Real)'!J100*J$4/$H$4</f>
        <v>4.8575496924833317</v>
      </c>
      <c r="K104" s="324">
        <f>'DATA (Real)'!K100*K$4/$H$4</f>
        <v>4.9660349689487928</v>
      </c>
      <c r="L104" s="324">
        <f>'DATA (Real)'!L100*L$4/$H$4</f>
        <v>5.0769430832553155</v>
      </c>
      <c r="M104" s="324">
        <f>'DATA (Real)'!M100*M$4/$H$4</f>
        <v>5.190328145448019</v>
      </c>
      <c r="N104" s="324">
        <f>'DATA (Real)'!N100*N$4/$H$4</f>
        <v>5.3045153646478749</v>
      </c>
      <c r="O104" s="324">
        <f>'DATA (Real)'!O100*O$4/$H$4</f>
        <v>5.4212147026701283</v>
      </c>
      <c r="P104" s="324">
        <f>'DATA (Real)'!P100*P$4/$H$4</f>
        <v>5.5404814261288715</v>
      </c>
      <c r="Q104" s="324">
        <f>'DATA (Real)'!Q100*Q$4/$H$4</f>
        <v>5.6623720175037064</v>
      </c>
      <c r="R104" s="324">
        <f>'DATA (Real)'!R100*R$4/$H$4</f>
        <v>5.7869442018887884</v>
      </c>
      <c r="S104" s="324">
        <f>'DATA (Real)'!S100*S$4/$H$4</f>
        <v>5.9142569743303417</v>
      </c>
      <c r="T104" s="324">
        <f>'DATA (Real)'!T100*T$4/$H$4</f>
        <v>6.0443706277656091</v>
      </c>
      <c r="U104" s="324">
        <f>'DATA (Real)'!U100*U$4/$H$4</f>
        <v>6.1773467815764525</v>
      </c>
      <c r="V104" s="324">
        <f>'DATA (Real)'!V100*V$4/$H$4</f>
        <v>6.3132484107711342</v>
      </c>
      <c r="W104" s="324">
        <f>'DATA (Real)'!W100*W$4/$H$4</f>
        <v>6.4521398758080979</v>
      </c>
      <c r="X104" s="324">
        <f>'DATA (Real)'!X100*X$4/$H$4</f>
        <v>6.5940869530758777</v>
      </c>
      <c r="Y104" s="324">
        <f>'DATA (Real)'!Y100*Y$4/$H$4</f>
        <v>6.7391568660435475</v>
      </c>
      <c r="Z104" s="324">
        <f>'DATA (Real)'!Z100*Z$4/$H$4</f>
        <v>6.8874183170965049</v>
      </c>
      <c r="AA104" s="324">
        <f>'DATA (Real)'!AA100*AA$4/$H$4</f>
        <v>7.038941520072628</v>
      </c>
      <c r="AB104" s="324">
        <f>'DATA (Real)'!AB100*AB$4/$H$4</f>
        <v>7.1937982335142259</v>
      </c>
      <c r="AC104" s="324">
        <f>'DATA (Real)'!AC100*AC$4/$H$4</f>
        <v>7.3520617946515392</v>
      </c>
      <c r="AD104" s="324">
        <f>'DATA (Real)'!AD100*AD$4/$H$4</f>
        <v>7.5138071541338727</v>
      </c>
      <c r="AE104" s="324">
        <f>'DATA (Real)'!AE100*AE$4/$H$4</f>
        <v>7.679110911524818</v>
      </c>
      <c r="AF104" s="324">
        <f>'DATA (Real)'!AF100*AF$4/$H$4</f>
        <v>7.8480513515783636</v>
      </c>
      <c r="AG104" s="324">
        <f>'DATA (Real)'!AG100*AG$4/$H$4</f>
        <v>8.020708481313088</v>
      </c>
      <c r="AH104" s="324">
        <f>'DATA (Real)'!AH100*AH$4/$H$4</f>
        <v>8.1971640679019764</v>
      </c>
      <c r="AI104" s="324">
        <f>'DATA (Real)'!AI100*AI$4/$H$4</f>
        <v>8.37750167739582</v>
      </c>
      <c r="AJ104" s="324">
        <f>'DATA (Real)'!AJ100*AJ$4/$H$4</f>
        <v>8.5618067142985268</v>
      </c>
      <c r="AK104" s="324">
        <f>'DATA (Real)'!AK100*AK$4/$H$4</f>
        <v>8.7501664620130946</v>
      </c>
      <c r="AL104" s="324">
        <f>'DATA (Real)'!AL100*AL$4/$H$4</f>
        <v>8.9426701241773827</v>
      </c>
      <c r="AM104" s="324">
        <f>'DATA (Real)'!AM100*AM$4/$H$4</f>
        <v>9.139408866909287</v>
      </c>
      <c r="AN104" s="324">
        <f>'DATA (Real)'!AN100*AN$4/$H$4</f>
        <v>9.3404758619812895</v>
      </c>
      <c r="AO104" s="324">
        <f>'DATA (Real)'!AO100*AO$4/$H$4</f>
        <v>9.5459663309448786</v>
      </c>
      <c r="AP104" s="324">
        <f>'DATA (Real)'!AP100*AP$4/$H$4</f>
        <v>9.7559775902256671</v>
      </c>
      <c r="AQ104" s="324">
        <f>'DATA (Real)'!AQ100*AQ$4/$H$4</f>
        <v>9.970609097210632</v>
      </c>
      <c r="AR104" s="324">
        <f>'DATA (Real)'!AR100*AR$4/$H$4</f>
        <v>10.189962497349265</v>
      </c>
      <c r="AS104" s="324">
        <f>'DATA (Real)'!AS100*AS$4/$H$4</f>
        <v>10.414141672290949</v>
      </c>
      <c r="AT104" s="324">
        <f>'DATA (Real)'!AT100*AT$4/$H$4</f>
        <v>10.643252789081348</v>
      </c>
      <c r="AU104" s="324">
        <f>'DATA (Real)'!AU100*AU$4/$H$4</f>
        <v>10.877404350441138</v>
      </c>
      <c r="AV104" s="324">
        <f>'DATA (Real)'!AV100*AV$4/$H$4</f>
        <v>11.116707246150844</v>
      </c>
      <c r="AW104" s="324">
        <f>'DATA (Real)'!AW100*AW$4/$H$4</f>
        <v>11.361274805566163</v>
      </c>
      <c r="AX104" s="324">
        <f>'DATA (Real)'!AX100*AX$4/$H$4</f>
        <v>11.61122285128862</v>
      </c>
      <c r="AY104" s="324">
        <f>'DATA (Real)'!AY100*AY$4/$H$4</f>
        <v>11.86666975401697</v>
      </c>
      <c r="AZ104" s="324">
        <f>'DATA (Real)'!AZ100*AZ$4/$H$4</f>
        <v>12.127736488605342</v>
      </c>
      <c r="BA104" s="324">
        <f>'DATA (Real)'!BA100*BA$4/$H$4</f>
        <v>12.394546691354661</v>
      </c>
      <c r="BB104" s="324">
        <f>'DATA (Real)'!BB100*BB$4/$H$4</f>
        <v>12.667226718564462</v>
      </c>
      <c r="BC104" s="324">
        <f>'DATA (Real)'!BC100*BC$4/$H$4</f>
        <v>12.945905706372882</v>
      </c>
      <c r="BD104" s="324">
        <f>'DATA (Real)'!BD100*BD$4/$H$4</f>
        <v>13.230715631913085</v>
      </c>
      <c r="BE104" s="324">
        <f>'DATA (Real)'!BE100*BE$4/$H$4</f>
        <v>13.521791375815171</v>
      </c>
      <c r="BF104" s="324">
        <f>'DATA (Real)'!BF100*BF$4/$H$4</f>
        <v>13.819270786083106</v>
      </c>
      <c r="BG104" s="324">
        <f>'DATA (Real)'!BG100*BG$4/$H$4</f>
        <v>14.123294743376935</v>
      </c>
      <c r="BH104" s="324">
        <f>'DATA (Real)'!BH100*BH$4/$H$4</f>
        <v>14.434007227731227</v>
      </c>
      <c r="BI104" s="324">
        <f>'DATA (Real)'!BI100*BI$4/$H$4</f>
        <v>14.751555386741313</v>
      </c>
      <c r="BJ104" s="324">
        <f>'DATA (Real)'!BJ100*BJ$4/$H$4</f>
        <v>15.076089605249622</v>
      </c>
      <c r="BK104" s="324">
        <f>'DATA (Real)'!BK100*BK$4/$H$4</f>
        <v>15.407763576565117</v>
      </c>
      <c r="BL104" s="324">
        <f>'DATA (Real)'!BL100*BL$4/$H$4</f>
        <v>15.746734375249549</v>
      </c>
      <c r="BM104" s="324">
        <f>'DATA (Real)'!BM100*BM$4/$H$4</f>
        <v>16.09316253150504</v>
      </c>
      <c r="BN104" s="324">
        <f>'DATA (Real)'!BN100*BN$4/$H$4</f>
        <v>16.447212107198151</v>
      </c>
      <c r="BO104" s="324">
        <f>'DATA (Real)'!BO100*BO$4/$H$4</f>
        <v>16.80905077355651</v>
      </c>
      <c r="BP104" s="324">
        <f>'DATA (Real)'!BP100*BP$4/$H$4</f>
        <v>17.178849890574753</v>
      </c>
      <c r="BQ104" s="324">
        <f>'DATA (Real)'!BQ100*BQ$4/$H$4</f>
        <v>17.5567845881674</v>
      </c>
      <c r="BR104" s="324">
        <f>'DATA (Real)'!BR100*BR$4/$H$4</f>
        <v>17.943033849107081</v>
      </c>
      <c r="BS104" s="324">
        <f>'DATA (Real)'!BS100*BS$4/$H$4</f>
        <v>18.337780593787436</v>
      </c>
      <c r="BT104" s="324">
        <f>'DATA (Real)'!BT100*BT$4/$H$4</f>
        <v>18.741211766850764</v>
      </c>
      <c r="BU104" s="324">
        <f>'DATA (Real)'!BU100*BU$4/$H$4</f>
        <v>19.153518425721479</v>
      </c>
      <c r="BV104" s="324">
        <f>'DATA (Real)'!BV100*BV$4/$H$4</f>
        <v>19.574895831087353</v>
      </c>
      <c r="BW104" s="324">
        <f>'DATA (Real)'!BW100*BW$4/$H$4</f>
        <v>20.005543539371278</v>
      </c>
      <c r="BX104" s="324">
        <f>'DATA (Real)'!BX100*BX$4/$H$4</f>
        <v>20.445665497237442</v>
      </c>
    </row>
    <row r="105" spans="2:76" outlineLevel="1">
      <c r="B105" s="349" t="s">
        <v>230</v>
      </c>
      <c r="C105" s="349" t="str">
        <f>'DATA (Real)'!C101</f>
        <v>Internal</v>
      </c>
      <c r="D105" s="349" t="str">
        <f>'DATA (Real)'!D101</f>
        <v>Variable Operation and Maintenance Expenses ($/MWh)</v>
      </c>
      <c r="E105" s="349" t="str">
        <f>'DATA (Real)'!E101</f>
        <v>Rathdrum CT: Inlet Evaporation 2 unit operation</v>
      </c>
      <c r="F105" s="314"/>
      <c r="G105" s="314"/>
      <c r="H105" s="314">
        <f>'DATA (Real)'!H101</f>
        <v>5.75</v>
      </c>
      <c r="I105" s="324">
        <f>'DATA (Real)'!I101*I$4/$H$4</f>
        <v>5.9323899999999998</v>
      </c>
      <c r="J105" s="324">
        <f>'DATA (Real)'!J101*J$4/$H$4</f>
        <v>6.0719371156041655</v>
      </c>
      <c r="K105" s="324">
        <f>'DATA (Real)'!K101*K$4/$H$4</f>
        <v>6.2075437111859921</v>
      </c>
      <c r="L105" s="324">
        <f>'DATA (Real)'!L101*L$4/$H$4</f>
        <v>6.3461788540691462</v>
      </c>
      <c r="M105" s="324">
        <f>'DATA (Real)'!M101*M$4/$H$4</f>
        <v>6.4879101818100242</v>
      </c>
      <c r="N105" s="324">
        <f>'DATA (Real)'!N101*N$4/$H$4</f>
        <v>6.630644205809844</v>
      </c>
      <c r="O105" s="324">
        <f>'DATA (Real)'!O101*O$4/$H$4</f>
        <v>6.776518378337661</v>
      </c>
      <c r="P105" s="324">
        <f>'DATA (Real)'!P101*P$4/$H$4</f>
        <v>6.9256017826610892</v>
      </c>
      <c r="Q105" s="324">
        <f>'DATA (Real)'!Q101*Q$4/$H$4</f>
        <v>7.0779650218796331</v>
      </c>
      <c r="R105" s="324">
        <f>'DATA (Real)'!R101*R$4/$H$4</f>
        <v>7.233680252360986</v>
      </c>
      <c r="S105" s="324">
        <f>'DATA (Real)'!S101*S$4/$H$4</f>
        <v>7.3928212179129282</v>
      </c>
      <c r="T105" s="324">
        <f>'DATA (Real)'!T101*T$4/$H$4</f>
        <v>7.5554632847070122</v>
      </c>
      <c r="U105" s="324">
        <f>'DATA (Real)'!U101*U$4/$H$4</f>
        <v>7.7216834769705658</v>
      </c>
      <c r="V105" s="324">
        <f>'DATA (Real)'!V101*V$4/$H$4</f>
        <v>7.8915605134639186</v>
      </c>
      <c r="W105" s="324">
        <f>'DATA (Real)'!W101*W$4/$H$4</f>
        <v>8.0651748447601239</v>
      </c>
      <c r="X105" s="324">
        <f>'DATA (Real)'!X101*X$4/$H$4</f>
        <v>8.2426086913448469</v>
      </c>
      <c r="Y105" s="324">
        <f>'DATA (Real)'!Y101*Y$4/$H$4</f>
        <v>8.4239460825544352</v>
      </c>
      <c r="Z105" s="324">
        <f>'DATA (Real)'!Z101*Z$4/$H$4</f>
        <v>8.6092728963706318</v>
      </c>
      <c r="AA105" s="324">
        <f>'DATA (Real)'!AA101*AA$4/$H$4</f>
        <v>8.7986769000907845</v>
      </c>
      <c r="AB105" s="324">
        <f>'DATA (Real)'!AB101*AB$4/$H$4</f>
        <v>8.9922477918927832</v>
      </c>
      <c r="AC105" s="324">
        <f>'DATA (Real)'!AC101*AC$4/$H$4</f>
        <v>9.1900772433144251</v>
      </c>
      <c r="AD105" s="324">
        <f>'DATA (Real)'!AD101*AD$4/$H$4</f>
        <v>9.3922589426673415</v>
      </c>
      <c r="AE105" s="324">
        <f>'DATA (Real)'!AE101*AE$4/$H$4</f>
        <v>9.5988886394060238</v>
      </c>
      <c r="AF105" s="324">
        <f>'DATA (Real)'!AF101*AF$4/$H$4</f>
        <v>9.8100641894729552</v>
      </c>
      <c r="AG105" s="324">
        <f>'DATA (Real)'!AG101*AG$4/$H$4</f>
        <v>10.02588560164136</v>
      </c>
      <c r="AH105" s="324">
        <f>'DATA (Real)'!AH101*AH$4/$H$4</f>
        <v>10.24645508487747</v>
      </c>
      <c r="AI105" s="324">
        <f>'DATA (Real)'!AI101*AI$4/$H$4</f>
        <v>10.471877096744775</v>
      </c>
      <c r="AJ105" s="324">
        <f>'DATA (Real)'!AJ101*AJ$4/$H$4</f>
        <v>10.70225839287316</v>
      </c>
      <c r="AK105" s="324">
        <f>'DATA (Real)'!AK101*AK$4/$H$4</f>
        <v>10.937708077516367</v>
      </c>
      <c r="AL105" s="324">
        <f>'DATA (Real)'!AL101*AL$4/$H$4</f>
        <v>11.17833765522173</v>
      </c>
      <c r="AM105" s="324">
        <f>'DATA (Real)'!AM101*AM$4/$H$4</f>
        <v>11.424261083636608</v>
      </c>
      <c r="AN105" s="324">
        <f>'DATA (Real)'!AN101*AN$4/$H$4</f>
        <v>11.675594827476612</v>
      </c>
      <c r="AO105" s="324">
        <f>'DATA (Real)'!AO101*AO$4/$H$4</f>
        <v>11.932457913681098</v>
      </c>
      <c r="AP105" s="324">
        <f>'DATA (Real)'!AP101*AP$4/$H$4</f>
        <v>12.194971987782084</v>
      </c>
      <c r="AQ105" s="324">
        <f>'DATA (Real)'!AQ101*AQ$4/$H$4</f>
        <v>12.46326137151329</v>
      </c>
      <c r="AR105" s="324">
        <f>'DATA (Real)'!AR101*AR$4/$H$4</f>
        <v>12.737453121686581</v>
      </c>
      <c r="AS105" s="324">
        <f>'DATA (Real)'!AS101*AS$4/$H$4</f>
        <v>13.017677090363685</v>
      </c>
      <c r="AT105" s="324">
        <f>'DATA (Real)'!AT101*AT$4/$H$4</f>
        <v>13.304065986351686</v>
      </c>
      <c r="AU105" s="324">
        <f>'DATA (Real)'!AU101*AU$4/$H$4</f>
        <v>13.596755438051424</v>
      </c>
      <c r="AV105" s="324">
        <f>'DATA (Real)'!AV101*AV$4/$H$4</f>
        <v>13.895884057688555</v>
      </c>
      <c r="AW105" s="324">
        <f>'DATA (Real)'!AW101*AW$4/$H$4</f>
        <v>14.201593506957705</v>
      </c>
      <c r="AX105" s="324">
        <f>'DATA (Real)'!AX101*AX$4/$H$4</f>
        <v>14.514028564110776</v>
      </c>
      <c r="AY105" s="324">
        <f>'DATA (Real)'!AY101*AY$4/$H$4</f>
        <v>14.833337192521213</v>
      </c>
      <c r="AZ105" s="324">
        <f>'DATA (Real)'!AZ101*AZ$4/$H$4</f>
        <v>15.159670610756679</v>
      </c>
      <c r="BA105" s="324">
        <f>'DATA (Real)'!BA101*BA$4/$H$4</f>
        <v>15.493183364193328</v>
      </c>
      <c r="BB105" s="324">
        <f>'DATA (Real)'!BB101*BB$4/$H$4</f>
        <v>15.83403339820558</v>
      </c>
      <c r="BC105" s="324">
        <f>'DATA (Real)'!BC101*BC$4/$H$4</f>
        <v>16.182382132966104</v>
      </c>
      <c r="BD105" s="324">
        <f>'DATA (Real)'!BD101*BD$4/$H$4</f>
        <v>16.538394539891357</v>
      </c>
      <c r="BE105" s="324">
        <f>'DATA (Real)'!BE101*BE$4/$H$4</f>
        <v>16.902239219768965</v>
      </c>
      <c r="BF105" s="324">
        <f>'DATA (Real)'!BF101*BF$4/$H$4</f>
        <v>17.274088482603883</v>
      </c>
      <c r="BG105" s="324">
        <f>'DATA (Real)'!BG101*BG$4/$H$4</f>
        <v>17.654118429221167</v>
      </c>
      <c r="BH105" s="324">
        <f>'DATA (Real)'!BH101*BH$4/$H$4</f>
        <v>18.042509034664036</v>
      </c>
      <c r="BI105" s="324">
        <f>'DATA (Real)'!BI101*BI$4/$H$4</f>
        <v>18.439444233426642</v>
      </c>
      <c r="BJ105" s="324">
        <f>'DATA (Real)'!BJ101*BJ$4/$H$4</f>
        <v>18.845112006562033</v>
      </c>
      <c r="BK105" s="324">
        <f>'DATA (Real)'!BK101*BK$4/$H$4</f>
        <v>19.259704470706396</v>
      </c>
      <c r="BL105" s="324">
        <f>'DATA (Real)'!BL101*BL$4/$H$4</f>
        <v>19.683417969061939</v>
      </c>
      <c r="BM105" s="324">
        <f>'DATA (Real)'!BM101*BM$4/$H$4</f>
        <v>20.116453164381298</v>
      </c>
      <c r="BN105" s="324">
        <f>'DATA (Real)'!BN101*BN$4/$H$4</f>
        <v>20.559015133997686</v>
      </c>
      <c r="BO105" s="324">
        <f>'DATA (Real)'!BO101*BO$4/$H$4</f>
        <v>21.011313466945641</v>
      </c>
      <c r="BP105" s="324">
        <f>'DATA (Real)'!BP101*BP$4/$H$4</f>
        <v>21.473562363218441</v>
      </c>
      <c r="BQ105" s="324">
        <f>'DATA (Real)'!BQ101*BQ$4/$H$4</f>
        <v>21.945980735209247</v>
      </c>
      <c r="BR105" s="324">
        <f>'DATA (Real)'!BR101*BR$4/$H$4</f>
        <v>22.428792311383855</v>
      </c>
      <c r="BS105" s="324">
        <f>'DATA (Real)'!BS101*BS$4/$H$4</f>
        <v>22.9222257422343</v>
      </c>
      <c r="BT105" s="324">
        <f>'DATA (Real)'!BT101*BT$4/$H$4</f>
        <v>23.426514708563456</v>
      </c>
      <c r="BU105" s="324">
        <f>'DATA (Real)'!BU101*BU$4/$H$4</f>
        <v>23.941898032151851</v>
      </c>
      <c r="BV105" s="324">
        <f>'DATA (Real)'!BV101*BV$4/$H$4</f>
        <v>24.468619788859193</v>
      </c>
      <c r="BW105" s="324">
        <f>'DATA (Real)'!BW101*BW$4/$H$4</f>
        <v>25.0069294242141</v>
      </c>
      <c r="BX105" s="324">
        <f>'DATA (Real)'!BX101*BX$4/$H$4</f>
        <v>25.55708187154681</v>
      </c>
    </row>
    <row r="106" spans="2:76" outlineLevel="1">
      <c r="B106" s="352" t="s">
        <v>230</v>
      </c>
      <c r="C106" s="352" t="str">
        <f>'DATA (Real)'!C102</f>
        <v>NREL Residential PV - Class 8</v>
      </c>
      <c r="D106" s="352" t="str">
        <f>'DATA (Real)'!D102</f>
        <v>Variable Operation and Maintenance Expenses ($/MWh)</v>
      </c>
      <c r="E106" s="352" t="str">
        <f>'DATA (Real)'!E102</f>
        <v>New Residential Solar</v>
      </c>
      <c r="F106" s="314">
        <f>'DATA (Real)'!F102</f>
        <v>0</v>
      </c>
      <c r="G106" s="324">
        <f>'DATA (Real)'!G102*G$4/100</f>
        <v>0</v>
      </c>
      <c r="H106" s="324">
        <f>'DATA (Real)'!H102*H$4/100</f>
        <v>0</v>
      </c>
      <c r="I106" s="324">
        <f>'DATA (Real)'!I102*I$4/100</f>
        <v>0</v>
      </c>
      <c r="J106" s="324">
        <f>'DATA (Real)'!J102*J$4/100</f>
        <v>0</v>
      </c>
      <c r="K106" s="324">
        <f>'DATA (Real)'!K102*K$4/100</f>
        <v>0</v>
      </c>
      <c r="L106" s="324">
        <f>'DATA (Real)'!L102*L$4/100</f>
        <v>0</v>
      </c>
      <c r="M106" s="324">
        <f>'DATA (Real)'!M102*M$4/100</f>
        <v>0</v>
      </c>
      <c r="N106" s="324">
        <f>'DATA (Real)'!N102*N$4/100</f>
        <v>0</v>
      </c>
      <c r="O106" s="324">
        <f>'DATA (Real)'!O102*O$4/100</f>
        <v>0</v>
      </c>
      <c r="P106" s="324">
        <f>'DATA (Real)'!P102*P$4/100</f>
        <v>0</v>
      </c>
      <c r="Q106" s="324">
        <f>'DATA (Real)'!Q102*Q$4/100</f>
        <v>0</v>
      </c>
      <c r="R106" s="324">
        <f>'DATA (Real)'!R102*R$4/100</f>
        <v>0</v>
      </c>
      <c r="S106" s="324">
        <f>'DATA (Real)'!S102*S$4/100</f>
        <v>0</v>
      </c>
      <c r="T106" s="324">
        <f>'DATA (Real)'!T102*T$4/100</f>
        <v>0</v>
      </c>
      <c r="U106" s="324">
        <f>'DATA (Real)'!U102*U$4/100</f>
        <v>0</v>
      </c>
      <c r="V106" s="324">
        <f>'DATA (Real)'!V102*V$4/100</f>
        <v>0</v>
      </c>
      <c r="W106" s="324">
        <f>'DATA (Real)'!W102*W$4/100</f>
        <v>0</v>
      </c>
      <c r="X106" s="324">
        <f>'DATA (Real)'!X102*X$4/100</f>
        <v>0</v>
      </c>
      <c r="Y106" s="324">
        <f>'DATA (Real)'!Y102*Y$4/100</f>
        <v>0</v>
      </c>
      <c r="Z106" s="324">
        <f>'DATA (Real)'!Z102*Z$4/100</f>
        <v>0</v>
      </c>
      <c r="AA106" s="324">
        <f>'DATA (Real)'!AA102*AA$4/100</f>
        <v>0</v>
      </c>
      <c r="AB106" s="324">
        <f>'DATA (Real)'!AB102*AB$4/100</f>
        <v>0</v>
      </c>
      <c r="AC106" s="324">
        <f>'DATA (Real)'!AC102*AC$4/100</f>
        <v>0</v>
      </c>
      <c r="AD106" s="324">
        <f>'DATA (Real)'!AD102*AD$4/100</f>
        <v>0</v>
      </c>
      <c r="AE106" s="324">
        <f>'DATA (Real)'!AE102*AE$4/100</f>
        <v>0</v>
      </c>
      <c r="AF106" s="324">
        <f>'DATA (Real)'!AF102*AF$4/100</f>
        <v>0</v>
      </c>
      <c r="AG106" s="324">
        <f>'DATA (Real)'!AG102*AG$4/100</f>
        <v>0</v>
      </c>
      <c r="AH106" s="324">
        <f>'DATA (Real)'!AH102*AH$4/100</f>
        <v>0</v>
      </c>
      <c r="AI106" s="324">
        <f>'DATA (Real)'!AI102*AI$4/100</f>
        <v>0</v>
      </c>
      <c r="AJ106" s="324">
        <f>'DATA (Real)'!AJ102*AJ$4/100</f>
        <v>0</v>
      </c>
      <c r="AK106" s="324">
        <f>'DATA (Real)'!AK102*AK$4/100</f>
        <v>0</v>
      </c>
      <c r="AL106" s="324">
        <f>'DATA (Real)'!AL102*AL$4/100</f>
        <v>0</v>
      </c>
      <c r="AM106" s="324">
        <f>'DATA (Real)'!AM102*AM$4/100</f>
        <v>0</v>
      </c>
      <c r="AN106" s="324">
        <f>'DATA (Real)'!AN102*AN$4/100</f>
        <v>0</v>
      </c>
      <c r="AO106" s="324">
        <f>'DATA (Real)'!AO102*AO$4/100</f>
        <v>0</v>
      </c>
      <c r="AP106" s="324">
        <f>'DATA (Real)'!AP102*AP$4/100</f>
        <v>0</v>
      </c>
      <c r="AQ106" s="324">
        <f>'DATA (Real)'!AQ102*AQ$4/100</f>
        <v>0</v>
      </c>
      <c r="AR106" s="324">
        <f>'DATA (Real)'!AR102*AR$4/100</f>
        <v>0</v>
      </c>
      <c r="AS106" s="324">
        <f>'DATA (Real)'!AS102*AS$4/100</f>
        <v>0</v>
      </c>
      <c r="AT106" s="324">
        <f>'DATA (Real)'!AT102*AT$4/100</f>
        <v>0</v>
      </c>
      <c r="AU106" s="324">
        <f>'DATA (Real)'!AU102*AU$4/100</f>
        <v>0</v>
      </c>
      <c r="AV106" s="324">
        <f>'DATA (Real)'!AV102*AV$4/100</f>
        <v>0</v>
      </c>
      <c r="AW106" s="324">
        <f>'DATA (Real)'!AW102*AW$4/100</f>
        <v>0</v>
      </c>
      <c r="AX106" s="324">
        <f>'DATA (Real)'!AX102*AX$4/100</f>
        <v>0</v>
      </c>
      <c r="AY106" s="324">
        <f>'DATA (Real)'!AY102*AY$4/100</f>
        <v>0</v>
      </c>
      <c r="AZ106" s="324">
        <f>'DATA (Real)'!AZ102*AZ$4/100</f>
        <v>0</v>
      </c>
      <c r="BA106" s="324">
        <f>'DATA (Real)'!BA102*BA$4/100</f>
        <v>0</v>
      </c>
      <c r="BB106" s="324">
        <f>'DATA (Real)'!BB102*BB$4/100</f>
        <v>0</v>
      </c>
      <c r="BC106" s="324">
        <f>'DATA (Real)'!BC102*BC$4/100</f>
        <v>0</v>
      </c>
      <c r="BD106" s="324">
        <f>'DATA (Real)'!BD102*BD$4/100</f>
        <v>0</v>
      </c>
      <c r="BE106" s="324">
        <f>'DATA (Real)'!BE102*BE$4/100</f>
        <v>0</v>
      </c>
      <c r="BF106" s="324">
        <f>'DATA (Real)'!BF102*BF$4/100</f>
        <v>0</v>
      </c>
      <c r="BG106" s="324">
        <f>'DATA (Real)'!BG102*BG$4/100</f>
        <v>0</v>
      </c>
      <c r="BH106" s="324">
        <f>'DATA (Real)'!BH102*BH$4/100</f>
        <v>0</v>
      </c>
      <c r="BI106" s="324">
        <f>'DATA (Real)'!BI102*BI$4/100</f>
        <v>0</v>
      </c>
      <c r="BJ106" s="324">
        <f>'DATA (Real)'!BJ102*BJ$4/100</f>
        <v>0</v>
      </c>
      <c r="BK106" s="324">
        <f>'DATA (Real)'!BK102*BK$4/100</f>
        <v>0</v>
      </c>
      <c r="BL106" s="324">
        <f>'DATA (Real)'!BL102*BL$4/100</f>
        <v>0</v>
      </c>
      <c r="BM106" s="324">
        <f>'DATA (Real)'!BM102*BM$4/100</f>
        <v>0</v>
      </c>
      <c r="BN106" s="324">
        <f>'DATA (Real)'!BN102*BN$4/100</f>
        <v>0</v>
      </c>
      <c r="BO106" s="324">
        <f>'DATA (Real)'!BO102*BO$4/100</f>
        <v>0</v>
      </c>
      <c r="BP106" s="324">
        <f>'DATA (Real)'!BP102*BP$4/100</f>
        <v>0</v>
      </c>
      <c r="BQ106" s="324">
        <f>'DATA (Real)'!BQ102*BQ$4/100</f>
        <v>0</v>
      </c>
      <c r="BR106" s="324">
        <f>'DATA (Real)'!BR102*BR$4/100</f>
        <v>0</v>
      </c>
      <c r="BS106" s="324">
        <f>'DATA (Real)'!BS102*BS$4/100</f>
        <v>0</v>
      </c>
      <c r="BT106" s="324">
        <f>'DATA (Real)'!BT102*BT$4/100</f>
        <v>0</v>
      </c>
      <c r="BU106" s="324">
        <f>'DATA (Real)'!BU102*BU$4/100</f>
        <v>0</v>
      </c>
      <c r="BV106" s="324">
        <f>'DATA (Real)'!BV102*BV$4/100</f>
        <v>0</v>
      </c>
      <c r="BW106" s="324">
        <f>'DATA (Real)'!BW102*BW$4/100</f>
        <v>0</v>
      </c>
      <c r="BX106" s="324">
        <f>'DATA (Real)'!BX102*BX$4/100</f>
        <v>0</v>
      </c>
    </row>
    <row r="107" spans="2:76" outlineLevel="1">
      <c r="B107" s="352" t="s">
        <v>230</v>
      </c>
      <c r="C107" s="352" t="str">
        <f>'DATA (Real)'!C103</f>
        <v>NREL Residential PV - Class 8</v>
      </c>
      <c r="D107" s="352" t="str">
        <f>'DATA (Real)'!D103</f>
        <v>Variable Operation and Maintenance Expenses ($/MWh)</v>
      </c>
      <c r="E107" s="352" t="str">
        <f>'DATA (Real)'!E103</f>
        <v>New Residential Solar + Storage (Solar Only)</v>
      </c>
      <c r="F107" s="314">
        <f>'DATA (Real)'!F103</f>
        <v>0</v>
      </c>
      <c r="G107" s="324">
        <f>'DATA (Real)'!G103*G$4/100</f>
        <v>0</v>
      </c>
      <c r="H107" s="324">
        <f>'DATA (Real)'!H103*H$4/100</f>
        <v>0</v>
      </c>
      <c r="I107" s="324">
        <f>'DATA (Real)'!I103*I$4/100</f>
        <v>0</v>
      </c>
      <c r="J107" s="324">
        <f>'DATA (Real)'!J103*J$4/100</f>
        <v>0</v>
      </c>
      <c r="K107" s="324">
        <f>'DATA (Real)'!K103*K$4/100</f>
        <v>0</v>
      </c>
      <c r="L107" s="324">
        <f>'DATA (Real)'!L103*L$4/100</f>
        <v>0</v>
      </c>
      <c r="M107" s="324">
        <f>'DATA (Real)'!M103*M$4/100</f>
        <v>0</v>
      </c>
      <c r="N107" s="324">
        <f>'DATA (Real)'!N103*N$4/100</f>
        <v>0</v>
      </c>
      <c r="O107" s="324">
        <f>'DATA (Real)'!O103*O$4/100</f>
        <v>0</v>
      </c>
      <c r="P107" s="324">
        <f>'DATA (Real)'!P103*P$4/100</f>
        <v>0</v>
      </c>
      <c r="Q107" s="324">
        <f>'DATA (Real)'!Q103*Q$4/100</f>
        <v>0</v>
      </c>
      <c r="R107" s="324">
        <f>'DATA (Real)'!R103*R$4/100</f>
        <v>0</v>
      </c>
      <c r="S107" s="324">
        <f>'DATA (Real)'!S103*S$4/100</f>
        <v>0</v>
      </c>
      <c r="T107" s="324">
        <f>'DATA (Real)'!T103*T$4/100</f>
        <v>0</v>
      </c>
      <c r="U107" s="324">
        <f>'DATA (Real)'!U103*U$4/100</f>
        <v>0</v>
      </c>
      <c r="V107" s="324">
        <f>'DATA (Real)'!V103*V$4/100</f>
        <v>0</v>
      </c>
      <c r="W107" s="324">
        <f>'DATA (Real)'!W103*W$4/100</f>
        <v>0</v>
      </c>
      <c r="X107" s="324">
        <f>'DATA (Real)'!X103*X$4/100</f>
        <v>0</v>
      </c>
      <c r="Y107" s="324">
        <f>'DATA (Real)'!Y103*Y$4/100</f>
        <v>0</v>
      </c>
      <c r="Z107" s="324">
        <f>'DATA (Real)'!Z103*Z$4/100</f>
        <v>0</v>
      </c>
      <c r="AA107" s="324">
        <f>'DATA (Real)'!AA103*AA$4/100</f>
        <v>0</v>
      </c>
      <c r="AB107" s="324">
        <f>'DATA (Real)'!AB103*AB$4/100</f>
        <v>0</v>
      </c>
      <c r="AC107" s="324">
        <f>'DATA (Real)'!AC103*AC$4/100</f>
        <v>0</v>
      </c>
      <c r="AD107" s="324">
        <f>'DATA (Real)'!AD103*AD$4/100</f>
        <v>0</v>
      </c>
      <c r="AE107" s="324">
        <f>'DATA (Real)'!AE103*AE$4/100</f>
        <v>0</v>
      </c>
      <c r="AF107" s="324">
        <f>'DATA (Real)'!AF103*AF$4/100</f>
        <v>0</v>
      </c>
      <c r="AG107" s="324">
        <f>'DATA (Real)'!AG103*AG$4/100</f>
        <v>0</v>
      </c>
      <c r="AH107" s="324">
        <f>'DATA (Real)'!AH103*AH$4/100</f>
        <v>0</v>
      </c>
      <c r="AI107" s="324">
        <f>'DATA (Real)'!AI103*AI$4/100</f>
        <v>0</v>
      </c>
      <c r="AJ107" s="324">
        <f>'DATA (Real)'!AJ103*AJ$4/100</f>
        <v>0</v>
      </c>
      <c r="AK107" s="324">
        <f>'DATA (Real)'!AK103*AK$4/100</f>
        <v>0</v>
      </c>
      <c r="AL107" s="324">
        <f>'DATA (Real)'!AL103*AL$4/100</f>
        <v>0</v>
      </c>
      <c r="AM107" s="324">
        <f>'DATA (Real)'!AM103*AM$4/100</f>
        <v>0</v>
      </c>
      <c r="AN107" s="324">
        <f>'DATA (Real)'!AN103*AN$4/100</f>
        <v>0</v>
      </c>
      <c r="AO107" s="324">
        <f>'DATA (Real)'!AO103*AO$4/100</f>
        <v>0</v>
      </c>
      <c r="AP107" s="324">
        <f>'DATA (Real)'!AP103*AP$4/100</f>
        <v>0</v>
      </c>
      <c r="AQ107" s="324">
        <f>'DATA (Real)'!AQ103*AQ$4/100</f>
        <v>0</v>
      </c>
      <c r="AR107" s="324">
        <f>'DATA (Real)'!AR103*AR$4/100</f>
        <v>0</v>
      </c>
      <c r="AS107" s="324">
        <f>'DATA (Real)'!AS103*AS$4/100</f>
        <v>0</v>
      </c>
      <c r="AT107" s="324">
        <f>'DATA (Real)'!AT103*AT$4/100</f>
        <v>0</v>
      </c>
      <c r="AU107" s="324">
        <f>'DATA (Real)'!AU103*AU$4/100</f>
        <v>0</v>
      </c>
      <c r="AV107" s="324">
        <f>'DATA (Real)'!AV103*AV$4/100</f>
        <v>0</v>
      </c>
      <c r="AW107" s="324">
        <f>'DATA (Real)'!AW103*AW$4/100</f>
        <v>0</v>
      </c>
      <c r="AX107" s="324">
        <f>'DATA (Real)'!AX103*AX$4/100</f>
        <v>0</v>
      </c>
      <c r="AY107" s="324">
        <f>'DATA (Real)'!AY103*AY$4/100</f>
        <v>0</v>
      </c>
      <c r="AZ107" s="324">
        <f>'DATA (Real)'!AZ103*AZ$4/100</f>
        <v>0</v>
      </c>
      <c r="BA107" s="324">
        <f>'DATA (Real)'!BA103*BA$4/100</f>
        <v>0</v>
      </c>
      <c r="BB107" s="324">
        <f>'DATA (Real)'!BB103*BB$4/100</f>
        <v>0</v>
      </c>
      <c r="BC107" s="324">
        <f>'DATA (Real)'!BC103*BC$4/100</f>
        <v>0</v>
      </c>
      <c r="BD107" s="324">
        <f>'DATA (Real)'!BD103*BD$4/100</f>
        <v>0</v>
      </c>
      <c r="BE107" s="324">
        <f>'DATA (Real)'!BE103*BE$4/100</f>
        <v>0</v>
      </c>
      <c r="BF107" s="324">
        <f>'DATA (Real)'!BF103*BF$4/100</f>
        <v>0</v>
      </c>
      <c r="BG107" s="324">
        <f>'DATA (Real)'!BG103*BG$4/100</f>
        <v>0</v>
      </c>
      <c r="BH107" s="324">
        <f>'DATA (Real)'!BH103*BH$4/100</f>
        <v>0</v>
      </c>
      <c r="BI107" s="324">
        <f>'DATA (Real)'!BI103*BI$4/100</f>
        <v>0</v>
      </c>
      <c r="BJ107" s="324">
        <f>'DATA (Real)'!BJ103*BJ$4/100</f>
        <v>0</v>
      </c>
      <c r="BK107" s="324">
        <f>'DATA (Real)'!BK103*BK$4/100</f>
        <v>0</v>
      </c>
      <c r="BL107" s="324">
        <f>'DATA (Real)'!BL103*BL$4/100</f>
        <v>0</v>
      </c>
      <c r="BM107" s="324">
        <f>'DATA (Real)'!BM103*BM$4/100</f>
        <v>0</v>
      </c>
      <c r="BN107" s="324">
        <f>'DATA (Real)'!BN103*BN$4/100</f>
        <v>0</v>
      </c>
      <c r="BO107" s="324">
        <f>'DATA (Real)'!BO103*BO$4/100</f>
        <v>0</v>
      </c>
      <c r="BP107" s="324">
        <f>'DATA (Real)'!BP103*BP$4/100</f>
        <v>0</v>
      </c>
      <c r="BQ107" s="324">
        <f>'DATA (Real)'!BQ103*BQ$4/100</f>
        <v>0</v>
      </c>
      <c r="BR107" s="324">
        <f>'DATA (Real)'!BR103*BR$4/100</f>
        <v>0</v>
      </c>
      <c r="BS107" s="324">
        <f>'DATA (Real)'!BS103*BS$4/100</f>
        <v>0</v>
      </c>
      <c r="BT107" s="324">
        <f>'DATA (Real)'!BT103*BT$4/100</f>
        <v>0</v>
      </c>
      <c r="BU107" s="324">
        <f>'DATA (Real)'!BU103*BU$4/100</f>
        <v>0</v>
      </c>
      <c r="BV107" s="324">
        <f>'DATA (Real)'!BV103*BV$4/100</f>
        <v>0</v>
      </c>
      <c r="BW107" s="324">
        <f>'DATA (Real)'!BW103*BW$4/100</f>
        <v>0</v>
      </c>
      <c r="BX107" s="324">
        <f>'DATA (Real)'!BX103*BX$4/100</f>
        <v>0</v>
      </c>
    </row>
    <row r="108" spans="2:76" outlineLevel="1">
      <c r="B108" s="352" t="s">
        <v>230</v>
      </c>
      <c r="C108" s="352" t="str">
        <f>'DATA (Real)'!C104</f>
        <v>NREL Residential PV - Class 8</v>
      </c>
      <c r="D108" s="352" t="str">
        <f>'DATA (Real)'!D104</f>
        <v>Variable Operation and Maintenance Expenses ($/MWh)</v>
      </c>
      <c r="E108" s="352" t="str">
        <f>'DATA (Real)'!E104</f>
        <v>Existing Residential Solar</v>
      </c>
      <c r="F108" s="314">
        <f>'DATA (Real)'!F104</f>
        <v>0</v>
      </c>
      <c r="G108" s="324">
        <f>'DATA (Real)'!G104*G$4/100</f>
        <v>0</v>
      </c>
      <c r="H108" s="324">
        <f>'DATA (Real)'!H104*H$4/100</f>
        <v>0</v>
      </c>
      <c r="I108" s="324">
        <f>'DATA (Real)'!I104*I$4/100</f>
        <v>0</v>
      </c>
      <c r="J108" s="324">
        <f>'DATA (Real)'!J104*J$4/100</f>
        <v>0</v>
      </c>
      <c r="K108" s="324">
        <f>'DATA (Real)'!K104*K$4/100</f>
        <v>0</v>
      </c>
      <c r="L108" s="324">
        <f>'DATA (Real)'!L104*L$4/100</f>
        <v>0</v>
      </c>
      <c r="M108" s="324">
        <f>'DATA (Real)'!M104*M$4/100</f>
        <v>0</v>
      </c>
      <c r="N108" s="324">
        <f>'DATA (Real)'!N104*N$4/100</f>
        <v>0</v>
      </c>
      <c r="O108" s="324">
        <f>'DATA (Real)'!O104*O$4/100</f>
        <v>0</v>
      </c>
      <c r="P108" s="324">
        <f>'DATA (Real)'!P104*P$4/100</f>
        <v>0</v>
      </c>
      <c r="Q108" s="324">
        <f>'DATA (Real)'!Q104*Q$4/100</f>
        <v>0</v>
      </c>
      <c r="R108" s="324">
        <f>'DATA (Real)'!R104*R$4/100</f>
        <v>0</v>
      </c>
      <c r="S108" s="324">
        <f>'DATA (Real)'!S104*S$4/100</f>
        <v>0</v>
      </c>
      <c r="T108" s="324">
        <f>'DATA (Real)'!T104*T$4/100</f>
        <v>0</v>
      </c>
      <c r="U108" s="324">
        <f>'DATA (Real)'!U104*U$4/100</f>
        <v>0</v>
      </c>
      <c r="V108" s="324">
        <f>'DATA (Real)'!V104*V$4/100</f>
        <v>0</v>
      </c>
      <c r="W108" s="324">
        <f>'DATA (Real)'!W104*W$4/100</f>
        <v>0</v>
      </c>
      <c r="X108" s="324">
        <f>'DATA (Real)'!X104*X$4/100</f>
        <v>0</v>
      </c>
      <c r="Y108" s="324">
        <f>'DATA (Real)'!Y104*Y$4/100</f>
        <v>0</v>
      </c>
      <c r="Z108" s="324">
        <f>'DATA (Real)'!Z104*Z$4/100</f>
        <v>0</v>
      </c>
      <c r="AA108" s="324">
        <f>'DATA (Real)'!AA104*AA$4/100</f>
        <v>0</v>
      </c>
      <c r="AB108" s="324">
        <f>'DATA (Real)'!AB104*AB$4/100</f>
        <v>0</v>
      </c>
      <c r="AC108" s="324">
        <f>'DATA (Real)'!AC104*AC$4/100</f>
        <v>0</v>
      </c>
      <c r="AD108" s="324">
        <f>'DATA (Real)'!AD104*AD$4/100</f>
        <v>0</v>
      </c>
      <c r="AE108" s="324">
        <f>'DATA (Real)'!AE104*AE$4/100</f>
        <v>0</v>
      </c>
      <c r="AF108" s="324">
        <f>'DATA (Real)'!AF104*AF$4/100</f>
        <v>0</v>
      </c>
      <c r="AG108" s="324">
        <f>'DATA (Real)'!AG104*AG$4/100</f>
        <v>0</v>
      </c>
      <c r="AH108" s="324">
        <f>'DATA (Real)'!AH104*AH$4/100</f>
        <v>0</v>
      </c>
      <c r="AI108" s="324">
        <f>'DATA (Real)'!AI104*AI$4/100</f>
        <v>0</v>
      </c>
      <c r="AJ108" s="324">
        <f>'DATA (Real)'!AJ104*AJ$4/100</f>
        <v>0</v>
      </c>
      <c r="AK108" s="324">
        <f>'DATA (Real)'!AK104*AK$4/100</f>
        <v>0</v>
      </c>
      <c r="AL108" s="324">
        <f>'DATA (Real)'!AL104*AL$4/100</f>
        <v>0</v>
      </c>
      <c r="AM108" s="324">
        <f>'DATA (Real)'!AM104*AM$4/100</f>
        <v>0</v>
      </c>
      <c r="AN108" s="324">
        <f>'DATA (Real)'!AN104*AN$4/100</f>
        <v>0</v>
      </c>
      <c r="AO108" s="324">
        <f>'DATA (Real)'!AO104*AO$4/100</f>
        <v>0</v>
      </c>
      <c r="AP108" s="324">
        <f>'DATA (Real)'!AP104*AP$4/100</f>
        <v>0</v>
      </c>
      <c r="AQ108" s="324">
        <f>'DATA (Real)'!AQ104*AQ$4/100</f>
        <v>0</v>
      </c>
      <c r="AR108" s="324">
        <f>'DATA (Real)'!AR104*AR$4/100</f>
        <v>0</v>
      </c>
      <c r="AS108" s="324">
        <f>'DATA (Real)'!AS104*AS$4/100</f>
        <v>0</v>
      </c>
      <c r="AT108" s="324">
        <f>'DATA (Real)'!AT104*AT$4/100</f>
        <v>0</v>
      </c>
      <c r="AU108" s="324">
        <f>'DATA (Real)'!AU104*AU$4/100</f>
        <v>0</v>
      </c>
      <c r="AV108" s="324">
        <f>'DATA (Real)'!AV104*AV$4/100</f>
        <v>0</v>
      </c>
      <c r="AW108" s="324">
        <f>'DATA (Real)'!AW104*AW$4/100</f>
        <v>0</v>
      </c>
      <c r="AX108" s="324">
        <f>'DATA (Real)'!AX104*AX$4/100</f>
        <v>0</v>
      </c>
      <c r="AY108" s="324">
        <f>'DATA (Real)'!AY104*AY$4/100</f>
        <v>0</v>
      </c>
      <c r="AZ108" s="324">
        <f>'DATA (Real)'!AZ104*AZ$4/100</f>
        <v>0</v>
      </c>
      <c r="BA108" s="324">
        <f>'DATA (Real)'!BA104*BA$4/100</f>
        <v>0</v>
      </c>
      <c r="BB108" s="324">
        <f>'DATA (Real)'!BB104*BB$4/100</f>
        <v>0</v>
      </c>
      <c r="BC108" s="324">
        <f>'DATA (Real)'!BC104*BC$4/100</f>
        <v>0</v>
      </c>
      <c r="BD108" s="324">
        <f>'DATA (Real)'!BD104*BD$4/100</f>
        <v>0</v>
      </c>
      <c r="BE108" s="324">
        <f>'DATA (Real)'!BE104*BE$4/100</f>
        <v>0</v>
      </c>
      <c r="BF108" s="324">
        <f>'DATA (Real)'!BF104*BF$4/100</f>
        <v>0</v>
      </c>
      <c r="BG108" s="324">
        <f>'DATA (Real)'!BG104*BG$4/100</f>
        <v>0</v>
      </c>
      <c r="BH108" s="324">
        <f>'DATA (Real)'!BH104*BH$4/100</f>
        <v>0</v>
      </c>
      <c r="BI108" s="324">
        <f>'DATA (Real)'!BI104*BI$4/100</f>
        <v>0</v>
      </c>
      <c r="BJ108" s="324">
        <f>'DATA (Real)'!BJ104*BJ$4/100</f>
        <v>0</v>
      </c>
      <c r="BK108" s="324">
        <f>'DATA (Real)'!BK104*BK$4/100</f>
        <v>0</v>
      </c>
      <c r="BL108" s="324">
        <f>'DATA (Real)'!BL104*BL$4/100</f>
        <v>0</v>
      </c>
      <c r="BM108" s="324">
        <f>'DATA (Real)'!BM104*BM$4/100</f>
        <v>0</v>
      </c>
      <c r="BN108" s="324">
        <f>'DATA (Real)'!BN104*BN$4/100</f>
        <v>0</v>
      </c>
      <c r="BO108" s="324">
        <f>'DATA (Real)'!BO104*BO$4/100</f>
        <v>0</v>
      </c>
      <c r="BP108" s="324">
        <f>'DATA (Real)'!BP104*BP$4/100</f>
        <v>0</v>
      </c>
      <c r="BQ108" s="324">
        <f>'DATA (Real)'!BQ104*BQ$4/100</f>
        <v>0</v>
      </c>
      <c r="BR108" s="324">
        <f>'DATA (Real)'!BR104*BR$4/100</f>
        <v>0</v>
      </c>
      <c r="BS108" s="324">
        <f>'DATA (Real)'!BS104*BS$4/100</f>
        <v>0</v>
      </c>
      <c r="BT108" s="324">
        <f>'DATA (Real)'!BT104*BT$4/100</f>
        <v>0</v>
      </c>
      <c r="BU108" s="324">
        <f>'DATA (Real)'!BU104*BU$4/100</f>
        <v>0</v>
      </c>
      <c r="BV108" s="324">
        <f>'DATA (Real)'!BV104*BV$4/100</f>
        <v>0</v>
      </c>
      <c r="BW108" s="324">
        <f>'DATA (Real)'!BW104*BW$4/100</f>
        <v>0</v>
      </c>
      <c r="BX108" s="324">
        <f>'DATA (Real)'!BX104*BX$4/100</f>
        <v>0</v>
      </c>
    </row>
    <row r="109" spans="2:76" outlineLevel="1">
      <c r="B109" s="352" t="s">
        <v>230</v>
      </c>
      <c r="C109" s="352" t="str">
        <f>'DATA (Real)'!C105</f>
        <v>NREL Residential PV - Class 8</v>
      </c>
      <c r="D109" s="352" t="str">
        <f>'DATA (Real)'!D105</f>
        <v>Variable Operation and Maintenance Expenses ($/MWh)</v>
      </c>
      <c r="E109" s="352" t="str">
        <f>'DATA (Real)'!E105</f>
        <v>Existing Residential Solar + Storage (Solar Only)</v>
      </c>
      <c r="F109" s="314">
        <f>'DATA (Real)'!F105</f>
        <v>0</v>
      </c>
      <c r="G109" s="324">
        <f>'DATA (Real)'!G105*G$4/100</f>
        <v>0</v>
      </c>
      <c r="H109" s="324">
        <f>'DATA (Real)'!H105*H$4/100</f>
        <v>0</v>
      </c>
      <c r="I109" s="324">
        <f>'DATA (Real)'!I105*I$4/100</f>
        <v>0</v>
      </c>
      <c r="J109" s="324">
        <f>'DATA (Real)'!J105*J$4/100</f>
        <v>0</v>
      </c>
      <c r="K109" s="324">
        <f>'DATA (Real)'!K105*K$4/100</f>
        <v>0</v>
      </c>
      <c r="L109" s="324">
        <f>'DATA (Real)'!L105*L$4/100</f>
        <v>0</v>
      </c>
      <c r="M109" s="324">
        <f>'DATA (Real)'!M105*M$4/100</f>
        <v>0</v>
      </c>
      <c r="N109" s="324">
        <f>'DATA (Real)'!N105*N$4/100</f>
        <v>0</v>
      </c>
      <c r="O109" s="324">
        <f>'DATA (Real)'!O105*O$4/100</f>
        <v>0</v>
      </c>
      <c r="P109" s="324">
        <f>'DATA (Real)'!P105*P$4/100</f>
        <v>0</v>
      </c>
      <c r="Q109" s="324">
        <f>'DATA (Real)'!Q105*Q$4/100</f>
        <v>0</v>
      </c>
      <c r="R109" s="324">
        <f>'DATA (Real)'!R105*R$4/100</f>
        <v>0</v>
      </c>
      <c r="S109" s="324">
        <f>'DATA (Real)'!S105*S$4/100</f>
        <v>0</v>
      </c>
      <c r="T109" s="324">
        <f>'DATA (Real)'!T105*T$4/100</f>
        <v>0</v>
      </c>
      <c r="U109" s="324">
        <f>'DATA (Real)'!U105*U$4/100</f>
        <v>0</v>
      </c>
      <c r="V109" s="324">
        <f>'DATA (Real)'!V105*V$4/100</f>
        <v>0</v>
      </c>
      <c r="W109" s="324">
        <f>'DATA (Real)'!W105*W$4/100</f>
        <v>0</v>
      </c>
      <c r="X109" s="324">
        <f>'DATA (Real)'!X105*X$4/100</f>
        <v>0</v>
      </c>
      <c r="Y109" s="324">
        <f>'DATA (Real)'!Y105*Y$4/100</f>
        <v>0</v>
      </c>
      <c r="Z109" s="324">
        <f>'DATA (Real)'!Z105*Z$4/100</f>
        <v>0</v>
      </c>
      <c r="AA109" s="324">
        <f>'DATA (Real)'!AA105*AA$4/100</f>
        <v>0</v>
      </c>
      <c r="AB109" s="324">
        <f>'DATA (Real)'!AB105*AB$4/100</f>
        <v>0</v>
      </c>
      <c r="AC109" s="324">
        <f>'DATA (Real)'!AC105*AC$4/100</f>
        <v>0</v>
      </c>
      <c r="AD109" s="324">
        <f>'DATA (Real)'!AD105*AD$4/100</f>
        <v>0</v>
      </c>
      <c r="AE109" s="324">
        <f>'DATA (Real)'!AE105*AE$4/100</f>
        <v>0</v>
      </c>
      <c r="AF109" s="324">
        <f>'DATA (Real)'!AF105*AF$4/100</f>
        <v>0</v>
      </c>
      <c r="AG109" s="324">
        <f>'DATA (Real)'!AG105*AG$4/100</f>
        <v>0</v>
      </c>
      <c r="AH109" s="324">
        <f>'DATA (Real)'!AH105*AH$4/100</f>
        <v>0</v>
      </c>
      <c r="AI109" s="324">
        <f>'DATA (Real)'!AI105*AI$4/100</f>
        <v>0</v>
      </c>
      <c r="AJ109" s="324">
        <f>'DATA (Real)'!AJ105*AJ$4/100</f>
        <v>0</v>
      </c>
      <c r="AK109" s="324">
        <f>'DATA (Real)'!AK105*AK$4/100</f>
        <v>0</v>
      </c>
      <c r="AL109" s="324">
        <f>'DATA (Real)'!AL105*AL$4/100</f>
        <v>0</v>
      </c>
      <c r="AM109" s="324">
        <f>'DATA (Real)'!AM105*AM$4/100</f>
        <v>0</v>
      </c>
      <c r="AN109" s="324">
        <f>'DATA (Real)'!AN105*AN$4/100</f>
        <v>0</v>
      </c>
      <c r="AO109" s="324">
        <f>'DATA (Real)'!AO105*AO$4/100</f>
        <v>0</v>
      </c>
      <c r="AP109" s="324">
        <f>'DATA (Real)'!AP105*AP$4/100</f>
        <v>0</v>
      </c>
      <c r="AQ109" s="324">
        <f>'DATA (Real)'!AQ105*AQ$4/100</f>
        <v>0</v>
      </c>
      <c r="AR109" s="324">
        <f>'DATA (Real)'!AR105*AR$4/100</f>
        <v>0</v>
      </c>
      <c r="AS109" s="324">
        <f>'DATA (Real)'!AS105*AS$4/100</f>
        <v>0</v>
      </c>
      <c r="AT109" s="324">
        <f>'DATA (Real)'!AT105*AT$4/100</f>
        <v>0</v>
      </c>
      <c r="AU109" s="324">
        <f>'DATA (Real)'!AU105*AU$4/100</f>
        <v>0</v>
      </c>
      <c r="AV109" s="324">
        <f>'DATA (Real)'!AV105*AV$4/100</f>
        <v>0</v>
      </c>
      <c r="AW109" s="324">
        <f>'DATA (Real)'!AW105*AW$4/100</f>
        <v>0</v>
      </c>
      <c r="AX109" s="324">
        <f>'DATA (Real)'!AX105*AX$4/100</f>
        <v>0</v>
      </c>
      <c r="AY109" s="324">
        <f>'DATA (Real)'!AY105*AY$4/100</f>
        <v>0</v>
      </c>
      <c r="AZ109" s="324">
        <f>'DATA (Real)'!AZ105*AZ$4/100</f>
        <v>0</v>
      </c>
      <c r="BA109" s="324">
        <f>'DATA (Real)'!BA105*BA$4/100</f>
        <v>0</v>
      </c>
      <c r="BB109" s="324">
        <f>'DATA (Real)'!BB105*BB$4/100</f>
        <v>0</v>
      </c>
      <c r="BC109" s="324">
        <f>'DATA (Real)'!BC105*BC$4/100</f>
        <v>0</v>
      </c>
      <c r="BD109" s="324">
        <f>'DATA (Real)'!BD105*BD$4/100</f>
        <v>0</v>
      </c>
      <c r="BE109" s="324">
        <f>'DATA (Real)'!BE105*BE$4/100</f>
        <v>0</v>
      </c>
      <c r="BF109" s="324">
        <f>'DATA (Real)'!BF105*BF$4/100</f>
        <v>0</v>
      </c>
      <c r="BG109" s="324">
        <f>'DATA (Real)'!BG105*BG$4/100</f>
        <v>0</v>
      </c>
      <c r="BH109" s="324">
        <f>'DATA (Real)'!BH105*BH$4/100</f>
        <v>0</v>
      </c>
      <c r="BI109" s="324">
        <f>'DATA (Real)'!BI105*BI$4/100</f>
        <v>0</v>
      </c>
      <c r="BJ109" s="324">
        <f>'DATA (Real)'!BJ105*BJ$4/100</f>
        <v>0</v>
      </c>
      <c r="BK109" s="324">
        <f>'DATA (Real)'!BK105*BK$4/100</f>
        <v>0</v>
      </c>
      <c r="BL109" s="324">
        <f>'DATA (Real)'!BL105*BL$4/100</f>
        <v>0</v>
      </c>
      <c r="BM109" s="324">
        <f>'DATA (Real)'!BM105*BM$4/100</f>
        <v>0</v>
      </c>
      <c r="BN109" s="324">
        <f>'DATA (Real)'!BN105*BN$4/100</f>
        <v>0</v>
      </c>
      <c r="BO109" s="324">
        <f>'DATA (Real)'!BO105*BO$4/100</f>
        <v>0</v>
      </c>
      <c r="BP109" s="324">
        <f>'DATA (Real)'!BP105*BP$4/100</f>
        <v>0</v>
      </c>
      <c r="BQ109" s="324">
        <f>'DATA (Real)'!BQ105*BQ$4/100</f>
        <v>0</v>
      </c>
      <c r="BR109" s="324">
        <f>'DATA (Real)'!BR105*BR$4/100</f>
        <v>0</v>
      </c>
      <c r="BS109" s="324">
        <f>'DATA (Real)'!BS105*BS$4/100</f>
        <v>0</v>
      </c>
      <c r="BT109" s="324">
        <f>'DATA (Real)'!BT105*BT$4/100</f>
        <v>0</v>
      </c>
      <c r="BU109" s="324">
        <f>'DATA (Real)'!BU105*BU$4/100</f>
        <v>0</v>
      </c>
      <c r="BV109" s="324">
        <f>'DATA (Real)'!BV105*BV$4/100</f>
        <v>0</v>
      </c>
      <c r="BW109" s="324">
        <f>'DATA (Real)'!BW105*BW$4/100</f>
        <v>0</v>
      </c>
      <c r="BX109" s="324">
        <f>'DATA (Real)'!BX105*BX$4/100</f>
        <v>0</v>
      </c>
    </row>
    <row r="110" spans="2:76" outlineLevel="1">
      <c r="B110" s="352" t="s">
        <v>230</v>
      </c>
      <c r="C110" s="352" t="str">
        <f>'DATA (Real)'!C106</f>
        <v>NREL Commercial PV - Class 8</v>
      </c>
      <c r="D110" s="352" t="str">
        <f>'DATA (Real)'!D106</f>
        <v>Variable Operation and Maintenance Expenses ($/MWh)</v>
      </c>
      <c r="E110" s="352" t="str">
        <f>'DATA (Real)'!E106</f>
        <v>Commercial Solar</v>
      </c>
      <c r="F110" s="314">
        <f>'DATA (Real)'!F106</f>
        <v>0</v>
      </c>
      <c r="G110" s="324">
        <f>'DATA (Real)'!G106*G$4/100</f>
        <v>0</v>
      </c>
      <c r="H110" s="324">
        <f>'DATA (Real)'!H106*H$4/100</f>
        <v>0</v>
      </c>
      <c r="I110" s="324">
        <f>'DATA (Real)'!I106*I$4/100</f>
        <v>0</v>
      </c>
      <c r="J110" s="324">
        <f>'DATA (Real)'!J106*J$4/100</f>
        <v>0</v>
      </c>
      <c r="K110" s="324">
        <f>'DATA (Real)'!K106*K$4/100</f>
        <v>0</v>
      </c>
      <c r="L110" s="324">
        <f>'DATA (Real)'!L106*L$4/100</f>
        <v>0</v>
      </c>
      <c r="M110" s="324">
        <f>'DATA (Real)'!M106*M$4/100</f>
        <v>0</v>
      </c>
      <c r="N110" s="324">
        <f>'DATA (Real)'!N106*N$4/100</f>
        <v>0</v>
      </c>
      <c r="O110" s="324">
        <f>'DATA (Real)'!O106*O$4/100</f>
        <v>0</v>
      </c>
      <c r="P110" s="324">
        <f>'DATA (Real)'!P106*P$4/100</f>
        <v>0</v>
      </c>
      <c r="Q110" s="324">
        <f>'DATA (Real)'!Q106*Q$4/100</f>
        <v>0</v>
      </c>
      <c r="R110" s="324">
        <f>'DATA (Real)'!R106*R$4/100</f>
        <v>0</v>
      </c>
      <c r="S110" s="324">
        <f>'DATA (Real)'!S106*S$4/100</f>
        <v>0</v>
      </c>
      <c r="T110" s="324">
        <f>'DATA (Real)'!T106*T$4/100</f>
        <v>0</v>
      </c>
      <c r="U110" s="324">
        <f>'DATA (Real)'!U106*U$4/100</f>
        <v>0</v>
      </c>
      <c r="V110" s="324">
        <f>'DATA (Real)'!V106*V$4/100</f>
        <v>0</v>
      </c>
      <c r="W110" s="324">
        <f>'DATA (Real)'!W106*W$4/100</f>
        <v>0</v>
      </c>
      <c r="X110" s="324">
        <f>'DATA (Real)'!X106*X$4/100</f>
        <v>0</v>
      </c>
      <c r="Y110" s="324">
        <f>'DATA (Real)'!Y106*Y$4/100</f>
        <v>0</v>
      </c>
      <c r="Z110" s="324">
        <f>'DATA (Real)'!Z106*Z$4/100</f>
        <v>0</v>
      </c>
      <c r="AA110" s="324">
        <f>'DATA (Real)'!AA106*AA$4/100</f>
        <v>0</v>
      </c>
      <c r="AB110" s="324">
        <f>'DATA (Real)'!AB106*AB$4/100</f>
        <v>0</v>
      </c>
      <c r="AC110" s="324">
        <f>'DATA (Real)'!AC106*AC$4/100</f>
        <v>0</v>
      </c>
      <c r="AD110" s="324">
        <f>'DATA (Real)'!AD106*AD$4/100</f>
        <v>0</v>
      </c>
      <c r="AE110" s="324">
        <f>'DATA (Real)'!AE106*AE$4/100</f>
        <v>0</v>
      </c>
      <c r="AF110" s="324">
        <f>'DATA (Real)'!AF106*AF$4/100</f>
        <v>0</v>
      </c>
      <c r="AG110" s="324">
        <f>'DATA (Real)'!AG106*AG$4/100</f>
        <v>0</v>
      </c>
      <c r="AH110" s="324">
        <f>'DATA (Real)'!AH106*AH$4/100</f>
        <v>0</v>
      </c>
      <c r="AI110" s="324">
        <f>'DATA (Real)'!AI106*AI$4/100</f>
        <v>0</v>
      </c>
      <c r="AJ110" s="324">
        <f>'DATA (Real)'!AJ106*AJ$4/100</f>
        <v>0</v>
      </c>
      <c r="AK110" s="324">
        <f>'DATA (Real)'!AK106*AK$4/100</f>
        <v>0</v>
      </c>
      <c r="AL110" s="324">
        <f>'DATA (Real)'!AL106*AL$4/100</f>
        <v>0</v>
      </c>
      <c r="AM110" s="324">
        <f>'DATA (Real)'!AM106*AM$4/100</f>
        <v>0</v>
      </c>
      <c r="AN110" s="324">
        <f>'DATA (Real)'!AN106*AN$4/100</f>
        <v>0</v>
      </c>
      <c r="AO110" s="324">
        <f>'DATA (Real)'!AO106*AO$4/100</f>
        <v>0</v>
      </c>
      <c r="AP110" s="324">
        <f>'DATA (Real)'!AP106*AP$4/100</f>
        <v>0</v>
      </c>
      <c r="AQ110" s="324">
        <f>'DATA (Real)'!AQ106*AQ$4/100</f>
        <v>0</v>
      </c>
      <c r="AR110" s="324">
        <f>'DATA (Real)'!AR106*AR$4/100</f>
        <v>0</v>
      </c>
      <c r="AS110" s="324">
        <f>'DATA (Real)'!AS106*AS$4/100</f>
        <v>0</v>
      </c>
      <c r="AT110" s="324">
        <f>'DATA (Real)'!AT106*AT$4/100</f>
        <v>0</v>
      </c>
      <c r="AU110" s="324">
        <f>'DATA (Real)'!AU106*AU$4/100</f>
        <v>0</v>
      </c>
      <c r="AV110" s="324">
        <f>'DATA (Real)'!AV106*AV$4/100</f>
        <v>0</v>
      </c>
      <c r="AW110" s="324">
        <f>'DATA (Real)'!AW106*AW$4/100</f>
        <v>0</v>
      </c>
      <c r="AX110" s="324">
        <f>'DATA (Real)'!AX106*AX$4/100</f>
        <v>0</v>
      </c>
      <c r="AY110" s="324">
        <f>'DATA (Real)'!AY106*AY$4/100</f>
        <v>0</v>
      </c>
      <c r="AZ110" s="324">
        <f>'DATA (Real)'!AZ106*AZ$4/100</f>
        <v>0</v>
      </c>
      <c r="BA110" s="324">
        <f>'DATA (Real)'!BA106*BA$4/100</f>
        <v>0</v>
      </c>
      <c r="BB110" s="324">
        <f>'DATA (Real)'!BB106*BB$4/100</f>
        <v>0</v>
      </c>
      <c r="BC110" s="324">
        <f>'DATA (Real)'!BC106*BC$4/100</f>
        <v>0</v>
      </c>
      <c r="BD110" s="324">
        <f>'DATA (Real)'!BD106*BD$4/100</f>
        <v>0</v>
      </c>
      <c r="BE110" s="324">
        <f>'DATA (Real)'!BE106*BE$4/100</f>
        <v>0</v>
      </c>
      <c r="BF110" s="324">
        <f>'DATA (Real)'!BF106*BF$4/100</f>
        <v>0</v>
      </c>
      <c r="BG110" s="324">
        <f>'DATA (Real)'!BG106*BG$4/100</f>
        <v>0</v>
      </c>
      <c r="BH110" s="324">
        <f>'DATA (Real)'!BH106*BH$4/100</f>
        <v>0</v>
      </c>
      <c r="BI110" s="324">
        <f>'DATA (Real)'!BI106*BI$4/100</f>
        <v>0</v>
      </c>
      <c r="BJ110" s="324">
        <f>'DATA (Real)'!BJ106*BJ$4/100</f>
        <v>0</v>
      </c>
      <c r="BK110" s="324">
        <f>'DATA (Real)'!BK106*BK$4/100</f>
        <v>0</v>
      </c>
      <c r="BL110" s="324">
        <f>'DATA (Real)'!BL106*BL$4/100</f>
        <v>0</v>
      </c>
      <c r="BM110" s="324">
        <f>'DATA (Real)'!BM106*BM$4/100</f>
        <v>0</v>
      </c>
      <c r="BN110" s="324">
        <f>'DATA (Real)'!BN106*BN$4/100</f>
        <v>0</v>
      </c>
      <c r="BO110" s="324">
        <f>'DATA (Real)'!BO106*BO$4/100</f>
        <v>0</v>
      </c>
      <c r="BP110" s="324">
        <f>'DATA (Real)'!BP106*BP$4/100</f>
        <v>0</v>
      </c>
      <c r="BQ110" s="324">
        <f>'DATA (Real)'!BQ106*BQ$4/100</f>
        <v>0</v>
      </c>
      <c r="BR110" s="324">
        <f>'DATA (Real)'!BR106*BR$4/100</f>
        <v>0</v>
      </c>
      <c r="BS110" s="324">
        <f>'DATA (Real)'!BS106*BS$4/100</f>
        <v>0</v>
      </c>
      <c r="BT110" s="324">
        <f>'DATA (Real)'!BT106*BT$4/100</f>
        <v>0</v>
      </c>
      <c r="BU110" s="324">
        <f>'DATA (Real)'!BU106*BU$4/100</f>
        <v>0</v>
      </c>
      <c r="BV110" s="324">
        <f>'DATA (Real)'!BV106*BV$4/100</f>
        <v>0</v>
      </c>
      <c r="BW110" s="324">
        <f>'DATA (Real)'!BW106*BW$4/100</f>
        <v>0</v>
      </c>
      <c r="BX110" s="324">
        <f>'DATA (Real)'!BX106*BX$4/100</f>
        <v>0</v>
      </c>
    </row>
    <row r="111" spans="2:76" outlineLevel="1">
      <c r="B111" s="352" t="s">
        <v>230</v>
      </c>
      <c r="C111" s="352" t="str">
        <f>'DATA (Real)'!C107</f>
        <v>NREL Commercial PV - Class 8</v>
      </c>
      <c r="D111" s="352" t="str">
        <f>'DATA (Real)'!D107</f>
        <v>Variable Operation and Maintenance Expenses ($/MWh)</v>
      </c>
      <c r="E111" s="352" t="str">
        <f>'DATA (Real)'!E107</f>
        <v>Commercial Solar + Storage (Solar Only)</v>
      </c>
      <c r="F111" s="314">
        <f>'DATA (Real)'!F107</f>
        <v>0</v>
      </c>
      <c r="G111" s="324">
        <f>'DATA (Real)'!G107*G$4/100</f>
        <v>0</v>
      </c>
      <c r="H111" s="324">
        <f>'DATA (Real)'!H107*H$4/100</f>
        <v>0</v>
      </c>
      <c r="I111" s="324">
        <f>'DATA (Real)'!I107*I$4/100</f>
        <v>0</v>
      </c>
      <c r="J111" s="324">
        <f>'DATA (Real)'!J107*J$4/100</f>
        <v>0</v>
      </c>
      <c r="K111" s="324">
        <f>'DATA (Real)'!K107*K$4/100</f>
        <v>0</v>
      </c>
      <c r="L111" s="324">
        <f>'DATA (Real)'!L107*L$4/100</f>
        <v>0</v>
      </c>
      <c r="M111" s="324">
        <f>'DATA (Real)'!M107*M$4/100</f>
        <v>0</v>
      </c>
      <c r="N111" s="324">
        <f>'DATA (Real)'!N107*N$4/100</f>
        <v>0</v>
      </c>
      <c r="O111" s="324">
        <f>'DATA (Real)'!O107*O$4/100</f>
        <v>0</v>
      </c>
      <c r="P111" s="324">
        <f>'DATA (Real)'!P107*P$4/100</f>
        <v>0</v>
      </c>
      <c r="Q111" s="324">
        <f>'DATA (Real)'!Q107*Q$4/100</f>
        <v>0</v>
      </c>
      <c r="R111" s="324">
        <f>'DATA (Real)'!R107*R$4/100</f>
        <v>0</v>
      </c>
      <c r="S111" s="324">
        <f>'DATA (Real)'!S107*S$4/100</f>
        <v>0</v>
      </c>
      <c r="T111" s="324">
        <f>'DATA (Real)'!T107*T$4/100</f>
        <v>0</v>
      </c>
      <c r="U111" s="324">
        <f>'DATA (Real)'!U107*U$4/100</f>
        <v>0</v>
      </c>
      <c r="V111" s="324">
        <f>'DATA (Real)'!V107*V$4/100</f>
        <v>0</v>
      </c>
      <c r="W111" s="324">
        <f>'DATA (Real)'!W107*W$4/100</f>
        <v>0</v>
      </c>
      <c r="X111" s="324">
        <f>'DATA (Real)'!X107*X$4/100</f>
        <v>0</v>
      </c>
      <c r="Y111" s="324">
        <f>'DATA (Real)'!Y107*Y$4/100</f>
        <v>0</v>
      </c>
      <c r="Z111" s="324">
        <f>'DATA (Real)'!Z107*Z$4/100</f>
        <v>0</v>
      </c>
      <c r="AA111" s="324">
        <f>'DATA (Real)'!AA107*AA$4/100</f>
        <v>0</v>
      </c>
      <c r="AB111" s="324">
        <f>'DATA (Real)'!AB107*AB$4/100</f>
        <v>0</v>
      </c>
      <c r="AC111" s="324">
        <f>'DATA (Real)'!AC107*AC$4/100</f>
        <v>0</v>
      </c>
      <c r="AD111" s="324">
        <f>'DATA (Real)'!AD107*AD$4/100</f>
        <v>0</v>
      </c>
      <c r="AE111" s="324">
        <f>'DATA (Real)'!AE107*AE$4/100</f>
        <v>0</v>
      </c>
      <c r="AF111" s="324">
        <f>'DATA (Real)'!AF107*AF$4/100</f>
        <v>0</v>
      </c>
      <c r="AG111" s="324">
        <f>'DATA (Real)'!AG107*AG$4/100</f>
        <v>0</v>
      </c>
      <c r="AH111" s="324">
        <f>'DATA (Real)'!AH107*AH$4/100</f>
        <v>0</v>
      </c>
      <c r="AI111" s="324">
        <f>'DATA (Real)'!AI107*AI$4/100</f>
        <v>0</v>
      </c>
      <c r="AJ111" s="324">
        <f>'DATA (Real)'!AJ107*AJ$4/100</f>
        <v>0</v>
      </c>
      <c r="AK111" s="324">
        <f>'DATA (Real)'!AK107*AK$4/100</f>
        <v>0</v>
      </c>
      <c r="AL111" s="324">
        <f>'DATA (Real)'!AL107*AL$4/100</f>
        <v>0</v>
      </c>
      <c r="AM111" s="324">
        <f>'DATA (Real)'!AM107*AM$4/100</f>
        <v>0</v>
      </c>
      <c r="AN111" s="324">
        <f>'DATA (Real)'!AN107*AN$4/100</f>
        <v>0</v>
      </c>
      <c r="AO111" s="324">
        <f>'DATA (Real)'!AO107*AO$4/100</f>
        <v>0</v>
      </c>
      <c r="AP111" s="324">
        <f>'DATA (Real)'!AP107*AP$4/100</f>
        <v>0</v>
      </c>
      <c r="AQ111" s="324">
        <f>'DATA (Real)'!AQ107*AQ$4/100</f>
        <v>0</v>
      </c>
      <c r="AR111" s="324">
        <f>'DATA (Real)'!AR107*AR$4/100</f>
        <v>0</v>
      </c>
      <c r="AS111" s="324">
        <f>'DATA (Real)'!AS107*AS$4/100</f>
        <v>0</v>
      </c>
      <c r="AT111" s="324">
        <f>'DATA (Real)'!AT107*AT$4/100</f>
        <v>0</v>
      </c>
      <c r="AU111" s="324">
        <f>'DATA (Real)'!AU107*AU$4/100</f>
        <v>0</v>
      </c>
      <c r="AV111" s="324">
        <f>'DATA (Real)'!AV107*AV$4/100</f>
        <v>0</v>
      </c>
      <c r="AW111" s="324">
        <f>'DATA (Real)'!AW107*AW$4/100</f>
        <v>0</v>
      </c>
      <c r="AX111" s="324">
        <f>'DATA (Real)'!AX107*AX$4/100</f>
        <v>0</v>
      </c>
      <c r="AY111" s="324">
        <f>'DATA (Real)'!AY107*AY$4/100</f>
        <v>0</v>
      </c>
      <c r="AZ111" s="324">
        <f>'DATA (Real)'!AZ107*AZ$4/100</f>
        <v>0</v>
      </c>
      <c r="BA111" s="324">
        <f>'DATA (Real)'!BA107*BA$4/100</f>
        <v>0</v>
      </c>
      <c r="BB111" s="324">
        <f>'DATA (Real)'!BB107*BB$4/100</f>
        <v>0</v>
      </c>
      <c r="BC111" s="324">
        <f>'DATA (Real)'!BC107*BC$4/100</f>
        <v>0</v>
      </c>
      <c r="BD111" s="324">
        <f>'DATA (Real)'!BD107*BD$4/100</f>
        <v>0</v>
      </c>
      <c r="BE111" s="324">
        <f>'DATA (Real)'!BE107*BE$4/100</f>
        <v>0</v>
      </c>
      <c r="BF111" s="324">
        <f>'DATA (Real)'!BF107*BF$4/100</f>
        <v>0</v>
      </c>
      <c r="BG111" s="324">
        <f>'DATA (Real)'!BG107*BG$4/100</f>
        <v>0</v>
      </c>
      <c r="BH111" s="324">
        <f>'DATA (Real)'!BH107*BH$4/100</f>
        <v>0</v>
      </c>
      <c r="BI111" s="324">
        <f>'DATA (Real)'!BI107*BI$4/100</f>
        <v>0</v>
      </c>
      <c r="BJ111" s="324">
        <f>'DATA (Real)'!BJ107*BJ$4/100</f>
        <v>0</v>
      </c>
      <c r="BK111" s="324">
        <f>'DATA (Real)'!BK107*BK$4/100</f>
        <v>0</v>
      </c>
      <c r="BL111" s="324">
        <f>'DATA (Real)'!BL107*BL$4/100</f>
        <v>0</v>
      </c>
      <c r="BM111" s="324">
        <f>'DATA (Real)'!BM107*BM$4/100</f>
        <v>0</v>
      </c>
      <c r="BN111" s="324">
        <f>'DATA (Real)'!BN107*BN$4/100</f>
        <v>0</v>
      </c>
      <c r="BO111" s="324">
        <f>'DATA (Real)'!BO107*BO$4/100</f>
        <v>0</v>
      </c>
      <c r="BP111" s="324">
        <f>'DATA (Real)'!BP107*BP$4/100</f>
        <v>0</v>
      </c>
      <c r="BQ111" s="324">
        <f>'DATA (Real)'!BQ107*BQ$4/100</f>
        <v>0</v>
      </c>
      <c r="BR111" s="324">
        <f>'DATA (Real)'!BR107*BR$4/100</f>
        <v>0</v>
      </c>
      <c r="BS111" s="324">
        <f>'DATA (Real)'!BS107*BS$4/100</f>
        <v>0</v>
      </c>
      <c r="BT111" s="324">
        <f>'DATA (Real)'!BT107*BT$4/100</f>
        <v>0</v>
      </c>
      <c r="BU111" s="324">
        <f>'DATA (Real)'!BU107*BU$4/100</f>
        <v>0</v>
      </c>
      <c r="BV111" s="324">
        <f>'DATA (Real)'!BV107*BV$4/100</f>
        <v>0</v>
      </c>
      <c r="BW111" s="324">
        <f>'DATA (Real)'!BW107*BW$4/100</f>
        <v>0</v>
      </c>
      <c r="BX111" s="324">
        <f>'DATA (Real)'!BX107*BX$4/100</f>
        <v>0</v>
      </c>
    </row>
    <row r="112" spans="2:76" outlineLevel="1">
      <c r="B112" s="352" t="s">
        <v>230</v>
      </c>
      <c r="C112" s="352" t="str">
        <f>'DATA (Real)'!C108</f>
        <v>NREL Utility PV - Class 4</v>
      </c>
      <c r="D112" s="352" t="str">
        <f>'DATA (Real)'!D108</f>
        <v>Variable Operation and Maintenance Expenses ($/MWh)</v>
      </c>
      <c r="E112" s="352" t="str">
        <f>'DATA (Real)'!E108</f>
        <v>Solar Photovoltaic Fixed Array (5 MW AC)</v>
      </c>
      <c r="F112" s="314">
        <f>'DATA (Real)'!F108</f>
        <v>0</v>
      </c>
      <c r="G112" s="324">
        <f>'DATA (Real)'!G108*G$4/100</f>
        <v>0</v>
      </c>
      <c r="H112" s="324">
        <f>'DATA (Real)'!H108*H$4/100</f>
        <v>0</v>
      </c>
      <c r="I112" s="324">
        <f>'DATA (Real)'!I108*I$4/100</f>
        <v>0</v>
      </c>
      <c r="J112" s="324">
        <f>'DATA (Real)'!J108*J$4/100</f>
        <v>0</v>
      </c>
      <c r="K112" s="324">
        <f>'DATA (Real)'!K108*K$4/100</f>
        <v>0</v>
      </c>
      <c r="L112" s="324">
        <f>'DATA (Real)'!L108*L$4/100</f>
        <v>0</v>
      </c>
      <c r="M112" s="324">
        <f>'DATA (Real)'!M108*M$4/100</f>
        <v>0</v>
      </c>
      <c r="N112" s="324">
        <f>'DATA (Real)'!N108*N$4/100</f>
        <v>0</v>
      </c>
      <c r="O112" s="324">
        <f>'DATA (Real)'!O108*O$4/100</f>
        <v>0</v>
      </c>
      <c r="P112" s="324">
        <f>'DATA (Real)'!P108*P$4/100</f>
        <v>0</v>
      </c>
      <c r="Q112" s="324">
        <f>'DATA (Real)'!Q108*Q$4/100</f>
        <v>0</v>
      </c>
      <c r="R112" s="324">
        <f>'DATA (Real)'!R108*R$4/100</f>
        <v>0</v>
      </c>
      <c r="S112" s="324">
        <f>'DATA (Real)'!S108*S$4/100</f>
        <v>0</v>
      </c>
      <c r="T112" s="324">
        <f>'DATA (Real)'!T108*T$4/100</f>
        <v>0</v>
      </c>
      <c r="U112" s="324">
        <f>'DATA (Real)'!U108*U$4/100</f>
        <v>0</v>
      </c>
      <c r="V112" s="324">
        <f>'DATA (Real)'!V108*V$4/100</f>
        <v>0</v>
      </c>
      <c r="W112" s="324">
        <f>'DATA (Real)'!W108*W$4/100</f>
        <v>0</v>
      </c>
      <c r="X112" s="324">
        <f>'DATA (Real)'!X108*X$4/100</f>
        <v>0</v>
      </c>
      <c r="Y112" s="324">
        <f>'DATA (Real)'!Y108*Y$4/100</f>
        <v>0</v>
      </c>
      <c r="Z112" s="324">
        <f>'DATA (Real)'!Z108*Z$4/100</f>
        <v>0</v>
      </c>
      <c r="AA112" s="324">
        <f>'DATA (Real)'!AA108*AA$4/100</f>
        <v>0</v>
      </c>
      <c r="AB112" s="324">
        <f>'DATA (Real)'!AB108*AB$4/100</f>
        <v>0</v>
      </c>
      <c r="AC112" s="324">
        <f>'DATA (Real)'!AC108*AC$4/100</f>
        <v>0</v>
      </c>
      <c r="AD112" s="324">
        <f>'DATA (Real)'!AD108*AD$4/100</f>
        <v>0</v>
      </c>
      <c r="AE112" s="324">
        <f>'DATA (Real)'!AE108*AE$4/100</f>
        <v>0</v>
      </c>
      <c r="AF112" s="324">
        <f>'DATA (Real)'!AF108*AF$4/100</f>
        <v>0</v>
      </c>
      <c r="AG112" s="324">
        <f>'DATA (Real)'!AG108*AG$4/100</f>
        <v>0</v>
      </c>
      <c r="AH112" s="324">
        <f>'DATA (Real)'!AH108*AH$4/100</f>
        <v>0</v>
      </c>
      <c r="AI112" s="324">
        <f>'DATA (Real)'!AI108*AI$4/100</f>
        <v>0</v>
      </c>
      <c r="AJ112" s="324">
        <f>'DATA (Real)'!AJ108*AJ$4/100</f>
        <v>0</v>
      </c>
      <c r="AK112" s="324">
        <f>'DATA (Real)'!AK108*AK$4/100</f>
        <v>0</v>
      </c>
      <c r="AL112" s="324">
        <f>'DATA (Real)'!AL108*AL$4/100</f>
        <v>0</v>
      </c>
      <c r="AM112" s="324">
        <f>'DATA (Real)'!AM108*AM$4/100</f>
        <v>0</v>
      </c>
      <c r="AN112" s="324">
        <f>'DATA (Real)'!AN108*AN$4/100</f>
        <v>0</v>
      </c>
      <c r="AO112" s="324">
        <f>'DATA (Real)'!AO108*AO$4/100</f>
        <v>0</v>
      </c>
      <c r="AP112" s="324">
        <f>'DATA (Real)'!AP108*AP$4/100</f>
        <v>0</v>
      </c>
      <c r="AQ112" s="324">
        <f>'DATA (Real)'!AQ108*AQ$4/100</f>
        <v>0</v>
      </c>
      <c r="AR112" s="324">
        <f>'DATA (Real)'!AR108*AR$4/100</f>
        <v>0</v>
      </c>
      <c r="AS112" s="324">
        <f>'DATA (Real)'!AS108*AS$4/100</f>
        <v>0</v>
      </c>
      <c r="AT112" s="324">
        <f>'DATA (Real)'!AT108*AT$4/100</f>
        <v>0</v>
      </c>
      <c r="AU112" s="324">
        <f>'DATA (Real)'!AU108*AU$4/100</f>
        <v>0</v>
      </c>
      <c r="AV112" s="324">
        <f>'DATA (Real)'!AV108*AV$4/100</f>
        <v>0</v>
      </c>
      <c r="AW112" s="324">
        <f>'DATA (Real)'!AW108*AW$4/100</f>
        <v>0</v>
      </c>
      <c r="AX112" s="324">
        <f>'DATA (Real)'!AX108*AX$4/100</f>
        <v>0</v>
      </c>
      <c r="AY112" s="324">
        <f>'DATA (Real)'!AY108*AY$4/100</f>
        <v>0</v>
      </c>
      <c r="AZ112" s="324">
        <f>'DATA (Real)'!AZ108*AZ$4/100</f>
        <v>0</v>
      </c>
      <c r="BA112" s="324">
        <f>'DATA (Real)'!BA108*BA$4/100</f>
        <v>0</v>
      </c>
      <c r="BB112" s="324">
        <f>'DATA (Real)'!BB108*BB$4/100</f>
        <v>0</v>
      </c>
      <c r="BC112" s="324">
        <f>'DATA (Real)'!BC108*BC$4/100</f>
        <v>0</v>
      </c>
      <c r="BD112" s="324">
        <f>'DATA (Real)'!BD108*BD$4/100</f>
        <v>0</v>
      </c>
      <c r="BE112" s="324">
        <f>'DATA (Real)'!BE108*BE$4/100</f>
        <v>0</v>
      </c>
      <c r="BF112" s="324">
        <f>'DATA (Real)'!BF108*BF$4/100</f>
        <v>0</v>
      </c>
      <c r="BG112" s="324">
        <f>'DATA (Real)'!BG108*BG$4/100</f>
        <v>0</v>
      </c>
      <c r="BH112" s="324">
        <f>'DATA (Real)'!BH108*BH$4/100</f>
        <v>0</v>
      </c>
      <c r="BI112" s="324">
        <f>'DATA (Real)'!BI108*BI$4/100</f>
        <v>0</v>
      </c>
      <c r="BJ112" s="324">
        <f>'DATA (Real)'!BJ108*BJ$4/100</f>
        <v>0</v>
      </c>
      <c r="BK112" s="324">
        <f>'DATA (Real)'!BK108*BK$4/100</f>
        <v>0</v>
      </c>
      <c r="BL112" s="324">
        <f>'DATA (Real)'!BL108*BL$4/100</f>
        <v>0</v>
      </c>
      <c r="BM112" s="324">
        <f>'DATA (Real)'!BM108*BM$4/100</f>
        <v>0</v>
      </c>
      <c r="BN112" s="324">
        <f>'DATA (Real)'!BN108*BN$4/100</f>
        <v>0</v>
      </c>
      <c r="BO112" s="324">
        <f>'DATA (Real)'!BO108*BO$4/100</f>
        <v>0</v>
      </c>
      <c r="BP112" s="324">
        <f>'DATA (Real)'!BP108*BP$4/100</f>
        <v>0</v>
      </c>
      <c r="BQ112" s="324">
        <f>'DATA (Real)'!BQ108*BQ$4/100</f>
        <v>0</v>
      </c>
      <c r="BR112" s="324">
        <f>'DATA (Real)'!BR108*BR$4/100</f>
        <v>0</v>
      </c>
      <c r="BS112" s="324">
        <f>'DATA (Real)'!BS108*BS$4/100</f>
        <v>0</v>
      </c>
      <c r="BT112" s="324">
        <f>'DATA (Real)'!BT108*BT$4/100</f>
        <v>0</v>
      </c>
      <c r="BU112" s="324">
        <f>'DATA (Real)'!BU108*BU$4/100</f>
        <v>0</v>
      </c>
      <c r="BV112" s="324">
        <f>'DATA (Real)'!BV108*BV$4/100</f>
        <v>0</v>
      </c>
      <c r="BW112" s="324">
        <f>'DATA (Real)'!BW108*BW$4/100</f>
        <v>0</v>
      </c>
      <c r="BX112" s="324">
        <f>'DATA (Real)'!BX108*BX$4/100</f>
        <v>0</v>
      </c>
    </row>
    <row r="113" spans="2:76" outlineLevel="1">
      <c r="B113" s="352" t="s">
        <v>230</v>
      </c>
      <c r="C113" s="352" t="str">
        <f>'DATA (Real)'!C109</f>
        <v>NREL Utility PV - Class 4</v>
      </c>
      <c r="D113" s="352" t="str">
        <f>'DATA (Real)'!D109</f>
        <v>Variable Operation and Maintenance Expenses ($/MWh)</v>
      </c>
      <c r="E113" s="352" t="str">
        <f>'DATA (Real)'!E109</f>
        <v>Solar Photovoltaic Fixed Array (5 MW AC) + Storage (Solar Only)</v>
      </c>
      <c r="F113" s="314">
        <f>'DATA (Real)'!F109</f>
        <v>0</v>
      </c>
      <c r="G113" s="324">
        <f>'DATA (Real)'!G109*G$4/100</f>
        <v>0</v>
      </c>
      <c r="H113" s="324">
        <f>'DATA (Real)'!H109*H$4/100</f>
        <v>0</v>
      </c>
      <c r="I113" s="324">
        <f>'DATA (Real)'!I109*I$4/100</f>
        <v>0</v>
      </c>
      <c r="J113" s="324">
        <f>'DATA (Real)'!J109*J$4/100</f>
        <v>0</v>
      </c>
      <c r="K113" s="324">
        <f>'DATA (Real)'!K109*K$4/100</f>
        <v>0</v>
      </c>
      <c r="L113" s="324">
        <f>'DATA (Real)'!L109*L$4/100</f>
        <v>0</v>
      </c>
      <c r="M113" s="324">
        <f>'DATA (Real)'!M109*M$4/100</f>
        <v>0</v>
      </c>
      <c r="N113" s="324">
        <f>'DATA (Real)'!N109*N$4/100</f>
        <v>0</v>
      </c>
      <c r="O113" s="324">
        <f>'DATA (Real)'!O109*O$4/100</f>
        <v>0</v>
      </c>
      <c r="P113" s="324">
        <f>'DATA (Real)'!P109*P$4/100</f>
        <v>0</v>
      </c>
      <c r="Q113" s="324">
        <f>'DATA (Real)'!Q109*Q$4/100</f>
        <v>0</v>
      </c>
      <c r="R113" s="324">
        <f>'DATA (Real)'!R109*R$4/100</f>
        <v>0</v>
      </c>
      <c r="S113" s="324">
        <f>'DATA (Real)'!S109*S$4/100</f>
        <v>0</v>
      </c>
      <c r="T113" s="324">
        <f>'DATA (Real)'!T109*T$4/100</f>
        <v>0</v>
      </c>
      <c r="U113" s="324">
        <f>'DATA (Real)'!U109*U$4/100</f>
        <v>0</v>
      </c>
      <c r="V113" s="324">
        <f>'DATA (Real)'!V109*V$4/100</f>
        <v>0</v>
      </c>
      <c r="W113" s="324">
        <f>'DATA (Real)'!W109*W$4/100</f>
        <v>0</v>
      </c>
      <c r="X113" s="324">
        <f>'DATA (Real)'!X109*X$4/100</f>
        <v>0</v>
      </c>
      <c r="Y113" s="324">
        <f>'DATA (Real)'!Y109*Y$4/100</f>
        <v>0</v>
      </c>
      <c r="Z113" s="324">
        <f>'DATA (Real)'!Z109*Z$4/100</f>
        <v>0</v>
      </c>
      <c r="AA113" s="324">
        <f>'DATA (Real)'!AA109*AA$4/100</f>
        <v>0</v>
      </c>
      <c r="AB113" s="324">
        <f>'DATA (Real)'!AB109*AB$4/100</f>
        <v>0</v>
      </c>
      <c r="AC113" s="324">
        <f>'DATA (Real)'!AC109*AC$4/100</f>
        <v>0</v>
      </c>
      <c r="AD113" s="324">
        <f>'DATA (Real)'!AD109*AD$4/100</f>
        <v>0</v>
      </c>
      <c r="AE113" s="324">
        <f>'DATA (Real)'!AE109*AE$4/100</f>
        <v>0</v>
      </c>
      <c r="AF113" s="324">
        <f>'DATA (Real)'!AF109*AF$4/100</f>
        <v>0</v>
      </c>
      <c r="AG113" s="324">
        <f>'DATA (Real)'!AG109*AG$4/100</f>
        <v>0</v>
      </c>
      <c r="AH113" s="324">
        <f>'DATA (Real)'!AH109*AH$4/100</f>
        <v>0</v>
      </c>
      <c r="AI113" s="324">
        <f>'DATA (Real)'!AI109*AI$4/100</f>
        <v>0</v>
      </c>
      <c r="AJ113" s="324">
        <f>'DATA (Real)'!AJ109*AJ$4/100</f>
        <v>0</v>
      </c>
      <c r="AK113" s="324">
        <f>'DATA (Real)'!AK109*AK$4/100</f>
        <v>0</v>
      </c>
      <c r="AL113" s="324">
        <f>'DATA (Real)'!AL109*AL$4/100</f>
        <v>0</v>
      </c>
      <c r="AM113" s="324">
        <f>'DATA (Real)'!AM109*AM$4/100</f>
        <v>0</v>
      </c>
      <c r="AN113" s="324">
        <f>'DATA (Real)'!AN109*AN$4/100</f>
        <v>0</v>
      </c>
      <c r="AO113" s="324">
        <f>'DATA (Real)'!AO109*AO$4/100</f>
        <v>0</v>
      </c>
      <c r="AP113" s="324">
        <f>'DATA (Real)'!AP109*AP$4/100</f>
        <v>0</v>
      </c>
      <c r="AQ113" s="324">
        <f>'DATA (Real)'!AQ109*AQ$4/100</f>
        <v>0</v>
      </c>
      <c r="AR113" s="324">
        <f>'DATA (Real)'!AR109*AR$4/100</f>
        <v>0</v>
      </c>
      <c r="AS113" s="324">
        <f>'DATA (Real)'!AS109*AS$4/100</f>
        <v>0</v>
      </c>
      <c r="AT113" s="324">
        <f>'DATA (Real)'!AT109*AT$4/100</f>
        <v>0</v>
      </c>
      <c r="AU113" s="324">
        <f>'DATA (Real)'!AU109*AU$4/100</f>
        <v>0</v>
      </c>
      <c r="AV113" s="324">
        <f>'DATA (Real)'!AV109*AV$4/100</f>
        <v>0</v>
      </c>
      <c r="AW113" s="324">
        <f>'DATA (Real)'!AW109*AW$4/100</f>
        <v>0</v>
      </c>
      <c r="AX113" s="324">
        <f>'DATA (Real)'!AX109*AX$4/100</f>
        <v>0</v>
      </c>
      <c r="AY113" s="324">
        <f>'DATA (Real)'!AY109*AY$4/100</f>
        <v>0</v>
      </c>
      <c r="AZ113" s="324">
        <f>'DATA (Real)'!AZ109*AZ$4/100</f>
        <v>0</v>
      </c>
      <c r="BA113" s="324">
        <f>'DATA (Real)'!BA109*BA$4/100</f>
        <v>0</v>
      </c>
      <c r="BB113" s="324">
        <f>'DATA (Real)'!BB109*BB$4/100</f>
        <v>0</v>
      </c>
      <c r="BC113" s="324">
        <f>'DATA (Real)'!BC109*BC$4/100</f>
        <v>0</v>
      </c>
      <c r="BD113" s="324">
        <f>'DATA (Real)'!BD109*BD$4/100</f>
        <v>0</v>
      </c>
      <c r="BE113" s="324">
        <f>'DATA (Real)'!BE109*BE$4/100</f>
        <v>0</v>
      </c>
      <c r="BF113" s="324">
        <f>'DATA (Real)'!BF109*BF$4/100</f>
        <v>0</v>
      </c>
      <c r="BG113" s="324">
        <f>'DATA (Real)'!BG109*BG$4/100</f>
        <v>0</v>
      </c>
      <c r="BH113" s="324">
        <f>'DATA (Real)'!BH109*BH$4/100</f>
        <v>0</v>
      </c>
      <c r="BI113" s="324">
        <f>'DATA (Real)'!BI109*BI$4/100</f>
        <v>0</v>
      </c>
      <c r="BJ113" s="324">
        <f>'DATA (Real)'!BJ109*BJ$4/100</f>
        <v>0</v>
      </c>
      <c r="BK113" s="324">
        <f>'DATA (Real)'!BK109*BK$4/100</f>
        <v>0</v>
      </c>
      <c r="BL113" s="324">
        <f>'DATA (Real)'!BL109*BL$4/100</f>
        <v>0</v>
      </c>
      <c r="BM113" s="324">
        <f>'DATA (Real)'!BM109*BM$4/100</f>
        <v>0</v>
      </c>
      <c r="BN113" s="324">
        <f>'DATA (Real)'!BN109*BN$4/100</f>
        <v>0</v>
      </c>
      <c r="BO113" s="324">
        <f>'DATA (Real)'!BO109*BO$4/100</f>
        <v>0</v>
      </c>
      <c r="BP113" s="324">
        <f>'DATA (Real)'!BP109*BP$4/100</f>
        <v>0</v>
      </c>
      <c r="BQ113" s="324">
        <f>'DATA (Real)'!BQ109*BQ$4/100</f>
        <v>0</v>
      </c>
      <c r="BR113" s="324">
        <f>'DATA (Real)'!BR109*BR$4/100</f>
        <v>0</v>
      </c>
      <c r="BS113" s="324">
        <f>'DATA (Real)'!BS109*BS$4/100</f>
        <v>0</v>
      </c>
      <c r="BT113" s="324">
        <f>'DATA (Real)'!BT109*BT$4/100</f>
        <v>0</v>
      </c>
      <c r="BU113" s="324">
        <f>'DATA (Real)'!BU109*BU$4/100</f>
        <v>0</v>
      </c>
      <c r="BV113" s="324">
        <f>'DATA (Real)'!BV109*BV$4/100</f>
        <v>0</v>
      </c>
      <c r="BW113" s="324">
        <f>'DATA (Real)'!BW109*BW$4/100</f>
        <v>0</v>
      </c>
      <c r="BX113" s="324">
        <f>'DATA (Real)'!BX109*BX$4/100</f>
        <v>0</v>
      </c>
    </row>
    <row r="114" spans="2:76" outlineLevel="1">
      <c r="B114" s="352" t="s">
        <v>230</v>
      </c>
      <c r="C114" s="352" t="str">
        <f>'DATA (Real)'!C110</f>
        <v>NREL Utility PV - Class 4</v>
      </c>
      <c r="D114" s="352" t="str">
        <f>'DATA (Real)'!D110</f>
        <v>Variable Operation and Maintenance Expenses ($/MWh)</v>
      </c>
      <c r="E114" s="352" t="str">
        <f>'DATA (Real)'!E110</f>
        <v>Solar Photovoltaic w/Single Axis Tracking (100 MW AC)</v>
      </c>
      <c r="F114" s="314">
        <f>'DATA (Real)'!F110</f>
        <v>0</v>
      </c>
      <c r="G114" s="324">
        <f>'DATA (Real)'!G110*G$4/100</f>
        <v>0</v>
      </c>
      <c r="H114" s="324">
        <f>'DATA (Real)'!H110*H$4/100</f>
        <v>0</v>
      </c>
      <c r="I114" s="324">
        <f>'DATA (Real)'!I110*I$4/100</f>
        <v>0</v>
      </c>
      <c r="J114" s="324">
        <f>'DATA (Real)'!J110*J$4/100</f>
        <v>0</v>
      </c>
      <c r="K114" s="324">
        <f>'DATA (Real)'!K110*K$4/100</f>
        <v>0</v>
      </c>
      <c r="L114" s="324">
        <f>'DATA (Real)'!L110*L$4/100</f>
        <v>0</v>
      </c>
      <c r="M114" s="324">
        <f>'DATA (Real)'!M110*M$4/100</f>
        <v>0</v>
      </c>
      <c r="N114" s="324">
        <f>'DATA (Real)'!N110*N$4/100</f>
        <v>0</v>
      </c>
      <c r="O114" s="324">
        <f>'DATA (Real)'!O110*O$4/100</f>
        <v>0</v>
      </c>
      <c r="P114" s="324">
        <f>'DATA (Real)'!P110*P$4/100</f>
        <v>0</v>
      </c>
      <c r="Q114" s="324">
        <f>'DATA (Real)'!Q110*Q$4/100</f>
        <v>0</v>
      </c>
      <c r="R114" s="324">
        <f>'DATA (Real)'!R110*R$4/100</f>
        <v>0</v>
      </c>
      <c r="S114" s="324">
        <f>'DATA (Real)'!S110*S$4/100</f>
        <v>0</v>
      </c>
      <c r="T114" s="324">
        <f>'DATA (Real)'!T110*T$4/100</f>
        <v>0</v>
      </c>
      <c r="U114" s="324">
        <f>'DATA (Real)'!U110*U$4/100</f>
        <v>0</v>
      </c>
      <c r="V114" s="324">
        <f>'DATA (Real)'!V110*V$4/100</f>
        <v>0</v>
      </c>
      <c r="W114" s="324">
        <f>'DATA (Real)'!W110*W$4/100</f>
        <v>0</v>
      </c>
      <c r="X114" s="324">
        <f>'DATA (Real)'!X110*X$4/100</f>
        <v>0</v>
      </c>
      <c r="Y114" s="324">
        <f>'DATA (Real)'!Y110*Y$4/100</f>
        <v>0</v>
      </c>
      <c r="Z114" s="324">
        <f>'DATA (Real)'!Z110*Z$4/100</f>
        <v>0</v>
      </c>
      <c r="AA114" s="324">
        <f>'DATA (Real)'!AA110*AA$4/100</f>
        <v>0</v>
      </c>
      <c r="AB114" s="324">
        <f>'DATA (Real)'!AB110*AB$4/100</f>
        <v>0</v>
      </c>
      <c r="AC114" s="324">
        <f>'DATA (Real)'!AC110*AC$4/100</f>
        <v>0</v>
      </c>
      <c r="AD114" s="324">
        <f>'DATA (Real)'!AD110*AD$4/100</f>
        <v>0</v>
      </c>
      <c r="AE114" s="324">
        <f>'DATA (Real)'!AE110*AE$4/100</f>
        <v>0</v>
      </c>
      <c r="AF114" s="324">
        <f>'DATA (Real)'!AF110*AF$4/100</f>
        <v>0</v>
      </c>
      <c r="AG114" s="324">
        <f>'DATA (Real)'!AG110*AG$4/100</f>
        <v>0</v>
      </c>
      <c r="AH114" s="324">
        <f>'DATA (Real)'!AH110*AH$4/100</f>
        <v>0</v>
      </c>
      <c r="AI114" s="324">
        <f>'DATA (Real)'!AI110*AI$4/100</f>
        <v>0</v>
      </c>
      <c r="AJ114" s="324">
        <f>'DATA (Real)'!AJ110*AJ$4/100</f>
        <v>0</v>
      </c>
      <c r="AK114" s="324">
        <f>'DATA (Real)'!AK110*AK$4/100</f>
        <v>0</v>
      </c>
      <c r="AL114" s="324">
        <f>'DATA (Real)'!AL110*AL$4/100</f>
        <v>0</v>
      </c>
      <c r="AM114" s="324">
        <f>'DATA (Real)'!AM110*AM$4/100</f>
        <v>0</v>
      </c>
      <c r="AN114" s="324">
        <f>'DATA (Real)'!AN110*AN$4/100</f>
        <v>0</v>
      </c>
      <c r="AO114" s="324">
        <f>'DATA (Real)'!AO110*AO$4/100</f>
        <v>0</v>
      </c>
      <c r="AP114" s="324">
        <f>'DATA (Real)'!AP110*AP$4/100</f>
        <v>0</v>
      </c>
      <c r="AQ114" s="324">
        <f>'DATA (Real)'!AQ110*AQ$4/100</f>
        <v>0</v>
      </c>
      <c r="AR114" s="324">
        <f>'DATA (Real)'!AR110*AR$4/100</f>
        <v>0</v>
      </c>
      <c r="AS114" s="324">
        <f>'DATA (Real)'!AS110*AS$4/100</f>
        <v>0</v>
      </c>
      <c r="AT114" s="324">
        <f>'DATA (Real)'!AT110*AT$4/100</f>
        <v>0</v>
      </c>
      <c r="AU114" s="324">
        <f>'DATA (Real)'!AU110*AU$4/100</f>
        <v>0</v>
      </c>
      <c r="AV114" s="324">
        <f>'DATA (Real)'!AV110*AV$4/100</f>
        <v>0</v>
      </c>
      <c r="AW114" s="324">
        <f>'DATA (Real)'!AW110*AW$4/100</f>
        <v>0</v>
      </c>
      <c r="AX114" s="324">
        <f>'DATA (Real)'!AX110*AX$4/100</f>
        <v>0</v>
      </c>
      <c r="AY114" s="324">
        <f>'DATA (Real)'!AY110*AY$4/100</f>
        <v>0</v>
      </c>
      <c r="AZ114" s="324">
        <f>'DATA (Real)'!AZ110*AZ$4/100</f>
        <v>0</v>
      </c>
      <c r="BA114" s="324">
        <f>'DATA (Real)'!BA110*BA$4/100</f>
        <v>0</v>
      </c>
      <c r="BB114" s="324">
        <f>'DATA (Real)'!BB110*BB$4/100</f>
        <v>0</v>
      </c>
      <c r="BC114" s="324">
        <f>'DATA (Real)'!BC110*BC$4/100</f>
        <v>0</v>
      </c>
      <c r="BD114" s="324">
        <f>'DATA (Real)'!BD110*BD$4/100</f>
        <v>0</v>
      </c>
      <c r="BE114" s="324">
        <f>'DATA (Real)'!BE110*BE$4/100</f>
        <v>0</v>
      </c>
      <c r="BF114" s="324">
        <f>'DATA (Real)'!BF110*BF$4/100</f>
        <v>0</v>
      </c>
      <c r="BG114" s="324">
        <f>'DATA (Real)'!BG110*BG$4/100</f>
        <v>0</v>
      </c>
      <c r="BH114" s="324">
        <f>'DATA (Real)'!BH110*BH$4/100</f>
        <v>0</v>
      </c>
      <c r="BI114" s="324">
        <f>'DATA (Real)'!BI110*BI$4/100</f>
        <v>0</v>
      </c>
      <c r="BJ114" s="324">
        <f>'DATA (Real)'!BJ110*BJ$4/100</f>
        <v>0</v>
      </c>
      <c r="BK114" s="324">
        <f>'DATA (Real)'!BK110*BK$4/100</f>
        <v>0</v>
      </c>
      <c r="BL114" s="324">
        <f>'DATA (Real)'!BL110*BL$4/100</f>
        <v>0</v>
      </c>
      <c r="BM114" s="324">
        <f>'DATA (Real)'!BM110*BM$4/100</f>
        <v>0</v>
      </c>
      <c r="BN114" s="324">
        <f>'DATA (Real)'!BN110*BN$4/100</f>
        <v>0</v>
      </c>
      <c r="BO114" s="324">
        <f>'DATA (Real)'!BO110*BO$4/100</f>
        <v>0</v>
      </c>
      <c r="BP114" s="324">
        <f>'DATA (Real)'!BP110*BP$4/100</f>
        <v>0</v>
      </c>
      <c r="BQ114" s="324">
        <f>'DATA (Real)'!BQ110*BQ$4/100</f>
        <v>0</v>
      </c>
      <c r="BR114" s="324">
        <f>'DATA (Real)'!BR110*BR$4/100</f>
        <v>0</v>
      </c>
      <c r="BS114" s="324">
        <f>'DATA (Real)'!BS110*BS$4/100</f>
        <v>0</v>
      </c>
      <c r="BT114" s="324">
        <f>'DATA (Real)'!BT110*BT$4/100</f>
        <v>0</v>
      </c>
      <c r="BU114" s="324">
        <f>'DATA (Real)'!BU110*BU$4/100</f>
        <v>0</v>
      </c>
      <c r="BV114" s="324">
        <f>'DATA (Real)'!BV110*BV$4/100</f>
        <v>0</v>
      </c>
      <c r="BW114" s="324">
        <f>'DATA (Real)'!BW110*BW$4/100</f>
        <v>0</v>
      </c>
      <c r="BX114" s="324">
        <f>'DATA (Real)'!BX110*BX$4/100</f>
        <v>0</v>
      </c>
    </row>
    <row r="115" spans="2:76" outlineLevel="1">
      <c r="B115" s="352" t="s">
        <v>230</v>
      </c>
      <c r="C115" s="352" t="str">
        <f>'DATA (Real)'!C111</f>
        <v>NREL Utility PV - Class 5</v>
      </c>
      <c r="D115" s="352" t="str">
        <f>'DATA (Real)'!D111</f>
        <v>Variable Operation and Maintenance Expenses ($/MWh)</v>
      </c>
      <c r="E115" s="352" t="str">
        <f>'DATA (Real)'!E111</f>
        <v>Southern NW Solar Photovoltaic w/ Single Axis Tracking (100 MW AC)</v>
      </c>
      <c r="F115" s="314">
        <f>'DATA (Real)'!F111</f>
        <v>0</v>
      </c>
      <c r="G115" s="324">
        <f>'DATA (Real)'!G111*G$4/100</f>
        <v>0</v>
      </c>
      <c r="H115" s="324">
        <f>'DATA (Real)'!H111*H$4/100</f>
        <v>0</v>
      </c>
      <c r="I115" s="324">
        <f>'DATA (Real)'!I111*I$4/100</f>
        <v>0</v>
      </c>
      <c r="J115" s="324">
        <f>'DATA (Real)'!J111*J$4/100</f>
        <v>0</v>
      </c>
      <c r="K115" s="324">
        <f>'DATA (Real)'!K111*K$4/100</f>
        <v>0</v>
      </c>
      <c r="L115" s="324">
        <f>'DATA (Real)'!L111*L$4/100</f>
        <v>0</v>
      </c>
      <c r="M115" s="324">
        <f>'DATA (Real)'!M111*M$4/100</f>
        <v>0</v>
      </c>
      <c r="N115" s="324">
        <f>'DATA (Real)'!N111*N$4/100</f>
        <v>0</v>
      </c>
      <c r="O115" s="324">
        <f>'DATA (Real)'!O111*O$4/100</f>
        <v>0</v>
      </c>
      <c r="P115" s="324">
        <f>'DATA (Real)'!P111*P$4/100</f>
        <v>0</v>
      </c>
      <c r="Q115" s="324">
        <f>'DATA (Real)'!Q111*Q$4/100</f>
        <v>0</v>
      </c>
      <c r="R115" s="324">
        <f>'DATA (Real)'!R111*R$4/100</f>
        <v>0</v>
      </c>
      <c r="S115" s="324">
        <f>'DATA (Real)'!S111*S$4/100</f>
        <v>0</v>
      </c>
      <c r="T115" s="324">
        <f>'DATA (Real)'!T111*T$4/100</f>
        <v>0</v>
      </c>
      <c r="U115" s="324">
        <f>'DATA (Real)'!U111*U$4/100</f>
        <v>0</v>
      </c>
      <c r="V115" s="324">
        <f>'DATA (Real)'!V111*V$4/100</f>
        <v>0</v>
      </c>
      <c r="W115" s="324">
        <f>'DATA (Real)'!W111*W$4/100</f>
        <v>0</v>
      </c>
      <c r="X115" s="324">
        <f>'DATA (Real)'!X111*X$4/100</f>
        <v>0</v>
      </c>
      <c r="Y115" s="324">
        <f>'DATA (Real)'!Y111*Y$4/100</f>
        <v>0</v>
      </c>
      <c r="Z115" s="324">
        <f>'DATA (Real)'!Z111*Z$4/100</f>
        <v>0</v>
      </c>
      <c r="AA115" s="324">
        <f>'DATA (Real)'!AA111*AA$4/100</f>
        <v>0</v>
      </c>
      <c r="AB115" s="324">
        <f>'DATA (Real)'!AB111*AB$4/100</f>
        <v>0</v>
      </c>
      <c r="AC115" s="324">
        <f>'DATA (Real)'!AC111*AC$4/100</f>
        <v>0</v>
      </c>
      <c r="AD115" s="324">
        <f>'DATA (Real)'!AD111*AD$4/100</f>
        <v>0</v>
      </c>
      <c r="AE115" s="324">
        <f>'DATA (Real)'!AE111*AE$4/100</f>
        <v>0</v>
      </c>
      <c r="AF115" s="324">
        <f>'DATA (Real)'!AF111*AF$4/100</f>
        <v>0</v>
      </c>
      <c r="AG115" s="324">
        <f>'DATA (Real)'!AG111*AG$4/100</f>
        <v>0</v>
      </c>
      <c r="AH115" s="324">
        <f>'DATA (Real)'!AH111*AH$4/100</f>
        <v>0</v>
      </c>
      <c r="AI115" s="324">
        <f>'DATA (Real)'!AI111*AI$4/100</f>
        <v>0</v>
      </c>
      <c r="AJ115" s="324">
        <f>'DATA (Real)'!AJ111*AJ$4/100</f>
        <v>0</v>
      </c>
      <c r="AK115" s="324">
        <f>'DATA (Real)'!AK111*AK$4/100</f>
        <v>0</v>
      </c>
      <c r="AL115" s="324">
        <f>'DATA (Real)'!AL111*AL$4/100</f>
        <v>0</v>
      </c>
      <c r="AM115" s="324">
        <f>'DATA (Real)'!AM111*AM$4/100</f>
        <v>0</v>
      </c>
      <c r="AN115" s="324">
        <f>'DATA (Real)'!AN111*AN$4/100</f>
        <v>0</v>
      </c>
      <c r="AO115" s="324">
        <f>'DATA (Real)'!AO111*AO$4/100</f>
        <v>0</v>
      </c>
      <c r="AP115" s="324">
        <f>'DATA (Real)'!AP111*AP$4/100</f>
        <v>0</v>
      </c>
      <c r="AQ115" s="324">
        <f>'DATA (Real)'!AQ111*AQ$4/100</f>
        <v>0</v>
      </c>
      <c r="AR115" s="324">
        <f>'DATA (Real)'!AR111*AR$4/100</f>
        <v>0</v>
      </c>
      <c r="AS115" s="324">
        <f>'DATA (Real)'!AS111*AS$4/100</f>
        <v>0</v>
      </c>
      <c r="AT115" s="324">
        <f>'DATA (Real)'!AT111*AT$4/100</f>
        <v>0</v>
      </c>
      <c r="AU115" s="324">
        <f>'DATA (Real)'!AU111*AU$4/100</f>
        <v>0</v>
      </c>
      <c r="AV115" s="324">
        <f>'DATA (Real)'!AV111*AV$4/100</f>
        <v>0</v>
      </c>
      <c r="AW115" s="324">
        <f>'DATA (Real)'!AW111*AW$4/100</f>
        <v>0</v>
      </c>
      <c r="AX115" s="324">
        <f>'DATA (Real)'!AX111*AX$4/100</f>
        <v>0</v>
      </c>
      <c r="AY115" s="324">
        <f>'DATA (Real)'!AY111*AY$4/100</f>
        <v>0</v>
      </c>
      <c r="AZ115" s="324">
        <f>'DATA (Real)'!AZ111*AZ$4/100</f>
        <v>0</v>
      </c>
      <c r="BA115" s="324">
        <f>'DATA (Real)'!BA111*BA$4/100</f>
        <v>0</v>
      </c>
      <c r="BB115" s="324">
        <f>'DATA (Real)'!BB111*BB$4/100</f>
        <v>0</v>
      </c>
      <c r="BC115" s="324">
        <f>'DATA (Real)'!BC111*BC$4/100</f>
        <v>0</v>
      </c>
      <c r="BD115" s="324">
        <f>'DATA (Real)'!BD111*BD$4/100</f>
        <v>0</v>
      </c>
      <c r="BE115" s="324">
        <f>'DATA (Real)'!BE111*BE$4/100</f>
        <v>0</v>
      </c>
      <c r="BF115" s="324">
        <f>'DATA (Real)'!BF111*BF$4/100</f>
        <v>0</v>
      </c>
      <c r="BG115" s="324">
        <f>'DATA (Real)'!BG111*BG$4/100</f>
        <v>0</v>
      </c>
      <c r="BH115" s="324">
        <f>'DATA (Real)'!BH111*BH$4/100</f>
        <v>0</v>
      </c>
      <c r="BI115" s="324">
        <f>'DATA (Real)'!BI111*BI$4/100</f>
        <v>0</v>
      </c>
      <c r="BJ115" s="324">
        <f>'DATA (Real)'!BJ111*BJ$4/100</f>
        <v>0</v>
      </c>
      <c r="BK115" s="324">
        <f>'DATA (Real)'!BK111*BK$4/100</f>
        <v>0</v>
      </c>
      <c r="BL115" s="324">
        <f>'DATA (Real)'!BL111*BL$4/100</f>
        <v>0</v>
      </c>
      <c r="BM115" s="324">
        <f>'DATA (Real)'!BM111*BM$4/100</f>
        <v>0</v>
      </c>
      <c r="BN115" s="324">
        <f>'DATA (Real)'!BN111*BN$4/100</f>
        <v>0</v>
      </c>
      <c r="BO115" s="324">
        <f>'DATA (Real)'!BO111*BO$4/100</f>
        <v>0</v>
      </c>
      <c r="BP115" s="324">
        <f>'DATA (Real)'!BP111*BP$4/100</f>
        <v>0</v>
      </c>
      <c r="BQ115" s="324">
        <f>'DATA (Real)'!BQ111*BQ$4/100</f>
        <v>0</v>
      </c>
      <c r="BR115" s="324">
        <f>'DATA (Real)'!BR111*BR$4/100</f>
        <v>0</v>
      </c>
      <c r="BS115" s="324">
        <f>'DATA (Real)'!BS111*BS$4/100</f>
        <v>0</v>
      </c>
      <c r="BT115" s="324">
        <f>'DATA (Real)'!BT111*BT$4/100</f>
        <v>0</v>
      </c>
      <c r="BU115" s="324">
        <f>'DATA (Real)'!BU111*BU$4/100</f>
        <v>0</v>
      </c>
      <c r="BV115" s="324">
        <f>'DATA (Real)'!BV111*BV$4/100</f>
        <v>0</v>
      </c>
      <c r="BW115" s="324">
        <f>'DATA (Real)'!BW111*BW$4/100</f>
        <v>0</v>
      </c>
      <c r="BX115" s="324">
        <f>'DATA (Real)'!BX111*BX$4/100</f>
        <v>0</v>
      </c>
    </row>
    <row r="116" spans="2:76" outlineLevel="1">
      <c r="B116" s="352" t="s">
        <v>230</v>
      </c>
      <c r="C116" s="352" t="str">
        <f>'DATA (Real)'!C112</f>
        <v>NREL Utility-Scale Battery Storage - 4Hr</v>
      </c>
      <c r="D116" s="352" t="str">
        <f>'DATA (Real)'!D112</f>
        <v>Variable Operation and Maintenance Expenses ($/MWh)</v>
      </c>
      <c r="E116" s="352" t="str">
        <f>'DATA (Real)'!E112</f>
        <v>100 MW/400 MWh Lithium-ion w/Solar (Solar Only)</v>
      </c>
      <c r="F116" s="314">
        <f>'DATA (Real)'!F112</f>
        <v>0</v>
      </c>
      <c r="G116" s="324">
        <f>'DATA (Real)'!G112*G$4/100</f>
        <v>0</v>
      </c>
      <c r="H116" s="324">
        <f>'DATA (Real)'!H112*H$4/100</f>
        <v>0</v>
      </c>
      <c r="I116" s="324">
        <f>'DATA (Real)'!I112*I$4/100</f>
        <v>0</v>
      </c>
      <c r="J116" s="324">
        <f>'DATA (Real)'!J112*J$4/100</f>
        <v>0</v>
      </c>
      <c r="K116" s="324">
        <f>'DATA (Real)'!K112*K$4/100</f>
        <v>0</v>
      </c>
      <c r="L116" s="324">
        <f>'DATA (Real)'!L112*L$4/100</f>
        <v>0</v>
      </c>
      <c r="M116" s="324">
        <f>'DATA (Real)'!M112*M$4/100</f>
        <v>0</v>
      </c>
      <c r="N116" s="324">
        <f>'DATA (Real)'!N112*N$4/100</f>
        <v>0</v>
      </c>
      <c r="O116" s="324">
        <f>'DATA (Real)'!O112*O$4/100</f>
        <v>0</v>
      </c>
      <c r="P116" s="324">
        <f>'DATA (Real)'!P112*P$4/100</f>
        <v>0</v>
      </c>
      <c r="Q116" s="324">
        <f>'DATA (Real)'!Q112*Q$4/100</f>
        <v>0</v>
      </c>
      <c r="R116" s="324">
        <f>'DATA (Real)'!R112*R$4/100</f>
        <v>0</v>
      </c>
      <c r="S116" s="324">
        <f>'DATA (Real)'!S112*S$4/100</f>
        <v>0</v>
      </c>
      <c r="T116" s="324">
        <f>'DATA (Real)'!T112*T$4/100</f>
        <v>0</v>
      </c>
      <c r="U116" s="324">
        <f>'DATA (Real)'!U112*U$4/100</f>
        <v>0</v>
      </c>
      <c r="V116" s="324">
        <f>'DATA (Real)'!V112*V$4/100</f>
        <v>0</v>
      </c>
      <c r="W116" s="324">
        <f>'DATA (Real)'!W112*W$4/100</f>
        <v>0</v>
      </c>
      <c r="X116" s="324">
        <f>'DATA (Real)'!X112*X$4/100</f>
        <v>0</v>
      </c>
      <c r="Y116" s="324">
        <f>'DATA (Real)'!Y112*Y$4/100</f>
        <v>0</v>
      </c>
      <c r="Z116" s="324">
        <f>'DATA (Real)'!Z112*Z$4/100</f>
        <v>0</v>
      </c>
      <c r="AA116" s="324">
        <f>'DATA (Real)'!AA112*AA$4/100</f>
        <v>0</v>
      </c>
      <c r="AB116" s="324">
        <f>'DATA (Real)'!AB112*AB$4/100</f>
        <v>0</v>
      </c>
      <c r="AC116" s="324">
        <f>'DATA (Real)'!AC112*AC$4/100</f>
        <v>0</v>
      </c>
      <c r="AD116" s="324">
        <f>'DATA (Real)'!AD112*AD$4/100</f>
        <v>0</v>
      </c>
      <c r="AE116" s="324">
        <f>'DATA (Real)'!AE112*AE$4/100</f>
        <v>0</v>
      </c>
      <c r="AF116" s="324">
        <f>'DATA (Real)'!AF112*AF$4/100</f>
        <v>0</v>
      </c>
      <c r="AG116" s="324">
        <f>'DATA (Real)'!AG112*AG$4/100</f>
        <v>0</v>
      </c>
      <c r="AH116" s="324">
        <f>'DATA (Real)'!AH112*AH$4/100</f>
        <v>0</v>
      </c>
      <c r="AI116" s="324">
        <f>'DATA (Real)'!AI112*AI$4/100</f>
        <v>0</v>
      </c>
      <c r="AJ116" s="324">
        <f>'DATA (Real)'!AJ112*AJ$4/100</f>
        <v>0</v>
      </c>
      <c r="AK116" s="324">
        <f>'DATA (Real)'!AK112*AK$4/100</f>
        <v>0</v>
      </c>
      <c r="AL116" s="324">
        <f>'DATA (Real)'!AL112*AL$4/100</f>
        <v>0</v>
      </c>
      <c r="AM116" s="324">
        <f>'DATA (Real)'!AM112*AM$4/100</f>
        <v>0</v>
      </c>
      <c r="AN116" s="324">
        <f>'DATA (Real)'!AN112*AN$4/100</f>
        <v>0</v>
      </c>
      <c r="AO116" s="324">
        <f>'DATA (Real)'!AO112*AO$4/100</f>
        <v>0</v>
      </c>
      <c r="AP116" s="324">
        <f>'DATA (Real)'!AP112*AP$4/100</f>
        <v>0</v>
      </c>
      <c r="AQ116" s="324">
        <f>'DATA (Real)'!AQ112*AQ$4/100</f>
        <v>0</v>
      </c>
      <c r="AR116" s="324">
        <f>'DATA (Real)'!AR112*AR$4/100</f>
        <v>0</v>
      </c>
      <c r="AS116" s="324">
        <f>'DATA (Real)'!AS112*AS$4/100</f>
        <v>0</v>
      </c>
      <c r="AT116" s="324">
        <f>'DATA (Real)'!AT112*AT$4/100</f>
        <v>0</v>
      </c>
      <c r="AU116" s="324">
        <f>'DATA (Real)'!AU112*AU$4/100</f>
        <v>0</v>
      </c>
      <c r="AV116" s="324">
        <f>'DATA (Real)'!AV112*AV$4/100</f>
        <v>0</v>
      </c>
      <c r="AW116" s="324">
        <f>'DATA (Real)'!AW112*AW$4/100</f>
        <v>0</v>
      </c>
      <c r="AX116" s="324">
        <f>'DATA (Real)'!AX112*AX$4/100</f>
        <v>0</v>
      </c>
      <c r="AY116" s="324">
        <f>'DATA (Real)'!AY112*AY$4/100</f>
        <v>0</v>
      </c>
      <c r="AZ116" s="324">
        <f>'DATA (Real)'!AZ112*AZ$4/100</f>
        <v>0</v>
      </c>
      <c r="BA116" s="324">
        <f>'DATA (Real)'!BA112*BA$4/100</f>
        <v>0</v>
      </c>
      <c r="BB116" s="324">
        <f>'DATA (Real)'!BB112*BB$4/100</f>
        <v>0</v>
      </c>
      <c r="BC116" s="324">
        <f>'DATA (Real)'!BC112*BC$4/100</f>
        <v>0</v>
      </c>
      <c r="BD116" s="324">
        <f>'DATA (Real)'!BD112*BD$4/100</f>
        <v>0</v>
      </c>
      <c r="BE116" s="324">
        <f>'DATA (Real)'!BE112*BE$4/100</f>
        <v>0</v>
      </c>
      <c r="BF116" s="324">
        <f>'DATA (Real)'!BF112*BF$4/100</f>
        <v>0</v>
      </c>
      <c r="BG116" s="324">
        <f>'DATA (Real)'!BG112*BG$4/100</f>
        <v>0</v>
      </c>
      <c r="BH116" s="324">
        <f>'DATA (Real)'!BH112*BH$4/100</f>
        <v>0</v>
      </c>
      <c r="BI116" s="324">
        <f>'DATA (Real)'!BI112*BI$4/100</f>
        <v>0</v>
      </c>
      <c r="BJ116" s="324">
        <f>'DATA (Real)'!BJ112*BJ$4/100</f>
        <v>0</v>
      </c>
      <c r="BK116" s="324">
        <f>'DATA (Real)'!BK112*BK$4/100</f>
        <v>0</v>
      </c>
      <c r="BL116" s="324">
        <f>'DATA (Real)'!BL112*BL$4/100</f>
        <v>0</v>
      </c>
      <c r="BM116" s="324">
        <f>'DATA (Real)'!BM112*BM$4/100</f>
        <v>0</v>
      </c>
      <c r="BN116" s="324">
        <f>'DATA (Real)'!BN112*BN$4/100</f>
        <v>0</v>
      </c>
      <c r="BO116" s="324">
        <f>'DATA (Real)'!BO112*BO$4/100</f>
        <v>0</v>
      </c>
      <c r="BP116" s="324">
        <f>'DATA (Real)'!BP112*BP$4/100</f>
        <v>0</v>
      </c>
      <c r="BQ116" s="324">
        <f>'DATA (Real)'!BQ112*BQ$4/100</f>
        <v>0</v>
      </c>
      <c r="BR116" s="324">
        <f>'DATA (Real)'!BR112*BR$4/100</f>
        <v>0</v>
      </c>
      <c r="BS116" s="324">
        <f>'DATA (Real)'!BS112*BS$4/100</f>
        <v>0</v>
      </c>
      <c r="BT116" s="324">
        <f>'DATA (Real)'!BT112*BT$4/100</f>
        <v>0</v>
      </c>
      <c r="BU116" s="324">
        <f>'DATA (Real)'!BU112*BU$4/100</f>
        <v>0</v>
      </c>
      <c r="BV116" s="324">
        <f>'DATA (Real)'!BV112*BV$4/100</f>
        <v>0</v>
      </c>
      <c r="BW116" s="324">
        <f>'DATA (Real)'!BW112*BW$4/100</f>
        <v>0</v>
      </c>
      <c r="BX116" s="324">
        <f>'DATA (Real)'!BX112*BX$4/100</f>
        <v>0</v>
      </c>
    </row>
    <row r="117" spans="2:76" outlineLevel="1">
      <c r="B117" s="352" t="s">
        <v>230</v>
      </c>
      <c r="C117" s="352" t="str">
        <f>'DATA (Real)'!C113</f>
        <v>NREL Utility-Scale Battery Storage - 2Hr</v>
      </c>
      <c r="D117" s="352" t="str">
        <f>'DATA (Real)'!D113</f>
        <v>Variable Operation and Maintenance Expenses ($/MWh)</v>
      </c>
      <c r="E117" s="352" t="str">
        <f>'DATA (Real)'!E113</f>
        <v>100 MW/200 MWh Lithium-ion w/Solar (Solar Only)</v>
      </c>
      <c r="F117" s="314">
        <f>'DATA (Real)'!F113</f>
        <v>0</v>
      </c>
      <c r="G117" s="324">
        <f>'DATA (Real)'!G113*G$4/100</f>
        <v>0</v>
      </c>
      <c r="H117" s="324">
        <f>'DATA (Real)'!H113*H$4/100</f>
        <v>0</v>
      </c>
      <c r="I117" s="324">
        <f>'DATA (Real)'!I113*I$4/100</f>
        <v>0</v>
      </c>
      <c r="J117" s="324">
        <f>'DATA (Real)'!J113*J$4/100</f>
        <v>0</v>
      </c>
      <c r="K117" s="324">
        <f>'DATA (Real)'!K113*K$4/100</f>
        <v>0</v>
      </c>
      <c r="L117" s="324">
        <f>'DATA (Real)'!L113*L$4/100</f>
        <v>0</v>
      </c>
      <c r="M117" s="324">
        <f>'DATA (Real)'!M113*M$4/100</f>
        <v>0</v>
      </c>
      <c r="N117" s="324">
        <f>'DATA (Real)'!N113*N$4/100</f>
        <v>0</v>
      </c>
      <c r="O117" s="324">
        <f>'DATA (Real)'!O113*O$4/100</f>
        <v>0</v>
      </c>
      <c r="P117" s="324">
        <f>'DATA (Real)'!P113*P$4/100</f>
        <v>0</v>
      </c>
      <c r="Q117" s="324">
        <f>'DATA (Real)'!Q113*Q$4/100</f>
        <v>0</v>
      </c>
      <c r="R117" s="324">
        <f>'DATA (Real)'!R113*R$4/100</f>
        <v>0</v>
      </c>
      <c r="S117" s="324">
        <f>'DATA (Real)'!S113*S$4/100</f>
        <v>0</v>
      </c>
      <c r="T117" s="324">
        <f>'DATA (Real)'!T113*T$4/100</f>
        <v>0</v>
      </c>
      <c r="U117" s="324">
        <f>'DATA (Real)'!U113*U$4/100</f>
        <v>0</v>
      </c>
      <c r="V117" s="324">
        <f>'DATA (Real)'!V113*V$4/100</f>
        <v>0</v>
      </c>
      <c r="W117" s="324">
        <f>'DATA (Real)'!W113*W$4/100</f>
        <v>0</v>
      </c>
      <c r="X117" s="324">
        <f>'DATA (Real)'!X113*X$4/100</f>
        <v>0</v>
      </c>
      <c r="Y117" s="324">
        <f>'DATA (Real)'!Y113*Y$4/100</f>
        <v>0</v>
      </c>
      <c r="Z117" s="324">
        <f>'DATA (Real)'!Z113*Z$4/100</f>
        <v>0</v>
      </c>
      <c r="AA117" s="324">
        <f>'DATA (Real)'!AA113*AA$4/100</f>
        <v>0</v>
      </c>
      <c r="AB117" s="324">
        <f>'DATA (Real)'!AB113*AB$4/100</f>
        <v>0</v>
      </c>
      <c r="AC117" s="324">
        <f>'DATA (Real)'!AC113*AC$4/100</f>
        <v>0</v>
      </c>
      <c r="AD117" s="324">
        <f>'DATA (Real)'!AD113*AD$4/100</f>
        <v>0</v>
      </c>
      <c r="AE117" s="324">
        <f>'DATA (Real)'!AE113*AE$4/100</f>
        <v>0</v>
      </c>
      <c r="AF117" s="324">
        <f>'DATA (Real)'!AF113*AF$4/100</f>
        <v>0</v>
      </c>
      <c r="AG117" s="324">
        <f>'DATA (Real)'!AG113*AG$4/100</f>
        <v>0</v>
      </c>
      <c r="AH117" s="324">
        <f>'DATA (Real)'!AH113*AH$4/100</f>
        <v>0</v>
      </c>
      <c r="AI117" s="324">
        <f>'DATA (Real)'!AI113*AI$4/100</f>
        <v>0</v>
      </c>
      <c r="AJ117" s="324">
        <f>'DATA (Real)'!AJ113*AJ$4/100</f>
        <v>0</v>
      </c>
      <c r="AK117" s="324">
        <f>'DATA (Real)'!AK113*AK$4/100</f>
        <v>0</v>
      </c>
      <c r="AL117" s="324">
        <f>'DATA (Real)'!AL113*AL$4/100</f>
        <v>0</v>
      </c>
      <c r="AM117" s="324">
        <f>'DATA (Real)'!AM113*AM$4/100</f>
        <v>0</v>
      </c>
      <c r="AN117" s="324">
        <f>'DATA (Real)'!AN113*AN$4/100</f>
        <v>0</v>
      </c>
      <c r="AO117" s="324">
        <f>'DATA (Real)'!AO113*AO$4/100</f>
        <v>0</v>
      </c>
      <c r="AP117" s="324">
        <f>'DATA (Real)'!AP113*AP$4/100</f>
        <v>0</v>
      </c>
      <c r="AQ117" s="324">
        <f>'DATA (Real)'!AQ113*AQ$4/100</f>
        <v>0</v>
      </c>
      <c r="AR117" s="324">
        <f>'DATA (Real)'!AR113*AR$4/100</f>
        <v>0</v>
      </c>
      <c r="AS117" s="324">
        <f>'DATA (Real)'!AS113*AS$4/100</f>
        <v>0</v>
      </c>
      <c r="AT117" s="324">
        <f>'DATA (Real)'!AT113*AT$4/100</f>
        <v>0</v>
      </c>
      <c r="AU117" s="324">
        <f>'DATA (Real)'!AU113*AU$4/100</f>
        <v>0</v>
      </c>
      <c r="AV117" s="324">
        <f>'DATA (Real)'!AV113*AV$4/100</f>
        <v>0</v>
      </c>
      <c r="AW117" s="324">
        <f>'DATA (Real)'!AW113*AW$4/100</f>
        <v>0</v>
      </c>
      <c r="AX117" s="324">
        <f>'DATA (Real)'!AX113*AX$4/100</f>
        <v>0</v>
      </c>
      <c r="AY117" s="324">
        <f>'DATA (Real)'!AY113*AY$4/100</f>
        <v>0</v>
      </c>
      <c r="AZ117" s="324">
        <f>'DATA (Real)'!AZ113*AZ$4/100</f>
        <v>0</v>
      </c>
      <c r="BA117" s="324">
        <f>'DATA (Real)'!BA113*BA$4/100</f>
        <v>0</v>
      </c>
      <c r="BB117" s="324">
        <f>'DATA (Real)'!BB113*BB$4/100</f>
        <v>0</v>
      </c>
      <c r="BC117" s="324">
        <f>'DATA (Real)'!BC113*BC$4/100</f>
        <v>0</v>
      </c>
      <c r="BD117" s="324">
        <f>'DATA (Real)'!BD113*BD$4/100</f>
        <v>0</v>
      </c>
      <c r="BE117" s="324">
        <f>'DATA (Real)'!BE113*BE$4/100</f>
        <v>0</v>
      </c>
      <c r="BF117" s="324">
        <f>'DATA (Real)'!BF113*BF$4/100</f>
        <v>0</v>
      </c>
      <c r="BG117" s="324">
        <f>'DATA (Real)'!BG113*BG$4/100</f>
        <v>0</v>
      </c>
      <c r="BH117" s="324">
        <f>'DATA (Real)'!BH113*BH$4/100</f>
        <v>0</v>
      </c>
      <c r="BI117" s="324">
        <f>'DATA (Real)'!BI113*BI$4/100</f>
        <v>0</v>
      </c>
      <c r="BJ117" s="324">
        <f>'DATA (Real)'!BJ113*BJ$4/100</f>
        <v>0</v>
      </c>
      <c r="BK117" s="324">
        <f>'DATA (Real)'!BK113*BK$4/100</f>
        <v>0</v>
      </c>
      <c r="BL117" s="324">
        <f>'DATA (Real)'!BL113*BL$4/100</f>
        <v>0</v>
      </c>
      <c r="BM117" s="324">
        <f>'DATA (Real)'!BM113*BM$4/100</f>
        <v>0</v>
      </c>
      <c r="BN117" s="324">
        <f>'DATA (Real)'!BN113*BN$4/100</f>
        <v>0</v>
      </c>
      <c r="BO117" s="324">
        <f>'DATA (Real)'!BO113*BO$4/100</f>
        <v>0</v>
      </c>
      <c r="BP117" s="324">
        <f>'DATA (Real)'!BP113*BP$4/100</f>
        <v>0</v>
      </c>
      <c r="BQ117" s="324">
        <f>'DATA (Real)'!BQ113*BQ$4/100</f>
        <v>0</v>
      </c>
      <c r="BR117" s="324">
        <f>'DATA (Real)'!BR113*BR$4/100</f>
        <v>0</v>
      </c>
      <c r="BS117" s="324">
        <f>'DATA (Real)'!BS113*BS$4/100</f>
        <v>0</v>
      </c>
      <c r="BT117" s="324">
        <f>'DATA (Real)'!BT113*BT$4/100</f>
        <v>0</v>
      </c>
      <c r="BU117" s="324">
        <f>'DATA (Real)'!BU113*BU$4/100</f>
        <v>0</v>
      </c>
      <c r="BV117" s="324">
        <f>'DATA (Real)'!BV113*BV$4/100</f>
        <v>0</v>
      </c>
      <c r="BW117" s="324">
        <f>'DATA (Real)'!BW113*BW$4/100</f>
        <v>0</v>
      </c>
      <c r="BX117" s="324">
        <f>'DATA (Real)'!BX113*BX$4/100</f>
        <v>0</v>
      </c>
    </row>
    <row r="118" spans="2:76" outlineLevel="1">
      <c r="B118" s="352" t="s">
        <v>230</v>
      </c>
      <c r="C118" s="352" t="str">
        <f>'DATA (Real)'!C114</f>
        <v>NREL Utility-Scale Battery Storage - 2Hr</v>
      </c>
      <c r="D118" s="352" t="str">
        <f>'DATA (Real)'!D114</f>
        <v>Variable Operation and Maintenance Expenses ($/MWh)</v>
      </c>
      <c r="E118" s="352" t="str">
        <f>'DATA (Real)'!E114</f>
        <v>50 MW/200 MWh Lithium-ion w/Solar (Solar Only)</v>
      </c>
      <c r="F118" s="314">
        <f>'DATA (Real)'!F114</f>
        <v>0</v>
      </c>
      <c r="G118" s="324">
        <f>'DATA (Real)'!G114*G$4/100</f>
        <v>0</v>
      </c>
      <c r="H118" s="324">
        <f>'DATA (Real)'!H114*H$4/100</f>
        <v>0</v>
      </c>
      <c r="I118" s="324">
        <f>'DATA (Real)'!I114*I$4/100</f>
        <v>0</v>
      </c>
      <c r="J118" s="324">
        <f>'DATA (Real)'!J114*J$4/100</f>
        <v>0</v>
      </c>
      <c r="K118" s="324">
        <f>'DATA (Real)'!K114*K$4/100</f>
        <v>0</v>
      </c>
      <c r="L118" s="324">
        <f>'DATA (Real)'!L114*L$4/100</f>
        <v>0</v>
      </c>
      <c r="M118" s="324">
        <f>'DATA (Real)'!M114*M$4/100</f>
        <v>0</v>
      </c>
      <c r="N118" s="324">
        <f>'DATA (Real)'!N114*N$4/100</f>
        <v>0</v>
      </c>
      <c r="O118" s="324">
        <f>'DATA (Real)'!O114*O$4/100</f>
        <v>0</v>
      </c>
      <c r="P118" s="324">
        <f>'DATA (Real)'!P114*P$4/100</f>
        <v>0</v>
      </c>
      <c r="Q118" s="324">
        <f>'DATA (Real)'!Q114*Q$4/100</f>
        <v>0</v>
      </c>
      <c r="R118" s="324">
        <f>'DATA (Real)'!R114*R$4/100</f>
        <v>0</v>
      </c>
      <c r="S118" s="324">
        <f>'DATA (Real)'!S114*S$4/100</f>
        <v>0</v>
      </c>
      <c r="T118" s="324">
        <f>'DATA (Real)'!T114*T$4/100</f>
        <v>0</v>
      </c>
      <c r="U118" s="324">
        <f>'DATA (Real)'!U114*U$4/100</f>
        <v>0</v>
      </c>
      <c r="V118" s="324">
        <f>'DATA (Real)'!V114*V$4/100</f>
        <v>0</v>
      </c>
      <c r="W118" s="324">
        <f>'DATA (Real)'!W114*W$4/100</f>
        <v>0</v>
      </c>
      <c r="X118" s="324">
        <f>'DATA (Real)'!X114*X$4/100</f>
        <v>0</v>
      </c>
      <c r="Y118" s="324">
        <f>'DATA (Real)'!Y114*Y$4/100</f>
        <v>0</v>
      </c>
      <c r="Z118" s="324">
        <f>'DATA (Real)'!Z114*Z$4/100</f>
        <v>0</v>
      </c>
      <c r="AA118" s="324">
        <f>'DATA (Real)'!AA114*AA$4/100</f>
        <v>0</v>
      </c>
      <c r="AB118" s="324">
        <f>'DATA (Real)'!AB114*AB$4/100</f>
        <v>0</v>
      </c>
      <c r="AC118" s="324">
        <f>'DATA (Real)'!AC114*AC$4/100</f>
        <v>0</v>
      </c>
      <c r="AD118" s="324">
        <f>'DATA (Real)'!AD114*AD$4/100</f>
        <v>0</v>
      </c>
      <c r="AE118" s="324">
        <f>'DATA (Real)'!AE114*AE$4/100</f>
        <v>0</v>
      </c>
      <c r="AF118" s="324">
        <f>'DATA (Real)'!AF114*AF$4/100</f>
        <v>0</v>
      </c>
      <c r="AG118" s="324">
        <f>'DATA (Real)'!AG114*AG$4/100</f>
        <v>0</v>
      </c>
      <c r="AH118" s="324">
        <f>'DATA (Real)'!AH114*AH$4/100</f>
        <v>0</v>
      </c>
      <c r="AI118" s="324">
        <f>'DATA (Real)'!AI114*AI$4/100</f>
        <v>0</v>
      </c>
      <c r="AJ118" s="324">
        <f>'DATA (Real)'!AJ114*AJ$4/100</f>
        <v>0</v>
      </c>
      <c r="AK118" s="324">
        <f>'DATA (Real)'!AK114*AK$4/100</f>
        <v>0</v>
      </c>
      <c r="AL118" s="324">
        <f>'DATA (Real)'!AL114*AL$4/100</f>
        <v>0</v>
      </c>
      <c r="AM118" s="324">
        <f>'DATA (Real)'!AM114*AM$4/100</f>
        <v>0</v>
      </c>
      <c r="AN118" s="324">
        <f>'DATA (Real)'!AN114*AN$4/100</f>
        <v>0</v>
      </c>
      <c r="AO118" s="324">
        <f>'DATA (Real)'!AO114*AO$4/100</f>
        <v>0</v>
      </c>
      <c r="AP118" s="324">
        <f>'DATA (Real)'!AP114*AP$4/100</f>
        <v>0</v>
      </c>
      <c r="AQ118" s="324">
        <f>'DATA (Real)'!AQ114*AQ$4/100</f>
        <v>0</v>
      </c>
      <c r="AR118" s="324">
        <f>'DATA (Real)'!AR114*AR$4/100</f>
        <v>0</v>
      </c>
      <c r="AS118" s="324">
        <f>'DATA (Real)'!AS114*AS$4/100</f>
        <v>0</v>
      </c>
      <c r="AT118" s="324">
        <f>'DATA (Real)'!AT114*AT$4/100</f>
        <v>0</v>
      </c>
      <c r="AU118" s="324">
        <f>'DATA (Real)'!AU114*AU$4/100</f>
        <v>0</v>
      </c>
      <c r="AV118" s="324">
        <f>'DATA (Real)'!AV114*AV$4/100</f>
        <v>0</v>
      </c>
      <c r="AW118" s="324">
        <f>'DATA (Real)'!AW114*AW$4/100</f>
        <v>0</v>
      </c>
      <c r="AX118" s="324">
        <f>'DATA (Real)'!AX114*AX$4/100</f>
        <v>0</v>
      </c>
      <c r="AY118" s="324">
        <f>'DATA (Real)'!AY114*AY$4/100</f>
        <v>0</v>
      </c>
      <c r="AZ118" s="324">
        <f>'DATA (Real)'!AZ114*AZ$4/100</f>
        <v>0</v>
      </c>
      <c r="BA118" s="324">
        <f>'DATA (Real)'!BA114*BA$4/100</f>
        <v>0</v>
      </c>
      <c r="BB118" s="324">
        <f>'DATA (Real)'!BB114*BB$4/100</f>
        <v>0</v>
      </c>
      <c r="BC118" s="324">
        <f>'DATA (Real)'!BC114*BC$4/100</f>
        <v>0</v>
      </c>
      <c r="BD118" s="324">
        <f>'DATA (Real)'!BD114*BD$4/100</f>
        <v>0</v>
      </c>
      <c r="BE118" s="324">
        <f>'DATA (Real)'!BE114*BE$4/100</f>
        <v>0</v>
      </c>
      <c r="BF118" s="324">
        <f>'DATA (Real)'!BF114*BF$4/100</f>
        <v>0</v>
      </c>
      <c r="BG118" s="324">
        <f>'DATA (Real)'!BG114*BG$4/100</f>
        <v>0</v>
      </c>
      <c r="BH118" s="324">
        <f>'DATA (Real)'!BH114*BH$4/100</f>
        <v>0</v>
      </c>
      <c r="BI118" s="324">
        <f>'DATA (Real)'!BI114*BI$4/100</f>
        <v>0</v>
      </c>
      <c r="BJ118" s="324">
        <f>'DATA (Real)'!BJ114*BJ$4/100</f>
        <v>0</v>
      </c>
      <c r="BK118" s="324">
        <f>'DATA (Real)'!BK114*BK$4/100</f>
        <v>0</v>
      </c>
      <c r="BL118" s="324">
        <f>'DATA (Real)'!BL114*BL$4/100</f>
        <v>0</v>
      </c>
      <c r="BM118" s="324">
        <f>'DATA (Real)'!BM114*BM$4/100</f>
        <v>0</v>
      </c>
      <c r="BN118" s="324">
        <f>'DATA (Real)'!BN114*BN$4/100</f>
        <v>0</v>
      </c>
      <c r="BO118" s="324">
        <f>'DATA (Real)'!BO114*BO$4/100</f>
        <v>0</v>
      </c>
      <c r="BP118" s="324">
        <f>'DATA (Real)'!BP114*BP$4/100</f>
        <v>0</v>
      </c>
      <c r="BQ118" s="324">
        <f>'DATA (Real)'!BQ114*BQ$4/100</f>
        <v>0</v>
      </c>
      <c r="BR118" s="324">
        <f>'DATA (Real)'!BR114*BR$4/100</f>
        <v>0</v>
      </c>
      <c r="BS118" s="324">
        <f>'DATA (Real)'!BS114*BS$4/100</f>
        <v>0</v>
      </c>
      <c r="BT118" s="324">
        <f>'DATA (Real)'!BT114*BT$4/100</f>
        <v>0</v>
      </c>
      <c r="BU118" s="324">
        <f>'DATA (Real)'!BU114*BU$4/100</f>
        <v>0</v>
      </c>
      <c r="BV118" s="324">
        <f>'DATA (Real)'!BV114*BV$4/100</f>
        <v>0</v>
      </c>
      <c r="BW118" s="324">
        <f>'DATA (Real)'!BW114*BW$4/100</f>
        <v>0</v>
      </c>
      <c r="BX118" s="324">
        <f>'DATA (Real)'!BX114*BX$4/100</f>
        <v>0</v>
      </c>
    </row>
    <row r="119" spans="2:76" outlineLevel="1">
      <c r="B119" s="350" t="s">
        <v>230</v>
      </c>
      <c r="C119" s="350" t="str">
        <f>'DATA (Real)'!C115</f>
        <v>NREL Land-Based Wind - Class 8</v>
      </c>
      <c r="D119" s="350" t="str">
        <f>'DATA (Real)'!D115</f>
        <v>Variable Operation and Maintenance Expenses ($/MWh)</v>
      </c>
      <c r="E119" s="350" t="str">
        <f>'DATA (Real)'!E115</f>
        <v>NW Wind On System (Share)</v>
      </c>
      <c r="F119" s="314">
        <f>'DATA (Real)'!F115</f>
        <v>0</v>
      </c>
      <c r="G119" s="324">
        <f>'DATA (Real)'!G115*G$4/100</f>
        <v>0</v>
      </c>
      <c r="H119" s="324">
        <f>'DATA (Real)'!H115*H$4/100</f>
        <v>0</v>
      </c>
      <c r="I119" s="324">
        <f>'DATA (Real)'!I115*I$4/100</f>
        <v>0</v>
      </c>
      <c r="J119" s="324">
        <f>'DATA (Real)'!J115*J$4/100</f>
        <v>0</v>
      </c>
      <c r="K119" s="324">
        <f>'DATA (Real)'!K115*K$4/100</f>
        <v>0</v>
      </c>
      <c r="L119" s="324">
        <f>'DATA (Real)'!L115*L$4/100</f>
        <v>0</v>
      </c>
      <c r="M119" s="324">
        <f>'DATA (Real)'!M115*M$4/100</f>
        <v>0</v>
      </c>
      <c r="N119" s="324">
        <f>'DATA (Real)'!N115*N$4/100</f>
        <v>0</v>
      </c>
      <c r="O119" s="324">
        <f>'DATA (Real)'!O115*O$4/100</f>
        <v>0</v>
      </c>
      <c r="P119" s="324">
        <f>'DATA (Real)'!P115*P$4/100</f>
        <v>0</v>
      </c>
      <c r="Q119" s="324">
        <f>'DATA (Real)'!Q115*Q$4/100</f>
        <v>0</v>
      </c>
      <c r="R119" s="324">
        <f>'DATA (Real)'!R115*R$4/100</f>
        <v>0</v>
      </c>
      <c r="S119" s="324">
        <f>'DATA (Real)'!S115*S$4/100</f>
        <v>0</v>
      </c>
      <c r="T119" s="324">
        <f>'DATA (Real)'!T115*T$4/100</f>
        <v>0</v>
      </c>
      <c r="U119" s="324">
        <f>'DATA (Real)'!U115*U$4/100</f>
        <v>0</v>
      </c>
      <c r="V119" s="324">
        <f>'DATA (Real)'!V115*V$4/100</f>
        <v>0</v>
      </c>
      <c r="W119" s="324">
        <f>'DATA (Real)'!W115*W$4/100</f>
        <v>0</v>
      </c>
      <c r="X119" s="324">
        <f>'DATA (Real)'!X115*X$4/100</f>
        <v>0</v>
      </c>
      <c r="Y119" s="324">
        <f>'DATA (Real)'!Y115*Y$4/100</f>
        <v>0</v>
      </c>
      <c r="Z119" s="324">
        <f>'DATA (Real)'!Z115*Z$4/100</f>
        <v>0</v>
      </c>
      <c r="AA119" s="324">
        <f>'DATA (Real)'!AA115*AA$4/100</f>
        <v>0</v>
      </c>
      <c r="AB119" s="324">
        <f>'DATA (Real)'!AB115*AB$4/100</f>
        <v>0</v>
      </c>
      <c r="AC119" s="324">
        <f>'DATA (Real)'!AC115*AC$4/100</f>
        <v>0</v>
      </c>
      <c r="AD119" s="324">
        <f>'DATA (Real)'!AD115*AD$4/100</f>
        <v>0</v>
      </c>
      <c r="AE119" s="324">
        <f>'DATA (Real)'!AE115*AE$4/100</f>
        <v>0</v>
      </c>
      <c r="AF119" s="324">
        <f>'DATA (Real)'!AF115*AF$4/100</f>
        <v>0</v>
      </c>
      <c r="AG119" s="324">
        <f>'DATA (Real)'!AG115*AG$4/100</f>
        <v>0</v>
      </c>
      <c r="AH119" s="324">
        <f>'DATA (Real)'!AH115*AH$4/100</f>
        <v>0</v>
      </c>
      <c r="AI119" s="324">
        <f>'DATA (Real)'!AI115*AI$4/100</f>
        <v>0</v>
      </c>
      <c r="AJ119" s="324">
        <f>'DATA (Real)'!AJ115*AJ$4/100</f>
        <v>0</v>
      </c>
      <c r="AK119" s="324">
        <f>'DATA (Real)'!AK115*AK$4/100</f>
        <v>0</v>
      </c>
      <c r="AL119" s="324">
        <f>'DATA (Real)'!AL115*AL$4/100</f>
        <v>0</v>
      </c>
      <c r="AM119" s="324">
        <f>'DATA (Real)'!AM115*AM$4/100</f>
        <v>0</v>
      </c>
      <c r="AN119" s="324">
        <f>'DATA (Real)'!AN115*AN$4/100</f>
        <v>0</v>
      </c>
      <c r="AO119" s="324">
        <f>'DATA (Real)'!AO115*AO$4/100</f>
        <v>0</v>
      </c>
      <c r="AP119" s="324">
        <f>'DATA (Real)'!AP115*AP$4/100</f>
        <v>0</v>
      </c>
      <c r="AQ119" s="324">
        <f>'DATA (Real)'!AQ115*AQ$4/100</f>
        <v>0</v>
      </c>
      <c r="AR119" s="324">
        <f>'DATA (Real)'!AR115*AR$4/100</f>
        <v>0</v>
      </c>
      <c r="AS119" s="324">
        <f>'DATA (Real)'!AS115*AS$4/100</f>
        <v>0</v>
      </c>
      <c r="AT119" s="324">
        <f>'DATA (Real)'!AT115*AT$4/100</f>
        <v>0</v>
      </c>
      <c r="AU119" s="324">
        <f>'DATA (Real)'!AU115*AU$4/100</f>
        <v>0</v>
      </c>
      <c r="AV119" s="324">
        <f>'DATA (Real)'!AV115*AV$4/100</f>
        <v>0</v>
      </c>
      <c r="AW119" s="324">
        <f>'DATA (Real)'!AW115*AW$4/100</f>
        <v>0</v>
      </c>
      <c r="AX119" s="324">
        <f>'DATA (Real)'!AX115*AX$4/100</f>
        <v>0</v>
      </c>
      <c r="AY119" s="324">
        <f>'DATA (Real)'!AY115*AY$4/100</f>
        <v>0</v>
      </c>
      <c r="AZ119" s="324">
        <f>'DATA (Real)'!AZ115*AZ$4/100</f>
        <v>0</v>
      </c>
      <c r="BA119" s="324">
        <f>'DATA (Real)'!BA115*BA$4/100</f>
        <v>0</v>
      </c>
      <c r="BB119" s="324">
        <f>'DATA (Real)'!BB115*BB$4/100</f>
        <v>0</v>
      </c>
      <c r="BC119" s="324">
        <f>'DATA (Real)'!BC115*BC$4/100</f>
        <v>0</v>
      </c>
      <c r="BD119" s="324">
        <f>'DATA (Real)'!BD115*BD$4/100</f>
        <v>0</v>
      </c>
      <c r="BE119" s="324">
        <f>'DATA (Real)'!BE115*BE$4/100</f>
        <v>0</v>
      </c>
      <c r="BF119" s="324">
        <f>'DATA (Real)'!BF115*BF$4/100</f>
        <v>0</v>
      </c>
      <c r="BG119" s="324">
        <f>'DATA (Real)'!BG115*BG$4/100</f>
        <v>0</v>
      </c>
      <c r="BH119" s="324">
        <f>'DATA (Real)'!BH115*BH$4/100</f>
        <v>0</v>
      </c>
      <c r="BI119" s="324">
        <f>'DATA (Real)'!BI115*BI$4/100</f>
        <v>0</v>
      </c>
      <c r="BJ119" s="324">
        <f>'DATA (Real)'!BJ115*BJ$4/100</f>
        <v>0</v>
      </c>
      <c r="BK119" s="324">
        <f>'DATA (Real)'!BK115*BK$4/100</f>
        <v>0</v>
      </c>
      <c r="BL119" s="324">
        <f>'DATA (Real)'!BL115*BL$4/100</f>
        <v>0</v>
      </c>
      <c r="BM119" s="324">
        <f>'DATA (Real)'!BM115*BM$4/100</f>
        <v>0</v>
      </c>
      <c r="BN119" s="324">
        <f>'DATA (Real)'!BN115*BN$4/100</f>
        <v>0</v>
      </c>
      <c r="BO119" s="324">
        <f>'DATA (Real)'!BO115*BO$4/100</f>
        <v>0</v>
      </c>
      <c r="BP119" s="324">
        <f>'DATA (Real)'!BP115*BP$4/100</f>
        <v>0</v>
      </c>
      <c r="BQ119" s="324">
        <f>'DATA (Real)'!BQ115*BQ$4/100</f>
        <v>0</v>
      </c>
      <c r="BR119" s="324">
        <f>'DATA (Real)'!BR115*BR$4/100</f>
        <v>0</v>
      </c>
      <c r="BS119" s="324">
        <f>'DATA (Real)'!BS115*BS$4/100</f>
        <v>0</v>
      </c>
      <c r="BT119" s="324">
        <f>'DATA (Real)'!BT115*BT$4/100</f>
        <v>0</v>
      </c>
      <c r="BU119" s="324">
        <f>'DATA (Real)'!BU115*BU$4/100</f>
        <v>0</v>
      </c>
      <c r="BV119" s="324">
        <f>'DATA (Real)'!BV115*BV$4/100</f>
        <v>0</v>
      </c>
      <c r="BW119" s="324">
        <f>'DATA (Real)'!BW115*BW$4/100</f>
        <v>0</v>
      </c>
      <c r="BX119" s="324">
        <f>'DATA (Real)'!BX115*BX$4/100</f>
        <v>0</v>
      </c>
    </row>
    <row r="120" spans="2:76" outlineLevel="1">
      <c r="B120" s="350" t="s">
        <v>230</v>
      </c>
      <c r="C120" s="350" t="str">
        <f>'DATA (Real)'!C116</f>
        <v>NREL Land-Based Wind - Class 8</v>
      </c>
      <c r="D120" s="350" t="str">
        <f>'DATA (Real)'!D116</f>
        <v>Variable Operation and Maintenance Expenses ($/MWh)</v>
      </c>
      <c r="E120" s="350" t="str">
        <f>'DATA (Real)'!E116</f>
        <v>NW Wind Off System</v>
      </c>
      <c r="F120" s="314">
        <f>'DATA (Real)'!F116</f>
        <v>0</v>
      </c>
      <c r="G120" s="324">
        <f>'DATA (Real)'!G116*G$4/100</f>
        <v>0</v>
      </c>
      <c r="H120" s="324">
        <f>'DATA (Real)'!H116*H$4/100</f>
        <v>0</v>
      </c>
      <c r="I120" s="324">
        <f>'DATA (Real)'!I116*I$4/100</f>
        <v>0</v>
      </c>
      <c r="J120" s="324">
        <f>'DATA (Real)'!J116*J$4/100</f>
        <v>0</v>
      </c>
      <c r="K120" s="324">
        <f>'DATA (Real)'!K116*K$4/100</f>
        <v>0</v>
      </c>
      <c r="L120" s="324">
        <f>'DATA (Real)'!L116*L$4/100</f>
        <v>0</v>
      </c>
      <c r="M120" s="324">
        <f>'DATA (Real)'!M116*M$4/100</f>
        <v>0</v>
      </c>
      <c r="N120" s="324">
        <f>'DATA (Real)'!N116*N$4/100</f>
        <v>0</v>
      </c>
      <c r="O120" s="324">
        <f>'DATA (Real)'!O116*O$4/100</f>
        <v>0</v>
      </c>
      <c r="P120" s="324">
        <f>'DATA (Real)'!P116*P$4/100</f>
        <v>0</v>
      </c>
      <c r="Q120" s="324">
        <f>'DATA (Real)'!Q116*Q$4/100</f>
        <v>0</v>
      </c>
      <c r="R120" s="324">
        <f>'DATA (Real)'!R116*R$4/100</f>
        <v>0</v>
      </c>
      <c r="S120" s="324">
        <f>'DATA (Real)'!S116*S$4/100</f>
        <v>0</v>
      </c>
      <c r="T120" s="324">
        <f>'DATA (Real)'!T116*T$4/100</f>
        <v>0</v>
      </c>
      <c r="U120" s="324">
        <f>'DATA (Real)'!U116*U$4/100</f>
        <v>0</v>
      </c>
      <c r="V120" s="324">
        <f>'DATA (Real)'!V116*V$4/100</f>
        <v>0</v>
      </c>
      <c r="W120" s="324">
        <f>'DATA (Real)'!W116*W$4/100</f>
        <v>0</v>
      </c>
      <c r="X120" s="324">
        <f>'DATA (Real)'!X116*X$4/100</f>
        <v>0</v>
      </c>
      <c r="Y120" s="324">
        <f>'DATA (Real)'!Y116*Y$4/100</f>
        <v>0</v>
      </c>
      <c r="Z120" s="324">
        <f>'DATA (Real)'!Z116*Z$4/100</f>
        <v>0</v>
      </c>
      <c r="AA120" s="324">
        <f>'DATA (Real)'!AA116*AA$4/100</f>
        <v>0</v>
      </c>
      <c r="AB120" s="324">
        <f>'DATA (Real)'!AB116*AB$4/100</f>
        <v>0</v>
      </c>
      <c r="AC120" s="324">
        <f>'DATA (Real)'!AC116*AC$4/100</f>
        <v>0</v>
      </c>
      <c r="AD120" s="324">
        <f>'DATA (Real)'!AD116*AD$4/100</f>
        <v>0</v>
      </c>
      <c r="AE120" s="324">
        <f>'DATA (Real)'!AE116*AE$4/100</f>
        <v>0</v>
      </c>
      <c r="AF120" s="324">
        <f>'DATA (Real)'!AF116*AF$4/100</f>
        <v>0</v>
      </c>
      <c r="AG120" s="324">
        <f>'DATA (Real)'!AG116*AG$4/100</f>
        <v>0</v>
      </c>
      <c r="AH120" s="324">
        <f>'DATA (Real)'!AH116*AH$4/100</f>
        <v>0</v>
      </c>
      <c r="AI120" s="324">
        <f>'DATA (Real)'!AI116*AI$4/100</f>
        <v>0</v>
      </c>
      <c r="AJ120" s="324">
        <f>'DATA (Real)'!AJ116*AJ$4/100</f>
        <v>0</v>
      </c>
      <c r="AK120" s="324">
        <f>'DATA (Real)'!AK116*AK$4/100</f>
        <v>0</v>
      </c>
      <c r="AL120" s="324">
        <f>'DATA (Real)'!AL116*AL$4/100</f>
        <v>0</v>
      </c>
      <c r="AM120" s="324">
        <f>'DATA (Real)'!AM116*AM$4/100</f>
        <v>0</v>
      </c>
      <c r="AN120" s="324">
        <f>'DATA (Real)'!AN116*AN$4/100</f>
        <v>0</v>
      </c>
      <c r="AO120" s="324">
        <f>'DATA (Real)'!AO116*AO$4/100</f>
        <v>0</v>
      </c>
      <c r="AP120" s="324">
        <f>'DATA (Real)'!AP116*AP$4/100</f>
        <v>0</v>
      </c>
      <c r="AQ120" s="324">
        <f>'DATA (Real)'!AQ116*AQ$4/100</f>
        <v>0</v>
      </c>
      <c r="AR120" s="324">
        <f>'DATA (Real)'!AR116*AR$4/100</f>
        <v>0</v>
      </c>
      <c r="AS120" s="324">
        <f>'DATA (Real)'!AS116*AS$4/100</f>
        <v>0</v>
      </c>
      <c r="AT120" s="324">
        <f>'DATA (Real)'!AT116*AT$4/100</f>
        <v>0</v>
      </c>
      <c r="AU120" s="324">
        <f>'DATA (Real)'!AU116*AU$4/100</f>
        <v>0</v>
      </c>
      <c r="AV120" s="324">
        <f>'DATA (Real)'!AV116*AV$4/100</f>
        <v>0</v>
      </c>
      <c r="AW120" s="324">
        <f>'DATA (Real)'!AW116*AW$4/100</f>
        <v>0</v>
      </c>
      <c r="AX120" s="324">
        <f>'DATA (Real)'!AX116*AX$4/100</f>
        <v>0</v>
      </c>
      <c r="AY120" s="324">
        <f>'DATA (Real)'!AY116*AY$4/100</f>
        <v>0</v>
      </c>
      <c r="AZ120" s="324">
        <f>'DATA (Real)'!AZ116*AZ$4/100</f>
        <v>0</v>
      </c>
      <c r="BA120" s="324">
        <f>'DATA (Real)'!BA116*BA$4/100</f>
        <v>0</v>
      </c>
      <c r="BB120" s="324">
        <f>'DATA (Real)'!BB116*BB$4/100</f>
        <v>0</v>
      </c>
      <c r="BC120" s="324">
        <f>'DATA (Real)'!BC116*BC$4/100</f>
        <v>0</v>
      </c>
      <c r="BD120" s="324">
        <f>'DATA (Real)'!BD116*BD$4/100</f>
        <v>0</v>
      </c>
      <c r="BE120" s="324">
        <f>'DATA (Real)'!BE116*BE$4/100</f>
        <v>0</v>
      </c>
      <c r="BF120" s="324">
        <f>'DATA (Real)'!BF116*BF$4/100</f>
        <v>0</v>
      </c>
      <c r="BG120" s="324">
        <f>'DATA (Real)'!BG116*BG$4/100</f>
        <v>0</v>
      </c>
      <c r="BH120" s="324">
        <f>'DATA (Real)'!BH116*BH$4/100</f>
        <v>0</v>
      </c>
      <c r="BI120" s="324">
        <f>'DATA (Real)'!BI116*BI$4/100</f>
        <v>0</v>
      </c>
      <c r="BJ120" s="324">
        <f>'DATA (Real)'!BJ116*BJ$4/100</f>
        <v>0</v>
      </c>
      <c r="BK120" s="324">
        <f>'DATA (Real)'!BK116*BK$4/100</f>
        <v>0</v>
      </c>
      <c r="BL120" s="324">
        <f>'DATA (Real)'!BL116*BL$4/100</f>
        <v>0</v>
      </c>
      <c r="BM120" s="324">
        <f>'DATA (Real)'!BM116*BM$4/100</f>
        <v>0</v>
      </c>
      <c r="BN120" s="324">
        <f>'DATA (Real)'!BN116*BN$4/100</f>
        <v>0</v>
      </c>
      <c r="BO120" s="324">
        <f>'DATA (Real)'!BO116*BO$4/100</f>
        <v>0</v>
      </c>
      <c r="BP120" s="324">
        <f>'DATA (Real)'!BP116*BP$4/100</f>
        <v>0</v>
      </c>
      <c r="BQ120" s="324">
        <f>'DATA (Real)'!BQ116*BQ$4/100</f>
        <v>0</v>
      </c>
      <c r="BR120" s="324">
        <f>'DATA (Real)'!BR116*BR$4/100</f>
        <v>0</v>
      </c>
      <c r="BS120" s="324">
        <f>'DATA (Real)'!BS116*BS$4/100</f>
        <v>0</v>
      </c>
      <c r="BT120" s="324">
        <f>'DATA (Real)'!BT116*BT$4/100</f>
        <v>0</v>
      </c>
      <c r="BU120" s="324">
        <f>'DATA (Real)'!BU116*BU$4/100</f>
        <v>0</v>
      </c>
      <c r="BV120" s="324">
        <f>'DATA (Real)'!BV116*BV$4/100</f>
        <v>0</v>
      </c>
      <c r="BW120" s="324">
        <f>'DATA (Real)'!BW116*BW$4/100</f>
        <v>0</v>
      </c>
      <c r="BX120" s="324">
        <f>'DATA (Real)'!BX116*BX$4/100</f>
        <v>0</v>
      </c>
    </row>
    <row r="121" spans="2:76" outlineLevel="1">
      <c r="B121" s="350" t="s">
        <v>230</v>
      </c>
      <c r="C121" s="350" t="str">
        <f>'DATA (Real)'!C117</f>
        <v>NREL Land-Based Wind - Class 3</v>
      </c>
      <c r="D121" s="350" t="str">
        <f>'DATA (Real)'!D117</f>
        <v>Variable Operation and Maintenance Expenses ($/MWh)</v>
      </c>
      <c r="E121" s="350" t="str">
        <f>'DATA (Real)'!E117</f>
        <v>Wind Montana</v>
      </c>
      <c r="F121" s="314">
        <f>'DATA (Real)'!F117</f>
        <v>0</v>
      </c>
      <c r="G121" s="324">
        <f>'DATA (Real)'!G117*G$4/100</f>
        <v>0</v>
      </c>
      <c r="H121" s="324">
        <f>'DATA (Real)'!H117*H$4/100</f>
        <v>0</v>
      </c>
      <c r="I121" s="324">
        <f>'DATA (Real)'!I117*I$4/100</f>
        <v>0</v>
      </c>
      <c r="J121" s="324">
        <f>'DATA (Real)'!J117*J$4/100</f>
        <v>0</v>
      </c>
      <c r="K121" s="324">
        <f>'DATA (Real)'!K117*K$4/100</f>
        <v>0</v>
      </c>
      <c r="L121" s="324">
        <f>'DATA (Real)'!L117*L$4/100</f>
        <v>0</v>
      </c>
      <c r="M121" s="324">
        <f>'DATA (Real)'!M117*M$4/100</f>
        <v>0</v>
      </c>
      <c r="N121" s="324">
        <f>'DATA (Real)'!N117*N$4/100</f>
        <v>0</v>
      </c>
      <c r="O121" s="324">
        <f>'DATA (Real)'!O117*O$4/100</f>
        <v>0</v>
      </c>
      <c r="P121" s="324">
        <f>'DATA (Real)'!P117*P$4/100</f>
        <v>0</v>
      </c>
      <c r="Q121" s="324">
        <f>'DATA (Real)'!Q117*Q$4/100</f>
        <v>0</v>
      </c>
      <c r="R121" s="324">
        <f>'DATA (Real)'!R117*R$4/100</f>
        <v>0</v>
      </c>
      <c r="S121" s="324">
        <f>'DATA (Real)'!S117*S$4/100</f>
        <v>0</v>
      </c>
      <c r="T121" s="324">
        <f>'DATA (Real)'!T117*T$4/100</f>
        <v>0</v>
      </c>
      <c r="U121" s="324">
        <f>'DATA (Real)'!U117*U$4/100</f>
        <v>0</v>
      </c>
      <c r="V121" s="324">
        <f>'DATA (Real)'!V117*V$4/100</f>
        <v>0</v>
      </c>
      <c r="W121" s="324">
        <f>'DATA (Real)'!W117*W$4/100</f>
        <v>0</v>
      </c>
      <c r="X121" s="324">
        <f>'DATA (Real)'!X117*X$4/100</f>
        <v>0</v>
      </c>
      <c r="Y121" s="324">
        <f>'DATA (Real)'!Y117*Y$4/100</f>
        <v>0</v>
      </c>
      <c r="Z121" s="324">
        <f>'DATA (Real)'!Z117*Z$4/100</f>
        <v>0</v>
      </c>
      <c r="AA121" s="324">
        <f>'DATA (Real)'!AA117*AA$4/100</f>
        <v>0</v>
      </c>
      <c r="AB121" s="324">
        <f>'DATA (Real)'!AB117*AB$4/100</f>
        <v>0</v>
      </c>
      <c r="AC121" s="324">
        <f>'DATA (Real)'!AC117*AC$4/100</f>
        <v>0</v>
      </c>
      <c r="AD121" s="324">
        <f>'DATA (Real)'!AD117*AD$4/100</f>
        <v>0</v>
      </c>
      <c r="AE121" s="324">
        <f>'DATA (Real)'!AE117*AE$4/100</f>
        <v>0</v>
      </c>
      <c r="AF121" s="324">
        <f>'DATA (Real)'!AF117*AF$4/100</f>
        <v>0</v>
      </c>
      <c r="AG121" s="324">
        <f>'DATA (Real)'!AG117*AG$4/100</f>
        <v>0</v>
      </c>
      <c r="AH121" s="324">
        <f>'DATA (Real)'!AH117*AH$4/100</f>
        <v>0</v>
      </c>
      <c r="AI121" s="324">
        <f>'DATA (Real)'!AI117*AI$4/100</f>
        <v>0</v>
      </c>
      <c r="AJ121" s="324">
        <f>'DATA (Real)'!AJ117*AJ$4/100</f>
        <v>0</v>
      </c>
      <c r="AK121" s="324">
        <f>'DATA (Real)'!AK117*AK$4/100</f>
        <v>0</v>
      </c>
      <c r="AL121" s="324">
        <f>'DATA (Real)'!AL117*AL$4/100</f>
        <v>0</v>
      </c>
      <c r="AM121" s="324">
        <f>'DATA (Real)'!AM117*AM$4/100</f>
        <v>0</v>
      </c>
      <c r="AN121" s="324">
        <f>'DATA (Real)'!AN117*AN$4/100</f>
        <v>0</v>
      </c>
      <c r="AO121" s="324">
        <f>'DATA (Real)'!AO117*AO$4/100</f>
        <v>0</v>
      </c>
      <c r="AP121" s="324">
        <f>'DATA (Real)'!AP117*AP$4/100</f>
        <v>0</v>
      </c>
      <c r="AQ121" s="324">
        <f>'DATA (Real)'!AQ117*AQ$4/100</f>
        <v>0</v>
      </c>
      <c r="AR121" s="324">
        <f>'DATA (Real)'!AR117*AR$4/100</f>
        <v>0</v>
      </c>
      <c r="AS121" s="324">
        <f>'DATA (Real)'!AS117*AS$4/100</f>
        <v>0</v>
      </c>
      <c r="AT121" s="324">
        <f>'DATA (Real)'!AT117*AT$4/100</f>
        <v>0</v>
      </c>
      <c r="AU121" s="324">
        <f>'DATA (Real)'!AU117*AU$4/100</f>
        <v>0</v>
      </c>
      <c r="AV121" s="324">
        <f>'DATA (Real)'!AV117*AV$4/100</f>
        <v>0</v>
      </c>
      <c r="AW121" s="324">
        <f>'DATA (Real)'!AW117*AW$4/100</f>
        <v>0</v>
      </c>
      <c r="AX121" s="324">
        <f>'DATA (Real)'!AX117*AX$4/100</f>
        <v>0</v>
      </c>
      <c r="AY121" s="324">
        <f>'DATA (Real)'!AY117*AY$4/100</f>
        <v>0</v>
      </c>
      <c r="AZ121" s="324">
        <f>'DATA (Real)'!AZ117*AZ$4/100</f>
        <v>0</v>
      </c>
      <c r="BA121" s="324">
        <f>'DATA (Real)'!BA117*BA$4/100</f>
        <v>0</v>
      </c>
      <c r="BB121" s="324">
        <f>'DATA (Real)'!BB117*BB$4/100</f>
        <v>0</v>
      </c>
      <c r="BC121" s="324">
        <f>'DATA (Real)'!BC117*BC$4/100</f>
        <v>0</v>
      </c>
      <c r="BD121" s="324">
        <f>'DATA (Real)'!BD117*BD$4/100</f>
        <v>0</v>
      </c>
      <c r="BE121" s="324">
        <f>'DATA (Real)'!BE117*BE$4/100</f>
        <v>0</v>
      </c>
      <c r="BF121" s="324">
        <f>'DATA (Real)'!BF117*BF$4/100</f>
        <v>0</v>
      </c>
      <c r="BG121" s="324">
        <f>'DATA (Real)'!BG117*BG$4/100</f>
        <v>0</v>
      </c>
      <c r="BH121" s="324">
        <f>'DATA (Real)'!BH117*BH$4/100</f>
        <v>0</v>
      </c>
      <c r="BI121" s="324">
        <f>'DATA (Real)'!BI117*BI$4/100</f>
        <v>0</v>
      </c>
      <c r="BJ121" s="324">
        <f>'DATA (Real)'!BJ117*BJ$4/100</f>
        <v>0</v>
      </c>
      <c r="BK121" s="324">
        <f>'DATA (Real)'!BK117*BK$4/100</f>
        <v>0</v>
      </c>
      <c r="BL121" s="324">
        <f>'DATA (Real)'!BL117*BL$4/100</f>
        <v>0</v>
      </c>
      <c r="BM121" s="324">
        <f>'DATA (Real)'!BM117*BM$4/100</f>
        <v>0</v>
      </c>
      <c r="BN121" s="324">
        <f>'DATA (Real)'!BN117*BN$4/100</f>
        <v>0</v>
      </c>
      <c r="BO121" s="324">
        <f>'DATA (Real)'!BO117*BO$4/100</f>
        <v>0</v>
      </c>
      <c r="BP121" s="324">
        <f>'DATA (Real)'!BP117*BP$4/100</f>
        <v>0</v>
      </c>
      <c r="BQ121" s="324">
        <f>'DATA (Real)'!BQ117*BQ$4/100</f>
        <v>0</v>
      </c>
      <c r="BR121" s="324">
        <f>'DATA (Real)'!BR117*BR$4/100</f>
        <v>0</v>
      </c>
      <c r="BS121" s="324">
        <f>'DATA (Real)'!BS117*BS$4/100</f>
        <v>0</v>
      </c>
      <c r="BT121" s="324">
        <f>'DATA (Real)'!BT117*BT$4/100</f>
        <v>0</v>
      </c>
      <c r="BU121" s="324">
        <f>'DATA (Real)'!BU117*BU$4/100</f>
        <v>0</v>
      </c>
      <c r="BV121" s="324">
        <f>'DATA (Real)'!BV117*BV$4/100</f>
        <v>0</v>
      </c>
      <c r="BW121" s="324">
        <f>'DATA (Real)'!BW117*BW$4/100</f>
        <v>0</v>
      </c>
      <c r="BX121" s="324">
        <f>'DATA (Real)'!BX117*BX$4/100</f>
        <v>0</v>
      </c>
    </row>
    <row r="122" spans="2:76" outlineLevel="1">
      <c r="B122" s="350" t="s">
        <v>230</v>
      </c>
      <c r="C122" s="350" t="str">
        <f>'DATA (Real)'!C118</f>
        <v>NREL Wind Speed Class 12</v>
      </c>
      <c r="D122" s="350" t="str">
        <f>'DATA (Real)'!D118</f>
        <v>Variable Operation and Maintenance Expenses ($/MWh)</v>
      </c>
      <c r="E122" s="350" t="str">
        <f>'DATA (Real)'!E118</f>
        <v>Off Shore Wind (Share)</v>
      </c>
      <c r="F122" s="314">
        <f>'DATA (Real)'!F118</f>
        <v>0</v>
      </c>
      <c r="G122" s="324">
        <f>'DATA (Real)'!G118*G$4/100</f>
        <v>0</v>
      </c>
      <c r="H122" s="324">
        <f>'DATA (Real)'!H118*H$4/100</f>
        <v>0</v>
      </c>
      <c r="I122" s="324">
        <f>'DATA (Real)'!I118*I$4/100</f>
        <v>0</v>
      </c>
      <c r="J122" s="324">
        <f>'DATA (Real)'!J118*J$4/100</f>
        <v>0</v>
      </c>
      <c r="K122" s="324">
        <f>'DATA (Real)'!K118*K$4/100</f>
        <v>0</v>
      </c>
      <c r="L122" s="324">
        <f>'DATA (Real)'!L118*L$4/100</f>
        <v>0</v>
      </c>
      <c r="M122" s="324">
        <f>'DATA (Real)'!M118*M$4/100</f>
        <v>0</v>
      </c>
      <c r="N122" s="324">
        <f>'DATA (Real)'!N118*N$4/100</f>
        <v>0</v>
      </c>
      <c r="O122" s="324">
        <f>'DATA (Real)'!O118*O$4/100</f>
        <v>0</v>
      </c>
      <c r="P122" s="324">
        <f>'DATA (Real)'!P118*P$4/100</f>
        <v>0</v>
      </c>
      <c r="Q122" s="324">
        <f>'DATA (Real)'!Q118*Q$4/100</f>
        <v>0</v>
      </c>
      <c r="R122" s="324">
        <f>'DATA (Real)'!R118*R$4/100</f>
        <v>0</v>
      </c>
      <c r="S122" s="324">
        <f>'DATA (Real)'!S118*S$4/100</f>
        <v>0</v>
      </c>
      <c r="T122" s="324">
        <f>'DATA (Real)'!T118*T$4/100</f>
        <v>0</v>
      </c>
      <c r="U122" s="324">
        <f>'DATA (Real)'!U118*U$4/100</f>
        <v>0</v>
      </c>
      <c r="V122" s="324">
        <f>'DATA (Real)'!V118*V$4/100</f>
        <v>0</v>
      </c>
      <c r="W122" s="324">
        <f>'DATA (Real)'!W118*W$4/100</f>
        <v>0</v>
      </c>
      <c r="X122" s="324">
        <f>'DATA (Real)'!X118*X$4/100</f>
        <v>0</v>
      </c>
      <c r="Y122" s="324">
        <f>'DATA (Real)'!Y118*Y$4/100</f>
        <v>0</v>
      </c>
      <c r="Z122" s="324">
        <f>'DATA (Real)'!Z118*Z$4/100</f>
        <v>0</v>
      </c>
      <c r="AA122" s="324">
        <f>'DATA (Real)'!AA118*AA$4/100</f>
        <v>0</v>
      </c>
      <c r="AB122" s="324">
        <f>'DATA (Real)'!AB118*AB$4/100</f>
        <v>0</v>
      </c>
      <c r="AC122" s="324">
        <f>'DATA (Real)'!AC118*AC$4/100</f>
        <v>0</v>
      </c>
      <c r="AD122" s="324">
        <f>'DATA (Real)'!AD118*AD$4/100</f>
        <v>0</v>
      </c>
      <c r="AE122" s="324">
        <f>'DATA (Real)'!AE118*AE$4/100</f>
        <v>0</v>
      </c>
      <c r="AF122" s="324">
        <f>'DATA (Real)'!AF118*AF$4/100</f>
        <v>0</v>
      </c>
      <c r="AG122" s="324">
        <f>'DATA (Real)'!AG118*AG$4/100</f>
        <v>0</v>
      </c>
      <c r="AH122" s="324">
        <f>'DATA (Real)'!AH118*AH$4/100</f>
        <v>0</v>
      </c>
      <c r="AI122" s="324">
        <f>'DATA (Real)'!AI118*AI$4/100</f>
        <v>0</v>
      </c>
      <c r="AJ122" s="324">
        <f>'DATA (Real)'!AJ118*AJ$4/100</f>
        <v>0</v>
      </c>
      <c r="AK122" s="324">
        <f>'DATA (Real)'!AK118*AK$4/100</f>
        <v>0</v>
      </c>
      <c r="AL122" s="324">
        <f>'DATA (Real)'!AL118*AL$4/100</f>
        <v>0</v>
      </c>
      <c r="AM122" s="324">
        <f>'DATA (Real)'!AM118*AM$4/100</f>
        <v>0</v>
      </c>
      <c r="AN122" s="324">
        <f>'DATA (Real)'!AN118*AN$4/100</f>
        <v>0</v>
      </c>
      <c r="AO122" s="324">
        <f>'DATA (Real)'!AO118*AO$4/100</f>
        <v>0</v>
      </c>
      <c r="AP122" s="324">
        <f>'DATA (Real)'!AP118*AP$4/100</f>
        <v>0</v>
      </c>
      <c r="AQ122" s="324">
        <f>'DATA (Real)'!AQ118*AQ$4/100</f>
        <v>0</v>
      </c>
      <c r="AR122" s="324">
        <f>'DATA (Real)'!AR118*AR$4/100</f>
        <v>0</v>
      </c>
      <c r="AS122" s="324">
        <f>'DATA (Real)'!AS118*AS$4/100</f>
        <v>0</v>
      </c>
      <c r="AT122" s="324">
        <f>'DATA (Real)'!AT118*AT$4/100</f>
        <v>0</v>
      </c>
      <c r="AU122" s="324">
        <f>'DATA (Real)'!AU118*AU$4/100</f>
        <v>0</v>
      </c>
      <c r="AV122" s="324">
        <f>'DATA (Real)'!AV118*AV$4/100</f>
        <v>0</v>
      </c>
      <c r="AW122" s="324">
        <f>'DATA (Real)'!AW118*AW$4/100</f>
        <v>0</v>
      </c>
      <c r="AX122" s="324">
        <f>'DATA (Real)'!AX118*AX$4/100</f>
        <v>0</v>
      </c>
      <c r="AY122" s="324">
        <f>'DATA (Real)'!AY118*AY$4/100</f>
        <v>0</v>
      </c>
      <c r="AZ122" s="324">
        <f>'DATA (Real)'!AZ118*AZ$4/100</f>
        <v>0</v>
      </c>
      <c r="BA122" s="324">
        <f>'DATA (Real)'!BA118*BA$4/100</f>
        <v>0</v>
      </c>
      <c r="BB122" s="324">
        <f>'DATA (Real)'!BB118*BB$4/100</f>
        <v>0</v>
      </c>
      <c r="BC122" s="324">
        <f>'DATA (Real)'!BC118*BC$4/100</f>
        <v>0</v>
      </c>
      <c r="BD122" s="324">
        <f>'DATA (Real)'!BD118*BD$4/100</f>
        <v>0</v>
      </c>
      <c r="BE122" s="324">
        <f>'DATA (Real)'!BE118*BE$4/100</f>
        <v>0</v>
      </c>
      <c r="BF122" s="324">
        <f>'DATA (Real)'!BF118*BF$4/100</f>
        <v>0</v>
      </c>
      <c r="BG122" s="324">
        <f>'DATA (Real)'!BG118*BG$4/100</f>
        <v>0</v>
      </c>
      <c r="BH122" s="324">
        <f>'DATA (Real)'!BH118*BH$4/100</f>
        <v>0</v>
      </c>
      <c r="BI122" s="324">
        <f>'DATA (Real)'!BI118*BI$4/100</f>
        <v>0</v>
      </c>
      <c r="BJ122" s="324">
        <f>'DATA (Real)'!BJ118*BJ$4/100</f>
        <v>0</v>
      </c>
      <c r="BK122" s="324">
        <f>'DATA (Real)'!BK118*BK$4/100</f>
        <v>0</v>
      </c>
      <c r="BL122" s="324">
        <f>'DATA (Real)'!BL118*BL$4/100</f>
        <v>0</v>
      </c>
      <c r="BM122" s="324">
        <f>'DATA (Real)'!BM118*BM$4/100</f>
        <v>0</v>
      </c>
      <c r="BN122" s="324">
        <f>'DATA (Real)'!BN118*BN$4/100</f>
        <v>0</v>
      </c>
      <c r="BO122" s="324">
        <f>'DATA (Real)'!BO118*BO$4/100</f>
        <v>0</v>
      </c>
      <c r="BP122" s="324">
        <f>'DATA (Real)'!BP118*BP$4/100</f>
        <v>0</v>
      </c>
      <c r="BQ122" s="324">
        <f>'DATA (Real)'!BQ118*BQ$4/100</f>
        <v>0</v>
      </c>
      <c r="BR122" s="324">
        <f>'DATA (Real)'!BR118*BR$4/100</f>
        <v>0</v>
      </c>
      <c r="BS122" s="324">
        <f>'DATA (Real)'!BS118*BS$4/100</f>
        <v>0</v>
      </c>
      <c r="BT122" s="324">
        <f>'DATA (Real)'!BT118*BT$4/100</f>
        <v>0</v>
      </c>
      <c r="BU122" s="324">
        <f>'DATA (Real)'!BU118*BU$4/100</f>
        <v>0</v>
      </c>
      <c r="BV122" s="324">
        <f>'DATA (Real)'!BV118*BV$4/100</f>
        <v>0</v>
      </c>
      <c r="BW122" s="324">
        <f>'DATA (Real)'!BW118*BW$4/100</f>
        <v>0</v>
      </c>
      <c r="BX122" s="324">
        <f>'DATA (Real)'!BX118*BX$4/100</f>
        <v>0</v>
      </c>
    </row>
    <row r="123" spans="2:76" outlineLevel="1">
      <c r="B123" s="351" t="s">
        <v>230</v>
      </c>
      <c r="C123" s="351" t="str">
        <f>'DATA (Real)'!C119</f>
        <v>NREL Nuclear - Small Modular Reactor</v>
      </c>
      <c r="D123" s="351" t="str">
        <f>'DATA (Real)'!D119</f>
        <v>Variable Operation and Maintenance Expenses ($/MWh)</v>
      </c>
      <c r="E123" s="351" t="str">
        <f>'DATA (Real)'!E119</f>
        <v>Small Modular Reactor (share)</v>
      </c>
      <c r="F123" s="314">
        <f>'DATA (Real)'!F119</f>
        <v>3.6</v>
      </c>
      <c r="G123" s="324">
        <f>'DATA (Real)'!G119*G$4/100</f>
        <v>3.6899999999999995</v>
      </c>
      <c r="H123" s="324">
        <f>'DATA (Real)'!H119*H$4/100</f>
        <v>3.9553523360655731</v>
      </c>
      <c r="I123" s="324">
        <f>'DATA (Real)'!I119*I$4/100</f>
        <v>4.0808161121655733</v>
      </c>
      <c r="J123" s="324">
        <f>'DATA (Real)'!J119*J$4/100</f>
        <v>4.1768088095040348</v>
      </c>
      <c r="K123" s="324">
        <f>'DATA (Real)'!K119*K$4/100</f>
        <v>4.270090872916291</v>
      </c>
      <c r="L123" s="324">
        <f>'DATA (Real)'!L119*L$4/100</f>
        <v>4.3654562357447544</v>
      </c>
      <c r="M123" s="324">
        <f>'DATA (Real)'!M119*M$4/100</f>
        <v>4.4629514250097211</v>
      </c>
      <c r="N123" s="324">
        <f>'DATA (Real)'!N119*N$4/100</f>
        <v>4.5611363563599348</v>
      </c>
      <c r="O123" s="324">
        <f>'DATA (Real)'!O119*O$4/100</f>
        <v>4.6614813561998538</v>
      </c>
      <c r="P123" s="324">
        <f>'DATA (Real)'!P119*P$4/100</f>
        <v>4.7640339460362506</v>
      </c>
      <c r="Q123" s="324">
        <f>'DATA (Real)'!Q119*Q$4/100</f>
        <v>4.8688426928490474</v>
      </c>
      <c r="R123" s="324">
        <f>'DATA (Real)'!R119*R$4/100</f>
        <v>4.9759572320917274</v>
      </c>
      <c r="S123" s="324">
        <f>'DATA (Real)'!S119*S$4/100</f>
        <v>5.0854282911977453</v>
      </c>
      <c r="T123" s="324">
        <f>'DATA (Real)'!T119*T$4/100</f>
        <v>5.1973077136040953</v>
      </c>
      <c r="U123" s="324">
        <f>'DATA (Real)'!U119*U$4/100</f>
        <v>5.3116484833033848</v>
      </c>
      <c r="V123" s="324">
        <f>'DATA (Real)'!V119*V$4/100</f>
        <v>5.4285047499360601</v>
      </c>
      <c r="W123" s="324">
        <f>'DATA (Real)'!W119*W$4/100</f>
        <v>5.547931854434653</v>
      </c>
      <c r="X123" s="324">
        <f>'DATA (Real)'!X119*X$4/100</f>
        <v>5.6699863552322149</v>
      </c>
      <c r="Y123" s="324">
        <f>'DATA (Real)'!Y119*Y$4/100</f>
        <v>5.7947260550473239</v>
      </c>
      <c r="Z123" s="324">
        <f>'DATA (Real)'!Z119*Z$4/100</f>
        <v>5.9222100282583652</v>
      </c>
      <c r="AA123" s="324">
        <f>'DATA (Real)'!AA119*AA$4/100</f>
        <v>6.0524986488800492</v>
      </c>
      <c r="AB123" s="324">
        <f>'DATA (Real)'!AB119*AB$4/100</f>
        <v>6.1856536191554108</v>
      </c>
      <c r="AC123" s="324">
        <f>'DATA (Real)'!AC119*AC$4/100</f>
        <v>6.3217379987768298</v>
      </c>
      <c r="AD123" s="324">
        <f>'DATA (Real)'!AD119*AD$4/100</f>
        <v>6.4608162347499194</v>
      </c>
      <c r="AE123" s="324">
        <f>'DATA (Real)'!AE119*AE$4/100</f>
        <v>6.6029541919144181</v>
      </c>
      <c r="AF123" s="324">
        <f>'DATA (Real)'!AF119*AF$4/100</f>
        <v>6.7482191841365351</v>
      </c>
      <c r="AG123" s="324">
        <f>'DATA (Real)'!AG119*AG$4/100</f>
        <v>6.8966800061875393</v>
      </c>
      <c r="AH123" s="324">
        <f>'DATA (Real)'!AH119*AH$4/100</f>
        <v>7.0484069663236655</v>
      </c>
      <c r="AI123" s="324">
        <f>'DATA (Real)'!AI119*AI$4/100</f>
        <v>7.2034719195827854</v>
      </c>
      <c r="AJ123" s="324">
        <f>'DATA (Real)'!AJ119*AJ$4/100</f>
        <v>7.3619483018136069</v>
      </c>
      <c r="AK123" s="324">
        <f>'DATA (Real)'!AK119*AK$4/100</f>
        <v>7.5239111644535059</v>
      </c>
      <c r="AL123" s="324">
        <f>'DATA (Real)'!AL119*AL$4/100</f>
        <v>7.6894372100714836</v>
      </c>
      <c r="AM123" s="324">
        <f>'DATA (Real)'!AM119*AM$4/100</f>
        <v>7.858604828693057</v>
      </c>
      <c r="AN123" s="324">
        <f>'DATA (Real)'!AN119*AN$4/100</f>
        <v>8.031494134924305</v>
      </c>
      <c r="AO123" s="324">
        <f>'DATA (Real)'!AO119*AO$4/100</f>
        <v>8.2081870058926381</v>
      </c>
      <c r="AP123" s="324">
        <f>'DATA (Real)'!AP119*AP$4/100</f>
        <v>8.3887671200222762</v>
      </c>
      <c r="AQ123" s="324">
        <f>'DATA (Real)'!AQ119*AQ$4/100</f>
        <v>8.573319996662768</v>
      </c>
      <c r="AR123" s="324">
        <f>'DATA (Real)'!AR119*AR$4/100</f>
        <v>8.7619330365893475</v>
      </c>
      <c r="AS123" s="324">
        <f>'DATA (Real)'!AS119*AS$4/100</f>
        <v>8.9546955633943135</v>
      </c>
      <c r="AT123" s="324">
        <f>'DATA (Real)'!AT119*AT$4/100</f>
        <v>9.1516988657889868</v>
      </c>
      <c r="AU123" s="324">
        <f>'DATA (Real)'!AU119*AU$4/100</f>
        <v>9.3530362408363459</v>
      </c>
      <c r="AV123" s="324">
        <f>'DATA (Real)'!AV119*AV$4/100</f>
        <v>9.5588030381347444</v>
      </c>
      <c r="AW123" s="324">
        <f>'DATA (Real)'!AW119*AW$4/100</f>
        <v>9.7690967049737107</v>
      </c>
      <c r="AX123" s="324">
        <f>'DATA (Real)'!AX119*AX$4/100</f>
        <v>9.9840168324831318</v>
      </c>
      <c r="AY123" s="324">
        <f>'DATA (Real)'!AY119*AY$4/100</f>
        <v>10.203665202797762</v>
      </c>
      <c r="AZ123" s="324">
        <f>'DATA (Real)'!AZ119*AZ$4/100</f>
        <v>10.428145837259313</v>
      </c>
      <c r="BA123" s="324">
        <f>'DATA (Real)'!BA119*BA$4/100</f>
        <v>10.657565045679018</v>
      </c>
      <c r="BB123" s="324">
        <f>'DATA (Real)'!BB119*BB$4/100</f>
        <v>10.892031476683956</v>
      </c>
      <c r="BC123" s="324">
        <f>'DATA (Real)'!BC119*BC$4/100</f>
        <v>11.131656169171004</v>
      </c>
      <c r="BD123" s="324">
        <f>'DATA (Real)'!BD119*BD$4/100</f>
        <v>11.376552604892765</v>
      </c>
      <c r="BE123" s="324">
        <f>'DATA (Real)'!BE119*BE$4/100</f>
        <v>11.626836762200405</v>
      </c>
      <c r="BF123" s="324">
        <f>'DATA (Real)'!BF119*BF$4/100</f>
        <v>11.882627170968815</v>
      </c>
      <c r="BG123" s="324">
        <f>'DATA (Real)'!BG119*BG$4/100</f>
        <v>12.144044968730126</v>
      </c>
      <c r="BH123" s="324">
        <f>'DATA (Real)'!BH119*BH$4/100</f>
        <v>12.411213958042191</v>
      </c>
      <c r="BI123" s="324">
        <f>'DATA (Real)'!BI119*BI$4/100</f>
        <v>12.684260665119121</v>
      </c>
      <c r="BJ123" s="324">
        <f>'DATA (Real)'!BJ119*BJ$4/100</f>
        <v>12.963314399751741</v>
      </c>
      <c r="BK123" s="324">
        <f>'DATA (Real)'!BK119*BK$4/100</f>
        <v>13.248507316546281</v>
      </c>
      <c r="BL123" s="324">
        <f>'DATA (Real)'!BL119*BL$4/100</f>
        <v>13.539974477510297</v>
      </c>
      <c r="BM123" s="324">
        <f>'DATA (Real)'!BM119*BM$4/100</f>
        <v>13.837853916015524</v>
      </c>
      <c r="BN123" s="324">
        <f>'DATA (Real)'!BN119*BN$4/100</f>
        <v>14.142286702167867</v>
      </c>
      <c r="BO123" s="324">
        <f>'DATA (Real)'!BO119*BO$4/100</f>
        <v>14.453417009615562</v>
      </c>
      <c r="BP123" s="324">
        <f>'DATA (Real)'!BP119*BP$4/100</f>
        <v>14.771392183827103</v>
      </c>
      <c r="BQ123" s="324">
        <f>'DATA (Real)'!BQ119*BQ$4/100</f>
        <v>15.0963628118713</v>
      </c>
      <c r="BR123" s="324">
        <f>'DATA (Real)'!BR119*BR$4/100</f>
        <v>15.428482793732469</v>
      </c>
      <c r="BS123" s="324">
        <f>'DATA (Real)'!BS119*BS$4/100</f>
        <v>15.767909415194584</v>
      </c>
      <c r="BT123" s="324">
        <f>'DATA (Real)'!BT119*BT$4/100</f>
        <v>16.114803422328865</v>
      </c>
      <c r="BU123" s="324">
        <f>'DATA (Real)'!BU119*BU$4/100</f>
        <v>16.469329097620101</v>
      </c>
      <c r="BV123" s="324">
        <f>'DATA (Real)'!BV119*BV$4/100</f>
        <v>16.831654337767745</v>
      </c>
      <c r="BW123" s="324">
        <f>'DATA (Real)'!BW119*BW$4/100</f>
        <v>17.201950733198636</v>
      </c>
      <c r="BX123" s="324">
        <f>'DATA (Real)'!BX119*BX$4/100</f>
        <v>17.580393649329004</v>
      </c>
    </row>
    <row r="124" spans="2:76" outlineLevel="1">
      <c r="B124" s="351" t="s">
        <v>230</v>
      </c>
      <c r="C124" s="351" t="str">
        <f>'DATA (Real)'!C120</f>
        <v>NREL Geothermal - Hydro / Flash</v>
      </c>
      <c r="D124" s="351" t="str">
        <f>'DATA (Real)'!D120</f>
        <v>Variable Operation and Maintenance Expenses ($/MWh)</v>
      </c>
      <c r="E124" s="351" t="str">
        <f>'DATA (Real)'!E120</f>
        <v>Geothermal (Off System)</v>
      </c>
      <c r="F124" s="314">
        <f>'DATA (Real)'!F120</f>
        <v>0</v>
      </c>
      <c r="G124" s="324">
        <f>'DATA (Real)'!G120*G$4/100</f>
        <v>0</v>
      </c>
      <c r="H124" s="324">
        <f>'DATA (Real)'!H120*H$4/100</f>
        <v>0</v>
      </c>
      <c r="I124" s="324">
        <f>'DATA (Real)'!I120*I$4/100</f>
        <v>0</v>
      </c>
      <c r="J124" s="324">
        <f>'DATA (Real)'!J120*J$4/100</f>
        <v>0</v>
      </c>
      <c r="K124" s="324">
        <f>'DATA (Real)'!K120*K$4/100</f>
        <v>0</v>
      </c>
      <c r="L124" s="324">
        <f>'DATA (Real)'!L120*L$4/100</f>
        <v>0</v>
      </c>
      <c r="M124" s="324">
        <f>'DATA (Real)'!M120*M$4/100</f>
        <v>0</v>
      </c>
      <c r="N124" s="324">
        <f>'DATA (Real)'!N120*N$4/100</f>
        <v>0</v>
      </c>
      <c r="O124" s="324">
        <f>'DATA (Real)'!O120*O$4/100</f>
        <v>0</v>
      </c>
      <c r="P124" s="324">
        <f>'DATA (Real)'!P120*P$4/100</f>
        <v>0</v>
      </c>
      <c r="Q124" s="324">
        <f>'DATA (Real)'!Q120*Q$4/100</f>
        <v>0</v>
      </c>
      <c r="R124" s="324">
        <f>'DATA (Real)'!R120*R$4/100</f>
        <v>0</v>
      </c>
      <c r="S124" s="324">
        <f>'DATA (Real)'!S120*S$4/100</f>
        <v>0</v>
      </c>
      <c r="T124" s="324">
        <f>'DATA (Real)'!T120*T$4/100</f>
        <v>0</v>
      </c>
      <c r="U124" s="324">
        <f>'DATA (Real)'!U120*U$4/100</f>
        <v>0</v>
      </c>
      <c r="V124" s="324">
        <f>'DATA (Real)'!V120*V$4/100</f>
        <v>0</v>
      </c>
      <c r="W124" s="324">
        <f>'DATA (Real)'!W120*W$4/100</f>
        <v>0</v>
      </c>
      <c r="X124" s="324">
        <f>'DATA (Real)'!X120*X$4/100</f>
        <v>0</v>
      </c>
      <c r="Y124" s="324">
        <f>'DATA (Real)'!Y120*Y$4/100</f>
        <v>0</v>
      </c>
      <c r="Z124" s="324">
        <f>'DATA (Real)'!Z120*Z$4/100</f>
        <v>0</v>
      </c>
      <c r="AA124" s="324">
        <f>'DATA (Real)'!AA120*AA$4/100</f>
        <v>0</v>
      </c>
      <c r="AB124" s="324">
        <f>'DATA (Real)'!AB120*AB$4/100</f>
        <v>0</v>
      </c>
      <c r="AC124" s="324">
        <f>'DATA (Real)'!AC120*AC$4/100</f>
        <v>0</v>
      </c>
      <c r="AD124" s="324">
        <f>'DATA (Real)'!AD120*AD$4/100</f>
        <v>0</v>
      </c>
      <c r="AE124" s="324">
        <f>'DATA (Real)'!AE120*AE$4/100</f>
        <v>0</v>
      </c>
      <c r="AF124" s="324">
        <f>'DATA (Real)'!AF120*AF$4/100</f>
        <v>0</v>
      </c>
      <c r="AG124" s="324">
        <f>'DATA (Real)'!AG120*AG$4/100</f>
        <v>0</v>
      </c>
      <c r="AH124" s="324">
        <f>'DATA (Real)'!AH120*AH$4/100</f>
        <v>0</v>
      </c>
      <c r="AI124" s="324">
        <f>'DATA (Real)'!AI120*AI$4/100</f>
        <v>0</v>
      </c>
      <c r="AJ124" s="324">
        <f>'DATA (Real)'!AJ120*AJ$4/100</f>
        <v>0</v>
      </c>
      <c r="AK124" s="324">
        <f>'DATA (Real)'!AK120*AK$4/100</f>
        <v>0</v>
      </c>
      <c r="AL124" s="324">
        <f>'DATA (Real)'!AL120*AL$4/100</f>
        <v>0</v>
      </c>
      <c r="AM124" s="324">
        <f>'DATA (Real)'!AM120*AM$4/100</f>
        <v>0</v>
      </c>
      <c r="AN124" s="324">
        <f>'DATA (Real)'!AN120*AN$4/100</f>
        <v>0</v>
      </c>
      <c r="AO124" s="324">
        <f>'DATA (Real)'!AO120*AO$4/100</f>
        <v>0</v>
      </c>
      <c r="AP124" s="324">
        <f>'DATA (Real)'!AP120*AP$4/100</f>
        <v>0</v>
      </c>
      <c r="AQ124" s="324">
        <f>'DATA (Real)'!AQ120*AQ$4/100</f>
        <v>0</v>
      </c>
      <c r="AR124" s="324">
        <f>'DATA (Real)'!AR120*AR$4/100</f>
        <v>0</v>
      </c>
      <c r="AS124" s="324">
        <f>'DATA (Real)'!AS120*AS$4/100</f>
        <v>0</v>
      </c>
      <c r="AT124" s="324">
        <f>'DATA (Real)'!AT120*AT$4/100</f>
        <v>0</v>
      </c>
      <c r="AU124" s="324">
        <f>'DATA (Real)'!AU120*AU$4/100</f>
        <v>0</v>
      </c>
      <c r="AV124" s="324">
        <f>'DATA (Real)'!AV120*AV$4/100</f>
        <v>0</v>
      </c>
      <c r="AW124" s="324">
        <f>'DATA (Real)'!AW120*AW$4/100</f>
        <v>0</v>
      </c>
      <c r="AX124" s="324">
        <f>'DATA (Real)'!AX120*AX$4/100</f>
        <v>0</v>
      </c>
      <c r="AY124" s="324">
        <f>'DATA (Real)'!AY120*AY$4/100</f>
        <v>0</v>
      </c>
      <c r="AZ124" s="324">
        <f>'DATA (Real)'!AZ120*AZ$4/100</f>
        <v>0</v>
      </c>
      <c r="BA124" s="324">
        <f>'DATA (Real)'!BA120*BA$4/100</f>
        <v>0</v>
      </c>
      <c r="BB124" s="324">
        <f>'DATA (Real)'!BB120*BB$4/100</f>
        <v>0</v>
      </c>
      <c r="BC124" s="324">
        <f>'DATA (Real)'!BC120*BC$4/100</f>
        <v>0</v>
      </c>
      <c r="BD124" s="324">
        <f>'DATA (Real)'!BD120*BD$4/100</f>
        <v>0</v>
      </c>
      <c r="BE124" s="324">
        <f>'DATA (Real)'!BE120*BE$4/100</f>
        <v>0</v>
      </c>
      <c r="BF124" s="324">
        <f>'DATA (Real)'!BF120*BF$4/100</f>
        <v>0</v>
      </c>
      <c r="BG124" s="324">
        <f>'DATA (Real)'!BG120*BG$4/100</f>
        <v>0</v>
      </c>
      <c r="BH124" s="324">
        <f>'DATA (Real)'!BH120*BH$4/100</f>
        <v>0</v>
      </c>
      <c r="BI124" s="324">
        <f>'DATA (Real)'!BI120*BI$4/100</f>
        <v>0</v>
      </c>
      <c r="BJ124" s="324">
        <f>'DATA (Real)'!BJ120*BJ$4/100</f>
        <v>0</v>
      </c>
      <c r="BK124" s="324">
        <f>'DATA (Real)'!BK120*BK$4/100</f>
        <v>0</v>
      </c>
      <c r="BL124" s="324">
        <f>'DATA (Real)'!BL120*BL$4/100</f>
        <v>0</v>
      </c>
      <c r="BM124" s="324">
        <f>'DATA (Real)'!BM120*BM$4/100</f>
        <v>0</v>
      </c>
      <c r="BN124" s="324">
        <f>'DATA (Real)'!BN120*BN$4/100</f>
        <v>0</v>
      </c>
      <c r="BO124" s="324">
        <f>'DATA (Real)'!BO120*BO$4/100</f>
        <v>0</v>
      </c>
      <c r="BP124" s="324">
        <f>'DATA (Real)'!BP120*BP$4/100</f>
        <v>0</v>
      </c>
      <c r="BQ124" s="324">
        <f>'DATA (Real)'!BQ120*BQ$4/100</f>
        <v>0</v>
      </c>
      <c r="BR124" s="324">
        <f>'DATA (Real)'!BR120*BR$4/100</f>
        <v>0</v>
      </c>
      <c r="BS124" s="324">
        <f>'DATA (Real)'!BS120*BS$4/100</f>
        <v>0</v>
      </c>
      <c r="BT124" s="324">
        <f>'DATA (Real)'!BT120*BT$4/100</f>
        <v>0</v>
      </c>
      <c r="BU124" s="324">
        <f>'DATA (Real)'!BU120*BU$4/100</f>
        <v>0</v>
      </c>
      <c r="BV124" s="324">
        <f>'DATA (Real)'!BV120*BV$4/100</f>
        <v>0</v>
      </c>
      <c r="BW124" s="324">
        <f>'DATA (Real)'!BW120*BW$4/100</f>
        <v>0</v>
      </c>
      <c r="BX124" s="324">
        <f>'DATA (Real)'!BX120*BX$4/100</f>
        <v>0</v>
      </c>
    </row>
    <row r="125" spans="2:76" outlineLevel="1">
      <c r="B125" s="353" t="s">
        <v>230</v>
      </c>
      <c r="C125" s="353" t="str">
        <f>'DATA (Real)'!C121</f>
        <v>Internal</v>
      </c>
      <c r="D125" s="353" t="str">
        <f>'DATA (Real)'!D121</f>
        <v>Variable Operation and Maintenance Expenses ($/MWh)</v>
      </c>
      <c r="E125" s="353" t="str">
        <f>'DATA (Real)'!E121</f>
        <v>7F.04 CT Frame Greenfield</v>
      </c>
      <c r="F125" s="314"/>
      <c r="G125" s="314"/>
      <c r="H125" s="314">
        <f>'DATA (Real)'!H121</f>
        <v>3</v>
      </c>
      <c r="I125" s="437">
        <f>'DATA (Real)'!I121*I$4/$H$4</f>
        <v>3.0951600000000004</v>
      </c>
      <c r="J125" s="324">
        <f>'DATA (Real)'!J121*J$4/$H$4</f>
        <v>3.1679671907499998</v>
      </c>
      <c r="K125" s="324">
        <f>'DATA (Real)'!K121*K$4/$H$4</f>
        <v>3.2387184580100827</v>
      </c>
      <c r="L125" s="324">
        <f>'DATA (Real)'!L121*L$4/$H$4</f>
        <v>3.3110498369056414</v>
      </c>
      <c r="M125" s="324">
        <f>'DATA (Real)'!M121*M$4/$H$4</f>
        <v>3.3849966165965339</v>
      </c>
      <c r="N125" s="324">
        <f>'DATA (Real)'!N121*N$4/$H$4</f>
        <v>3.4594665421616577</v>
      </c>
      <c r="O125" s="324">
        <f>'DATA (Real)'!O121*O$4/$H$4</f>
        <v>3.535574806089214</v>
      </c>
      <c r="P125" s="324">
        <f>'DATA (Real)'!P121*P$4/$H$4</f>
        <v>3.6133574518231772</v>
      </c>
      <c r="Q125" s="324">
        <f>'DATA (Real)'!Q121*Q$4/$H$4</f>
        <v>3.6928513157632867</v>
      </c>
      <c r="R125" s="324">
        <f>'DATA (Real)'!R121*R$4/$H$4</f>
        <v>3.7740940447100799</v>
      </c>
      <c r="S125" s="324">
        <f>'DATA (Real)'!S121*S$4/$H$4</f>
        <v>3.8571241136937013</v>
      </c>
      <c r="T125" s="324">
        <f>'DATA (Real)'!T121*T$4/$H$4</f>
        <v>3.9419808441949629</v>
      </c>
      <c r="U125" s="324">
        <f>'DATA (Real)'!U121*U$4/$H$4</f>
        <v>4.0287044227672517</v>
      </c>
      <c r="V125" s="324">
        <f>'DATA (Real)'!V121*V$4/$H$4</f>
        <v>4.1173359200681316</v>
      </c>
      <c r="W125" s="324">
        <f>'DATA (Real)'!W121*W$4/$H$4</f>
        <v>4.2079173103096297</v>
      </c>
      <c r="X125" s="324">
        <f>'DATA (Real)'!X121*X$4/$H$4</f>
        <v>4.3004914911364427</v>
      </c>
      <c r="Y125" s="324">
        <f>'DATA (Real)'!Y121*Y$4/$H$4</f>
        <v>4.3951023039414441</v>
      </c>
      <c r="Z125" s="324">
        <f>'DATA (Real)'!Z121*Z$4/$H$4</f>
        <v>4.4917945546281564</v>
      </c>
      <c r="AA125" s="324">
        <f>'DATA (Real)'!AA121*AA$4/$H$4</f>
        <v>4.5906140348299749</v>
      </c>
      <c r="AB125" s="324">
        <f>'DATA (Real)'!AB121*AB$4/$H$4</f>
        <v>4.691607543596235</v>
      </c>
      <c r="AC125" s="324">
        <f>'DATA (Real)'!AC121*AC$4/$H$4</f>
        <v>4.794822909555351</v>
      </c>
      <c r="AD125" s="324">
        <f>'DATA (Real)'!AD121*AD$4/$H$4</f>
        <v>4.90030901356557</v>
      </c>
      <c r="AE125" s="324">
        <f>'DATA (Real)'!AE121*AE$4/$H$4</f>
        <v>5.0081158118640117</v>
      </c>
      <c r="AF125" s="324">
        <f>'DATA (Real)'!AF121*AF$4/$H$4</f>
        <v>5.1182943597250201</v>
      </c>
      <c r="AG125" s="324">
        <f>'DATA (Real)'!AG121*AG$4/$H$4</f>
        <v>5.2308968356389709</v>
      </c>
      <c r="AH125" s="324">
        <f>'DATA (Real)'!AH121*AH$4/$H$4</f>
        <v>5.3459765660230278</v>
      </c>
      <c r="AI125" s="324">
        <f>'DATA (Real)'!AI121*AI$4/$H$4</f>
        <v>5.4635880504755345</v>
      </c>
      <c r="AJ125" s="324">
        <f>'DATA (Real)'!AJ121*AJ$4/$H$4</f>
        <v>5.583786987585996</v>
      </c>
      <c r="AK125" s="324">
        <f>'DATA (Real)'!AK121*AK$4/$H$4</f>
        <v>5.7066303013128881</v>
      </c>
      <c r="AL125" s="324">
        <f>'DATA (Real)'!AL121*AL$4/$H$4</f>
        <v>5.8321761679417721</v>
      </c>
      <c r="AM125" s="324">
        <f>'DATA (Real)'!AM121*AM$4/$H$4</f>
        <v>5.9604840436364919</v>
      </c>
      <c r="AN125" s="324">
        <f>'DATA (Real)'!AN121*AN$4/$H$4</f>
        <v>6.0916146925964947</v>
      </c>
      <c r="AO125" s="324">
        <f>'DATA (Real)'!AO121*AO$4/$H$4</f>
        <v>6.2256302158336174</v>
      </c>
      <c r="AP125" s="324">
        <f>'DATA (Real)'!AP121*AP$4/$H$4</f>
        <v>6.3625940805819559</v>
      </c>
      <c r="AQ125" s="324">
        <f>'DATA (Real)'!AQ121*AQ$4/$H$4</f>
        <v>6.5025711503547603</v>
      </c>
      <c r="AR125" s="324">
        <f>'DATA (Real)'!AR121*AR$4/$H$4</f>
        <v>6.6456277156625632</v>
      </c>
      <c r="AS125" s="324">
        <f>'DATA (Real)'!AS121*AS$4/$H$4</f>
        <v>6.7918315254071402</v>
      </c>
      <c r="AT125" s="324">
        <f>'DATA (Real)'!AT121*AT$4/$H$4</f>
        <v>6.9412518189660979</v>
      </c>
      <c r="AU125" s="324">
        <f>'DATA (Real)'!AU121*AU$4/$H$4</f>
        <v>7.0939593589833514</v>
      </c>
      <c r="AV125" s="324">
        <f>'DATA (Real)'!AV121*AV$4/$H$4</f>
        <v>7.2500264648809853</v>
      </c>
      <c r="AW125" s="324">
        <f>'DATA (Real)'!AW121*AW$4/$H$4</f>
        <v>7.4095270471083667</v>
      </c>
      <c r="AX125" s="324">
        <f>'DATA (Real)'!AX121*AX$4/$H$4</f>
        <v>7.572536642144752</v>
      </c>
      <c r="AY125" s="324">
        <f>'DATA (Real)'!AY121*AY$4/$H$4</f>
        <v>7.7391324482719366</v>
      </c>
      <c r="AZ125" s="324">
        <f>'DATA (Real)'!AZ121*AZ$4/$H$4</f>
        <v>7.909393362133919</v>
      </c>
      <c r="BA125" s="324">
        <f>'DATA (Real)'!BA121*BA$4/$H$4</f>
        <v>8.0834000161008657</v>
      </c>
      <c r="BB125" s="324">
        <f>'DATA (Real)'!BB121*BB$4/$H$4</f>
        <v>8.2612348164550848</v>
      </c>
      <c r="BC125" s="324">
        <f>'DATA (Real)'!BC121*BC$4/$H$4</f>
        <v>8.4429819824170966</v>
      </c>
      <c r="BD125" s="324">
        <f>'DATA (Real)'!BD121*BD$4/$H$4</f>
        <v>8.6287275860302728</v>
      </c>
      <c r="BE125" s="324">
        <f>'DATA (Real)'!BE121*BE$4/$H$4</f>
        <v>8.8185595929229379</v>
      </c>
      <c r="BF125" s="324">
        <f>'DATA (Real)'!BF121*BF$4/$H$4</f>
        <v>9.0125679039672431</v>
      </c>
      <c r="BG125" s="324">
        <f>'DATA (Real)'!BG121*BG$4/$H$4</f>
        <v>9.2108443978545225</v>
      </c>
      <c r="BH125" s="324">
        <f>'DATA (Real)'!BH121*BH$4/$H$4</f>
        <v>9.4134829746073212</v>
      </c>
      <c r="BI125" s="324">
        <f>'DATA (Real)'!BI121*BI$4/$H$4</f>
        <v>9.6205796000486838</v>
      </c>
      <c r="BJ125" s="324">
        <f>'DATA (Real)'!BJ121*BJ$4/$H$4</f>
        <v>9.8322323512497558</v>
      </c>
      <c r="BK125" s="324">
        <f>'DATA (Real)'!BK121*BK$4/$H$4</f>
        <v>10.048541462977251</v>
      </c>
      <c r="BL125" s="324">
        <f>'DATA (Real)'!BL121*BL$4/$H$4</f>
        <v>10.26960937516275</v>
      </c>
      <c r="BM125" s="324">
        <f>'DATA (Real)'!BM121*BM$4/$H$4</f>
        <v>10.495540781416331</v>
      </c>
      <c r="BN125" s="324">
        <f>'DATA (Real)'!BN121*BN$4/$H$4</f>
        <v>10.726442678607489</v>
      </c>
      <c r="BO125" s="324">
        <f>'DATA (Real)'!BO121*BO$4/$H$4</f>
        <v>10.962424417536855</v>
      </c>
      <c r="BP125" s="324">
        <f>'DATA (Real)'!BP121*BP$4/$H$4</f>
        <v>11.203597754722667</v>
      </c>
      <c r="BQ125" s="324">
        <f>'DATA (Real)'!BQ121*BQ$4/$H$4</f>
        <v>11.450076905326565</v>
      </c>
      <c r="BR125" s="324">
        <f>'DATA (Real)'!BR121*BR$4/$H$4</f>
        <v>11.70197859724375</v>
      </c>
      <c r="BS125" s="324">
        <f>'DATA (Real)'!BS121*BS$4/$H$4</f>
        <v>11.959422126383114</v>
      </c>
      <c r="BT125" s="324">
        <f>'DATA (Real)'!BT121*BT$4/$H$4</f>
        <v>12.22252941316354</v>
      </c>
      <c r="BU125" s="324">
        <f>'DATA (Real)'!BU121*BU$4/$H$4</f>
        <v>12.491425060253139</v>
      </c>
      <c r="BV125" s="324">
        <f>'DATA (Real)'!BV121*BV$4/$H$4</f>
        <v>12.76623641157871</v>
      </c>
      <c r="BW125" s="324">
        <f>'DATA (Real)'!BW121*BW$4/$H$4</f>
        <v>13.047093612633441</v>
      </c>
      <c r="BX125" s="324">
        <f>'DATA (Real)'!BX121*BX$4/$H$4</f>
        <v>13.334129672111379</v>
      </c>
    </row>
    <row r="126" spans="2:76" outlineLevel="1">
      <c r="B126" s="353" t="s">
        <v>230</v>
      </c>
      <c r="C126" s="353" t="str">
        <f>'DATA (Real)'!C122</f>
        <v>Internal</v>
      </c>
      <c r="D126" s="353" t="str">
        <f>'DATA (Real)'!D122</f>
        <v>Variable Operation and Maintenance Expenses ($/MWh)</v>
      </c>
      <c r="E126" s="353" t="str">
        <f>'DATA (Real)'!E122</f>
        <v>Reciprocating Engine (ICE) Machine</v>
      </c>
      <c r="F126" s="314"/>
      <c r="G126" s="314"/>
      <c r="H126" s="314">
        <f>'DATA (Real)'!H122</f>
        <v>5.75</v>
      </c>
      <c r="I126" s="437">
        <f>'DATA (Real)'!I122*I$4/$H$4</f>
        <v>5.9323899999999998</v>
      </c>
      <c r="J126" s="324">
        <f>'DATA (Real)'!J122*J$4/$H$4</f>
        <v>6.0719371156041655</v>
      </c>
      <c r="K126" s="324">
        <f>'DATA (Real)'!K122*K$4/$H$4</f>
        <v>6.2075437111859921</v>
      </c>
      <c r="L126" s="324">
        <f>'DATA (Real)'!L122*L$4/$H$4</f>
        <v>6.3461788540691462</v>
      </c>
      <c r="M126" s="324">
        <f>'DATA (Real)'!M122*M$4/$H$4</f>
        <v>6.4879101818100242</v>
      </c>
      <c r="N126" s="324">
        <f>'DATA (Real)'!N122*N$4/$H$4</f>
        <v>6.630644205809844</v>
      </c>
      <c r="O126" s="324">
        <f>'DATA (Real)'!O122*O$4/$H$4</f>
        <v>6.776518378337661</v>
      </c>
      <c r="P126" s="324">
        <f>'DATA (Real)'!P122*P$4/$H$4</f>
        <v>6.9256017826610892</v>
      </c>
      <c r="Q126" s="324">
        <f>'DATA (Real)'!Q122*Q$4/$H$4</f>
        <v>7.0779650218796331</v>
      </c>
      <c r="R126" s="324">
        <f>'DATA (Real)'!R122*R$4/$H$4</f>
        <v>7.233680252360986</v>
      </c>
      <c r="S126" s="324">
        <f>'DATA (Real)'!S122*S$4/$H$4</f>
        <v>7.3928212179129282</v>
      </c>
      <c r="T126" s="324">
        <f>'DATA (Real)'!T122*T$4/$H$4</f>
        <v>7.5554632847070122</v>
      </c>
      <c r="U126" s="324">
        <f>'DATA (Real)'!U122*U$4/$H$4</f>
        <v>7.7216834769705658</v>
      </c>
      <c r="V126" s="324">
        <f>'DATA (Real)'!V122*V$4/$H$4</f>
        <v>7.8915605134639186</v>
      </c>
      <c r="W126" s="324">
        <f>'DATA (Real)'!W122*W$4/$H$4</f>
        <v>8.0651748447601239</v>
      </c>
      <c r="X126" s="324">
        <f>'DATA (Real)'!X122*X$4/$H$4</f>
        <v>8.2426086913448469</v>
      </c>
      <c r="Y126" s="324">
        <f>'DATA (Real)'!Y122*Y$4/$H$4</f>
        <v>8.4239460825544352</v>
      </c>
      <c r="Z126" s="324">
        <f>'DATA (Real)'!Z122*Z$4/$H$4</f>
        <v>8.6092728963706318</v>
      </c>
      <c r="AA126" s="324">
        <f>'DATA (Real)'!AA122*AA$4/$H$4</f>
        <v>8.7986769000907845</v>
      </c>
      <c r="AB126" s="324">
        <f>'DATA (Real)'!AB122*AB$4/$H$4</f>
        <v>8.9922477918927832</v>
      </c>
      <c r="AC126" s="324">
        <f>'DATA (Real)'!AC122*AC$4/$H$4</f>
        <v>9.1900772433144251</v>
      </c>
      <c r="AD126" s="324">
        <f>'DATA (Real)'!AD122*AD$4/$H$4</f>
        <v>9.3922589426673415</v>
      </c>
      <c r="AE126" s="324">
        <f>'DATA (Real)'!AE122*AE$4/$H$4</f>
        <v>9.5988886394060238</v>
      </c>
      <c r="AF126" s="324">
        <f>'DATA (Real)'!AF122*AF$4/$H$4</f>
        <v>9.8100641894729552</v>
      </c>
      <c r="AG126" s="324">
        <f>'DATA (Real)'!AG122*AG$4/$H$4</f>
        <v>10.02588560164136</v>
      </c>
      <c r="AH126" s="324">
        <f>'DATA (Real)'!AH122*AH$4/$H$4</f>
        <v>10.24645508487747</v>
      </c>
      <c r="AI126" s="324">
        <f>'DATA (Real)'!AI122*AI$4/$H$4</f>
        <v>10.471877096744775</v>
      </c>
      <c r="AJ126" s="324">
        <f>'DATA (Real)'!AJ122*AJ$4/$H$4</f>
        <v>10.70225839287316</v>
      </c>
      <c r="AK126" s="324">
        <f>'DATA (Real)'!AK122*AK$4/$H$4</f>
        <v>10.937708077516367</v>
      </c>
      <c r="AL126" s="324">
        <f>'DATA (Real)'!AL122*AL$4/$H$4</f>
        <v>11.17833765522173</v>
      </c>
      <c r="AM126" s="324">
        <f>'DATA (Real)'!AM122*AM$4/$H$4</f>
        <v>11.424261083636608</v>
      </c>
      <c r="AN126" s="324">
        <f>'DATA (Real)'!AN122*AN$4/$H$4</f>
        <v>11.675594827476612</v>
      </c>
      <c r="AO126" s="324">
        <f>'DATA (Real)'!AO122*AO$4/$H$4</f>
        <v>11.932457913681098</v>
      </c>
      <c r="AP126" s="324">
        <f>'DATA (Real)'!AP122*AP$4/$H$4</f>
        <v>12.194971987782084</v>
      </c>
      <c r="AQ126" s="324">
        <f>'DATA (Real)'!AQ122*AQ$4/$H$4</f>
        <v>12.46326137151329</v>
      </c>
      <c r="AR126" s="324">
        <f>'DATA (Real)'!AR122*AR$4/$H$4</f>
        <v>12.737453121686581</v>
      </c>
      <c r="AS126" s="324">
        <f>'DATA (Real)'!AS122*AS$4/$H$4</f>
        <v>13.017677090363685</v>
      </c>
      <c r="AT126" s="324">
        <f>'DATA (Real)'!AT122*AT$4/$H$4</f>
        <v>13.304065986351686</v>
      </c>
      <c r="AU126" s="324">
        <f>'DATA (Real)'!AU122*AU$4/$H$4</f>
        <v>13.596755438051424</v>
      </c>
      <c r="AV126" s="324">
        <f>'DATA (Real)'!AV122*AV$4/$H$4</f>
        <v>13.895884057688555</v>
      </c>
      <c r="AW126" s="324">
        <f>'DATA (Real)'!AW122*AW$4/$H$4</f>
        <v>14.201593506957705</v>
      </c>
      <c r="AX126" s="324">
        <f>'DATA (Real)'!AX122*AX$4/$H$4</f>
        <v>14.514028564110776</v>
      </c>
      <c r="AY126" s="324">
        <f>'DATA (Real)'!AY122*AY$4/$H$4</f>
        <v>14.833337192521213</v>
      </c>
      <c r="AZ126" s="324">
        <f>'DATA (Real)'!AZ122*AZ$4/$H$4</f>
        <v>15.159670610756679</v>
      </c>
      <c r="BA126" s="324">
        <f>'DATA (Real)'!BA122*BA$4/$H$4</f>
        <v>15.493183364193328</v>
      </c>
      <c r="BB126" s="324">
        <f>'DATA (Real)'!BB122*BB$4/$H$4</f>
        <v>15.83403339820558</v>
      </c>
      <c r="BC126" s="324">
        <f>'DATA (Real)'!BC122*BC$4/$H$4</f>
        <v>16.182382132966104</v>
      </c>
      <c r="BD126" s="324">
        <f>'DATA (Real)'!BD122*BD$4/$H$4</f>
        <v>16.538394539891357</v>
      </c>
      <c r="BE126" s="324">
        <f>'DATA (Real)'!BE122*BE$4/$H$4</f>
        <v>16.902239219768965</v>
      </c>
      <c r="BF126" s="324">
        <f>'DATA (Real)'!BF122*BF$4/$H$4</f>
        <v>17.274088482603883</v>
      </c>
      <c r="BG126" s="324">
        <f>'DATA (Real)'!BG122*BG$4/$H$4</f>
        <v>17.654118429221167</v>
      </c>
      <c r="BH126" s="324">
        <f>'DATA (Real)'!BH122*BH$4/$H$4</f>
        <v>18.042509034664036</v>
      </c>
      <c r="BI126" s="324">
        <f>'DATA (Real)'!BI122*BI$4/$H$4</f>
        <v>18.439444233426642</v>
      </c>
      <c r="BJ126" s="324">
        <f>'DATA (Real)'!BJ122*BJ$4/$H$4</f>
        <v>18.845112006562033</v>
      </c>
      <c r="BK126" s="324">
        <f>'DATA (Real)'!BK122*BK$4/$H$4</f>
        <v>19.259704470706396</v>
      </c>
      <c r="BL126" s="324">
        <f>'DATA (Real)'!BL122*BL$4/$H$4</f>
        <v>19.683417969061939</v>
      </c>
      <c r="BM126" s="324">
        <f>'DATA (Real)'!BM122*BM$4/$H$4</f>
        <v>20.116453164381298</v>
      </c>
      <c r="BN126" s="324">
        <f>'DATA (Real)'!BN122*BN$4/$H$4</f>
        <v>20.559015133997686</v>
      </c>
      <c r="BO126" s="324">
        <f>'DATA (Real)'!BO122*BO$4/$H$4</f>
        <v>21.011313466945641</v>
      </c>
      <c r="BP126" s="324">
        <f>'DATA (Real)'!BP122*BP$4/$H$4</f>
        <v>21.473562363218441</v>
      </c>
      <c r="BQ126" s="324">
        <f>'DATA (Real)'!BQ122*BQ$4/$H$4</f>
        <v>21.945980735209247</v>
      </c>
      <c r="BR126" s="324">
        <f>'DATA (Real)'!BR122*BR$4/$H$4</f>
        <v>22.428792311383855</v>
      </c>
      <c r="BS126" s="324">
        <f>'DATA (Real)'!BS122*BS$4/$H$4</f>
        <v>22.9222257422343</v>
      </c>
      <c r="BT126" s="324">
        <f>'DATA (Real)'!BT122*BT$4/$H$4</f>
        <v>23.426514708563456</v>
      </c>
      <c r="BU126" s="324">
        <f>'DATA (Real)'!BU122*BU$4/$H$4</f>
        <v>23.941898032151851</v>
      </c>
      <c r="BV126" s="324">
        <f>'DATA (Real)'!BV122*BV$4/$H$4</f>
        <v>24.468619788859193</v>
      </c>
      <c r="BW126" s="324">
        <f>'DATA (Real)'!BW122*BW$4/$H$4</f>
        <v>25.0069294242141</v>
      </c>
      <c r="BX126" s="324">
        <f>'DATA (Real)'!BX122*BX$4/$H$4</f>
        <v>25.55708187154681</v>
      </c>
    </row>
    <row r="127" spans="2:76" outlineLevel="1">
      <c r="B127" s="353" t="s">
        <v>230</v>
      </c>
      <c r="C127" s="353" t="str">
        <f>'DATA (Real)'!C123</f>
        <v>Internal</v>
      </c>
      <c r="D127" s="353" t="str">
        <f>'DATA (Real)'!D123</f>
        <v>Variable Operation and Maintenance Expenses ($/MWh)</v>
      </c>
      <c r="E127" s="353" t="str">
        <f>'DATA (Real)'!E123</f>
        <v>NG CCCT (1x1 w/DF)</v>
      </c>
      <c r="F127" s="314"/>
      <c r="G127" s="314"/>
      <c r="H127" s="314">
        <f>'DATA (Real)'!H123</f>
        <v>4.5999999999999996</v>
      </c>
      <c r="I127" s="437">
        <f>'DATA (Real)'!I123*I$4/$H$4</f>
        <v>4.7459119999999997</v>
      </c>
      <c r="J127" s="324">
        <f>'DATA (Real)'!J123*J$4/$H$4</f>
        <v>4.8575496924833317</v>
      </c>
      <c r="K127" s="324">
        <f>'DATA (Real)'!K123*K$4/$H$4</f>
        <v>4.9660349689487928</v>
      </c>
      <c r="L127" s="324">
        <f>'DATA (Real)'!L123*L$4/$H$4</f>
        <v>5.0769430832553155</v>
      </c>
      <c r="M127" s="324">
        <f>'DATA (Real)'!M123*M$4/$H$4</f>
        <v>5.190328145448019</v>
      </c>
      <c r="N127" s="324">
        <f>'DATA (Real)'!N123*N$4/$H$4</f>
        <v>5.3045153646478749</v>
      </c>
      <c r="O127" s="324">
        <f>'DATA (Real)'!O123*O$4/$H$4</f>
        <v>5.4212147026701283</v>
      </c>
      <c r="P127" s="324">
        <f>'DATA (Real)'!P123*P$4/$H$4</f>
        <v>5.5404814261288715</v>
      </c>
      <c r="Q127" s="324">
        <f>'DATA (Real)'!Q123*Q$4/$H$4</f>
        <v>5.6623720175037064</v>
      </c>
      <c r="R127" s="324">
        <f>'DATA (Real)'!R123*R$4/$H$4</f>
        <v>5.7869442018887884</v>
      </c>
      <c r="S127" s="324">
        <f>'DATA (Real)'!S123*S$4/$H$4</f>
        <v>5.9142569743303417</v>
      </c>
      <c r="T127" s="324">
        <f>'DATA (Real)'!T123*T$4/$H$4</f>
        <v>6.0443706277656091</v>
      </c>
      <c r="U127" s="324">
        <f>'DATA (Real)'!U123*U$4/$H$4</f>
        <v>6.1773467815764525</v>
      </c>
      <c r="V127" s="324">
        <f>'DATA (Real)'!V123*V$4/$H$4</f>
        <v>6.3132484107711342</v>
      </c>
      <c r="W127" s="324">
        <f>'DATA (Real)'!W123*W$4/$H$4</f>
        <v>6.4521398758080979</v>
      </c>
      <c r="X127" s="324">
        <f>'DATA (Real)'!X123*X$4/$H$4</f>
        <v>6.5940869530758777</v>
      </c>
      <c r="Y127" s="324">
        <f>'DATA (Real)'!Y123*Y$4/$H$4</f>
        <v>6.7391568660435475</v>
      </c>
      <c r="Z127" s="324">
        <f>'DATA (Real)'!Z123*Z$4/$H$4</f>
        <v>6.8874183170965049</v>
      </c>
      <c r="AA127" s="324">
        <f>'DATA (Real)'!AA123*AA$4/$H$4</f>
        <v>7.038941520072628</v>
      </c>
      <c r="AB127" s="324">
        <f>'DATA (Real)'!AB123*AB$4/$H$4</f>
        <v>7.1937982335142259</v>
      </c>
      <c r="AC127" s="324">
        <f>'DATA (Real)'!AC123*AC$4/$H$4</f>
        <v>7.3520617946515392</v>
      </c>
      <c r="AD127" s="324">
        <f>'DATA (Real)'!AD123*AD$4/$H$4</f>
        <v>7.5138071541338727</v>
      </c>
      <c r="AE127" s="324">
        <f>'DATA (Real)'!AE123*AE$4/$H$4</f>
        <v>7.679110911524818</v>
      </c>
      <c r="AF127" s="324">
        <f>'DATA (Real)'!AF123*AF$4/$H$4</f>
        <v>7.8480513515783636</v>
      </c>
      <c r="AG127" s="324">
        <f>'DATA (Real)'!AG123*AG$4/$H$4</f>
        <v>8.020708481313088</v>
      </c>
      <c r="AH127" s="324">
        <f>'DATA (Real)'!AH123*AH$4/$H$4</f>
        <v>8.1971640679019764</v>
      </c>
      <c r="AI127" s="324">
        <f>'DATA (Real)'!AI123*AI$4/$H$4</f>
        <v>8.37750167739582</v>
      </c>
      <c r="AJ127" s="324">
        <f>'DATA (Real)'!AJ123*AJ$4/$H$4</f>
        <v>8.5618067142985268</v>
      </c>
      <c r="AK127" s="324">
        <f>'DATA (Real)'!AK123*AK$4/$H$4</f>
        <v>8.7501664620130946</v>
      </c>
      <c r="AL127" s="324">
        <f>'DATA (Real)'!AL123*AL$4/$H$4</f>
        <v>8.9426701241773827</v>
      </c>
      <c r="AM127" s="324">
        <f>'DATA (Real)'!AM123*AM$4/$H$4</f>
        <v>9.139408866909287</v>
      </c>
      <c r="AN127" s="324">
        <f>'DATA (Real)'!AN123*AN$4/$H$4</f>
        <v>9.3404758619812895</v>
      </c>
      <c r="AO127" s="324">
        <f>'DATA (Real)'!AO123*AO$4/$H$4</f>
        <v>9.5459663309448786</v>
      </c>
      <c r="AP127" s="324">
        <f>'DATA (Real)'!AP123*AP$4/$H$4</f>
        <v>9.7559775902256671</v>
      </c>
      <c r="AQ127" s="324">
        <f>'DATA (Real)'!AQ123*AQ$4/$H$4</f>
        <v>9.970609097210632</v>
      </c>
      <c r="AR127" s="324">
        <f>'DATA (Real)'!AR123*AR$4/$H$4</f>
        <v>10.189962497349265</v>
      </c>
      <c r="AS127" s="324">
        <f>'DATA (Real)'!AS123*AS$4/$H$4</f>
        <v>10.414141672290949</v>
      </c>
      <c r="AT127" s="324">
        <f>'DATA (Real)'!AT123*AT$4/$H$4</f>
        <v>10.643252789081348</v>
      </c>
      <c r="AU127" s="324">
        <f>'DATA (Real)'!AU123*AU$4/$H$4</f>
        <v>10.877404350441138</v>
      </c>
      <c r="AV127" s="324">
        <f>'DATA (Real)'!AV123*AV$4/$H$4</f>
        <v>11.116707246150844</v>
      </c>
      <c r="AW127" s="324">
        <f>'DATA (Real)'!AW123*AW$4/$H$4</f>
        <v>11.361274805566163</v>
      </c>
      <c r="AX127" s="324">
        <f>'DATA (Real)'!AX123*AX$4/$H$4</f>
        <v>11.61122285128862</v>
      </c>
      <c r="AY127" s="324">
        <f>'DATA (Real)'!AY123*AY$4/$H$4</f>
        <v>11.86666975401697</v>
      </c>
      <c r="AZ127" s="324">
        <f>'DATA (Real)'!AZ123*AZ$4/$H$4</f>
        <v>12.127736488605342</v>
      </c>
      <c r="BA127" s="324">
        <f>'DATA (Real)'!BA123*BA$4/$H$4</f>
        <v>12.394546691354661</v>
      </c>
      <c r="BB127" s="324">
        <f>'DATA (Real)'!BB123*BB$4/$H$4</f>
        <v>12.667226718564462</v>
      </c>
      <c r="BC127" s="324">
        <f>'DATA (Real)'!BC123*BC$4/$H$4</f>
        <v>12.945905706372882</v>
      </c>
      <c r="BD127" s="324">
        <f>'DATA (Real)'!BD123*BD$4/$H$4</f>
        <v>13.230715631913085</v>
      </c>
      <c r="BE127" s="324">
        <f>'DATA (Real)'!BE123*BE$4/$H$4</f>
        <v>13.521791375815171</v>
      </c>
      <c r="BF127" s="324">
        <f>'DATA (Real)'!BF123*BF$4/$H$4</f>
        <v>13.819270786083106</v>
      </c>
      <c r="BG127" s="324">
        <f>'DATA (Real)'!BG123*BG$4/$H$4</f>
        <v>14.123294743376935</v>
      </c>
      <c r="BH127" s="324">
        <f>'DATA (Real)'!BH123*BH$4/$H$4</f>
        <v>14.434007227731227</v>
      </c>
      <c r="BI127" s="324">
        <f>'DATA (Real)'!BI123*BI$4/$H$4</f>
        <v>14.751555386741313</v>
      </c>
      <c r="BJ127" s="324">
        <f>'DATA (Real)'!BJ123*BJ$4/$H$4</f>
        <v>15.076089605249622</v>
      </c>
      <c r="BK127" s="324">
        <f>'DATA (Real)'!BK123*BK$4/$H$4</f>
        <v>15.407763576565117</v>
      </c>
      <c r="BL127" s="324">
        <f>'DATA (Real)'!BL123*BL$4/$H$4</f>
        <v>15.746734375249549</v>
      </c>
      <c r="BM127" s="324">
        <f>'DATA (Real)'!BM123*BM$4/$H$4</f>
        <v>16.09316253150504</v>
      </c>
      <c r="BN127" s="324">
        <f>'DATA (Real)'!BN123*BN$4/$H$4</f>
        <v>16.447212107198151</v>
      </c>
      <c r="BO127" s="324">
        <f>'DATA (Real)'!BO123*BO$4/$H$4</f>
        <v>16.80905077355651</v>
      </c>
      <c r="BP127" s="324">
        <f>'DATA (Real)'!BP123*BP$4/$H$4</f>
        <v>17.178849890574753</v>
      </c>
      <c r="BQ127" s="324">
        <f>'DATA (Real)'!BQ123*BQ$4/$H$4</f>
        <v>17.5567845881674</v>
      </c>
      <c r="BR127" s="324">
        <f>'DATA (Real)'!BR123*BR$4/$H$4</f>
        <v>17.943033849107081</v>
      </c>
      <c r="BS127" s="324">
        <f>'DATA (Real)'!BS123*BS$4/$H$4</f>
        <v>18.337780593787436</v>
      </c>
      <c r="BT127" s="324">
        <f>'DATA (Real)'!BT123*BT$4/$H$4</f>
        <v>18.741211766850764</v>
      </c>
      <c r="BU127" s="324">
        <f>'DATA (Real)'!BU123*BU$4/$H$4</f>
        <v>19.153518425721479</v>
      </c>
      <c r="BV127" s="324">
        <f>'DATA (Real)'!BV123*BV$4/$H$4</f>
        <v>19.574895831087353</v>
      </c>
      <c r="BW127" s="324">
        <f>'DATA (Real)'!BW123*BW$4/$H$4</f>
        <v>20.005543539371278</v>
      </c>
      <c r="BX127" s="324">
        <f>'DATA (Real)'!BX123*BX$4/$H$4</f>
        <v>20.445665497237442</v>
      </c>
    </row>
    <row r="128" spans="2:76" outlineLevel="1">
      <c r="B128" s="353" t="s">
        <v>230</v>
      </c>
      <c r="C128" s="353" t="str">
        <f>'DATA (Real)'!C124</f>
        <v>Internal</v>
      </c>
      <c r="D128" s="353" t="str">
        <f>'DATA (Real)'!D124</f>
        <v>Variable Operation and Maintenance Expenses ($/MWh)</v>
      </c>
      <c r="E128" s="353" t="str">
        <f>'DATA (Real)'!E124</f>
        <v xml:space="preserve">Hydrogen Fuel Cell with 40 hrs Storage </v>
      </c>
      <c r="F128" s="314"/>
      <c r="G128" s="314"/>
      <c r="H128" s="314">
        <f>'DATA (Real)'!H124</f>
        <v>0</v>
      </c>
      <c r="I128" s="324">
        <f>'DATA (Real)'!I124*I$4/$H$4</f>
        <v>0</v>
      </c>
      <c r="J128" s="324">
        <f>'DATA (Real)'!J124*J$4/$H$4</f>
        <v>0</v>
      </c>
      <c r="K128" s="324">
        <f>'DATA (Real)'!K124*K$4/$H$4</f>
        <v>0</v>
      </c>
      <c r="L128" s="324">
        <f>'DATA (Real)'!L124*L$4/$H$4</f>
        <v>0</v>
      </c>
      <c r="M128" s="324">
        <f>'DATA (Real)'!M124*M$4/$H$4</f>
        <v>0</v>
      </c>
      <c r="N128" s="324">
        <f>'DATA (Real)'!N124*N$4/$H$4</f>
        <v>0</v>
      </c>
      <c r="O128" s="324">
        <f>'DATA (Real)'!O124*O$4/$H$4</f>
        <v>0</v>
      </c>
      <c r="P128" s="324">
        <f>'DATA (Real)'!P124*P$4/$H$4</f>
        <v>0</v>
      </c>
      <c r="Q128" s="324">
        <f>'DATA (Real)'!Q124*Q$4/$H$4</f>
        <v>0</v>
      </c>
      <c r="R128" s="324">
        <f>'DATA (Real)'!R124*R$4/$H$4</f>
        <v>0</v>
      </c>
      <c r="S128" s="324">
        <f>'DATA (Real)'!S124*S$4/$H$4</f>
        <v>0</v>
      </c>
      <c r="T128" s="324">
        <f>'DATA (Real)'!T124*T$4/$H$4</f>
        <v>0</v>
      </c>
      <c r="U128" s="324">
        <f>'DATA (Real)'!U124*U$4/$H$4</f>
        <v>0</v>
      </c>
      <c r="V128" s="324">
        <f>'DATA (Real)'!V124*V$4/$H$4</f>
        <v>0</v>
      </c>
      <c r="W128" s="324">
        <f>'DATA (Real)'!W124*W$4/$H$4</f>
        <v>0</v>
      </c>
      <c r="X128" s="324">
        <f>'DATA (Real)'!X124*X$4/$H$4</f>
        <v>0</v>
      </c>
      <c r="Y128" s="324">
        <f>'DATA (Real)'!Y124*Y$4/$H$4</f>
        <v>0</v>
      </c>
      <c r="Z128" s="324">
        <f>'DATA (Real)'!Z124*Z$4/$H$4</f>
        <v>0</v>
      </c>
      <c r="AA128" s="324">
        <f>'DATA (Real)'!AA124*AA$4/$H$4</f>
        <v>0</v>
      </c>
      <c r="AB128" s="324">
        <f>'DATA (Real)'!AB124*AB$4/$H$4</f>
        <v>0</v>
      </c>
      <c r="AC128" s="324">
        <f>'DATA (Real)'!AC124*AC$4/$H$4</f>
        <v>0</v>
      </c>
      <c r="AD128" s="324">
        <f>'DATA (Real)'!AD124*AD$4/$H$4</f>
        <v>0</v>
      </c>
      <c r="AE128" s="324">
        <f>'DATA (Real)'!AE124*AE$4/$H$4</f>
        <v>0</v>
      </c>
      <c r="AF128" s="324">
        <f>'DATA (Real)'!AF124*AF$4/$H$4</f>
        <v>0</v>
      </c>
      <c r="AG128" s="324">
        <f>'DATA (Real)'!AG124*AG$4/$H$4</f>
        <v>0</v>
      </c>
      <c r="AH128" s="324">
        <f>'DATA (Real)'!AH124*AH$4/$H$4</f>
        <v>0</v>
      </c>
      <c r="AI128" s="324">
        <f>'DATA (Real)'!AI124*AI$4/$H$4</f>
        <v>0</v>
      </c>
      <c r="AJ128" s="324">
        <f>'DATA (Real)'!AJ124*AJ$4/$H$4</f>
        <v>0</v>
      </c>
      <c r="AK128" s="324">
        <f>'DATA (Real)'!AK124*AK$4/$H$4</f>
        <v>0</v>
      </c>
      <c r="AL128" s="324">
        <f>'DATA (Real)'!AL124*AL$4/$H$4</f>
        <v>0</v>
      </c>
      <c r="AM128" s="324">
        <f>'DATA (Real)'!AM124*AM$4/$H$4</f>
        <v>0</v>
      </c>
      <c r="AN128" s="324">
        <f>'DATA (Real)'!AN124*AN$4/$H$4</f>
        <v>0</v>
      </c>
      <c r="AO128" s="324">
        <f>'DATA (Real)'!AO124*AO$4/$H$4</f>
        <v>0</v>
      </c>
      <c r="AP128" s="324">
        <f>'DATA (Real)'!AP124*AP$4/$H$4</f>
        <v>0</v>
      </c>
      <c r="AQ128" s="324">
        <f>'DATA (Real)'!AQ124*AQ$4/$H$4</f>
        <v>0</v>
      </c>
      <c r="AR128" s="324">
        <f>'DATA (Real)'!AR124*AR$4/$H$4</f>
        <v>0</v>
      </c>
      <c r="AS128" s="324">
        <f>'DATA (Real)'!AS124*AS$4/$H$4</f>
        <v>0</v>
      </c>
      <c r="AT128" s="324">
        <f>'DATA (Real)'!AT124*AT$4/$H$4</f>
        <v>0</v>
      </c>
      <c r="AU128" s="324">
        <f>'DATA (Real)'!AU124*AU$4/$H$4</f>
        <v>0</v>
      </c>
      <c r="AV128" s="324">
        <f>'DATA (Real)'!AV124*AV$4/$H$4</f>
        <v>0</v>
      </c>
      <c r="AW128" s="324">
        <f>'DATA (Real)'!AW124*AW$4/$H$4</f>
        <v>0</v>
      </c>
      <c r="AX128" s="324">
        <f>'DATA (Real)'!AX124*AX$4/$H$4</f>
        <v>0</v>
      </c>
      <c r="AY128" s="324">
        <f>'DATA (Real)'!AY124*AY$4/$H$4</f>
        <v>0</v>
      </c>
      <c r="AZ128" s="324">
        <f>'DATA (Real)'!AZ124*AZ$4/$H$4</f>
        <v>0</v>
      </c>
      <c r="BA128" s="324">
        <f>'DATA (Real)'!BA124*BA$4/$H$4</f>
        <v>0</v>
      </c>
      <c r="BB128" s="324">
        <f>'DATA (Real)'!BB124*BB$4/$H$4</f>
        <v>0</v>
      </c>
      <c r="BC128" s="324">
        <f>'DATA (Real)'!BC124*BC$4/$H$4</f>
        <v>0</v>
      </c>
      <c r="BD128" s="324">
        <f>'DATA (Real)'!BD124*BD$4/$H$4</f>
        <v>0</v>
      </c>
      <c r="BE128" s="324">
        <f>'DATA (Real)'!BE124*BE$4/$H$4</f>
        <v>0</v>
      </c>
      <c r="BF128" s="324">
        <f>'DATA (Real)'!BF124*BF$4/$H$4</f>
        <v>0</v>
      </c>
      <c r="BG128" s="324">
        <f>'DATA (Real)'!BG124*BG$4/$H$4</f>
        <v>0</v>
      </c>
      <c r="BH128" s="324">
        <f>'DATA (Real)'!BH124*BH$4/$H$4</f>
        <v>0</v>
      </c>
      <c r="BI128" s="324">
        <f>'DATA (Real)'!BI124*BI$4/$H$4</f>
        <v>0</v>
      </c>
      <c r="BJ128" s="324">
        <f>'DATA (Real)'!BJ124*BJ$4/$H$4</f>
        <v>0</v>
      </c>
      <c r="BK128" s="324">
        <f>'DATA (Real)'!BK124*BK$4/$H$4</f>
        <v>0</v>
      </c>
      <c r="BL128" s="324">
        <f>'DATA (Real)'!BL124*BL$4/$H$4</f>
        <v>0</v>
      </c>
      <c r="BM128" s="324">
        <f>'DATA (Real)'!BM124*BM$4/$H$4</f>
        <v>0</v>
      </c>
      <c r="BN128" s="324">
        <f>'DATA (Real)'!BN124*BN$4/$H$4</f>
        <v>0</v>
      </c>
      <c r="BO128" s="324">
        <f>'DATA (Real)'!BO124*BO$4/$H$4</f>
        <v>0</v>
      </c>
      <c r="BP128" s="324">
        <f>'DATA (Real)'!BP124*BP$4/$H$4</f>
        <v>0</v>
      </c>
      <c r="BQ128" s="324">
        <f>'DATA (Real)'!BQ124*BQ$4/$H$4</f>
        <v>0</v>
      </c>
      <c r="BR128" s="324">
        <f>'DATA (Real)'!BR124*BR$4/$H$4</f>
        <v>0</v>
      </c>
      <c r="BS128" s="324">
        <f>'DATA (Real)'!BS124*BS$4/$H$4</f>
        <v>0</v>
      </c>
      <c r="BT128" s="324">
        <f>'DATA (Real)'!BT124*BT$4/$H$4</f>
        <v>0</v>
      </c>
      <c r="BU128" s="324">
        <f>'DATA (Real)'!BU124*BU$4/$H$4</f>
        <v>0</v>
      </c>
      <c r="BV128" s="324">
        <f>'DATA (Real)'!BV124*BV$4/$H$4</f>
        <v>0</v>
      </c>
      <c r="BW128" s="324">
        <f>'DATA (Real)'!BW124*BW$4/$H$4</f>
        <v>0</v>
      </c>
      <c r="BX128" s="324">
        <f>'DATA (Real)'!BX124*BX$4/$H$4</f>
        <v>0</v>
      </c>
    </row>
    <row r="129" spans="2:76" outlineLevel="1">
      <c r="B129" s="353" t="s">
        <v>230</v>
      </c>
      <c r="C129" s="353" t="str">
        <f>'DATA (Real)'!C125</f>
        <v>Internal</v>
      </c>
      <c r="D129" s="353" t="str">
        <f>'DATA (Real)'!D125</f>
        <v>Variable Operation and Maintenance Expenses ($/MWh)</v>
      </c>
      <c r="E129" s="353" t="str">
        <f>'DATA (Real)'!E125</f>
        <v>7F.04 CT Frame Greenfield + amonia + storage</v>
      </c>
      <c r="F129" s="314"/>
      <c r="G129" s="314"/>
      <c r="H129" s="314">
        <f>'DATA (Real)'!H125</f>
        <v>3</v>
      </c>
      <c r="I129" s="324">
        <f>'DATA (Real)'!I125*I$4/$H$4</f>
        <v>3.0951600000000004</v>
      </c>
      <c r="J129" s="324">
        <f>'DATA (Real)'!J125*J$4/$H$4</f>
        <v>3.1679671907499998</v>
      </c>
      <c r="K129" s="324">
        <f>'DATA (Real)'!K125*K$4/$H$4</f>
        <v>3.2387184580100827</v>
      </c>
      <c r="L129" s="324">
        <f>'DATA (Real)'!L125*L$4/$H$4</f>
        <v>3.3110498369056414</v>
      </c>
      <c r="M129" s="324">
        <f>'DATA (Real)'!M125*M$4/$H$4</f>
        <v>3.3849966165965339</v>
      </c>
      <c r="N129" s="324">
        <f>'DATA (Real)'!N125*N$4/$H$4</f>
        <v>3.4594665421616577</v>
      </c>
      <c r="O129" s="324">
        <f>'DATA (Real)'!O125*O$4/$H$4</f>
        <v>3.535574806089214</v>
      </c>
      <c r="P129" s="324">
        <f>'DATA (Real)'!P125*P$4/$H$4</f>
        <v>3.6133574518231772</v>
      </c>
      <c r="Q129" s="324">
        <f>'DATA (Real)'!Q125*Q$4/$H$4</f>
        <v>3.6928513157632867</v>
      </c>
      <c r="R129" s="324">
        <f>'DATA (Real)'!R125*R$4/$H$4</f>
        <v>3.7740940447100799</v>
      </c>
      <c r="S129" s="324">
        <f>'DATA (Real)'!S125*S$4/$H$4</f>
        <v>3.8571241136937013</v>
      </c>
      <c r="T129" s="324">
        <f>'DATA (Real)'!T125*T$4/$H$4</f>
        <v>3.9419808441949629</v>
      </c>
      <c r="U129" s="324">
        <f>'DATA (Real)'!U125*U$4/$H$4</f>
        <v>4.0287044227672517</v>
      </c>
      <c r="V129" s="324">
        <f>'DATA (Real)'!V125*V$4/$H$4</f>
        <v>4.1173359200681316</v>
      </c>
      <c r="W129" s="324">
        <f>'DATA (Real)'!W125*W$4/$H$4</f>
        <v>4.2079173103096297</v>
      </c>
      <c r="X129" s="324">
        <f>'DATA (Real)'!X125*X$4/$H$4</f>
        <v>4.3004914911364427</v>
      </c>
      <c r="Y129" s="324">
        <f>'DATA (Real)'!Y125*Y$4/$H$4</f>
        <v>4.3951023039414441</v>
      </c>
      <c r="Z129" s="324">
        <f>'DATA (Real)'!Z125*Z$4/$H$4</f>
        <v>4.4917945546281564</v>
      </c>
      <c r="AA129" s="324">
        <f>'DATA (Real)'!AA125*AA$4/$H$4</f>
        <v>4.5906140348299749</v>
      </c>
      <c r="AB129" s="324">
        <f>'DATA (Real)'!AB125*AB$4/$H$4</f>
        <v>4.691607543596235</v>
      </c>
      <c r="AC129" s="324">
        <f>'DATA (Real)'!AC125*AC$4/$H$4</f>
        <v>4.794822909555351</v>
      </c>
      <c r="AD129" s="324">
        <f>'DATA (Real)'!AD125*AD$4/$H$4</f>
        <v>4.90030901356557</v>
      </c>
      <c r="AE129" s="324">
        <f>'DATA (Real)'!AE125*AE$4/$H$4</f>
        <v>5.0081158118640117</v>
      </c>
      <c r="AF129" s="324">
        <f>'DATA (Real)'!AF125*AF$4/$H$4</f>
        <v>5.1182943597250201</v>
      </c>
      <c r="AG129" s="324">
        <f>'DATA (Real)'!AG125*AG$4/$H$4</f>
        <v>5.2308968356389709</v>
      </c>
      <c r="AH129" s="324">
        <f>'DATA (Real)'!AH125*AH$4/$H$4</f>
        <v>5.3459765660230278</v>
      </c>
      <c r="AI129" s="324">
        <f>'DATA (Real)'!AI125*AI$4/$H$4</f>
        <v>5.4635880504755345</v>
      </c>
      <c r="AJ129" s="324">
        <f>'DATA (Real)'!AJ125*AJ$4/$H$4</f>
        <v>5.583786987585996</v>
      </c>
      <c r="AK129" s="324">
        <f>'DATA (Real)'!AK125*AK$4/$H$4</f>
        <v>5.7066303013128881</v>
      </c>
      <c r="AL129" s="324">
        <f>'DATA (Real)'!AL125*AL$4/$H$4</f>
        <v>5.8321761679417721</v>
      </c>
      <c r="AM129" s="324">
        <f>'DATA (Real)'!AM125*AM$4/$H$4</f>
        <v>5.9604840436364919</v>
      </c>
      <c r="AN129" s="324">
        <f>'DATA (Real)'!AN125*AN$4/$H$4</f>
        <v>6.0916146925964947</v>
      </c>
      <c r="AO129" s="324">
        <f>'DATA (Real)'!AO125*AO$4/$H$4</f>
        <v>6.2256302158336174</v>
      </c>
      <c r="AP129" s="324">
        <f>'DATA (Real)'!AP125*AP$4/$H$4</f>
        <v>6.3625940805819559</v>
      </c>
      <c r="AQ129" s="324">
        <f>'DATA (Real)'!AQ125*AQ$4/$H$4</f>
        <v>6.5025711503547603</v>
      </c>
      <c r="AR129" s="324">
        <f>'DATA (Real)'!AR125*AR$4/$H$4</f>
        <v>6.6456277156625632</v>
      </c>
      <c r="AS129" s="324">
        <f>'DATA (Real)'!AS125*AS$4/$H$4</f>
        <v>6.7918315254071402</v>
      </c>
      <c r="AT129" s="324">
        <f>'DATA (Real)'!AT125*AT$4/$H$4</f>
        <v>6.9412518189660979</v>
      </c>
      <c r="AU129" s="324">
        <f>'DATA (Real)'!AU125*AU$4/$H$4</f>
        <v>7.0939593589833514</v>
      </c>
      <c r="AV129" s="324">
        <f>'DATA (Real)'!AV125*AV$4/$H$4</f>
        <v>7.2500264648809853</v>
      </c>
      <c r="AW129" s="324">
        <f>'DATA (Real)'!AW125*AW$4/$H$4</f>
        <v>7.4095270471083667</v>
      </c>
      <c r="AX129" s="324">
        <f>'DATA (Real)'!AX125*AX$4/$H$4</f>
        <v>7.572536642144752</v>
      </c>
      <c r="AY129" s="324">
        <f>'DATA (Real)'!AY125*AY$4/$H$4</f>
        <v>7.7391324482719366</v>
      </c>
      <c r="AZ129" s="324">
        <f>'DATA (Real)'!AZ125*AZ$4/$H$4</f>
        <v>7.909393362133919</v>
      </c>
      <c r="BA129" s="324">
        <f>'DATA (Real)'!BA125*BA$4/$H$4</f>
        <v>8.0834000161008657</v>
      </c>
      <c r="BB129" s="324">
        <f>'DATA (Real)'!BB125*BB$4/$H$4</f>
        <v>8.2612348164550848</v>
      </c>
      <c r="BC129" s="324">
        <f>'DATA (Real)'!BC125*BC$4/$H$4</f>
        <v>8.4429819824170966</v>
      </c>
      <c r="BD129" s="324">
        <f>'DATA (Real)'!BD125*BD$4/$H$4</f>
        <v>8.6287275860302728</v>
      </c>
      <c r="BE129" s="324">
        <f>'DATA (Real)'!BE125*BE$4/$H$4</f>
        <v>8.8185595929229379</v>
      </c>
      <c r="BF129" s="324">
        <f>'DATA (Real)'!BF125*BF$4/$H$4</f>
        <v>9.0125679039672431</v>
      </c>
      <c r="BG129" s="324">
        <f>'DATA (Real)'!BG125*BG$4/$H$4</f>
        <v>9.2108443978545225</v>
      </c>
      <c r="BH129" s="324">
        <f>'DATA (Real)'!BH125*BH$4/$H$4</f>
        <v>9.4134829746073212</v>
      </c>
      <c r="BI129" s="324">
        <f>'DATA (Real)'!BI125*BI$4/$H$4</f>
        <v>9.6205796000486838</v>
      </c>
      <c r="BJ129" s="324">
        <f>'DATA (Real)'!BJ125*BJ$4/$H$4</f>
        <v>9.8322323512497558</v>
      </c>
      <c r="BK129" s="324">
        <f>'DATA (Real)'!BK125*BK$4/$H$4</f>
        <v>10.048541462977251</v>
      </c>
      <c r="BL129" s="324">
        <f>'DATA (Real)'!BL125*BL$4/$H$4</f>
        <v>10.26960937516275</v>
      </c>
      <c r="BM129" s="324">
        <f>'DATA (Real)'!BM125*BM$4/$H$4</f>
        <v>10.495540781416331</v>
      </c>
      <c r="BN129" s="324">
        <f>'DATA (Real)'!BN125*BN$4/$H$4</f>
        <v>10.726442678607489</v>
      </c>
      <c r="BO129" s="324">
        <f>'DATA (Real)'!BO125*BO$4/$H$4</f>
        <v>10.962424417536855</v>
      </c>
      <c r="BP129" s="324">
        <f>'DATA (Real)'!BP125*BP$4/$H$4</f>
        <v>11.203597754722667</v>
      </c>
      <c r="BQ129" s="324">
        <f>'DATA (Real)'!BQ125*BQ$4/$H$4</f>
        <v>11.450076905326565</v>
      </c>
      <c r="BR129" s="324">
        <f>'DATA (Real)'!BR125*BR$4/$H$4</f>
        <v>11.70197859724375</v>
      </c>
      <c r="BS129" s="324">
        <f>'DATA (Real)'!BS125*BS$4/$H$4</f>
        <v>11.959422126383114</v>
      </c>
      <c r="BT129" s="324">
        <f>'DATA (Real)'!BT125*BT$4/$H$4</f>
        <v>12.22252941316354</v>
      </c>
      <c r="BU129" s="324">
        <f>'DATA (Real)'!BU125*BU$4/$H$4</f>
        <v>12.491425060253139</v>
      </c>
      <c r="BV129" s="324">
        <f>'DATA (Real)'!BV125*BV$4/$H$4</f>
        <v>12.76623641157871</v>
      </c>
      <c r="BW129" s="324">
        <f>'DATA (Real)'!BW125*BW$4/$H$4</f>
        <v>13.047093612633441</v>
      </c>
      <c r="BX129" s="324">
        <f>'DATA (Real)'!BX125*BX$4/$H$4</f>
        <v>13.334129672111379</v>
      </c>
    </row>
    <row r="131" spans="2:76">
      <c r="B131" s="259" t="str">
        <f>D131</f>
        <v>Fuel Costs</v>
      </c>
      <c r="D131" s="259" t="str">
        <f>'DATA (Real)'!D127</f>
        <v>Fuel Costs</v>
      </c>
      <c r="F131" s="318"/>
      <c r="G131" s="318"/>
      <c r="H131" s="318"/>
      <c r="I131" s="318"/>
      <c r="J131" s="318"/>
      <c r="K131" s="318"/>
      <c r="L131" s="318"/>
      <c r="M131" s="318"/>
      <c r="N131" s="318"/>
      <c r="O131" s="318"/>
      <c r="P131" s="318"/>
      <c r="Q131" s="318"/>
      <c r="R131" s="318"/>
      <c r="S131" s="318"/>
      <c r="T131" s="318"/>
      <c r="U131" s="318"/>
      <c r="V131" s="318"/>
      <c r="W131" s="318"/>
      <c r="X131" s="318"/>
      <c r="Y131" s="318"/>
      <c r="Z131" s="318"/>
      <c r="AA131" s="318"/>
      <c r="AB131" s="318"/>
      <c r="AC131" s="318"/>
      <c r="AD131" s="318"/>
      <c r="AE131" s="318"/>
      <c r="AF131" s="318"/>
      <c r="AG131" s="318"/>
      <c r="AH131" s="318"/>
      <c r="AI131" s="318"/>
      <c r="AJ131" s="318"/>
      <c r="AK131" s="318"/>
      <c r="AL131" s="318"/>
      <c r="AM131" s="318"/>
      <c r="AN131" s="318"/>
      <c r="AO131" s="318"/>
      <c r="AP131" s="318"/>
      <c r="AQ131" s="318"/>
      <c r="AR131" s="318"/>
      <c r="AS131" s="318"/>
      <c r="AT131" s="318"/>
      <c r="AU131" s="318"/>
      <c r="AV131" s="318"/>
      <c r="AW131" s="318"/>
      <c r="AX131" s="318"/>
      <c r="AY131" s="318"/>
      <c r="AZ131" s="318"/>
      <c r="BA131" s="318"/>
      <c r="BB131" s="318"/>
      <c r="BC131" s="318"/>
      <c r="BD131" s="318"/>
      <c r="BE131" s="318"/>
      <c r="BF131" s="318"/>
      <c r="BG131" s="318"/>
      <c r="BH131" s="318"/>
      <c r="BI131" s="318"/>
      <c r="BJ131" s="318"/>
      <c r="BK131" s="318"/>
      <c r="BL131" s="318"/>
      <c r="BM131" s="318"/>
      <c r="BN131" s="318"/>
      <c r="BO131" s="318"/>
      <c r="BP131" s="318"/>
      <c r="BQ131" s="318"/>
      <c r="BR131" s="318"/>
      <c r="BS131" s="318"/>
      <c r="BT131" s="318"/>
      <c r="BU131" s="318"/>
      <c r="BV131" s="318"/>
      <c r="BW131" s="318"/>
      <c r="BX131" s="318"/>
    </row>
    <row r="132" spans="2:76" outlineLevel="1">
      <c r="B132" s="351" t="s">
        <v>230</v>
      </c>
      <c r="C132" s="351" t="str">
        <f>'DATA (Real)'!C128</f>
        <v>NREL Nuclear - Small Modular Reactor</v>
      </c>
      <c r="D132" s="351" t="str">
        <f>'DATA (Real)'!D128</f>
        <v>Fuel Costs ($/MMBtu) - Uranium</v>
      </c>
      <c r="E132" s="351" t="str">
        <f>'DATA (Real)'!E128</f>
        <v>Small Modular Reactor (share)</v>
      </c>
      <c r="F132" s="314">
        <f>'DATA (Real)'!F128</f>
        <v>0.68449283667621774</v>
      </c>
      <c r="G132" s="324">
        <f>'DATA (Real)'!G128*G$4/100</f>
        <v>0.70160515759312303</v>
      </c>
      <c r="H132" s="324">
        <f>'DATA (Real)'!H128*H$4/100</f>
        <v>0.75315923569315257</v>
      </c>
      <c r="I132" s="324">
        <f>'DATA (Real)'!I128*I$4/100</f>
        <v>0.7793219800833403</v>
      </c>
      <c r="J132" s="324">
        <f>'DATA (Real)'!J128*J$4/100</f>
        <v>0.79881634703063997</v>
      </c>
      <c r="K132" s="324">
        <f>'DATA (Real)'!K128*K$4/100</f>
        <v>0.81903338305016693</v>
      </c>
      <c r="L132" s="324">
        <f>'DATA (Real)'!L128*L$4/100</f>
        <v>0.83854122991226898</v>
      </c>
      <c r="M132" s="324">
        <f>'DATA (Real)'!M128*M$4/100</f>
        <v>0.85975280440399371</v>
      </c>
      <c r="N132" s="324">
        <f>'DATA (Real)'!N128*N$4/100</f>
        <v>0.87993676863665105</v>
      </c>
      <c r="O132" s="324">
        <f>'DATA (Real)'!O128*O$4/100</f>
        <v>0.90189127305940897</v>
      </c>
      <c r="P132" s="324">
        <f>'DATA (Real)'!P128*P$4/100</f>
        <v>0.92438588628074814</v>
      </c>
      <c r="Q132" s="324">
        <f>'DATA (Real)'!Q128*Q$4/100</f>
        <v>0.94607741557113489</v>
      </c>
      <c r="R132" s="324">
        <f>'DATA (Real)'!R128*R$4/100</f>
        <v>0.96966214021167307</v>
      </c>
      <c r="S132" s="324">
        <f>'DATA (Real)'!S128*S$4/100</f>
        <v>0.99382534206098361</v>
      </c>
      <c r="T132" s="324">
        <f>'DATA (Real)'!T128*T$4/100</f>
        <v>1.0171359539510632</v>
      </c>
      <c r="U132" s="324">
        <f>'DATA (Real)'!U128*U$4/100</f>
        <v>1.042470906883878</v>
      </c>
      <c r="V132" s="324">
        <f>'DATA (Real)'!V128*V$4/100</f>
        <v>1.0684283039440243</v>
      </c>
      <c r="W132" s="324">
        <f>'DATA (Real)'!W128*W$4/100</f>
        <v>1.0934777626371872</v>
      </c>
      <c r="X132" s="324">
        <f>'DATA (Real)'!X128*X$4/100</f>
        <v>1.1206902830122758</v>
      </c>
      <c r="Y132" s="324">
        <f>'DATA (Real)'!Y128*Y$4/100</f>
        <v>1.1485724484356019</v>
      </c>
      <c r="Z132" s="324">
        <f>'DATA (Real)'!Z128*Z$4/100</f>
        <v>1.1771390150405765</v>
      </c>
      <c r="AA132" s="324">
        <f>'DATA (Real)'!AA128*AA$4/100</f>
        <v>1.2064049957330714</v>
      </c>
      <c r="AB132" s="324">
        <f>'DATA (Real)'!AB128*AB$4/100</f>
        <v>1.2363905853979296</v>
      </c>
      <c r="AC132" s="324">
        <f>'DATA (Real)'!AC128*AC$4/100</f>
        <v>1.2671099637806196</v>
      </c>
      <c r="AD132" s="324">
        <f>'DATA (Real)'!AD128*AD$4/100</f>
        <v>1.2985842958769109</v>
      </c>
      <c r="AE132" s="324">
        <f>'DATA (Real)'!AE128*AE$4/100</f>
        <v>1.3308302173629696</v>
      </c>
      <c r="AF132" s="324">
        <f>'DATA (Real)'!AF128*AF$4/100</f>
        <v>1.3638646542367301</v>
      </c>
      <c r="AG132" s="324">
        <f>'DATA (Real)'!AG128*AG$4/100</f>
        <v>1.397710314254099</v>
      </c>
      <c r="AH132" s="324">
        <f>'DATA (Real)'!AH128*AH$4/100</f>
        <v>1.4323832028187948</v>
      </c>
      <c r="AI132" s="324">
        <f>'DATA (Real)'!AI128*AI$4/100</f>
        <v>1.4679071178290422</v>
      </c>
      <c r="AJ132" s="324">
        <f>'DATA (Real)'!AJ128*AJ$4/100</f>
        <v>1.5042988584436745</v>
      </c>
      <c r="AK132" s="324">
        <f>'DATA (Real)'!AK128*AK$4/100</f>
        <v>0</v>
      </c>
      <c r="AL132" s="324">
        <f>'DATA (Real)'!AL128*AL$4/100</f>
        <v>0</v>
      </c>
      <c r="AM132" s="324">
        <f>'DATA (Real)'!AM128*AM$4/100</f>
        <v>0</v>
      </c>
      <c r="AN132" s="324">
        <f>'DATA (Real)'!AN128*AN$4/100</f>
        <v>0</v>
      </c>
      <c r="AO132" s="324">
        <f>'DATA (Real)'!AO128*AO$4/100</f>
        <v>0</v>
      </c>
      <c r="AP132" s="324">
        <f>'DATA (Real)'!AP128*AP$4/100</f>
        <v>0</v>
      </c>
      <c r="AQ132" s="324">
        <f>'DATA (Real)'!AQ128*AQ$4/100</f>
        <v>0</v>
      </c>
      <c r="AR132" s="324">
        <f>'DATA (Real)'!AR128*AR$4/100</f>
        <v>0</v>
      </c>
      <c r="AS132" s="324">
        <f>'DATA (Real)'!AS128*AS$4/100</f>
        <v>0</v>
      </c>
      <c r="AT132" s="324">
        <f>'DATA (Real)'!AT128*AT$4/100</f>
        <v>0</v>
      </c>
      <c r="AU132" s="324">
        <f>'DATA (Real)'!AU128*AU$4/100</f>
        <v>0</v>
      </c>
      <c r="AV132" s="324">
        <f>'DATA (Real)'!AV128*AV$4/100</f>
        <v>0</v>
      </c>
      <c r="AW132" s="324">
        <f>'DATA (Real)'!AW128*AW$4/100</f>
        <v>0</v>
      </c>
      <c r="AX132" s="324">
        <f>'DATA (Real)'!AX128*AX$4/100</f>
        <v>0</v>
      </c>
      <c r="AY132" s="324">
        <f>'DATA (Real)'!AY128*AY$4/100</f>
        <v>0</v>
      </c>
      <c r="AZ132" s="324">
        <f>'DATA (Real)'!AZ128*AZ$4/100</f>
        <v>0</v>
      </c>
      <c r="BA132" s="324">
        <f>'DATA (Real)'!BA128*BA$4/100</f>
        <v>0</v>
      </c>
      <c r="BB132" s="324">
        <f>'DATA (Real)'!BB128*BB$4/100</f>
        <v>0</v>
      </c>
      <c r="BC132" s="324">
        <f>'DATA (Real)'!BC128*BC$4/100</f>
        <v>0</v>
      </c>
      <c r="BD132" s="324">
        <f>'DATA (Real)'!BD128*BD$4/100</f>
        <v>0</v>
      </c>
      <c r="BE132" s="324">
        <f>'DATA (Real)'!BE128*BE$4/100</f>
        <v>0</v>
      </c>
      <c r="BF132" s="324">
        <f>'DATA (Real)'!BF128*BF$4/100</f>
        <v>0</v>
      </c>
      <c r="BG132" s="324">
        <f>'DATA (Real)'!BG128*BG$4/100</f>
        <v>0</v>
      </c>
      <c r="BH132" s="324">
        <f>'DATA (Real)'!BH128*BH$4/100</f>
        <v>0</v>
      </c>
      <c r="BI132" s="324">
        <f>'DATA (Real)'!BI128*BI$4/100</f>
        <v>0</v>
      </c>
      <c r="BJ132" s="324">
        <f>'DATA (Real)'!BJ128*BJ$4/100</f>
        <v>0</v>
      </c>
      <c r="BK132" s="324">
        <f>'DATA (Real)'!BK128*BK$4/100</f>
        <v>0</v>
      </c>
      <c r="BL132" s="324">
        <f>'DATA (Real)'!BL128*BL$4/100</f>
        <v>0</v>
      </c>
      <c r="BM132" s="324">
        <f>'DATA (Real)'!BM128*BM$4/100</f>
        <v>0</v>
      </c>
      <c r="BN132" s="324">
        <f>'DATA (Real)'!BN128*BN$4/100</f>
        <v>0</v>
      </c>
      <c r="BO132" s="324">
        <f>'DATA (Real)'!BO128*BO$4/100</f>
        <v>0</v>
      </c>
      <c r="BP132" s="324">
        <f>'DATA (Real)'!BP128*BP$4/100</f>
        <v>0</v>
      </c>
      <c r="BQ132" s="324">
        <f>'DATA (Real)'!BQ128*BQ$4/100</f>
        <v>0</v>
      </c>
      <c r="BR132" s="324">
        <f>'DATA (Real)'!BR128*BR$4/100</f>
        <v>0</v>
      </c>
      <c r="BS132" s="324">
        <f>'DATA (Real)'!BS128*BS$4/100</f>
        <v>0</v>
      </c>
      <c r="BT132" s="324">
        <f>'DATA (Real)'!BT128*BT$4/100</f>
        <v>0</v>
      </c>
      <c r="BU132" s="324">
        <f>'DATA (Real)'!BU128*BU$4/100</f>
        <v>0</v>
      </c>
      <c r="BV132" s="324">
        <f>'DATA (Real)'!BV128*BV$4/100</f>
        <v>0</v>
      </c>
      <c r="BW132" s="324">
        <f>'DATA (Real)'!BW128*BW$4/100</f>
        <v>0</v>
      </c>
      <c r="BX132" s="324">
        <f>'DATA (Real)'!BX128*BX$4/100</f>
        <v>0</v>
      </c>
    </row>
    <row r="133" spans="2:76" outlineLevel="1">
      <c r="B133" s="353"/>
      <c r="C133" s="353" t="str">
        <f>'DATA (Real)'!C129</f>
        <v>Natural Gas Price Forecast</v>
      </c>
      <c r="D133" s="353" t="str">
        <f>'DATA (Real)'!D129</f>
        <v>Fuel Costs ($/MMBtu) - Malin</v>
      </c>
      <c r="E133" s="353" t="str">
        <f>'DATA (Real)'!E129</f>
        <v>7F.04 CT Frame Greenfield</v>
      </c>
      <c r="F133" s="314"/>
      <c r="G133" s="314"/>
      <c r="H133" s="345">
        <v>8.6651340690161245</v>
      </c>
      <c r="I133" s="345">
        <v>5.7932625553088721</v>
      </c>
      <c r="J133" s="345">
        <v>4.6619995964456233</v>
      </c>
      <c r="K133" s="345">
        <v>4.053820274626232</v>
      </c>
      <c r="L133" s="345">
        <v>3.7212028655076312</v>
      </c>
      <c r="M133" s="345">
        <v>3.5577032154492887</v>
      </c>
      <c r="N133" s="345">
        <v>3.5505212929753056</v>
      </c>
      <c r="O133" s="345">
        <v>3.6313913066521173</v>
      </c>
      <c r="P133" s="345">
        <v>3.7937145301298045</v>
      </c>
      <c r="Q133" s="345">
        <v>3.9621571346526601</v>
      </c>
      <c r="R133" s="345">
        <v>4.0635507079345397</v>
      </c>
      <c r="S133" s="345">
        <v>4.2151238211340631</v>
      </c>
      <c r="T133" s="345">
        <v>4.2645135439713311</v>
      </c>
      <c r="U133" s="345">
        <v>4.3800067704493673</v>
      </c>
      <c r="V133" s="345">
        <v>4.4630113751901623</v>
      </c>
      <c r="W133" s="345">
        <v>4.5608006469741111</v>
      </c>
      <c r="X133" s="345">
        <v>4.6260439788209933</v>
      </c>
      <c r="Y133" s="345">
        <v>4.7728649508196579</v>
      </c>
      <c r="Z133" s="345">
        <v>5.0040130371133849</v>
      </c>
      <c r="AA133" s="345">
        <v>5.121975320713128</v>
      </c>
      <c r="AB133" s="345">
        <v>5.2177781378817576</v>
      </c>
      <c r="AC133" s="345">
        <v>5.4110932579911299</v>
      </c>
      <c r="AD133" s="345">
        <v>5.5243163027503668</v>
      </c>
      <c r="AE133" s="345">
        <v>5.7247170874408759</v>
      </c>
      <c r="AF133" s="345">
        <v>5.9076183601508889</v>
      </c>
      <c r="AG133" s="345">
        <v>6.0383152087560914</v>
      </c>
      <c r="AH133" s="345">
        <v>6.167659962606951</v>
      </c>
      <c r="AI133" s="345">
        <v>6.2867636068077433</v>
      </c>
      <c r="AJ133" s="345">
        <v>6.4266543311619175</v>
      </c>
      <c r="AK133" s="314"/>
      <c r="AL133" s="314"/>
      <c r="AM133" s="314"/>
      <c r="AN133" s="314"/>
      <c r="AO133" s="314"/>
      <c r="AP133" s="314"/>
      <c r="AQ133" s="314"/>
      <c r="AR133" s="314"/>
      <c r="AS133" s="314"/>
      <c r="AT133" s="314"/>
      <c r="AU133" s="314"/>
      <c r="AV133" s="314"/>
      <c r="AW133" s="314"/>
      <c r="AX133" s="314"/>
      <c r="AY133" s="314"/>
      <c r="AZ133" s="314"/>
      <c r="BA133" s="314"/>
      <c r="BB133" s="314"/>
      <c r="BC133" s="314"/>
      <c r="BD133" s="314"/>
      <c r="BE133" s="314"/>
      <c r="BF133" s="314"/>
      <c r="BG133" s="314"/>
      <c r="BH133" s="314"/>
      <c r="BI133" s="314"/>
      <c r="BJ133" s="314"/>
      <c r="BK133" s="314"/>
      <c r="BL133" s="314"/>
      <c r="BM133" s="314"/>
      <c r="BN133" s="314"/>
      <c r="BO133" s="314"/>
      <c r="BP133" s="314"/>
      <c r="BQ133" s="314"/>
      <c r="BR133" s="314"/>
      <c r="BS133" s="314"/>
      <c r="BT133" s="314"/>
      <c r="BU133" s="314"/>
      <c r="BV133" s="314"/>
      <c r="BW133" s="314"/>
      <c r="BX133" s="314"/>
    </row>
    <row r="134" spans="2:76" outlineLevel="1">
      <c r="B134" s="353"/>
      <c r="C134" s="353" t="str">
        <f>'DATA (Real)'!C130</f>
        <v>2021 IRP</v>
      </c>
      <c r="D134" s="353" t="str">
        <f>'DATA (Real)'!D130</f>
        <v>Fuel Costs (%) Variable Charge</v>
      </c>
      <c r="E134" s="353" t="str">
        <f>'DATA (Real)'!E130</f>
        <v>7F.04 CT Frame Greenfield</v>
      </c>
      <c r="F134" s="315">
        <f>'DATA (Real)'!F130</f>
        <v>5.0000000000000002E-5</v>
      </c>
      <c r="G134" s="315">
        <f>'DATA (Real)'!G130</f>
        <v>5.0000000000000002E-5</v>
      </c>
      <c r="H134" s="315">
        <f>'DATA (Real)'!H130</f>
        <v>5.0000000000000002E-5</v>
      </c>
      <c r="I134" s="315">
        <f>'DATA (Real)'!I130</f>
        <v>5.0000000000000002E-5</v>
      </c>
      <c r="J134" s="315">
        <f>'DATA (Real)'!J130</f>
        <v>5.0000000000000002E-5</v>
      </c>
      <c r="K134" s="315">
        <f>'DATA (Real)'!K130</f>
        <v>5.0000000000000002E-5</v>
      </c>
      <c r="L134" s="315">
        <f>'DATA (Real)'!L130</f>
        <v>5.0000000000000002E-5</v>
      </c>
      <c r="M134" s="315">
        <f>'DATA (Real)'!M130</f>
        <v>5.0000000000000002E-5</v>
      </c>
      <c r="N134" s="315">
        <f>'DATA (Real)'!N130</f>
        <v>5.0000000000000002E-5</v>
      </c>
      <c r="O134" s="315">
        <f>'DATA (Real)'!O130</f>
        <v>5.0000000000000002E-5</v>
      </c>
      <c r="P134" s="315">
        <f>'DATA (Real)'!P130</f>
        <v>5.0000000000000002E-5</v>
      </c>
      <c r="Q134" s="315">
        <f>'DATA (Real)'!Q130</f>
        <v>5.0000000000000002E-5</v>
      </c>
      <c r="R134" s="315">
        <f>'DATA (Real)'!R130</f>
        <v>5.0000000000000002E-5</v>
      </c>
      <c r="S134" s="315">
        <f>'DATA (Real)'!S130</f>
        <v>5.0000000000000002E-5</v>
      </c>
      <c r="T134" s="315">
        <f>'DATA (Real)'!T130</f>
        <v>5.0000000000000002E-5</v>
      </c>
      <c r="U134" s="315">
        <f>'DATA (Real)'!U130</f>
        <v>5.0000000000000002E-5</v>
      </c>
      <c r="V134" s="315">
        <f>'DATA (Real)'!V130</f>
        <v>5.0000000000000002E-5</v>
      </c>
      <c r="W134" s="315">
        <f>'DATA (Real)'!W130</f>
        <v>5.0000000000000002E-5</v>
      </c>
      <c r="X134" s="315">
        <f>'DATA (Real)'!X130</f>
        <v>5.0000000000000002E-5</v>
      </c>
      <c r="Y134" s="315">
        <f>'DATA (Real)'!Y130</f>
        <v>5.0000000000000002E-5</v>
      </c>
      <c r="Z134" s="315">
        <f>'DATA (Real)'!Z130</f>
        <v>5.0000000000000002E-5</v>
      </c>
      <c r="AA134" s="315">
        <f>'DATA (Real)'!AA130</f>
        <v>5.0000000000000002E-5</v>
      </c>
      <c r="AB134" s="315">
        <f>'DATA (Real)'!AB130</f>
        <v>5.0000000000000002E-5</v>
      </c>
      <c r="AC134" s="315">
        <f>'DATA (Real)'!AC130</f>
        <v>5.0000000000000002E-5</v>
      </c>
      <c r="AD134" s="315">
        <f>'DATA (Real)'!AD130</f>
        <v>5.0000000000000002E-5</v>
      </c>
      <c r="AE134" s="315">
        <f>'DATA (Real)'!AE130</f>
        <v>5.0000000000000002E-5</v>
      </c>
      <c r="AF134" s="315">
        <f>'DATA (Real)'!AF130</f>
        <v>5.0000000000000002E-5</v>
      </c>
      <c r="AG134" s="315">
        <f>'DATA (Real)'!AG130</f>
        <v>5.0000000000000002E-5</v>
      </c>
      <c r="AH134" s="315">
        <f>'DATA (Real)'!AH130</f>
        <v>5.0000000000000002E-5</v>
      </c>
      <c r="AI134" s="315">
        <f>'DATA (Real)'!AI130</f>
        <v>5.0000000000000002E-5</v>
      </c>
      <c r="AJ134" s="315">
        <f>'DATA (Real)'!AJ130</f>
        <v>5.0000000000000002E-5</v>
      </c>
      <c r="AK134" s="315">
        <f>'DATA (Real)'!AK130</f>
        <v>5.0000000000000002E-5</v>
      </c>
      <c r="AL134" s="315">
        <f>'DATA (Real)'!AL130</f>
        <v>5.0000000000000002E-5</v>
      </c>
      <c r="AM134" s="315">
        <f>'DATA (Real)'!AM130</f>
        <v>5.0000000000000002E-5</v>
      </c>
      <c r="AN134" s="315">
        <f>'DATA (Real)'!AN130</f>
        <v>5.0000000000000002E-5</v>
      </c>
      <c r="AO134" s="315">
        <f>'DATA (Real)'!AO130</f>
        <v>5.0000000000000002E-5</v>
      </c>
      <c r="AP134" s="315">
        <f>'DATA (Real)'!AP130</f>
        <v>5.0000000000000002E-5</v>
      </c>
      <c r="AQ134" s="315">
        <f>'DATA (Real)'!AQ130</f>
        <v>5.0000000000000002E-5</v>
      </c>
      <c r="AR134" s="315">
        <f>'DATA (Real)'!AR130</f>
        <v>5.0000000000000002E-5</v>
      </c>
      <c r="AS134" s="315">
        <f>'DATA (Real)'!AS130</f>
        <v>5.0000000000000002E-5</v>
      </c>
      <c r="AT134" s="315">
        <f>'DATA (Real)'!AT130</f>
        <v>5.0000000000000002E-5</v>
      </c>
      <c r="AU134" s="315">
        <f>'DATA (Real)'!AU130</f>
        <v>5.0000000000000002E-5</v>
      </c>
      <c r="AV134" s="315">
        <f>'DATA (Real)'!AV130</f>
        <v>5.0000000000000002E-5</v>
      </c>
      <c r="AW134" s="315">
        <f>'DATA (Real)'!AW130</f>
        <v>5.0000000000000002E-5</v>
      </c>
      <c r="AX134" s="315">
        <f>'DATA (Real)'!AX130</f>
        <v>5.0000000000000002E-5</v>
      </c>
      <c r="AY134" s="315">
        <f>'DATA (Real)'!AY130</f>
        <v>5.0000000000000002E-5</v>
      </c>
      <c r="AZ134" s="315">
        <f>'DATA (Real)'!AZ130</f>
        <v>5.0000000000000002E-5</v>
      </c>
      <c r="BA134" s="315">
        <f>'DATA (Real)'!BA130</f>
        <v>5.0000000000000002E-5</v>
      </c>
      <c r="BB134" s="315">
        <f>'DATA (Real)'!BB130</f>
        <v>5.0000000000000002E-5</v>
      </c>
      <c r="BC134" s="315">
        <f>'DATA (Real)'!BC130</f>
        <v>5.0000000000000002E-5</v>
      </c>
      <c r="BD134" s="315">
        <f>'DATA (Real)'!BD130</f>
        <v>5.0000000000000002E-5</v>
      </c>
      <c r="BE134" s="315">
        <f>'DATA (Real)'!BE130</f>
        <v>5.0000000000000002E-5</v>
      </c>
      <c r="BF134" s="315">
        <f>'DATA (Real)'!BF130</f>
        <v>5.0000000000000002E-5</v>
      </c>
      <c r="BG134" s="315">
        <f>'DATA (Real)'!BG130</f>
        <v>5.0000000000000002E-5</v>
      </c>
      <c r="BH134" s="315">
        <f>'DATA (Real)'!BH130</f>
        <v>5.0000000000000002E-5</v>
      </c>
      <c r="BI134" s="315">
        <f>'DATA (Real)'!BI130</f>
        <v>5.0000000000000002E-5</v>
      </c>
      <c r="BJ134" s="315">
        <f>'DATA (Real)'!BJ130</f>
        <v>5.0000000000000002E-5</v>
      </c>
      <c r="BK134" s="315">
        <f>'DATA (Real)'!BK130</f>
        <v>5.0000000000000002E-5</v>
      </c>
      <c r="BL134" s="315">
        <f>'DATA (Real)'!BL130</f>
        <v>5.0000000000000002E-5</v>
      </c>
      <c r="BM134" s="315">
        <f>'DATA (Real)'!BM130</f>
        <v>5.0000000000000002E-5</v>
      </c>
      <c r="BN134" s="315">
        <f>'DATA (Real)'!BN130</f>
        <v>5.0000000000000002E-5</v>
      </c>
      <c r="BO134" s="315">
        <f>'DATA (Real)'!BO130</f>
        <v>5.0000000000000002E-5</v>
      </c>
      <c r="BP134" s="315">
        <f>'DATA (Real)'!BP130</f>
        <v>5.0000000000000002E-5</v>
      </c>
      <c r="BQ134" s="315">
        <f>'DATA (Real)'!BQ130</f>
        <v>5.0000000000000002E-5</v>
      </c>
      <c r="BR134" s="315">
        <f>'DATA (Real)'!BR130</f>
        <v>5.0000000000000002E-5</v>
      </c>
      <c r="BS134" s="315">
        <f>'DATA (Real)'!BS130</f>
        <v>5.0000000000000002E-5</v>
      </c>
      <c r="BT134" s="315">
        <f>'DATA (Real)'!BT130</f>
        <v>5.0000000000000002E-5</v>
      </c>
      <c r="BU134" s="315">
        <f>'DATA (Real)'!BU130</f>
        <v>5.0000000000000002E-5</v>
      </c>
      <c r="BV134" s="315">
        <f>'DATA (Real)'!BV130</f>
        <v>5.0000000000000002E-5</v>
      </c>
      <c r="BW134" s="315">
        <f>'DATA (Real)'!BW130</f>
        <v>5.0000000000000002E-5</v>
      </c>
      <c r="BX134" s="315">
        <f>'DATA (Real)'!BX130</f>
        <v>5.0000000000000002E-5</v>
      </c>
    </row>
    <row r="135" spans="2:76" outlineLevel="1">
      <c r="B135" s="353"/>
      <c r="C135" s="353" t="str">
        <f>'DATA (Real)'!C131</f>
        <v>Natural Gas Price Forecast</v>
      </c>
      <c r="D135" s="353" t="str">
        <f>'DATA (Real)'!D131</f>
        <v>Fuel Costs ($/MMBtu) - Malin</v>
      </c>
      <c r="E135" s="353" t="str">
        <f>'DATA (Real)'!E131</f>
        <v>Reciprocating Engine (ICE) Machine</v>
      </c>
      <c r="F135" s="314"/>
      <c r="G135" s="314"/>
      <c r="H135" s="345">
        <v>8.6651340690161245</v>
      </c>
      <c r="I135" s="345">
        <v>5.7932625553088721</v>
      </c>
      <c r="J135" s="345">
        <v>4.6619995964456233</v>
      </c>
      <c r="K135" s="345">
        <v>4.053820274626232</v>
      </c>
      <c r="L135" s="345">
        <v>3.7212028655076312</v>
      </c>
      <c r="M135" s="345">
        <v>3.5577032154492887</v>
      </c>
      <c r="N135" s="345">
        <v>3.5505212929753056</v>
      </c>
      <c r="O135" s="345">
        <v>3.6313913066521173</v>
      </c>
      <c r="P135" s="345">
        <v>3.7937145301298045</v>
      </c>
      <c r="Q135" s="345">
        <v>3.9621571346526601</v>
      </c>
      <c r="R135" s="345">
        <v>4.0635507079345397</v>
      </c>
      <c r="S135" s="345">
        <v>4.2151238211340631</v>
      </c>
      <c r="T135" s="345">
        <v>4.2645135439713311</v>
      </c>
      <c r="U135" s="345">
        <v>4.3800067704493673</v>
      </c>
      <c r="V135" s="345">
        <v>4.4630113751901623</v>
      </c>
      <c r="W135" s="345">
        <v>4.5608006469741111</v>
      </c>
      <c r="X135" s="345">
        <v>4.6260439788209933</v>
      </c>
      <c r="Y135" s="345">
        <v>4.7728649508196579</v>
      </c>
      <c r="Z135" s="345">
        <v>5.0040130371133849</v>
      </c>
      <c r="AA135" s="345">
        <v>5.121975320713128</v>
      </c>
      <c r="AB135" s="345">
        <v>5.2177781378817576</v>
      </c>
      <c r="AC135" s="345">
        <v>5.4110932579911299</v>
      </c>
      <c r="AD135" s="345">
        <v>5.5243163027503668</v>
      </c>
      <c r="AE135" s="345">
        <v>5.7247170874408759</v>
      </c>
      <c r="AF135" s="345">
        <v>5.9076183601508889</v>
      </c>
      <c r="AG135" s="345">
        <v>6.0383152087560914</v>
      </c>
      <c r="AH135" s="345">
        <v>6.167659962606951</v>
      </c>
      <c r="AI135" s="345">
        <v>6.2867636068077433</v>
      </c>
      <c r="AJ135" s="345">
        <v>6.4266543311619175</v>
      </c>
      <c r="AK135" s="314"/>
      <c r="AL135" s="314"/>
      <c r="AM135" s="314"/>
      <c r="AN135" s="314"/>
      <c r="AO135" s="314"/>
      <c r="AP135" s="314"/>
      <c r="AQ135" s="314"/>
      <c r="AR135" s="314"/>
      <c r="AS135" s="314"/>
      <c r="AT135" s="314"/>
      <c r="AU135" s="314"/>
      <c r="AV135" s="314"/>
      <c r="AW135" s="314"/>
      <c r="AX135" s="314"/>
      <c r="AY135" s="314"/>
      <c r="AZ135" s="314"/>
      <c r="BA135" s="314"/>
      <c r="BB135" s="314"/>
      <c r="BC135" s="314"/>
      <c r="BD135" s="314"/>
      <c r="BE135" s="314"/>
      <c r="BF135" s="314"/>
      <c r="BG135" s="314"/>
      <c r="BH135" s="314"/>
      <c r="BI135" s="314"/>
      <c r="BJ135" s="314"/>
      <c r="BK135" s="314"/>
      <c r="BL135" s="314"/>
      <c r="BM135" s="314"/>
      <c r="BN135" s="314"/>
      <c r="BO135" s="314"/>
      <c r="BP135" s="314"/>
      <c r="BQ135" s="314"/>
      <c r="BR135" s="314"/>
      <c r="BS135" s="314"/>
      <c r="BT135" s="314"/>
      <c r="BU135" s="314"/>
      <c r="BV135" s="314"/>
      <c r="BW135" s="314"/>
      <c r="BX135" s="314"/>
    </row>
    <row r="136" spans="2:76" outlineLevel="1">
      <c r="B136" s="353"/>
      <c r="C136" s="353" t="str">
        <f>'DATA (Real)'!C132</f>
        <v>2021 IRP</v>
      </c>
      <c r="D136" s="353" t="str">
        <f>'DATA (Real)'!D132</f>
        <v>Fuel Costs (%) Variable Charge</v>
      </c>
      <c r="E136" s="353" t="str">
        <f>'DATA (Real)'!E132</f>
        <v>Reciprocating Engine (ICE) Machine</v>
      </c>
      <c r="F136" s="315">
        <f>'DATA (Real)'!F132</f>
        <v>5.0000000000000002E-5</v>
      </c>
      <c r="G136" s="315">
        <f>'DATA (Real)'!G132</f>
        <v>5.0000000000000002E-5</v>
      </c>
      <c r="H136" s="315">
        <f>'DATA (Real)'!H132</f>
        <v>5.0000000000000002E-5</v>
      </c>
      <c r="I136" s="315">
        <f>'DATA (Real)'!I132</f>
        <v>5.0000000000000002E-5</v>
      </c>
      <c r="J136" s="315">
        <f>'DATA (Real)'!J132</f>
        <v>5.0000000000000002E-5</v>
      </c>
      <c r="K136" s="315">
        <f>'DATA (Real)'!K132</f>
        <v>5.0000000000000002E-5</v>
      </c>
      <c r="L136" s="315">
        <f>'DATA (Real)'!L132</f>
        <v>5.0000000000000002E-5</v>
      </c>
      <c r="M136" s="315">
        <f>'DATA (Real)'!M132</f>
        <v>5.0000000000000002E-5</v>
      </c>
      <c r="N136" s="315">
        <f>'DATA (Real)'!N132</f>
        <v>5.0000000000000002E-5</v>
      </c>
      <c r="O136" s="315">
        <f>'DATA (Real)'!O132</f>
        <v>5.0000000000000002E-5</v>
      </c>
      <c r="P136" s="315">
        <f>'DATA (Real)'!P132</f>
        <v>5.0000000000000002E-5</v>
      </c>
      <c r="Q136" s="315">
        <f>'DATA (Real)'!Q132</f>
        <v>5.0000000000000002E-5</v>
      </c>
      <c r="R136" s="315">
        <f>'DATA (Real)'!R132</f>
        <v>5.0000000000000002E-5</v>
      </c>
      <c r="S136" s="315">
        <f>'DATA (Real)'!S132</f>
        <v>5.0000000000000002E-5</v>
      </c>
      <c r="T136" s="315">
        <f>'DATA (Real)'!T132</f>
        <v>5.0000000000000002E-5</v>
      </c>
      <c r="U136" s="315">
        <f>'DATA (Real)'!U132</f>
        <v>5.0000000000000002E-5</v>
      </c>
      <c r="V136" s="315">
        <f>'DATA (Real)'!V132</f>
        <v>5.0000000000000002E-5</v>
      </c>
      <c r="W136" s="315">
        <f>'DATA (Real)'!W132</f>
        <v>5.0000000000000002E-5</v>
      </c>
      <c r="X136" s="315">
        <f>'DATA (Real)'!X132</f>
        <v>5.0000000000000002E-5</v>
      </c>
      <c r="Y136" s="315">
        <f>'DATA (Real)'!Y132</f>
        <v>5.0000000000000002E-5</v>
      </c>
      <c r="Z136" s="315">
        <f>'DATA (Real)'!Z132</f>
        <v>5.0000000000000002E-5</v>
      </c>
      <c r="AA136" s="315">
        <f>'DATA (Real)'!AA132</f>
        <v>5.0000000000000002E-5</v>
      </c>
      <c r="AB136" s="315">
        <f>'DATA (Real)'!AB132</f>
        <v>5.0000000000000002E-5</v>
      </c>
      <c r="AC136" s="315">
        <f>'DATA (Real)'!AC132</f>
        <v>5.0000000000000002E-5</v>
      </c>
      <c r="AD136" s="315">
        <f>'DATA (Real)'!AD132</f>
        <v>5.0000000000000002E-5</v>
      </c>
      <c r="AE136" s="315">
        <f>'DATA (Real)'!AE132</f>
        <v>5.0000000000000002E-5</v>
      </c>
      <c r="AF136" s="315">
        <f>'DATA (Real)'!AF132</f>
        <v>5.0000000000000002E-5</v>
      </c>
      <c r="AG136" s="315">
        <f>'DATA (Real)'!AG132</f>
        <v>5.0000000000000002E-5</v>
      </c>
      <c r="AH136" s="315">
        <f>'DATA (Real)'!AH132</f>
        <v>5.0000000000000002E-5</v>
      </c>
      <c r="AI136" s="315">
        <f>'DATA (Real)'!AI132</f>
        <v>5.0000000000000002E-5</v>
      </c>
      <c r="AJ136" s="315">
        <f>'DATA (Real)'!AJ132</f>
        <v>5.0000000000000002E-5</v>
      </c>
      <c r="AK136" s="315">
        <f>'DATA (Real)'!AK132</f>
        <v>5.0000000000000002E-5</v>
      </c>
      <c r="AL136" s="315">
        <f>'DATA (Real)'!AL132</f>
        <v>5.0000000000000002E-5</v>
      </c>
      <c r="AM136" s="315">
        <f>'DATA (Real)'!AM132</f>
        <v>5.0000000000000002E-5</v>
      </c>
      <c r="AN136" s="315">
        <f>'DATA (Real)'!AN132</f>
        <v>5.0000000000000002E-5</v>
      </c>
      <c r="AO136" s="315">
        <f>'DATA (Real)'!AO132</f>
        <v>5.0000000000000002E-5</v>
      </c>
      <c r="AP136" s="315">
        <f>'DATA (Real)'!AP132</f>
        <v>5.0000000000000002E-5</v>
      </c>
      <c r="AQ136" s="315">
        <f>'DATA (Real)'!AQ132</f>
        <v>5.0000000000000002E-5</v>
      </c>
      <c r="AR136" s="315">
        <f>'DATA (Real)'!AR132</f>
        <v>5.0000000000000002E-5</v>
      </c>
      <c r="AS136" s="315">
        <f>'DATA (Real)'!AS132</f>
        <v>5.0000000000000002E-5</v>
      </c>
      <c r="AT136" s="315">
        <f>'DATA (Real)'!AT132</f>
        <v>5.0000000000000002E-5</v>
      </c>
      <c r="AU136" s="315">
        <f>'DATA (Real)'!AU132</f>
        <v>5.0000000000000002E-5</v>
      </c>
      <c r="AV136" s="315">
        <f>'DATA (Real)'!AV132</f>
        <v>5.0000000000000002E-5</v>
      </c>
      <c r="AW136" s="315">
        <f>'DATA (Real)'!AW132</f>
        <v>5.0000000000000002E-5</v>
      </c>
      <c r="AX136" s="315">
        <f>'DATA (Real)'!AX132</f>
        <v>5.0000000000000002E-5</v>
      </c>
      <c r="AY136" s="315">
        <f>'DATA (Real)'!AY132</f>
        <v>5.0000000000000002E-5</v>
      </c>
      <c r="AZ136" s="315">
        <f>'DATA (Real)'!AZ132</f>
        <v>5.0000000000000002E-5</v>
      </c>
      <c r="BA136" s="315">
        <f>'DATA (Real)'!BA132</f>
        <v>5.0000000000000002E-5</v>
      </c>
      <c r="BB136" s="315">
        <f>'DATA (Real)'!BB132</f>
        <v>5.0000000000000002E-5</v>
      </c>
      <c r="BC136" s="315">
        <f>'DATA (Real)'!BC132</f>
        <v>5.0000000000000002E-5</v>
      </c>
      <c r="BD136" s="315">
        <f>'DATA (Real)'!BD132</f>
        <v>5.0000000000000002E-5</v>
      </c>
      <c r="BE136" s="315">
        <f>'DATA (Real)'!BE132</f>
        <v>5.0000000000000002E-5</v>
      </c>
      <c r="BF136" s="315">
        <f>'DATA (Real)'!BF132</f>
        <v>5.0000000000000002E-5</v>
      </c>
      <c r="BG136" s="315">
        <f>'DATA (Real)'!BG132</f>
        <v>5.0000000000000002E-5</v>
      </c>
      <c r="BH136" s="315">
        <f>'DATA (Real)'!BH132</f>
        <v>5.0000000000000002E-5</v>
      </c>
      <c r="BI136" s="315">
        <f>'DATA (Real)'!BI132</f>
        <v>5.0000000000000002E-5</v>
      </c>
      <c r="BJ136" s="315">
        <f>'DATA (Real)'!BJ132</f>
        <v>5.0000000000000002E-5</v>
      </c>
      <c r="BK136" s="315">
        <f>'DATA (Real)'!BK132</f>
        <v>5.0000000000000002E-5</v>
      </c>
      <c r="BL136" s="315">
        <f>'DATA (Real)'!BL132</f>
        <v>5.0000000000000002E-5</v>
      </c>
      <c r="BM136" s="315">
        <f>'DATA (Real)'!BM132</f>
        <v>5.0000000000000002E-5</v>
      </c>
      <c r="BN136" s="315">
        <f>'DATA (Real)'!BN132</f>
        <v>5.0000000000000002E-5</v>
      </c>
      <c r="BO136" s="315">
        <f>'DATA (Real)'!BO132</f>
        <v>5.0000000000000002E-5</v>
      </c>
      <c r="BP136" s="315">
        <f>'DATA (Real)'!BP132</f>
        <v>5.0000000000000002E-5</v>
      </c>
      <c r="BQ136" s="315">
        <f>'DATA (Real)'!BQ132</f>
        <v>5.0000000000000002E-5</v>
      </c>
      <c r="BR136" s="315">
        <f>'DATA (Real)'!BR132</f>
        <v>5.0000000000000002E-5</v>
      </c>
      <c r="BS136" s="315">
        <f>'DATA (Real)'!BS132</f>
        <v>5.0000000000000002E-5</v>
      </c>
      <c r="BT136" s="315">
        <f>'DATA (Real)'!BT132</f>
        <v>5.0000000000000002E-5</v>
      </c>
      <c r="BU136" s="315">
        <f>'DATA (Real)'!BU132</f>
        <v>5.0000000000000002E-5</v>
      </c>
      <c r="BV136" s="315">
        <f>'DATA (Real)'!BV132</f>
        <v>5.0000000000000002E-5</v>
      </c>
      <c r="BW136" s="315">
        <f>'DATA (Real)'!BW132</f>
        <v>5.0000000000000002E-5</v>
      </c>
      <c r="BX136" s="315">
        <f>'DATA (Real)'!BX132</f>
        <v>5.0000000000000002E-5</v>
      </c>
    </row>
    <row r="137" spans="2:76" outlineLevel="1">
      <c r="B137" s="353"/>
      <c r="C137" s="353" t="str">
        <f>'DATA (Real)'!C133</f>
        <v>Natural Gas Price Forecast</v>
      </c>
      <c r="D137" s="353" t="str">
        <f>'DATA (Real)'!D133</f>
        <v>Fuel Costs ($/MMBtu) - Malin</v>
      </c>
      <c r="E137" s="353" t="str">
        <f>'DATA (Real)'!E133</f>
        <v>NG CCCT (1x1 w/DF)</v>
      </c>
      <c r="F137" s="314"/>
      <c r="G137" s="314"/>
      <c r="H137" s="345">
        <v>8.6651340690161245</v>
      </c>
      <c r="I137" s="345">
        <v>5.7932625553088721</v>
      </c>
      <c r="J137" s="345">
        <v>4.6619995964456233</v>
      </c>
      <c r="K137" s="345">
        <v>4.053820274626232</v>
      </c>
      <c r="L137" s="345">
        <v>3.7212028655076312</v>
      </c>
      <c r="M137" s="345">
        <v>3.5577032154492887</v>
      </c>
      <c r="N137" s="345">
        <v>3.5505212929753056</v>
      </c>
      <c r="O137" s="345">
        <v>3.6313913066521173</v>
      </c>
      <c r="P137" s="345">
        <v>3.7937145301298045</v>
      </c>
      <c r="Q137" s="345">
        <v>3.9621571346526601</v>
      </c>
      <c r="R137" s="345">
        <v>4.0635507079345397</v>
      </c>
      <c r="S137" s="345">
        <v>4.2151238211340631</v>
      </c>
      <c r="T137" s="345">
        <v>4.2645135439713311</v>
      </c>
      <c r="U137" s="345">
        <v>4.3800067704493673</v>
      </c>
      <c r="V137" s="345">
        <v>4.4630113751901623</v>
      </c>
      <c r="W137" s="345">
        <v>4.5608006469741111</v>
      </c>
      <c r="X137" s="345">
        <v>4.6260439788209933</v>
      </c>
      <c r="Y137" s="345">
        <v>4.7728649508196579</v>
      </c>
      <c r="Z137" s="345">
        <v>5.0040130371133849</v>
      </c>
      <c r="AA137" s="345">
        <v>5.121975320713128</v>
      </c>
      <c r="AB137" s="345">
        <v>5.2177781378817576</v>
      </c>
      <c r="AC137" s="345">
        <v>5.4110932579911299</v>
      </c>
      <c r="AD137" s="345">
        <v>5.5243163027503668</v>
      </c>
      <c r="AE137" s="345">
        <v>5.7247170874408759</v>
      </c>
      <c r="AF137" s="345">
        <v>5.9076183601508889</v>
      </c>
      <c r="AG137" s="345">
        <v>6.0383152087560914</v>
      </c>
      <c r="AH137" s="345">
        <v>6.167659962606951</v>
      </c>
      <c r="AI137" s="345">
        <v>6.2867636068077433</v>
      </c>
      <c r="AJ137" s="345">
        <v>6.4266543311619175</v>
      </c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4"/>
      <c r="AZ137" s="314"/>
      <c r="BA137" s="314"/>
      <c r="BB137" s="314"/>
      <c r="BC137" s="314"/>
      <c r="BD137" s="314"/>
      <c r="BE137" s="314"/>
      <c r="BF137" s="314"/>
      <c r="BG137" s="314"/>
      <c r="BH137" s="314"/>
      <c r="BI137" s="314"/>
      <c r="BJ137" s="314"/>
      <c r="BK137" s="314"/>
      <c r="BL137" s="314"/>
      <c r="BM137" s="314"/>
      <c r="BN137" s="314"/>
      <c r="BO137" s="314"/>
      <c r="BP137" s="314"/>
      <c r="BQ137" s="314"/>
      <c r="BR137" s="314"/>
      <c r="BS137" s="314"/>
      <c r="BT137" s="314"/>
      <c r="BU137" s="314"/>
      <c r="BV137" s="314"/>
      <c r="BW137" s="314"/>
      <c r="BX137" s="314"/>
    </row>
    <row r="138" spans="2:76" outlineLevel="1">
      <c r="B138" s="353"/>
      <c r="C138" s="353" t="str">
        <f>'DATA (Real)'!C134</f>
        <v>2021 IRP</v>
      </c>
      <c r="D138" s="353" t="str">
        <f>'DATA (Real)'!D134</f>
        <v>Fuel Costs (%) Variable Charge</v>
      </c>
      <c r="E138" s="353" t="str">
        <f>'DATA (Real)'!E134</f>
        <v>NG CCCT (1x1 w/DF)</v>
      </c>
      <c r="F138" s="315">
        <f>'DATA (Real)'!F134</f>
        <v>5.0000000000000002E-5</v>
      </c>
      <c r="G138" s="315">
        <f>'DATA (Real)'!G134</f>
        <v>5.0000000000000002E-5</v>
      </c>
      <c r="H138" s="315">
        <f>'DATA (Real)'!H134</f>
        <v>5.0000000000000002E-5</v>
      </c>
      <c r="I138" s="315">
        <f>'DATA (Real)'!I134</f>
        <v>5.0000000000000002E-5</v>
      </c>
      <c r="J138" s="315">
        <f>'DATA (Real)'!J134</f>
        <v>5.0000000000000002E-5</v>
      </c>
      <c r="K138" s="315">
        <f>'DATA (Real)'!K134</f>
        <v>5.0000000000000002E-5</v>
      </c>
      <c r="L138" s="315">
        <f>'DATA (Real)'!L134</f>
        <v>5.0000000000000002E-5</v>
      </c>
      <c r="M138" s="315">
        <f>'DATA (Real)'!M134</f>
        <v>5.0000000000000002E-5</v>
      </c>
      <c r="N138" s="315">
        <f>'DATA (Real)'!N134</f>
        <v>5.0000000000000002E-5</v>
      </c>
      <c r="O138" s="315">
        <f>'DATA (Real)'!O134</f>
        <v>5.0000000000000002E-5</v>
      </c>
      <c r="P138" s="315">
        <f>'DATA (Real)'!P134</f>
        <v>5.0000000000000002E-5</v>
      </c>
      <c r="Q138" s="315">
        <f>'DATA (Real)'!Q134</f>
        <v>5.0000000000000002E-5</v>
      </c>
      <c r="R138" s="315">
        <f>'DATA (Real)'!R134</f>
        <v>5.0000000000000002E-5</v>
      </c>
      <c r="S138" s="315">
        <f>'DATA (Real)'!S134</f>
        <v>5.0000000000000002E-5</v>
      </c>
      <c r="T138" s="315">
        <f>'DATA (Real)'!T134</f>
        <v>5.0000000000000002E-5</v>
      </c>
      <c r="U138" s="315">
        <f>'DATA (Real)'!U134</f>
        <v>5.0000000000000002E-5</v>
      </c>
      <c r="V138" s="315">
        <f>'DATA (Real)'!V134</f>
        <v>5.0000000000000002E-5</v>
      </c>
      <c r="W138" s="315">
        <f>'DATA (Real)'!W134</f>
        <v>5.0000000000000002E-5</v>
      </c>
      <c r="X138" s="315">
        <f>'DATA (Real)'!X134</f>
        <v>5.0000000000000002E-5</v>
      </c>
      <c r="Y138" s="315">
        <f>'DATA (Real)'!Y134</f>
        <v>5.0000000000000002E-5</v>
      </c>
      <c r="Z138" s="315">
        <f>'DATA (Real)'!Z134</f>
        <v>5.0000000000000002E-5</v>
      </c>
      <c r="AA138" s="315">
        <f>'DATA (Real)'!AA134</f>
        <v>5.0000000000000002E-5</v>
      </c>
      <c r="AB138" s="315">
        <f>'DATA (Real)'!AB134</f>
        <v>5.0000000000000002E-5</v>
      </c>
      <c r="AC138" s="315">
        <f>'DATA (Real)'!AC134</f>
        <v>5.0000000000000002E-5</v>
      </c>
      <c r="AD138" s="315">
        <f>'DATA (Real)'!AD134</f>
        <v>5.0000000000000002E-5</v>
      </c>
      <c r="AE138" s="315">
        <f>'DATA (Real)'!AE134</f>
        <v>5.0000000000000002E-5</v>
      </c>
      <c r="AF138" s="315">
        <f>'DATA (Real)'!AF134</f>
        <v>5.0000000000000002E-5</v>
      </c>
      <c r="AG138" s="315">
        <f>'DATA (Real)'!AG134</f>
        <v>5.0000000000000002E-5</v>
      </c>
      <c r="AH138" s="315">
        <f>'DATA (Real)'!AH134</f>
        <v>5.0000000000000002E-5</v>
      </c>
      <c r="AI138" s="315">
        <f>'DATA (Real)'!AI134</f>
        <v>5.0000000000000002E-5</v>
      </c>
      <c r="AJ138" s="315">
        <f>'DATA (Real)'!AJ134</f>
        <v>5.0000000000000002E-5</v>
      </c>
      <c r="AK138" s="315">
        <f>'DATA (Real)'!AK134</f>
        <v>5.0000000000000002E-5</v>
      </c>
      <c r="AL138" s="315">
        <f>'DATA (Real)'!AL134</f>
        <v>5.0000000000000002E-5</v>
      </c>
      <c r="AM138" s="315">
        <f>'DATA (Real)'!AM134</f>
        <v>5.0000000000000002E-5</v>
      </c>
      <c r="AN138" s="315">
        <f>'DATA (Real)'!AN134</f>
        <v>5.0000000000000002E-5</v>
      </c>
      <c r="AO138" s="315">
        <f>'DATA (Real)'!AO134</f>
        <v>5.0000000000000002E-5</v>
      </c>
      <c r="AP138" s="315">
        <f>'DATA (Real)'!AP134</f>
        <v>5.0000000000000002E-5</v>
      </c>
      <c r="AQ138" s="315">
        <f>'DATA (Real)'!AQ134</f>
        <v>5.0000000000000002E-5</v>
      </c>
      <c r="AR138" s="315">
        <f>'DATA (Real)'!AR134</f>
        <v>5.0000000000000002E-5</v>
      </c>
      <c r="AS138" s="315">
        <f>'DATA (Real)'!AS134</f>
        <v>5.0000000000000002E-5</v>
      </c>
      <c r="AT138" s="315">
        <f>'DATA (Real)'!AT134</f>
        <v>5.0000000000000002E-5</v>
      </c>
      <c r="AU138" s="315">
        <f>'DATA (Real)'!AU134</f>
        <v>5.0000000000000002E-5</v>
      </c>
      <c r="AV138" s="315">
        <f>'DATA (Real)'!AV134</f>
        <v>5.0000000000000002E-5</v>
      </c>
      <c r="AW138" s="315">
        <f>'DATA (Real)'!AW134</f>
        <v>5.0000000000000002E-5</v>
      </c>
      <c r="AX138" s="315">
        <f>'DATA (Real)'!AX134</f>
        <v>5.0000000000000002E-5</v>
      </c>
      <c r="AY138" s="315">
        <f>'DATA (Real)'!AY134</f>
        <v>5.0000000000000002E-5</v>
      </c>
      <c r="AZ138" s="315">
        <f>'DATA (Real)'!AZ134</f>
        <v>5.0000000000000002E-5</v>
      </c>
      <c r="BA138" s="315">
        <f>'DATA (Real)'!BA134</f>
        <v>5.0000000000000002E-5</v>
      </c>
      <c r="BB138" s="315">
        <f>'DATA (Real)'!BB134</f>
        <v>5.0000000000000002E-5</v>
      </c>
      <c r="BC138" s="315">
        <f>'DATA (Real)'!BC134</f>
        <v>5.0000000000000002E-5</v>
      </c>
      <c r="BD138" s="315">
        <f>'DATA (Real)'!BD134</f>
        <v>5.0000000000000002E-5</v>
      </c>
      <c r="BE138" s="315">
        <f>'DATA (Real)'!BE134</f>
        <v>5.0000000000000002E-5</v>
      </c>
      <c r="BF138" s="315">
        <f>'DATA (Real)'!BF134</f>
        <v>5.0000000000000002E-5</v>
      </c>
      <c r="BG138" s="315">
        <f>'DATA (Real)'!BG134</f>
        <v>5.0000000000000002E-5</v>
      </c>
      <c r="BH138" s="315">
        <f>'DATA (Real)'!BH134</f>
        <v>5.0000000000000002E-5</v>
      </c>
      <c r="BI138" s="315">
        <f>'DATA (Real)'!BI134</f>
        <v>5.0000000000000002E-5</v>
      </c>
      <c r="BJ138" s="315">
        <f>'DATA (Real)'!BJ134</f>
        <v>5.0000000000000002E-5</v>
      </c>
      <c r="BK138" s="315">
        <f>'DATA (Real)'!BK134</f>
        <v>5.0000000000000002E-5</v>
      </c>
      <c r="BL138" s="315">
        <f>'DATA (Real)'!BL134</f>
        <v>5.0000000000000002E-5</v>
      </c>
      <c r="BM138" s="315">
        <f>'DATA (Real)'!BM134</f>
        <v>5.0000000000000002E-5</v>
      </c>
      <c r="BN138" s="315">
        <f>'DATA (Real)'!BN134</f>
        <v>5.0000000000000002E-5</v>
      </c>
      <c r="BO138" s="315">
        <f>'DATA (Real)'!BO134</f>
        <v>5.0000000000000002E-5</v>
      </c>
      <c r="BP138" s="315">
        <f>'DATA (Real)'!BP134</f>
        <v>5.0000000000000002E-5</v>
      </c>
      <c r="BQ138" s="315">
        <f>'DATA (Real)'!BQ134</f>
        <v>5.0000000000000002E-5</v>
      </c>
      <c r="BR138" s="315">
        <f>'DATA (Real)'!BR134</f>
        <v>5.0000000000000002E-5</v>
      </c>
      <c r="BS138" s="315">
        <f>'DATA (Real)'!BS134</f>
        <v>5.0000000000000002E-5</v>
      </c>
      <c r="BT138" s="315">
        <f>'DATA (Real)'!BT134</f>
        <v>5.0000000000000002E-5</v>
      </c>
      <c r="BU138" s="315">
        <f>'DATA (Real)'!BU134</f>
        <v>5.0000000000000002E-5</v>
      </c>
      <c r="BV138" s="315">
        <f>'DATA (Real)'!BV134</f>
        <v>5.0000000000000002E-5</v>
      </c>
      <c r="BW138" s="315">
        <f>'DATA (Real)'!BW134</f>
        <v>5.0000000000000002E-5</v>
      </c>
      <c r="BX138" s="315">
        <f>'DATA (Real)'!BX134</f>
        <v>5.0000000000000002E-5</v>
      </c>
    </row>
    <row r="139" spans="2:76" outlineLevel="1">
      <c r="B139" s="353"/>
      <c r="C139" s="353" t="str">
        <f>'DATA (Real)'!C135</f>
        <v>Hydrogen-Ammonia Pricing workbook</v>
      </c>
      <c r="D139" s="353" t="str">
        <f>'DATA (Real)'!D135</f>
        <v>Fuel Costs ($/MMBtu) - Renewable Hydrogen</v>
      </c>
      <c r="E139" s="353" t="str">
        <f>'DATA (Real)'!E135</f>
        <v xml:space="preserve">Hydrogen Fuel Cell with 40 hrs Storage </v>
      </c>
      <c r="F139" s="314"/>
      <c r="G139" s="314"/>
      <c r="H139" s="314"/>
      <c r="I139" s="345">
        <v>38.629866574617111</v>
      </c>
      <c r="J139" s="345">
        <v>37.207739072225905</v>
      </c>
      <c r="K139" s="345">
        <v>35.411889976253249</v>
      </c>
      <c r="L139" s="345">
        <v>33.526839903554965</v>
      </c>
      <c r="M139" s="345">
        <v>31.567265549276353</v>
      </c>
      <c r="N139" s="345">
        <v>29.52823608132757</v>
      </c>
      <c r="O139" s="345">
        <v>27.404034621548995</v>
      </c>
      <c r="P139" s="345">
        <v>25.192300902317147</v>
      </c>
      <c r="Q139" s="345">
        <v>22.875822677512499</v>
      </c>
      <c r="R139" s="345">
        <v>20.434553692429265</v>
      </c>
      <c r="S139" s="345">
        <v>19.999582687695902</v>
      </c>
      <c r="T139" s="345">
        <v>19.535582634767142</v>
      </c>
      <c r="U139" s="345">
        <v>19.041486781488668</v>
      </c>
      <c r="V139" s="345">
        <v>18.516195488670711</v>
      </c>
      <c r="W139" s="345">
        <v>17.958575299366533</v>
      </c>
      <c r="X139" s="345">
        <v>17.367457983116445</v>
      </c>
      <c r="Y139" s="345">
        <v>16.741639554506467</v>
      </c>
      <c r="Z139" s="345">
        <v>16.079879265373815</v>
      </c>
      <c r="AA139" s="345">
        <v>15.380898569974947</v>
      </c>
      <c r="AB139" s="345">
        <v>14.64338006241409</v>
      </c>
      <c r="AC139" s="345">
        <v>13.865966385612685</v>
      </c>
      <c r="AD139" s="345">
        <v>13.047259111081807</v>
      </c>
      <c r="AE139" s="345">
        <v>12.185817588740919</v>
      </c>
      <c r="AF139" s="345">
        <v>12.45390557569322</v>
      </c>
      <c r="AG139" s="345">
        <v>12.727891498358471</v>
      </c>
      <c r="AH139" s="345">
        <v>13.007905111322357</v>
      </c>
      <c r="AI139" s="345">
        <v>13.294079023771449</v>
      </c>
      <c r="AJ139" s="345">
        <v>13.58654876229442</v>
      </c>
      <c r="AK139" s="314">
        <f>$AJ139/$AI139*AJ139</f>
        <v>13.885452835064898</v>
      </c>
      <c r="AL139" s="314">
        <f t="shared" ref="AL139:BX139" si="13">$AJ139/$AI139*AK139</f>
        <v>14.190932797436327</v>
      </c>
      <c r="AM139" s="314">
        <f t="shared" si="13"/>
        <v>14.503133318979927</v>
      </c>
      <c r="AN139" s="314">
        <f t="shared" si="13"/>
        <v>14.822202251997485</v>
      </c>
      <c r="AO139" s="314">
        <f t="shared" si="13"/>
        <v>15.148290701541431</v>
      </c>
      <c r="AP139" s="314">
        <f t="shared" si="13"/>
        <v>15.481553096975341</v>
      </c>
      <c r="AQ139" s="314">
        <f t="shared" si="13"/>
        <v>15.8221472651088</v>
      </c>
      <c r="AR139" s="314">
        <f t="shared" si="13"/>
        <v>16.170234504941195</v>
      </c>
      <c r="AS139" s="314">
        <f t="shared" si="13"/>
        <v>16.525979664049903</v>
      </c>
      <c r="AT139" s="314">
        <f t="shared" si="13"/>
        <v>16.889551216659001</v>
      </c>
      <c r="AU139" s="314">
        <f t="shared" si="13"/>
        <v>17.261121343425501</v>
      </c>
      <c r="AV139" s="314">
        <f t="shared" si="13"/>
        <v>17.640866012980862</v>
      </c>
      <c r="AW139" s="314">
        <f t="shared" si="13"/>
        <v>18.028965065266441</v>
      </c>
      <c r="AX139" s="314">
        <f t="shared" si="13"/>
        <v>18.425602296702301</v>
      </c>
      <c r="AY139" s="314">
        <f t="shared" si="13"/>
        <v>18.830965547229752</v>
      </c>
      <c r="AZ139" s="314">
        <f t="shared" si="13"/>
        <v>19.245246789268808</v>
      </c>
      <c r="BA139" s="314">
        <f t="shared" si="13"/>
        <v>19.668642218632723</v>
      </c>
      <c r="BB139" s="314">
        <f t="shared" si="13"/>
        <v>20.101352347442642</v>
      </c>
      <c r="BC139" s="314">
        <f t="shared" si="13"/>
        <v>20.543582099086379</v>
      </c>
      <c r="BD139" s="314">
        <f t="shared" si="13"/>
        <v>20.995540905266278</v>
      </c>
      <c r="BE139" s="314">
        <f t="shared" si="13"/>
        <v>21.457442805182136</v>
      </c>
      <c r="BF139" s="314">
        <f t="shared" si="13"/>
        <v>21.929506546896143</v>
      </c>
      <c r="BG139" s="314">
        <f t="shared" si="13"/>
        <v>22.411955690927858</v>
      </c>
      <c r="BH139" s="314">
        <f t="shared" si="13"/>
        <v>22.905018716128271</v>
      </c>
      <c r="BI139" s="314">
        <f t="shared" si="13"/>
        <v>23.408929127883095</v>
      </c>
      <c r="BJ139" s="314">
        <f t="shared" si="13"/>
        <v>23.923925568696525</v>
      </c>
      <c r="BK139" s="314">
        <f t="shared" si="13"/>
        <v>24.450251931207848</v>
      </c>
      <c r="BL139" s="314">
        <f t="shared" si="13"/>
        <v>24.988157473694422</v>
      </c>
      <c r="BM139" s="314">
        <f t="shared" si="13"/>
        <v>25.537896938115701</v>
      </c>
      <c r="BN139" s="314">
        <f t="shared" si="13"/>
        <v>26.099730670754248</v>
      </c>
      <c r="BO139" s="314">
        <f t="shared" si="13"/>
        <v>26.673924745510842</v>
      </c>
      <c r="BP139" s="314">
        <f t="shared" si="13"/>
        <v>27.26075108991208</v>
      </c>
      <c r="BQ139" s="314">
        <f t="shared" si="13"/>
        <v>27.860487613890147</v>
      </c>
      <c r="BR139" s="314">
        <f t="shared" si="13"/>
        <v>28.473418341395732</v>
      </c>
      <c r="BS139" s="314">
        <f t="shared" si="13"/>
        <v>29.099833544906438</v>
      </c>
      <c r="BT139" s="314">
        <f t="shared" si="13"/>
        <v>29.74002988289438</v>
      </c>
      <c r="BU139" s="314">
        <f t="shared" si="13"/>
        <v>30.394310540318056</v>
      </c>
      <c r="BV139" s="314">
        <f t="shared" si="13"/>
        <v>31.062985372205056</v>
      </c>
      <c r="BW139" s="314">
        <f t="shared" si="13"/>
        <v>31.746371050393567</v>
      </c>
      <c r="BX139" s="314">
        <f t="shared" si="13"/>
        <v>32.444791213502228</v>
      </c>
    </row>
    <row r="140" spans="2:76" outlineLevel="1">
      <c r="B140" s="353"/>
      <c r="C140" s="353" t="str">
        <f>'DATA (Real)'!C136</f>
        <v>James and Tom</v>
      </c>
      <c r="D140" s="353" t="str">
        <f>'DATA (Real)'!D136</f>
        <v>Fuel Costs ($/MMBtu) - Amonia</v>
      </c>
      <c r="E140" s="353" t="str">
        <f>'DATA (Real)'!E136</f>
        <v>7F.04 CT Frame Greenfield + amonia + storage</v>
      </c>
      <c r="F140" s="314"/>
      <c r="G140" s="314"/>
      <c r="H140" s="314"/>
      <c r="I140" s="345">
        <v>39.679006133681327</v>
      </c>
      <c r="J140" s="345">
        <v>38.214913469462104</v>
      </c>
      <c r="K140" s="345">
        <v>36.376344749044947</v>
      </c>
      <c r="L140" s="345">
        <v>34.451729925676943</v>
      </c>
      <c r="M140" s="345">
        <v>32.456147479100828</v>
      </c>
      <c r="N140" s="345">
        <v>30.384857393075347</v>
      </c>
      <c r="O140" s="345">
        <v>28.232347986644189</v>
      </c>
      <c r="P140" s="345">
        <v>25.996506134778656</v>
      </c>
      <c r="Q140" s="345">
        <v>23.660306108245265</v>
      </c>
      <c r="R140" s="345">
        <v>21.203946585964527</v>
      </c>
      <c r="S140" s="345">
        <v>20.764638543492012</v>
      </c>
      <c r="T140" s="345">
        <v>20.297578757980069</v>
      </c>
      <c r="U140" s="345">
        <v>19.801796487022742</v>
      </c>
      <c r="V140" s="345">
        <v>19.27629247964984</v>
      </c>
      <c r="W140" s="345">
        <v>18.720038207597906</v>
      </c>
      <c r="X140" s="345">
        <v>18.131975076878678</v>
      </c>
      <c r="Y140" s="345">
        <v>17.511013619156923</v>
      </c>
      <c r="Z140" s="345">
        <v>16.856032662437471</v>
      </c>
      <c r="AA140" s="345">
        <v>16.165878480549448</v>
      </c>
      <c r="AB140" s="345">
        <v>15.439363920903112</v>
      </c>
      <c r="AC140" s="345">
        <v>14.675267509982145</v>
      </c>
      <c r="AD140" s="345">
        <v>13.872332536021263</v>
      </c>
      <c r="AE140" s="345">
        <v>13.029266108305659</v>
      </c>
      <c r="AF140" s="345">
        <v>13.315909962688384</v>
      </c>
      <c r="AG140" s="345">
        <v>13.608859981867528</v>
      </c>
      <c r="AH140" s="345">
        <v>13.908254901468615</v>
      </c>
      <c r="AI140" s="345">
        <v>14.214236509300925</v>
      </c>
      <c r="AJ140" s="345">
        <v>14.526949712505544</v>
      </c>
      <c r="AK140" s="314">
        <f t="shared" ref="AK140:BX140" si="14">$AJ140/$AI140*AJ140</f>
        <v>14.846542606180666</v>
      </c>
      <c r="AL140" s="314">
        <f t="shared" si="14"/>
        <v>15.173166543516642</v>
      </c>
      <c r="AM140" s="314">
        <f t="shared" si="14"/>
        <v>15.506976207474008</v>
      </c>
      <c r="AN140" s="314">
        <f t="shared" si="14"/>
        <v>15.848129684038437</v>
      </c>
      <c r="AO140" s="314">
        <f t="shared" si="14"/>
        <v>16.196788537087283</v>
      </c>
      <c r="AP140" s="314">
        <f t="shared" si="14"/>
        <v>16.553117884903202</v>
      </c>
      <c r="AQ140" s="314">
        <f t="shared" si="14"/>
        <v>16.917286478371071</v>
      </c>
      <c r="AR140" s="314">
        <f t="shared" si="14"/>
        <v>17.289466780895236</v>
      </c>
      <c r="AS140" s="314">
        <f t="shared" si="14"/>
        <v>17.66983505007493</v>
      </c>
      <c r="AT140" s="314">
        <f t="shared" si="14"/>
        <v>18.05857142117658</v>
      </c>
      <c r="AU140" s="314">
        <f t="shared" si="14"/>
        <v>18.455859992442466</v>
      </c>
      <c r="AV140" s="314">
        <f t="shared" si="14"/>
        <v>18.8618889122762</v>
      </c>
      <c r="AW140" s="314">
        <f t="shared" si="14"/>
        <v>19.276850468346275</v>
      </c>
      <c r="AX140" s="314">
        <f t="shared" si="14"/>
        <v>19.700941178649895</v>
      </c>
      <c r="AY140" s="314">
        <f t="shared" si="14"/>
        <v>20.134361884580194</v>
      </c>
      <c r="AZ140" s="314">
        <f t="shared" si="14"/>
        <v>20.577317846040959</v>
      </c>
      <c r="BA140" s="314">
        <f t="shared" si="14"/>
        <v>21.030018838653859</v>
      </c>
      <c r="BB140" s="314">
        <f t="shared" si="14"/>
        <v>21.492679253104246</v>
      </c>
      <c r="BC140" s="314">
        <f t="shared" si="14"/>
        <v>21.965518196672541</v>
      </c>
      <c r="BD140" s="314">
        <f t="shared" si="14"/>
        <v>22.448759596999338</v>
      </c>
      <c r="BE140" s="314">
        <f t="shared" si="14"/>
        <v>22.942632308133323</v>
      </c>
      <c r="BF140" s="314">
        <f t="shared" si="14"/>
        <v>23.447370218912255</v>
      </c>
      <c r="BG140" s="314">
        <f t="shared" si="14"/>
        <v>23.963212363728324</v>
      </c>
      <c r="BH140" s="314">
        <f t="shared" si="14"/>
        <v>24.490403035730349</v>
      </c>
      <c r="BI140" s="314">
        <f t="shared" si="14"/>
        <v>25.029191902516416</v>
      </c>
      <c r="BJ140" s="314">
        <f t="shared" si="14"/>
        <v>25.579834124371779</v>
      </c>
      <c r="BK140" s="314">
        <f t="shared" si="14"/>
        <v>26.142590475107959</v>
      </c>
      <c r="BL140" s="314">
        <f t="shared" si="14"/>
        <v>26.717727465560333</v>
      </c>
      <c r="BM140" s="314">
        <f t="shared" si="14"/>
        <v>27.305517469802663</v>
      </c>
      <c r="BN140" s="314">
        <f t="shared" si="14"/>
        <v>27.906238854138323</v>
      </c>
      <c r="BO140" s="314">
        <f t="shared" si="14"/>
        <v>28.520176108929366</v>
      </c>
      <c r="BP140" s="314">
        <f t="shared" si="14"/>
        <v>29.147619983325814</v>
      </c>
      <c r="BQ140" s="314">
        <f t="shared" si="14"/>
        <v>29.788867622958982</v>
      </c>
      <c r="BR140" s="314">
        <f t="shared" si="14"/>
        <v>30.444222710664079</v>
      </c>
      <c r="BS140" s="314">
        <f t="shared" si="14"/>
        <v>31.113995610298687</v>
      </c>
      <c r="BT140" s="314">
        <f t="shared" si="14"/>
        <v>31.798503513725258</v>
      </c>
      <c r="BU140" s="314">
        <f t="shared" si="14"/>
        <v>32.498070591027215</v>
      </c>
      <c r="BV140" s="314">
        <f t="shared" si="14"/>
        <v>33.213028144029813</v>
      </c>
      <c r="BW140" s="314">
        <f t="shared" si="14"/>
        <v>33.943714763198471</v>
      </c>
      <c r="BX140" s="314">
        <f t="shared" si="14"/>
        <v>34.690476487988839</v>
      </c>
    </row>
    <row r="141" spans="2:76" outlineLevel="1">
      <c r="B141" s="349" t="s">
        <v>243</v>
      </c>
      <c r="C141" s="349" t="str">
        <f>'DATA (Real)'!C137</f>
        <v>2021 IRP</v>
      </c>
      <c r="D141" s="349" t="str">
        <f>'DATA (Real)'!D137</f>
        <v>Fuel Costs ($/MMBtu) - Incremental Hog Fuel</v>
      </c>
      <c r="E141" s="349" t="str">
        <f>'DATA (Real)'!E137</f>
        <v>Wood Biomass</v>
      </c>
      <c r="F141" s="314"/>
      <c r="G141" s="314"/>
      <c r="H141" s="314"/>
      <c r="I141" s="345">
        <v>2.0019999999999998</v>
      </c>
      <c r="J141" s="345">
        <v>2.052</v>
      </c>
      <c r="K141" s="345">
        <v>2.1040000000000001</v>
      </c>
      <c r="L141" s="345">
        <v>2.1560000000000001</v>
      </c>
      <c r="M141" s="345">
        <v>2.21</v>
      </c>
      <c r="N141" s="345">
        <v>2.2650000000000001</v>
      </c>
      <c r="O141" s="345">
        <v>2.3220000000000001</v>
      </c>
      <c r="P141" s="345">
        <v>2.38</v>
      </c>
      <c r="Q141" s="345">
        <v>2.44</v>
      </c>
      <c r="R141" s="345">
        <v>2.5009999999999999</v>
      </c>
      <c r="S141" s="345">
        <v>2.5630000000000002</v>
      </c>
      <c r="T141" s="345">
        <v>2.6269999999999998</v>
      </c>
      <c r="U141" s="345">
        <v>2.6930000000000001</v>
      </c>
      <c r="V141" s="345">
        <v>2.76</v>
      </c>
      <c r="W141" s="345">
        <v>2.8290000000000002</v>
      </c>
      <c r="X141" s="345">
        <v>2.9</v>
      </c>
      <c r="Y141" s="345">
        <v>2.972</v>
      </c>
      <c r="Z141" s="345">
        <v>3.0470000000000002</v>
      </c>
      <c r="AA141" s="345">
        <v>3.1230000000000002</v>
      </c>
      <c r="AB141" s="345">
        <v>3.2010000000000001</v>
      </c>
      <c r="AC141" s="345">
        <v>3.2810000000000001</v>
      </c>
      <c r="AD141" s="345">
        <v>3.363</v>
      </c>
      <c r="AE141" s="345">
        <v>3.4470000000000001</v>
      </c>
      <c r="AF141" s="345">
        <f t="shared" ref="AF141:BV141" si="15">AE141*(1+0.025)</f>
        <v>3.533175</v>
      </c>
      <c r="AG141" s="345">
        <f t="shared" si="15"/>
        <v>3.6215043749999998</v>
      </c>
      <c r="AH141" s="345">
        <f t="shared" si="15"/>
        <v>3.7120419843749994</v>
      </c>
      <c r="AI141" s="345">
        <f t="shared" si="15"/>
        <v>3.804843033984374</v>
      </c>
      <c r="AJ141" s="345">
        <f t="shared" si="15"/>
        <v>3.899964109833983</v>
      </c>
      <c r="AK141" s="345">
        <f t="shared" si="15"/>
        <v>3.9974632125798322</v>
      </c>
      <c r="AL141" s="345">
        <f t="shared" si="15"/>
        <v>4.0973997928943273</v>
      </c>
      <c r="AM141" s="345">
        <f t="shared" si="15"/>
        <v>4.1998347877166848</v>
      </c>
      <c r="AN141" s="345">
        <f t="shared" si="15"/>
        <v>4.3048306574096014</v>
      </c>
      <c r="AO141" s="345">
        <f t="shared" si="15"/>
        <v>4.4124514238448409</v>
      </c>
      <c r="AP141" s="345">
        <f t="shared" si="15"/>
        <v>4.5227627094409613</v>
      </c>
      <c r="AQ141" s="345">
        <f t="shared" si="15"/>
        <v>4.6358317771769846</v>
      </c>
      <c r="AR141" s="345">
        <f t="shared" si="15"/>
        <v>4.7517275716064091</v>
      </c>
      <c r="AS141" s="345">
        <f t="shared" si="15"/>
        <v>4.8705207608965688</v>
      </c>
      <c r="AT141" s="345">
        <f t="shared" si="15"/>
        <v>4.9922837799189823</v>
      </c>
      <c r="AU141" s="345">
        <f t="shared" si="15"/>
        <v>5.1170908744169568</v>
      </c>
      <c r="AV141" s="345">
        <f t="shared" si="15"/>
        <v>5.2450181462773804</v>
      </c>
      <c r="AW141" s="345">
        <f t="shared" si="15"/>
        <v>5.3761435999343146</v>
      </c>
      <c r="AX141" s="345">
        <f t="shared" si="15"/>
        <v>5.5105471899326721</v>
      </c>
      <c r="AY141" s="345">
        <f t="shared" si="15"/>
        <v>5.6483108696809881</v>
      </c>
      <c r="AZ141" s="345">
        <f t="shared" si="15"/>
        <v>5.7895186414230126</v>
      </c>
      <c r="BA141" s="345">
        <f t="shared" si="15"/>
        <v>5.9342566074585879</v>
      </c>
      <c r="BB141" s="345">
        <f t="shared" si="15"/>
        <v>6.0826130226450523</v>
      </c>
      <c r="BC141" s="345">
        <f t="shared" si="15"/>
        <v>6.2346783482111778</v>
      </c>
      <c r="BD141" s="345">
        <f t="shared" si="15"/>
        <v>6.3905453069164571</v>
      </c>
      <c r="BE141" s="345">
        <f t="shared" si="15"/>
        <v>6.5503089395893683</v>
      </c>
      <c r="BF141" s="345">
        <f t="shared" si="15"/>
        <v>6.7140666630791017</v>
      </c>
      <c r="BG141" s="345">
        <f t="shared" si="15"/>
        <v>6.8819183296560791</v>
      </c>
      <c r="BH141" s="345">
        <f t="shared" si="15"/>
        <v>7.05396628789748</v>
      </c>
      <c r="BI141" s="345">
        <f t="shared" si="15"/>
        <v>7.2303154450949165</v>
      </c>
      <c r="BJ141" s="345">
        <f t="shared" si="15"/>
        <v>7.4110733312222887</v>
      </c>
      <c r="BK141" s="345">
        <f t="shared" si="15"/>
        <v>7.5963501645028453</v>
      </c>
      <c r="BL141" s="345">
        <f t="shared" si="15"/>
        <v>7.7862589186154159</v>
      </c>
      <c r="BM141" s="345">
        <f t="shared" si="15"/>
        <v>7.9809153915808002</v>
      </c>
      <c r="BN141" s="345">
        <f t="shared" si="15"/>
        <v>8.1804382763703192</v>
      </c>
      <c r="BO141" s="345">
        <f t="shared" si="15"/>
        <v>8.3849492332795759</v>
      </c>
      <c r="BP141" s="345">
        <f t="shared" si="15"/>
        <v>8.5945729641115651</v>
      </c>
      <c r="BQ141" s="345">
        <f t="shared" si="15"/>
        <v>8.8094372882143528</v>
      </c>
      <c r="BR141" s="345">
        <f t="shared" si="15"/>
        <v>9.0296732204197117</v>
      </c>
      <c r="BS141" s="345">
        <f t="shared" si="15"/>
        <v>9.2554150509302033</v>
      </c>
      <c r="BT141" s="345">
        <f t="shared" si="15"/>
        <v>9.4868004272034572</v>
      </c>
      <c r="BU141" s="345">
        <f t="shared" si="15"/>
        <v>9.7239704378835423</v>
      </c>
      <c r="BV141" s="345">
        <f t="shared" si="15"/>
        <v>9.9670696988306293</v>
      </c>
      <c r="BW141" s="345">
        <f t="shared" ref="BW141:BX141" si="16">BV141*(1+0.025)</f>
        <v>10.216246441301394</v>
      </c>
      <c r="BX141" s="345">
        <f t="shared" si="16"/>
        <v>10.471652602333927</v>
      </c>
    </row>
    <row r="142" spans="2:76" outlineLevel="1">
      <c r="B142" s="349"/>
      <c r="C142" s="349" t="str">
        <f>'DATA (Real)'!C138</f>
        <v>Natural Gas Price Forecast</v>
      </c>
      <c r="D142" s="349" t="str">
        <f>'DATA (Real)'!D138</f>
        <v>Fuel Costs ($/MMBtu) - Malin</v>
      </c>
      <c r="E142" s="349" t="str">
        <f>'DATA (Real)'!E138</f>
        <v>Rathdrum CT 2055 Uprates two unit operation</v>
      </c>
      <c r="F142" s="314"/>
      <c r="G142" s="314"/>
      <c r="H142" s="345">
        <v>8.6651340690161245</v>
      </c>
      <c r="I142" s="345">
        <v>5.7932625553088721</v>
      </c>
      <c r="J142" s="345">
        <v>4.6619995964456233</v>
      </c>
      <c r="K142" s="345">
        <v>4.053820274626232</v>
      </c>
      <c r="L142" s="345">
        <v>3.7212028655076312</v>
      </c>
      <c r="M142" s="345">
        <v>3.5577032154492887</v>
      </c>
      <c r="N142" s="345">
        <v>3.5505212929753056</v>
      </c>
      <c r="O142" s="345">
        <v>3.6313913066521173</v>
      </c>
      <c r="P142" s="345">
        <v>3.7937145301298045</v>
      </c>
      <c r="Q142" s="345">
        <v>3.9621571346526601</v>
      </c>
      <c r="R142" s="345">
        <v>4.0635507079345397</v>
      </c>
      <c r="S142" s="345">
        <v>4.2151238211340631</v>
      </c>
      <c r="T142" s="345">
        <v>4.2645135439713311</v>
      </c>
      <c r="U142" s="345">
        <v>4.3800067704493673</v>
      </c>
      <c r="V142" s="345">
        <v>4.4630113751901623</v>
      </c>
      <c r="W142" s="345">
        <v>4.5608006469741111</v>
      </c>
      <c r="X142" s="345">
        <v>4.6260439788209933</v>
      </c>
      <c r="Y142" s="345">
        <v>4.7728649508196579</v>
      </c>
      <c r="Z142" s="345">
        <v>5.0040130371133849</v>
      </c>
      <c r="AA142" s="345">
        <v>5.121975320713128</v>
      </c>
      <c r="AB142" s="345">
        <v>5.2177781378817576</v>
      </c>
      <c r="AC142" s="345">
        <v>5.4110932579911299</v>
      </c>
      <c r="AD142" s="345">
        <v>5.5243163027503668</v>
      </c>
      <c r="AE142" s="345">
        <v>5.7247170874408759</v>
      </c>
      <c r="AF142" s="345">
        <v>5.9076183601508889</v>
      </c>
      <c r="AG142" s="345">
        <v>6.0383152087560914</v>
      </c>
      <c r="AH142" s="345">
        <v>6.167659962606951</v>
      </c>
      <c r="AI142" s="345">
        <v>6.2867636068077433</v>
      </c>
      <c r="AJ142" s="345">
        <v>6.4266543311619175</v>
      </c>
      <c r="AK142" s="314">
        <f>$AJ142/$AI142*AJ142</f>
        <v>6.5696578518584179</v>
      </c>
      <c r="AL142" s="314">
        <f t="shared" ref="AL142:BX142" si="17">$AJ142/$AI142*AK142</f>
        <v>6.7158434336831219</v>
      </c>
      <c r="AM142" s="314">
        <f t="shared" si="17"/>
        <v>6.8652818826761495</v>
      </c>
      <c r="AN142" s="314">
        <f t="shared" si="17"/>
        <v>7.0180455804272759</v>
      </c>
      <c r="AO142" s="314">
        <f t="shared" si="17"/>
        <v>7.1742085191344778</v>
      </c>
      <c r="AP142" s="314">
        <f t="shared" si="17"/>
        <v>7.333846337442588</v>
      </c>
      <c r="AQ142" s="314">
        <f t="shared" si="17"/>
        <v>7.4970363570794163</v>
      </c>
      <c r="AR142" s="314">
        <f t="shared" si="17"/>
        <v>7.6638576203070885</v>
      </c>
      <c r="AS142" s="314">
        <f t="shared" si="17"/>
        <v>7.8343909282067319</v>
      </c>
      <c r="AT142" s="314">
        <f t="shared" si="17"/>
        <v>8.0087188798150653</v>
      </c>
      <c r="AU142" s="314">
        <f t="shared" si="17"/>
        <v>8.1869259121318354</v>
      </c>
      <c r="AV142" s="314">
        <f t="shared" si="17"/>
        <v>8.3690983410174873</v>
      </c>
      <c r="AW142" s="314">
        <f t="shared" si="17"/>
        <v>8.5553244030008706</v>
      </c>
      <c r="AX142" s="314">
        <f t="shared" si="17"/>
        <v>8.7456942980172432</v>
      </c>
      <c r="AY142" s="314">
        <f t="shared" si="17"/>
        <v>8.9403002330972541</v>
      </c>
      <c r="AZ142" s="314">
        <f t="shared" si="17"/>
        <v>9.1392364670280895</v>
      </c>
      <c r="BA142" s="314">
        <f t="shared" si="17"/>
        <v>9.3425993560083924</v>
      </c>
      <c r="BB142" s="314">
        <f t="shared" si="17"/>
        <v>9.5504874003190796</v>
      </c>
      <c r="BC142" s="314">
        <f t="shared" si="17"/>
        <v>9.7630012920326656</v>
      </c>
      <c r="BD142" s="314">
        <f t="shared" si="17"/>
        <v>9.9802439637841953</v>
      </c>
      <c r="BE142" s="314">
        <f t="shared" si="17"/>
        <v>10.202320638627402</v>
      </c>
      <c r="BF142" s="314">
        <f t="shared" si="17"/>
        <v>10.429338881000259</v>
      </c>
      <c r="BG142" s="314">
        <f t="shared" si="17"/>
        <v>10.661408648824583</v>
      </c>
      <c r="BH142" s="314">
        <f t="shared" si="17"/>
        <v>10.898642346764952</v>
      </c>
      <c r="BI142" s="314">
        <f t="shared" si="17"/>
        <v>11.141154880672712</v>
      </c>
      <c r="BJ142" s="314">
        <f t="shared" si="17"/>
        <v>11.389063713241454</v>
      </c>
      <c r="BK142" s="314">
        <f t="shared" si="17"/>
        <v>11.642488920900915</v>
      </c>
      <c r="BL142" s="314">
        <f t="shared" si="17"/>
        <v>11.901553251976866</v>
      </c>
      <c r="BM142" s="314">
        <f t="shared" si="17"/>
        <v>12.166382186145146</v>
      </c>
      <c r="BN142" s="314">
        <f t="shared" si="17"/>
        <v>12.437103995208647</v>
      </c>
      <c r="BO142" s="314">
        <f t="shared" si="17"/>
        <v>12.713849805226685</v>
      </c>
      <c r="BP142" s="314">
        <f t="shared" si="17"/>
        <v>12.996753660026856</v>
      </c>
      <c r="BQ142" s="314">
        <f t="shared" si="17"/>
        <v>13.285952586130128</v>
      </c>
      <c r="BR142" s="314">
        <f t="shared" si="17"/>
        <v>13.581586659120619</v>
      </c>
      <c r="BS142" s="314">
        <f t="shared" si="17"/>
        <v>13.883799071492223</v>
      </c>
      <c r="BT142" s="314">
        <f t="shared" si="17"/>
        <v>14.192736202004925</v>
      </c>
      <c r="BU142" s="314">
        <f t="shared" si="17"/>
        <v>14.508547686584404</v>
      </c>
      <c r="BV142" s="314">
        <f t="shared" si="17"/>
        <v>14.831386490799273</v>
      </c>
      <c r="BW142" s="314">
        <f t="shared" si="17"/>
        <v>15.161408983951063</v>
      </c>
      <c r="BX142" s="314">
        <f t="shared" si="17"/>
        <v>15.498775014812809</v>
      </c>
    </row>
    <row r="143" spans="2:76" outlineLevel="1">
      <c r="B143" s="349"/>
      <c r="C143" s="349" t="str">
        <f>'DATA (Real)'!C139</f>
        <v>Natural Gas Price Forecast</v>
      </c>
      <c r="D143" s="349" t="str">
        <f>'DATA (Real)'!D139</f>
        <v>Fuel Costs ($/MMBtu) - Malin</v>
      </c>
      <c r="E143" s="349" t="str">
        <f>'DATA (Real)'!E139</f>
        <v>Rathdrum CT 2055 Uprates two unit operation</v>
      </c>
      <c r="F143" s="314"/>
      <c r="G143" s="314"/>
      <c r="H143" s="345">
        <v>8.6651340690161245</v>
      </c>
      <c r="I143" s="345">
        <v>5.7932625553088721</v>
      </c>
      <c r="J143" s="345">
        <v>4.6619995964456233</v>
      </c>
      <c r="K143" s="345">
        <v>4.053820274626232</v>
      </c>
      <c r="L143" s="345">
        <v>3.7212028655076312</v>
      </c>
      <c r="M143" s="345">
        <v>3.5577032154492887</v>
      </c>
      <c r="N143" s="345">
        <v>3.5505212929753056</v>
      </c>
      <c r="O143" s="345">
        <v>3.6313913066521173</v>
      </c>
      <c r="P143" s="345">
        <v>3.7937145301298045</v>
      </c>
      <c r="Q143" s="345">
        <v>3.9621571346526601</v>
      </c>
      <c r="R143" s="345">
        <v>4.0635507079345397</v>
      </c>
      <c r="S143" s="345">
        <v>4.2151238211340631</v>
      </c>
      <c r="T143" s="345">
        <v>4.2645135439713311</v>
      </c>
      <c r="U143" s="345">
        <v>4.3800067704493673</v>
      </c>
      <c r="V143" s="345">
        <v>4.4630113751901623</v>
      </c>
      <c r="W143" s="345">
        <v>4.5608006469741111</v>
      </c>
      <c r="X143" s="345">
        <v>4.6260439788209933</v>
      </c>
      <c r="Y143" s="345">
        <v>4.7728649508196579</v>
      </c>
      <c r="Z143" s="345">
        <v>5.0040130371133849</v>
      </c>
      <c r="AA143" s="345">
        <v>5.121975320713128</v>
      </c>
      <c r="AB143" s="345">
        <v>5.2177781378817576</v>
      </c>
      <c r="AC143" s="345">
        <v>5.4110932579911299</v>
      </c>
      <c r="AD143" s="345">
        <v>5.5243163027503668</v>
      </c>
      <c r="AE143" s="345">
        <v>5.7247170874408759</v>
      </c>
      <c r="AF143" s="345">
        <v>5.9076183601508889</v>
      </c>
      <c r="AG143" s="345">
        <v>6.0383152087560914</v>
      </c>
      <c r="AH143" s="345">
        <v>6.167659962606951</v>
      </c>
      <c r="AI143" s="345">
        <v>6.2867636068077433</v>
      </c>
      <c r="AJ143" s="345">
        <v>6.4266543311619175</v>
      </c>
      <c r="AK143" s="314">
        <f t="shared" ref="AK143:BX143" si="18">$AJ143/$AI143*AJ143</f>
        <v>6.5696578518584179</v>
      </c>
      <c r="AL143" s="314">
        <f t="shared" si="18"/>
        <v>6.7158434336831219</v>
      </c>
      <c r="AM143" s="314">
        <f t="shared" si="18"/>
        <v>6.8652818826761495</v>
      </c>
      <c r="AN143" s="314">
        <f t="shared" si="18"/>
        <v>7.0180455804272759</v>
      </c>
      <c r="AO143" s="314">
        <f t="shared" si="18"/>
        <v>7.1742085191344778</v>
      </c>
      <c r="AP143" s="314">
        <f t="shared" si="18"/>
        <v>7.333846337442588</v>
      </c>
      <c r="AQ143" s="314">
        <f t="shared" si="18"/>
        <v>7.4970363570794163</v>
      </c>
      <c r="AR143" s="314">
        <f t="shared" si="18"/>
        <v>7.6638576203070885</v>
      </c>
      <c r="AS143" s="314">
        <f t="shared" si="18"/>
        <v>7.8343909282067319</v>
      </c>
      <c r="AT143" s="314">
        <f t="shared" si="18"/>
        <v>8.0087188798150653</v>
      </c>
      <c r="AU143" s="314">
        <f t="shared" si="18"/>
        <v>8.1869259121318354</v>
      </c>
      <c r="AV143" s="314">
        <f t="shared" si="18"/>
        <v>8.3690983410174873</v>
      </c>
      <c r="AW143" s="314">
        <f t="shared" si="18"/>
        <v>8.5553244030008706</v>
      </c>
      <c r="AX143" s="314">
        <f t="shared" si="18"/>
        <v>8.7456942980172432</v>
      </c>
      <c r="AY143" s="314">
        <f t="shared" si="18"/>
        <v>8.9403002330972541</v>
      </c>
      <c r="AZ143" s="314">
        <f t="shared" si="18"/>
        <v>9.1392364670280895</v>
      </c>
      <c r="BA143" s="314">
        <f t="shared" si="18"/>
        <v>9.3425993560083924</v>
      </c>
      <c r="BB143" s="314">
        <f t="shared" si="18"/>
        <v>9.5504874003190796</v>
      </c>
      <c r="BC143" s="314">
        <f t="shared" si="18"/>
        <v>9.7630012920326656</v>
      </c>
      <c r="BD143" s="314">
        <f t="shared" si="18"/>
        <v>9.9802439637841953</v>
      </c>
      <c r="BE143" s="314">
        <f t="shared" si="18"/>
        <v>10.202320638627402</v>
      </c>
      <c r="BF143" s="314">
        <f t="shared" si="18"/>
        <v>10.429338881000259</v>
      </c>
      <c r="BG143" s="314">
        <f t="shared" si="18"/>
        <v>10.661408648824583</v>
      </c>
      <c r="BH143" s="314">
        <f t="shared" si="18"/>
        <v>10.898642346764952</v>
      </c>
      <c r="BI143" s="314">
        <f t="shared" si="18"/>
        <v>11.141154880672712</v>
      </c>
      <c r="BJ143" s="314">
        <f t="shared" si="18"/>
        <v>11.389063713241454</v>
      </c>
      <c r="BK143" s="314">
        <f t="shared" si="18"/>
        <v>11.642488920900915</v>
      </c>
      <c r="BL143" s="314">
        <f t="shared" si="18"/>
        <v>11.901553251976866</v>
      </c>
      <c r="BM143" s="314">
        <f t="shared" si="18"/>
        <v>12.166382186145146</v>
      </c>
      <c r="BN143" s="314">
        <f t="shared" si="18"/>
        <v>12.437103995208647</v>
      </c>
      <c r="BO143" s="314">
        <f t="shared" si="18"/>
        <v>12.713849805226685</v>
      </c>
      <c r="BP143" s="314">
        <f t="shared" si="18"/>
        <v>12.996753660026856</v>
      </c>
      <c r="BQ143" s="314">
        <f t="shared" si="18"/>
        <v>13.285952586130128</v>
      </c>
      <c r="BR143" s="314">
        <f t="shared" si="18"/>
        <v>13.581586659120619</v>
      </c>
      <c r="BS143" s="314">
        <f t="shared" si="18"/>
        <v>13.883799071492223</v>
      </c>
      <c r="BT143" s="314">
        <f t="shared" si="18"/>
        <v>14.192736202004925</v>
      </c>
      <c r="BU143" s="314">
        <f t="shared" si="18"/>
        <v>14.508547686584404</v>
      </c>
      <c r="BV143" s="314">
        <f t="shared" si="18"/>
        <v>14.831386490799273</v>
      </c>
      <c r="BW143" s="314">
        <f t="shared" si="18"/>
        <v>15.161408983951063</v>
      </c>
      <c r="BX143" s="314">
        <f t="shared" si="18"/>
        <v>15.498775014812809</v>
      </c>
    </row>
    <row r="144" spans="2:76" outlineLevel="1">
      <c r="B144" s="349"/>
      <c r="C144" s="349" t="str">
        <f>'DATA (Real)'!C140</f>
        <v>2021 IRP</v>
      </c>
      <c r="D144" s="349" t="str">
        <f>'DATA (Real)'!D140</f>
        <v>Variable Charge</v>
      </c>
      <c r="E144" s="349" t="str">
        <f>'DATA (Real)'!E140</f>
        <v>Rathdrum CT 2055 Uprates two unit operation</v>
      </c>
      <c r="F144" s="315">
        <f>'DATA (Real)'!F140</f>
        <v>5.0000000000000002E-5</v>
      </c>
      <c r="G144" s="315">
        <f>'DATA (Real)'!G140</f>
        <v>5.0000000000000002E-5</v>
      </c>
      <c r="H144" s="315">
        <f>'DATA (Real)'!H140</f>
        <v>5.0000000000000002E-5</v>
      </c>
      <c r="I144" s="315">
        <f>'DATA (Real)'!I140</f>
        <v>5.0000000000000002E-5</v>
      </c>
      <c r="J144" s="315">
        <f>'DATA (Real)'!J140</f>
        <v>5.0000000000000002E-5</v>
      </c>
      <c r="K144" s="315">
        <f>'DATA (Real)'!K140</f>
        <v>5.0000000000000002E-5</v>
      </c>
      <c r="L144" s="315">
        <f>'DATA (Real)'!L140</f>
        <v>5.0000000000000002E-5</v>
      </c>
      <c r="M144" s="315">
        <f>'DATA (Real)'!M140</f>
        <v>5.0000000000000002E-5</v>
      </c>
      <c r="N144" s="315">
        <f>'DATA (Real)'!N140</f>
        <v>5.0000000000000002E-5</v>
      </c>
      <c r="O144" s="315">
        <f>'DATA (Real)'!O140</f>
        <v>5.0000000000000002E-5</v>
      </c>
      <c r="P144" s="315">
        <f>'DATA (Real)'!P140</f>
        <v>5.0000000000000002E-5</v>
      </c>
      <c r="Q144" s="315">
        <f>'DATA (Real)'!Q140</f>
        <v>5.0000000000000002E-5</v>
      </c>
      <c r="R144" s="315">
        <f>'DATA (Real)'!R140</f>
        <v>5.0000000000000002E-5</v>
      </c>
      <c r="S144" s="315">
        <f>'DATA (Real)'!S140</f>
        <v>5.0000000000000002E-5</v>
      </c>
      <c r="T144" s="315">
        <f>'DATA (Real)'!T140</f>
        <v>5.0000000000000002E-5</v>
      </c>
      <c r="U144" s="315">
        <f>'DATA (Real)'!U140</f>
        <v>5.0000000000000002E-5</v>
      </c>
      <c r="V144" s="315">
        <f>'DATA (Real)'!V140</f>
        <v>5.0000000000000002E-5</v>
      </c>
      <c r="W144" s="315">
        <f>'DATA (Real)'!W140</f>
        <v>5.0000000000000002E-5</v>
      </c>
      <c r="X144" s="315">
        <f>'DATA (Real)'!X140</f>
        <v>5.0000000000000002E-5</v>
      </c>
      <c r="Y144" s="315">
        <f>'DATA (Real)'!Y140</f>
        <v>5.0000000000000002E-5</v>
      </c>
      <c r="Z144" s="315">
        <f>'DATA (Real)'!Z140</f>
        <v>5.0000000000000002E-5</v>
      </c>
      <c r="AA144" s="315">
        <f>'DATA (Real)'!AA140</f>
        <v>5.0000000000000002E-5</v>
      </c>
      <c r="AB144" s="315">
        <f>'DATA (Real)'!AB140</f>
        <v>5.0000000000000002E-5</v>
      </c>
      <c r="AC144" s="315">
        <f>'DATA (Real)'!AC140</f>
        <v>5.0000000000000002E-5</v>
      </c>
      <c r="AD144" s="315">
        <f>'DATA (Real)'!AD140</f>
        <v>5.0000000000000002E-5</v>
      </c>
      <c r="AE144" s="315">
        <f>'DATA (Real)'!AE140</f>
        <v>5.0000000000000002E-5</v>
      </c>
      <c r="AF144" s="315">
        <f>'DATA (Real)'!AF140</f>
        <v>5.0000000000000002E-5</v>
      </c>
      <c r="AG144" s="315">
        <f>'DATA (Real)'!AG140</f>
        <v>5.0000000000000002E-5</v>
      </c>
      <c r="AH144" s="315">
        <f>'DATA (Real)'!AH140</f>
        <v>5.0000000000000002E-5</v>
      </c>
      <c r="AI144" s="315">
        <f>'DATA (Real)'!AI140</f>
        <v>5.0000000000000002E-5</v>
      </c>
      <c r="AJ144" s="315">
        <f>'DATA (Real)'!AJ140</f>
        <v>5.0000000000000002E-5</v>
      </c>
      <c r="AK144" s="315">
        <f>'DATA (Real)'!AK140</f>
        <v>5.0000000000000002E-5</v>
      </c>
      <c r="AL144" s="315">
        <f>'DATA (Real)'!AL140</f>
        <v>5.0000000000000002E-5</v>
      </c>
      <c r="AM144" s="315">
        <f>'DATA (Real)'!AM140</f>
        <v>5.0000000000000002E-5</v>
      </c>
      <c r="AN144" s="315">
        <f>'DATA (Real)'!AN140</f>
        <v>5.0000000000000002E-5</v>
      </c>
      <c r="AO144" s="315">
        <f>'DATA (Real)'!AO140</f>
        <v>5.0000000000000002E-5</v>
      </c>
      <c r="AP144" s="315">
        <f>'DATA (Real)'!AP140</f>
        <v>5.0000000000000002E-5</v>
      </c>
      <c r="AQ144" s="315">
        <f>'DATA (Real)'!AQ140</f>
        <v>5.0000000000000002E-5</v>
      </c>
      <c r="AR144" s="315">
        <f>'DATA (Real)'!AR140</f>
        <v>5.0000000000000002E-5</v>
      </c>
      <c r="AS144" s="315">
        <f>'DATA (Real)'!AS140</f>
        <v>5.0000000000000002E-5</v>
      </c>
      <c r="AT144" s="315">
        <f>'DATA (Real)'!AT140</f>
        <v>5.0000000000000002E-5</v>
      </c>
      <c r="AU144" s="315">
        <f>'DATA (Real)'!AU140</f>
        <v>5.0000000000000002E-5</v>
      </c>
      <c r="AV144" s="315">
        <f>'DATA (Real)'!AV140</f>
        <v>5.0000000000000002E-5</v>
      </c>
      <c r="AW144" s="315">
        <f>'DATA (Real)'!AW140</f>
        <v>5.0000000000000002E-5</v>
      </c>
      <c r="AX144" s="315">
        <f>'DATA (Real)'!AX140</f>
        <v>5.0000000000000002E-5</v>
      </c>
      <c r="AY144" s="315">
        <f>'DATA (Real)'!AY140</f>
        <v>5.0000000000000002E-5</v>
      </c>
      <c r="AZ144" s="315">
        <f>'DATA (Real)'!AZ140</f>
        <v>5.0000000000000002E-5</v>
      </c>
      <c r="BA144" s="315">
        <f>'DATA (Real)'!BA140</f>
        <v>5.0000000000000002E-5</v>
      </c>
      <c r="BB144" s="315">
        <f>'DATA (Real)'!BB140</f>
        <v>5.0000000000000002E-5</v>
      </c>
      <c r="BC144" s="315">
        <f>'DATA (Real)'!BC140</f>
        <v>5.0000000000000002E-5</v>
      </c>
      <c r="BD144" s="315">
        <f>'DATA (Real)'!BD140</f>
        <v>5.0000000000000002E-5</v>
      </c>
      <c r="BE144" s="315">
        <f>'DATA (Real)'!BE140</f>
        <v>5.0000000000000002E-5</v>
      </c>
      <c r="BF144" s="315">
        <f>'DATA (Real)'!BF140</f>
        <v>5.0000000000000002E-5</v>
      </c>
      <c r="BG144" s="315">
        <f>'DATA (Real)'!BG140</f>
        <v>5.0000000000000002E-5</v>
      </c>
      <c r="BH144" s="315">
        <f>'DATA (Real)'!BH140</f>
        <v>5.0000000000000002E-5</v>
      </c>
      <c r="BI144" s="315">
        <f>'DATA (Real)'!BI140</f>
        <v>5.0000000000000002E-5</v>
      </c>
      <c r="BJ144" s="315">
        <f>'DATA (Real)'!BJ140</f>
        <v>5.0000000000000002E-5</v>
      </c>
      <c r="BK144" s="315">
        <f>'DATA (Real)'!BK140</f>
        <v>5.0000000000000002E-5</v>
      </c>
      <c r="BL144" s="315">
        <f>'DATA (Real)'!BL140</f>
        <v>5.0000000000000002E-5</v>
      </c>
      <c r="BM144" s="315">
        <f>'DATA (Real)'!BM140</f>
        <v>5.0000000000000002E-5</v>
      </c>
      <c r="BN144" s="315">
        <f>'DATA (Real)'!BN140</f>
        <v>5.0000000000000002E-5</v>
      </c>
      <c r="BO144" s="315">
        <f>'DATA (Real)'!BO140</f>
        <v>5.0000000000000002E-5</v>
      </c>
      <c r="BP144" s="315">
        <f>'DATA (Real)'!BP140</f>
        <v>5.0000000000000002E-5</v>
      </c>
      <c r="BQ144" s="315">
        <f>'DATA (Real)'!BQ140</f>
        <v>5.0000000000000002E-5</v>
      </c>
      <c r="BR144" s="315">
        <f>'DATA (Real)'!BR140</f>
        <v>5.0000000000000002E-5</v>
      </c>
      <c r="BS144" s="315">
        <f>'DATA (Real)'!BS140</f>
        <v>5.0000000000000002E-5</v>
      </c>
      <c r="BT144" s="315">
        <f>'DATA (Real)'!BT140</f>
        <v>5.0000000000000002E-5</v>
      </c>
      <c r="BU144" s="315">
        <f>'DATA (Real)'!BU140</f>
        <v>5.0000000000000002E-5</v>
      </c>
      <c r="BV144" s="315">
        <f>'DATA (Real)'!BV140</f>
        <v>5.0000000000000002E-5</v>
      </c>
      <c r="BW144" s="315">
        <f>'DATA (Real)'!BW140</f>
        <v>5.0000000000000002E-5</v>
      </c>
      <c r="BX144" s="315">
        <f>'DATA (Real)'!BX140</f>
        <v>5.0000000000000002E-5</v>
      </c>
    </row>
    <row r="145" spans="2:76" outlineLevel="1">
      <c r="B145" s="349"/>
      <c r="C145" s="349" t="str">
        <f>'DATA (Real)'!C141</f>
        <v>Natural Gas Price Forecast</v>
      </c>
      <c r="D145" s="349" t="str">
        <f>'DATA (Real)'!D141</f>
        <v>Fuel Costs ($/MMBtu) - Malin</v>
      </c>
      <c r="E145" s="349" t="str">
        <f>'DATA (Real)'!E141</f>
        <v>Rathdrum CT: Inlet Evaporation 2 unit operation</v>
      </c>
      <c r="F145" s="314"/>
      <c r="G145" s="314"/>
      <c r="H145" s="345">
        <v>8.6651340690161245</v>
      </c>
      <c r="I145" s="345">
        <v>5.7932625553088721</v>
      </c>
      <c r="J145" s="345">
        <v>4.6619995964456233</v>
      </c>
      <c r="K145" s="345">
        <v>4.053820274626232</v>
      </c>
      <c r="L145" s="345">
        <v>3.7212028655076312</v>
      </c>
      <c r="M145" s="345">
        <v>3.5577032154492887</v>
      </c>
      <c r="N145" s="345">
        <v>3.5505212929753056</v>
      </c>
      <c r="O145" s="345">
        <v>3.6313913066521173</v>
      </c>
      <c r="P145" s="345">
        <v>3.7937145301298045</v>
      </c>
      <c r="Q145" s="345">
        <v>3.9621571346526601</v>
      </c>
      <c r="R145" s="345">
        <v>4.0635507079345397</v>
      </c>
      <c r="S145" s="345">
        <v>4.2151238211340631</v>
      </c>
      <c r="T145" s="345">
        <v>4.2645135439713311</v>
      </c>
      <c r="U145" s="345">
        <v>4.3800067704493673</v>
      </c>
      <c r="V145" s="345">
        <v>4.4630113751901623</v>
      </c>
      <c r="W145" s="345">
        <v>4.5608006469741111</v>
      </c>
      <c r="X145" s="345">
        <v>4.6260439788209933</v>
      </c>
      <c r="Y145" s="345">
        <v>4.7728649508196579</v>
      </c>
      <c r="Z145" s="345">
        <v>5.0040130371133849</v>
      </c>
      <c r="AA145" s="345">
        <v>5.121975320713128</v>
      </c>
      <c r="AB145" s="345">
        <v>5.2177781378817576</v>
      </c>
      <c r="AC145" s="345">
        <v>5.4110932579911299</v>
      </c>
      <c r="AD145" s="345">
        <v>5.5243163027503668</v>
      </c>
      <c r="AE145" s="345">
        <v>5.7247170874408759</v>
      </c>
      <c r="AF145" s="345">
        <v>5.9076183601508889</v>
      </c>
      <c r="AG145" s="345">
        <v>6.0383152087560914</v>
      </c>
      <c r="AH145" s="345">
        <v>6.167659962606951</v>
      </c>
      <c r="AI145" s="345">
        <v>6.2867636068077433</v>
      </c>
      <c r="AJ145" s="345">
        <v>6.4266543311619175</v>
      </c>
      <c r="AK145" s="314"/>
      <c r="AL145" s="314"/>
      <c r="AM145" s="314"/>
      <c r="AN145" s="314"/>
      <c r="AO145" s="314"/>
      <c r="AP145" s="314"/>
      <c r="AQ145" s="314"/>
      <c r="AR145" s="314"/>
      <c r="AS145" s="314"/>
      <c r="AT145" s="314"/>
      <c r="AU145" s="314"/>
      <c r="AV145" s="314"/>
      <c r="AW145" s="314"/>
      <c r="AX145" s="314"/>
      <c r="AY145" s="314"/>
      <c r="AZ145" s="314"/>
      <c r="BA145" s="314"/>
      <c r="BB145" s="314"/>
      <c r="BC145" s="314"/>
      <c r="BD145" s="314"/>
      <c r="BE145" s="314"/>
      <c r="BF145" s="314"/>
      <c r="BG145" s="314"/>
      <c r="BH145" s="314"/>
      <c r="BI145" s="314"/>
      <c r="BJ145" s="314"/>
      <c r="BK145" s="314"/>
      <c r="BL145" s="314"/>
      <c r="BM145" s="314"/>
      <c r="BN145" s="314"/>
      <c r="BO145" s="314"/>
      <c r="BP145" s="314"/>
      <c r="BQ145" s="314"/>
      <c r="BR145" s="314"/>
      <c r="BS145" s="314"/>
      <c r="BT145" s="314"/>
      <c r="BU145" s="314"/>
      <c r="BV145" s="314"/>
      <c r="BW145" s="314"/>
      <c r="BX145" s="314"/>
    </row>
    <row r="146" spans="2:76">
      <c r="I146" s="435"/>
    </row>
    <row r="147" spans="2:76">
      <c r="B147" s="259" t="str">
        <f>D147</f>
        <v>Mid-Columbia (off-peak)</v>
      </c>
      <c r="D147" s="259" t="str">
        <f>'DATA (Real)'!D143</f>
        <v>Mid-Columbia (off-peak)</v>
      </c>
      <c r="F147" s="318"/>
      <c r="G147" s="318"/>
      <c r="H147" s="318"/>
      <c r="I147" s="318"/>
      <c r="J147" s="318"/>
      <c r="K147" s="318"/>
      <c r="L147" s="318"/>
      <c r="M147" s="318"/>
      <c r="N147" s="318"/>
      <c r="O147" s="318"/>
      <c r="P147" s="318"/>
      <c r="Q147" s="318"/>
      <c r="R147" s="318"/>
      <c r="S147" s="318"/>
      <c r="T147" s="318"/>
      <c r="U147" s="318"/>
      <c r="V147" s="318"/>
      <c r="W147" s="318"/>
      <c r="X147" s="318"/>
      <c r="Y147" s="318"/>
      <c r="Z147" s="318"/>
      <c r="AA147" s="318"/>
      <c r="AB147" s="318"/>
      <c r="AC147" s="318"/>
      <c r="AD147" s="318"/>
      <c r="AE147" s="318"/>
      <c r="AF147" s="318"/>
      <c r="AG147" s="318"/>
      <c r="AH147" s="318"/>
      <c r="AI147" s="318"/>
      <c r="AJ147" s="318"/>
      <c r="AK147" s="318"/>
      <c r="AL147" s="318"/>
      <c r="AM147" s="318"/>
      <c r="AN147" s="318"/>
      <c r="AO147" s="318"/>
      <c r="AP147" s="318"/>
      <c r="AQ147" s="318"/>
      <c r="AR147" s="318"/>
      <c r="AS147" s="318"/>
      <c r="AT147" s="318"/>
      <c r="AU147" s="318"/>
      <c r="AV147" s="318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18"/>
      <c r="BM147" s="318"/>
      <c r="BN147" s="318"/>
      <c r="BO147" s="318"/>
      <c r="BP147" s="318"/>
      <c r="BQ147" s="318"/>
      <c r="BR147" s="318"/>
      <c r="BS147" s="318"/>
      <c r="BT147" s="318"/>
      <c r="BU147" s="318"/>
      <c r="BV147" s="318"/>
      <c r="BW147" s="318"/>
      <c r="BX147" s="318"/>
    </row>
    <row r="148" spans="2:76" hidden="1" outlineLevel="1">
      <c r="B148" s="348" t="s">
        <v>257</v>
      </c>
      <c r="C148" s="348" t="s">
        <v>231</v>
      </c>
      <c r="D148" s="348" t="str">
        <f>'DATA (Real)'!D144</f>
        <v>Mid-Columbia (off-peak) $/MWh</v>
      </c>
      <c r="E148" s="348" t="str">
        <f>'DATA (Real)'!E144</f>
        <v>Distribution Scale 4hr Lithium-Ion</v>
      </c>
      <c r="F148" s="314"/>
      <c r="G148" s="314"/>
      <c r="H148" s="314"/>
      <c r="I148" s="345">
        <v>47.250245234171551</v>
      </c>
      <c r="J148" s="345">
        <v>42.695291233062747</v>
      </c>
      <c r="K148" s="345">
        <v>35.737634620666505</v>
      </c>
      <c r="L148" s="345">
        <v>33.298855654398601</v>
      </c>
      <c r="M148" s="345">
        <v>29.94199250539144</v>
      </c>
      <c r="N148" s="345">
        <v>29.873882106145224</v>
      </c>
      <c r="O148" s="345">
        <v>29.969028625488281</v>
      </c>
      <c r="P148" s="345">
        <v>34.386924508412676</v>
      </c>
      <c r="Q148" s="345">
        <v>32.3403474966685</v>
      </c>
      <c r="R148" s="345">
        <v>31.446651989618939</v>
      </c>
      <c r="S148" s="345">
        <v>32.465719086329145</v>
      </c>
      <c r="T148" s="345">
        <v>32.996186469395958</v>
      </c>
      <c r="U148" s="345">
        <v>34.316011184056599</v>
      </c>
      <c r="V148" s="345">
        <v>34.902709827423095</v>
      </c>
      <c r="W148" s="345">
        <v>36.589668127695717</v>
      </c>
      <c r="X148" s="345">
        <v>36.321291920344038</v>
      </c>
      <c r="Y148" s="345">
        <v>37.435441672007244</v>
      </c>
      <c r="Z148" s="345">
        <v>39.591238657633461</v>
      </c>
      <c r="AA148" s="345">
        <v>39.797599767049157</v>
      </c>
      <c r="AB148" s="345">
        <v>41.420371265411376</v>
      </c>
      <c r="AC148" s="345">
        <v>42.373192412058515</v>
      </c>
      <c r="AD148" s="345">
        <v>47.640904057820642</v>
      </c>
      <c r="AE148" s="345">
        <v>47.549325656890872</v>
      </c>
      <c r="AF148" s="324">
        <f>AE148*(1+AF$2)</f>
        <v>48.595410821342469</v>
      </c>
      <c r="AG148" s="324">
        <f t="shared" ref="AG148:BX154" si="19">AF148*(1+AG$2)</f>
        <v>49.664509859412007</v>
      </c>
      <c r="AH148" s="324">
        <f t="shared" si="19"/>
        <v>50.757129076319075</v>
      </c>
      <c r="AI148" s="324">
        <f t="shared" si="19"/>
        <v>51.873785915998099</v>
      </c>
      <c r="AJ148" s="324">
        <f t="shared" si="19"/>
        <v>53.015009206150054</v>
      </c>
      <c r="AK148" s="324">
        <f t="shared" si="19"/>
        <v>54.181339408685353</v>
      </c>
      <c r="AL148" s="324">
        <f t="shared" si="19"/>
        <v>55.373328875676435</v>
      </c>
      <c r="AM148" s="324">
        <f t="shared" si="19"/>
        <v>56.591542110941319</v>
      </c>
      <c r="AN148" s="324">
        <f t="shared" si="19"/>
        <v>57.836556037382032</v>
      </c>
      <c r="AO148" s="324">
        <f t="shared" si="19"/>
        <v>59.108960270204435</v>
      </c>
      <c r="AP148" s="324">
        <f t="shared" si="19"/>
        <v>60.409357396148934</v>
      </c>
      <c r="AQ148" s="324">
        <f t="shared" si="19"/>
        <v>61.738363258864212</v>
      </c>
      <c r="AR148" s="324">
        <f t="shared" si="19"/>
        <v>63.096607250559224</v>
      </c>
      <c r="AS148" s="324">
        <f t="shared" si="19"/>
        <v>64.484732610071532</v>
      </c>
      <c r="AT148" s="324">
        <f t="shared" si="19"/>
        <v>65.903396727493103</v>
      </c>
      <c r="AU148" s="324">
        <f t="shared" si="19"/>
        <v>67.353271455497946</v>
      </c>
      <c r="AV148" s="324">
        <f t="shared" si="19"/>
        <v>68.835043427518897</v>
      </c>
      <c r="AW148" s="324">
        <f t="shared" si="19"/>
        <v>70.349414382924309</v>
      </c>
      <c r="AX148" s="324">
        <f t="shared" si="19"/>
        <v>71.897101499348651</v>
      </c>
      <c r="AY148" s="324">
        <f t="shared" si="19"/>
        <v>73.478837732334327</v>
      </c>
      <c r="AZ148" s="324">
        <f t="shared" si="19"/>
        <v>75.095372162445685</v>
      </c>
      <c r="BA148" s="324">
        <f t="shared" si="19"/>
        <v>76.747470350019498</v>
      </c>
      <c r="BB148" s="324">
        <f t="shared" si="19"/>
        <v>78.435914697719923</v>
      </c>
      <c r="BC148" s="324">
        <f t="shared" si="19"/>
        <v>80.161504821069769</v>
      </c>
      <c r="BD148" s="324">
        <f t="shared" si="19"/>
        <v>81.925057927133309</v>
      </c>
      <c r="BE148" s="324">
        <f t="shared" si="19"/>
        <v>83.72740920153025</v>
      </c>
      <c r="BF148" s="324">
        <f t="shared" si="19"/>
        <v>85.569412203963921</v>
      </c>
      <c r="BG148" s="324">
        <f t="shared" si="19"/>
        <v>87.451939272451128</v>
      </c>
      <c r="BH148" s="324">
        <f t="shared" si="19"/>
        <v>89.375881936445055</v>
      </c>
      <c r="BI148" s="324">
        <f t="shared" si="19"/>
        <v>91.34215133904685</v>
      </c>
      <c r="BJ148" s="324">
        <f t="shared" si="19"/>
        <v>93.351678668505883</v>
      </c>
      <c r="BK148" s="324">
        <f t="shared" si="19"/>
        <v>95.405415599213015</v>
      </c>
      <c r="BL148" s="324">
        <f t="shared" si="19"/>
        <v>97.504334742395699</v>
      </c>
      <c r="BM148" s="324">
        <f t="shared" si="19"/>
        <v>99.649430106728403</v>
      </c>
      <c r="BN148" s="324">
        <f t="shared" si="19"/>
        <v>101.84171756907642</v>
      </c>
      <c r="BO148" s="324">
        <f t="shared" si="19"/>
        <v>104.08223535559611</v>
      </c>
      <c r="BP148" s="324">
        <f t="shared" si="19"/>
        <v>106.37204453341923</v>
      </c>
      <c r="BQ148" s="324">
        <f t="shared" si="19"/>
        <v>108.71222951315445</v>
      </c>
      <c r="BR148" s="324">
        <f t="shared" si="19"/>
        <v>111.10389856244386</v>
      </c>
      <c r="BS148" s="324">
        <f t="shared" si="19"/>
        <v>113.54818433081762</v>
      </c>
      <c r="BT148" s="324">
        <f t="shared" si="19"/>
        <v>116.04624438609561</v>
      </c>
      <c r="BU148" s="324">
        <f t="shared" si="19"/>
        <v>118.59926176258972</v>
      </c>
      <c r="BV148" s="324">
        <f t="shared" si="19"/>
        <v>121.2084455213667</v>
      </c>
      <c r="BW148" s="324">
        <f t="shared" si="19"/>
        <v>123.87503132283676</v>
      </c>
      <c r="BX148" s="324">
        <f t="shared" si="19"/>
        <v>126.60028201193917</v>
      </c>
    </row>
    <row r="149" spans="2:76" hidden="1" outlineLevel="1">
      <c r="B149" s="348" t="s">
        <v>257</v>
      </c>
      <c r="C149" s="348" t="s">
        <v>231</v>
      </c>
      <c r="D149" s="348" t="str">
        <f>'DATA (Real)'!D145</f>
        <v>Mid-Columbia (off-peak) $/MWh</v>
      </c>
      <c r="E149" s="348" t="str">
        <f>'DATA (Real)'!E145</f>
        <v>Distribution Scale 8hr Lithium-Ion</v>
      </c>
      <c r="F149" s="314"/>
      <c r="G149" s="314"/>
      <c r="H149" s="314"/>
      <c r="I149" s="345">
        <v>47.250245234171551</v>
      </c>
      <c r="J149" s="345">
        <v>42.695291233062747</v>
      </c>
      <c r="K149" s="345">
        <v>35.737634620666505</v>
      </c>
      <c r="L149" s="345">
        <v>33.298855654398601</v>
      </c>
      <c r="M149" s="345">
        <v>29.94199250539144</v>
      </c>
      <c r="N149" s="345">
        <v>29.873882106145224</v>
      </c>
      <c r="O149" s="345">
        <v>29.969028625488281</v>
      </c>
      <c r="P149" s="345">
        <v>34.386924508412676</v>
      </c>
      <c r="Q149" s="345">
        <v>32.3403474966685</v>
      </c>
      <c r="R149" s="345">
        <v>31.446651989618939</v>
      </c>
      <c r="S149" s="345">
        <v>32.465719086329145</v>
      </c>
      <c r="T149" s="345">
        <v>32.996186469395958</v>
      </c>
      <c r="U149" s="345">
        <v>34.316011184056599</v>
      </c>
      <c r="V149" s="345">
        <v>34.902709827423095</v>
      </c>
      <c r="W149" s="345">
        <v>36.589668127695717</v>
      </c>
      <c r="X149" s="345">
        <v>36.321291920344038</v>
      </c>
      <c r="Y149" s="345">
        <v>37.435441672007244</v>
      </c>
      <c r="Z149" s="345">
        <v>39.591238657633461</v>
      </c>
      <c r="AA149" s="345">
        <v>39.797599767049157</v>
      </c>
      <c r="AB149" s="345">
        <v>41.420371265411376</v>
      </c>
      <c r="AC149" s="345">
        <v>42.373192412058515</v>
      </c>
      <c r="AD149" s="345">
        <v>47.640904057820642</v>
      </c>
      <c r="AE149" s="345">
        <v>47.549325656890872</v>
      </c>
      <c r="AF149" s="324">
        <f t="shared" ref="AF149:AU159" si="20">AE149*(1+AF$2)</f>
        <v>48.595410821342469</v>
      </c>
      <c r="AG149" s="324">
        <f t="shared" si="20"/>
        <v>49.664509859412007</v>
      </c>
      <c r="AH149" s="324">
        <f t="shared" si="20"/>
        <v>50.757129076319075</v>
      </c>
      <c r="AI149" s="324">
        <f t="shared" si="20"/>
        <v>51.873785915998099</v>
      </c>
      <c r="AJ149" s="324">
        <f t="shared" si="20"/>
        <v>53.015009206150054</v>
      </c>
      <c r="AK149" s="324">
        <f t="shared" si="20"/>
        <v>54.181339408685353</v>
      </c>
      <c r="AL149" s="324">
        <f t="shared" si="20"/>
        <v>55.373328875676435</v>
      </c>
      <c r="AM149" s="324">
        <f t="shared" si="20"/>
        <v>56.591542110941319</v>
      </c>
      <c r="AN149" s="324">
        <f t="shared" si="20"/>
        <v>57.836556037382032</v>
      </c>
      <c r="AO149" s="324">
        <f t="shared" si="20"/>
        <v>59.108960270204435</v>
      </c>
      <c r="AP149" s="324">
        <f t="shared" si="20"/>
        <v>60.409357396148934</v>
      </c>
      <c r="AQ149" s="324">
        <f t="shared" si="20"/>
        <v>61.738363258864212</v>
      </c>
      <c r="AR149" s="324">
        <f t="shared" si="20"/>
        <v>63.096607250559224</v>
      </c>
      <c r="AS149" s="324">
        <f t="shared" si="20"/>
        <v>64.484732610071532</v>
      </c>
      <c r="AT149" s="324">
        <f t="shared" si="20"/>
        <v>65.903396727493103</v>
      </c>
      <c r="AU149" s="324">
        <f t="shared" si="20"/>
        <v>67.353271455497946</v>
      </c>
      <c r="AV149" s="324">
        <f t="shared" si="19"/>
        <v>68.835043427518897</v>
      </c>
      <c r="AW149" s="324">
        <f t="shared" si="19"/>
        <v>70.349414382924309</v>
      </c>
      <c r="AX149" s="324">
        <f t="shared" si="19"/>
        <v>71.897101499348651</v>
      </c>
      <c r="AY149" s="324">
        <f t="shared" si="19"/>
        <v>73.478837732334327</v>
      </c>
      <c r="AZ149" s="324">
        <f t="shared" si="19"/>
        <v>75.095372162445685</v>
      </c>
      <c r="BA149" s="324">
        <f t="shared" si="19"/>
        <v>76.747470350019498</v>
      </c>
      <c r="BB149" s="324">
        <f t="shared" si="19"/>
        <v>78.435914697719923</v>
      </c>
      <c r="BC149" s="324">
        <f t="shared" si="19"/>
        <v>80.161504821069769</v>
      </c>
      <c r="BD149" s="324">
        <f t="shared" si="19"/>
        <v>81.925057927133309</v>
      </c>
      <c r="BE149" s="324">
        <f t="shared" si="19"/>
        <v>83.72740920153025</v>
      </c>
      <c r="BF149" s="324">
        <f t="shared" si="19"/>
        <v>85.569412203963921</v>
      </c>
      <c r="BG149" s="324">
        <f t="shared" si="19"/>
        <v>87.451939272451128</v>
      </c>
      <c r="BH149" s="324">
        <f t="shared" si="19"/>
        <v>89.375881936445055</v>
      </c>
      <c r="BI149" s="324">
        <f t="shared" si="19"/>
        <v>91.34215133904685</v>
      </c>
      <c r="BJ149" s="324">
        <f t="shared" si="19"/>
        <v>93.351678668505883</v>
      </c>
      <c r="BK149" s="324">
        <f t="shared" si="19"/>
        <v>95.405415599213015</v>
      </c>
      <c r="BL149" s="324">
        <f t="shared" si="19"/>
        <v>97.504334742395699</v>
      </c>
      <c r="BM149" s="324">
        <f t="shared" si="19"/>
        <v>99.649430106728403</v>
      </c>
      <c r="BN149" s="324">
        <f t="shared" si="19"/>
        <v>101.84171756907642</v>
      </c>
      <c r="BO149" s="324">
        <f t="shared" si="19"/>
        <v>104.08223535559611</v>
      </c>
      <c r="BP149" s="324">
        <f t="shared" si="19"/>
        <v>106.37204453341923</v>
      </c>
      <c r="BQ149" s="324">
        <f t="shared" si="19"/>
        <v>108.71222951315445</v>
      </c>
      <c r="BR149" s="324">
        <f t="shared" si="19"/>
        <v>111.10389856244386</v>
      </c>
      <c r="BS149" s="324">
        <f t="shared" si="19"/>
        <v>113.54818433081762</v>
      </c>
      <c r="BT149" s="324">
        <f t="shared" si="19"/>
        <v>116.04624438609561</v>
      </c>
      <c r="BU149" s="324">
        <f t="shared" si="19"/>
        <v>118.59926176258972</v>
      </c>
      <c r="BV149" s="324">
        <f t="shared" si="19"/>
        <v>121.2084455213667</v>
      </c>
      <c r="BW149" s="324">
        <f t="shared" si="19"/>
        <v>123.87503132283676</v>
      </c>
      <c r="BX149" s="324">
        <f t="shared" si="19"/>
        <v>126.60028201193917</v>
      </c>
    </row>
    <row r="150" spans="2:76" hidden="1" outlineLevel="1">
      <c r="B150" s="348" t="s">
        <v>257</v>
      </c>
      <c r="C150" s="348" t="s">
        <v>231</v>
      </c>
      <c r="D150" s="348" t="str">
        <f>'DATA (Real)'!D146</f>
        <v>Mid-Columbia (off-peak) $/MWh</v>
      </c>
      <c r="E150" s="348" t="str">
        <f>'DATA (Real)'!E146</f>
        <v>4hr Lithium-Ion</v>
      </c>
      <c r="F150" s="314"/>
      <c r="G150" s="314"/>
      <c r="H150" s="314"/>
      <c r="I150" s="345">
        <v>47.250245234171551</v>
      </c>
      <c r="J150" s="345">
        <v>42.695291233062747</v>
      </c>
      <c r="K150" s="345">
        <v>35.737634620666505</v>
      </c>
      <c r="L150" s="345">
        <v>33.298855654398601</v>
      </c>
      <c r="M150" s="345">
        <v>29.94199250539144</v>
      </c>
      <c r="N150" s="345">
        <v>29.873882106145224</v>
      </c>
      <c r="O150" s="345">
        <v>29.969028625488281</v>
      </c>
      <c r="P150" s="345">
        <v>34.386924508412676</v>
      </c>
      <c r="Q150" s="345">
        <v>32.3403474966685</v>
      </c>
      <c r="R150" s="345">
        <v>31.446651989618939</v>
      </c>
      <c r="S150" s="345">
        <v>32.465719086329145</v>
      </c>
      <c r="T150" s="345">
        <v>32.996186469395958</v>
      </c>
      <c r="U150" s="345">
        <v>34.316011184056599</v>
      </c>
      <c r="V150" s="345">
        <v>34.902709827423095</v>
      </c>
      <c r="W150" s="345">
        <v>36.589668127695717</v>
      </c>
      <c r="X150" s="345">
        <v>36.321291920344038</v>
      </c>
      <c r="Y150" s="345">
        <v>37.435441672007244</v>
      </c>
      <c r="Z150" s="345">
        <v>39.591238657633461</v>
      </c>
      <c r="AA150" s="345">
        <v>39.797599767049157</v>
      </c>
      <c r="AB150" s="345">
        <v>41.420371265411376</v>
      </c>
      <c r="AC150" s="345">
        <v>42.373192412058515</v>
      </c>
      <c r="AD150" s="345">
        <v>47.640904057820642</v>
      </c>
      <c r="AE150" s="345">
        <v>47.549325656890872</v>
      </c>
      <c r="AF150" s="324">
        <f t="shared" si="20"/>
        <v>48.595410821342469</v>
      </c>
      <c r="AG150" s="324">
        <f t="shared" si="19"/>
        <v>49.664509859412007</v>
      </c>
      <c r="AH150" s="324">
        <f t="shared" si="19"/>
        <v>50.757129076319075</v>
      </c>
      <c r="AI150" s="324">
        <f t="shared" si="19"/>
        <v>51.873785915998099</v>
      </c>
      <c r="AJ150" s="324">
        <f t="shared" si="19"/>
        <v>53.015009206150054</v>
      </c>
      <c r="AK150" s="324">
        <f t="shared" si="19"/>
        <v>54.181339408685353</v>
      </c>
      <c r="AL150" s="324">
        <f t="shared" si="19"/>
        <v>55.373328875676435</v>
      </c>
      <c r="AM150" s="324">
        <f t="shared" si="19"/>
        <v>56.591542110941319</v>
      </c>
      <c r="AN150" s="324">
        <f t="shared" si="19"/>
        <v>57.836556037382032</v>
      </c>
      <c r="AO150" s="324">
        <f t="shared" si="19"/>
        <v>59.108960270204435</v>
      </c>
      <c r="AP150" s="324">
        <f t="shared" si="19"/>
        <v>60.409357396148934</v>
      </c>
      <c r="AQ150" s="324">
        <f t="shared" si="19"/>
        <v>61.738363258864212</v>
      </c>
      <c r="AR150" s="324">
        <f t="shared" si="19"/>
        <v>63.096607250559224</v>
      </c>
      <c r="AS150" s="324">
        <f t="shared" si="19"/>
        <v>64.484732610071532</v>
      </c>
      <c r="AT150" s="324">
        <f t="shared" si="19"/>
        <v>65.903396727493103</v>
      </c>
      <c r="AU150" s="324">
        <f t="shared" si="19"/>
        <v>67.353271455497946</v>
      </c>
      <c r="AV150" s="324">
        <f t="shared" si="19"/>
        <v>68.835043427518897</v>
      </c>
      <c r="AW150" s="324">
        <f t="shared" si="19"/>
        <v>70.349414382924309</v>
      </c>
      <c r="AX150" s="324">
        <f t="shared" si="19"/>
        <v>71.897101499348651</v>
      </c>
      <c r="AY150" s="324">
        <f t="shared" si="19"/>
        <v>73.478837732334327</v>
      </c>
      <c r="AZ150" s="324">
        <f t="shared" si="19"/>
        <v>75.095372162445685</v>
      </c>
      <c r="BA150" s="324">
        <f t="shared" si="19"/>
        <v>76.747470350019498</v>
      </c>
      <c r="BB150" s="324">
        <f t="shared" si="19"/>
        <v>78.435914697719923</v>
      </c>
      <c r="BC150" s="324">
        <f t="shared" si="19"/>
        <v>80.161504821069769</v>
      </c>
      <c r="BD150" s="324">
        <f t="shared" si="19"/>
        <v>81.925057927133309</v>
      </c>
      <c r="BE150" s="324">
        <f t="shared" si="19"/>
        <v>83.72740920153025</v>
      </c>
      <c r="BF150" s="324">
        <f t="shared" si="19"/>
        <v>85.569412203963921</v>
      </c>
      <c r="BG150" s="324">
        <f t="shared" si="19"/>
        <v>87.451939272451128</v>
      </c>
      <c r="BH150" s="324">
        <f t="shared" si="19"/>
        <v>89.375881936445055</v>
      </c>
      <c r="BI150" s="324">
        <f t="shared" si="19"/>
        <v>91.34215133904685</v>
      </c>
      <c r="BJ150" s="324">
        <f t="shared" si="19"/>
        <v>93.351678668505883</v>
      </c>
      <c r="BK150" s="324">
        <f t="shared" si="19"/>
        <v>95.405415599213015</v>
      </c>
      <c r="BL150" s="324">
        <f t="shared" si="19"/>
        <v>97.504334742395699</v>
      </c>
      <c r="BM150" s="324">
        <f t="shared" si="19"/>
        <v>99.649430106728403</v>
      </c>
      <c r="BN150" s="324">
        <f t="shared" si="19"/>
        <v>101.84171756907642</v>
      </c>
      <c r="BO150" s="324">
        <f t="shared" si="19"/>
        <v>104.08223535559611</v>
      </c>
      <c r="BP150" s="324">
        <f t="shared" si="19"/>
        <v>106.37204453341923</v>
      </c>
      <c r="BQ150" s="324">
        <f t="shared" si="19"/>
        <v>108.71222951315445</v>
      </c>
      <c r="BR150" s="324">
        <f t="shared" si="19"/>
        <v>111.10389856244386</v>
      </c>
      <c r="BS150" s="324">
        <f t="shared" si="19"/>
        <v>113.54818433081762</v>
      </c>
      <c r="BT150" s="324">
        <f t="shared" si="19"/>
        <v>116.04624438609561</v>
      </c>
      <c r="BU150" s="324">
        <f t="shared" si="19"/>
        <v>118.59926176258972</v>
      </c>
      <c r="BV150" s="324">
        <f t="shared" si="19"/>
        <v>121.2084455213667</v>
      </c>
      <c r="BW150" s="324">
        <f t="shared" si="19"/>
        <v>123.87503132283676</v>
      </c>
      <c r="BX150" s="324">
        <f t="shared" si="19"/>
        <v>126.60028201193917</v>
      </c>
    </row>
    <row r="151" spans="2:76" hidden="1" outlineLevel="1">
      <c r="B151" s="348" t="s">
        <v>257</v>
      </c>
      <c r="C151" s="348" t="s">
        <v>231</v>
      </c>
      <c r="D151" s="348" t="str">
        <f>'DATA (Real)'!D147</f>
        <v>Mid-Columbia (off-peak) $/MWh</v>
      </c>
      <c r="E151" s="348" t="str">
        <f>'DATA (Real)'!E147</f>
        <v>8hr Lithium-Ion</v>
      </c>
      <c r="F151" s="314"/>
      <c r="G151" s="314"/>
      <c r="H151" s="314"/>
      <c r="I151" s="345">
        <v>47.250245234171551</v>
      </c>
      <c r="J151" s="345">
        <v>42.695291233062747</v>
      </c>
      <c r="K151" s="345">
        <v>35.737634620666505</v>
      </c>
      <c r="L151" s="345">
        <v>33.298855654398601</v>
      </c>
      <c r="M151" s="345">
        <v>29.94199250539144</v>
      </c>
      <c r="N151" s="345">
        <v>29.873882106145224</v>
      </c>
      <c r="O151" s="345">
        <v>29.969028625488281</v>
      </c>
      <c r="P151" s="345">
        <v>34.386924508412676</v>
      </c>
      <c r="Q151" s="345">
        <v>32.3403474966685</v>
      </c>
      <c r="R151" s="345">
        <v>31.446651989618939</v>
      </c>
      <c r="S151" s="345">
        <v>32.465719086329145</v>
      </c>
      <c r="T151" s="345">
        <v>32.996186469395958</v>
      </c>
      <c r="U151" s="345">
        <v>34.316011184056599</v>
      </c>
      <c r="V151" s="345">
        <v>34.902709827423095</v>
      </c>
      <c r="W151" s="345">
        <v>36.589668127695717</v>
      </c>
      <c r="X151" s="345">
        <v>36.321291920344038</v>
      </c>
      <c r="Y151" s="345">
        <v>37.435441672007244</v>
      </c>
      <c r="Z151" s="345">
        <v>39.591238657633461</v>
      </c>
      <c r="AA151" s="345">
        <v>39.797599767049157</v>
      </c>
      <c r="AB151" s="345">
        <v>41.420371265411376</v>
      </c>
      <c r="AC151" s="345">
        <v>42.373192412058515</v>
      </c>
      <c r="AD151" s="345">
        <v>47.640904057820642</v>
      </c>
      <c r="AE151" s="345">
        <v>47.549325656890872</v>
      </c>
      <c r="AF151" s="324">
        <f t="shared" si="20"/>
        <v>48.595410821342469</v>
      </c>
      <c r="AG151" s="324">
        <f t="shared" si="19"/>
        <v>49.664509859412007</v>
      </c>
      <c r="AH151" s="324">
        <f t="shared" si="19"/>
        <v>50.757129076319075</v>
      </c>
      <c r="AI151" s="324">
        <f t="shared" si="19"/>
        <v>51.873785915998099</v>
      </c>
      <c r="AJ151" s="324">
        <f t="shared" si="19"/>
        <v>53.015009206150054</v>
      </c>
      <c r="AK151" s="324">
        <f t="shared" si="19"/>
        <v>54.181339408685353</v>
      </c>
      <c r="AL151" s="324">
        <f t="shared" si="19"/>
        <v>55.373328875676435</v>
      </c>
      <c r="AM151" s="324">
        <f t="shared" si="19"/>
        <v>56.591542110941319</v>
      </c>
      <c r="AN151" s="324">
        <f t="shared" si="19"/>
        <v>57.836556037382032</v>
      </c>
      <c r="AO151" s="324">
        <f t="shared" si="19"/>
        <v>59.108960270204435</v>
      </c>
      <c r="AP151" s="324">
        <f t="shared" si="19"/>
        <v>60.409357396148934</v>
      </c>
      <c r="AQ151" s="324">
        <f t="shared" si="19"/>
        <v>61.738363258864212</v>
      </c>
      <c r="AR151" s="324">
        <f t="shared" si="19"/>
        <v>63.096607250559224</v>
      </c>
      <c r="AS151" s="324">
        <f t="shared" si="19"/>
        <v>64.484732610071532</v>
      </c>
      <c r="AT151" s="324">
        <f t="shared" si="19"/>
        <v>65.903396727493103</v>
      </c>
      <c r="AU151" s="324">
        <f t="shared" si="19"/>
        <v>67.353271455497946</v>
      </c>
      <c r="AV151" s="324">
        <f t="shared" si="19"/>
        <v>68.835043427518897</v>
      </c>
      <c r="AW151" s="324">
        <f t="shared" si="19"/>
        <v>70.349414382924309</v>
      </c>
      <c r="AX151" s="324">
        <f t="shared" si="19"/>
        <v>71.897101499348651</v>
      </c>
      <c r="AY151" s="324">
        <f t="shared" si="19"/>
        <v>73.478837732334327</v>
      </c>
      <c r="AZ151" s="324">
        <f t="shared" si="19"/>
        <v>75.095372162445685</v>
      </c>
      <c r="BA151" s="324">
        <f t="shared" si="19"/>
        <v>76.747470350019498</v>
      </c>
      <c r="BB151" s="324">
        <f t="shared" si="19"/>
        <v>78.435914697719923</v>
      </c>
      <c r="BC151" s="324">
        <f t="shared" si="19"/>
        <v>80.161504821069769</v>
      </c>
      <c r="BD151" s="324">
        <f t="shared" si="19"/>
        <v>81.925057927133309</v>
      </c>
      <c r="BE151" s="324">
        <f t="shared" si="19"/>
        <v>83.72740920153025</v>
      </c>
      <c r="BF151" s="324">
        <f t="shared" si="19"/>
        <v>85.569412203963921</v>
      </c>
      <c r="BG151" s="324">
        <f t="shared" si="19"/>
        <v>87.451939272451128</v>
      </c>
      <c r="BH151" s="324">
        <f t="shared" si="19"/>
        <v>89.375881936445055</v>
      </c>
      <c r="BI151" s="324">
        <f t="shared" si="19"/>
        <v>91.34215133904685</v>
      </c>
      <c r="BJ151" s="324">
        <f t="shared" si="19"/>
        <v>93.351678668505883</v>
      </c>
      <c r="BK151" s="324">
        <f t="shared" si="19"/>
        <v>95.405415599213015</v>
      </c>
      <c r="BL151" s="324">
        <f t="shared" si="19"/>
        <v>97.504334742395699</v>
      </c>
      <c r="BM151" s="324">
        <f t="shared" si="19"/>
        <v>99.649430106728403</v>
      </c>
      <c r="BN151" s="324">
        <f t="shared" si="19"/>
        <v>101.84171756907642</v>
      </c>
      <c r="BO151" s="324">
        <f t="shared" si="19"/>
        <v>104.08223535559611</v>
      </c>
      <c r="BP151" s="324">
        <f t="shared" si="19"/>
        <v>106.37204453341923</v>
      </c>
      <c r="BQ151" s="324">
        <f t="shared" si="19"/>
        <v>108.71222951315445</v>
      </c>
      <c r="BR151" s="324">
        <f t="shared" si="19"/>
        <v>111.10389856244386</v>
      </c>
      <c r="BS151" s="324">
        <f t="shared" si="19"/>
        <v>113.54818433081762</v>
      </c>
      <c r="BT151" s="324">
        <f t="shared" si="19"/>
        <v>116.04624438609561</v>
      </c>
      <c r="BU151" s="324">
        <f t="shared" si="19"/>
        <v>118.59926176258972</v>
      </c>
      <c r="BV151" s="324">
        <f t="shared" si="19"/>
        <v>121.2084455213667</v>
      </c>
      <c r="BW151" s="324">
        <f t="shared" si="19"/>
        <v>123.87503132283676</v>
      </c>
      <c r="BX151" s="324">
        <f t="shared" si="19"/>
        <v>126.60028201193917</v>
      </c>
    </row>
    <row r="152" spans="2:76" hidden="1" outlineLevel="1">
      <c r="B152" s="348" t="s">
        <v>257</v>
      </c>
      <c r="C152" s="348" t="s">
        <v>231</v>
      </c>
      <c r="D152" s="348" t="str">
        <f>'DATA (Real)'!D148</f>
        <v>Mid-Columbia (off-peak) $/MWh</v>
      </c>
      <c r="E152" s="348" t="str">
        <f>'DATA (Real)'!E148</f>
        <v>16hr Lithium-Ion</v>
      </c>
      <c r="F152" s="314"/>
      <c r="G152" s="314"/>
      <c r="H152" s="314"/>
      <c r="I152" s="345">
        <v>47.250245234171551</v>
      </c>
      <c r="J152" s="345">
        <v>42.695291233062747</v>
      </c>
      <c r="K152" s="345">
        <v>35.737634620666505</v>
      </c>
      <c r="L152" s="345">
        <v>33.298855654398601</v>
      </c>
      <c r="M152" s="345">
        <v>29.94199250539144</v>
      </c>
      <c r="N152" s="345">
        <v>29.873882106145224</v>
      </c>
      <c r="O152" s="345">
        <v>29.969028625488281</v>
      </c>
      <c r="P152" s="345">
        <v>34.386924508412676</v>
      </c>
      <c r="Q152" s="345">
        <v>32.3403474966685</v>
      </c>
      <c r="R152" s="345">
        <v>31.446651989618939</v>
      </c>
      <c r="S152" s="345">
        <v>32.465719086329145</v>
      </c>
      <c r="T152" s="345">
        <v>32.996186469395958</v>
      </c>
      <c r="U152" s="345">
        <v>34.316011184056599</v>
      </c>
      <c r="V152" s="345">
        <v>34.902709827423095</v>
      </c>
      <c r="W152" s="345">
        <v>36.589668127695717</v>
      </c>
      <c r="X152" s="345">
        <v>36.321291920344038</v>
      </c>
      <c r="Y152" s="345">
        <v>37.435441672007244</v>
      </c>
      <c r="Z152" s="345">
        <v>39.591238657633461</v>
      </c>
      <c r="AA152" s="345">
        <v>39.797599767049157</v>
      </c>
      <c r="AB152" s="345">
        <v>41.420371265411376</v>
      </c>
      <c r="AC152" s="345">
        <v>42.373192412058515</v>
      </c>
      <c r="AD152" s="345">
        <v>47.640904057820642</v>
      </c>
      <c r="AE152" s="345">
        <v>47.549325656890872</v>
      </c>
      <c r="AF152" s="324">
        <f t="shared" si="20"/>
        <v>48.595410821342469</v>
      </c>
      <c r="AG152" s="324">
        <f t="shared" si="19"/>
        <v>49.664509859412007</v>
      </c>
      <c r="AH152" s="324">
        <f t="shared" si="19"/>
        <v>50.757129076319075</v>
      </c>
      <c r="AI152" s="324">
        <f t="shared" si="19"/>
        <v>51.873785915998099</v>
      </c>
      <c r="AJ152" s="324">
        <f t="shared" si="19"/>
        <v>53.015009206150054</v>
      </c>
      <c r="AK152" s="324">
        <f t="shared" si="19"/>
        <v>54.181339408685353</v>
      </c>
      <c r="AL152" s="324">
        <f t="shared" si="19"/>
        <v>55.373328875676435</v>
      </c>
      <c r="AM152" s="324">
        <f t="shared" si="19"/>
        <v>56.591542110941319</v>
      </c>
      <c r="AN152" s="324">
        <f t="shared" si="19"/>
        <v>57.836556037382032</v>
      </c>
      <c r="AO152" s="324">
        <f t="shared" si="19"/>
        <v>59.108960270204435</v>
      </c>
      <c r="AP152" s="324">
        <f t="shared" si="19"/>
        <v>60.409357396148934</v>
      </c>
      <c r="AQ152" s="324">
        <f t="shared" si="19"/>
        <v>61.738363258864212</v>
      </c>
      <c r="AR152" s="324">
        <f t="shared" si="19"/>
        <v>63.096607250559224</v>
      </c>
      <c r="AS152" s="324">
        <f t="shared" si="19"/>
        <v>64.484732610071532</v>
      </c>
      <c r="AT152" s="324">
        <f t="shared" si="19"/>
        <v>65.903396727493103</v>
      </c>
      <c r="AU152" s="324">
        <f t="shared" si="19"/>
        <v>67.353271455497946</v>
      </c>
      <c r="AV152" s="324">
        <f t="shared" si="19"/>
        <v>68.835043427518897</v>
      </c>
      <c r="AW152" s="324">
        <f t="shared" si="19"/>
        <v>70.349414382924309</v>
      </c>
      <c r="AX152" s="324">
        <f t="shared" si="19"/>
        <v>71.897101499348651</v>
      </c>
      <c r="AY152" s="324">
        <f t="shared" si="19"/>
        <v>73.478837732334327</v>
      </c>
      <c r="AZ152" s="324">
        <f t="shared" si="19"/>
        <v>75.095372162445685</v>
      </c>
      <c r="BA152" s="324">
        <f t="shared" si="19"/>
        <v>76.747470350019498</v>
      </c>
      <c r="BB152" s="324">
        <f t="shared" si="19"/>
        <v>78.435914697719923</v>
      </c>
      <c r="BC152" s="324">
        <f t="shared" si="19"/>
        <v>80.161504821069769</v>
      </c>
      <c r="BD152" s="324">
        <f t="shared" si="19"/>
        <v>81.925057927133309</v>
      </c>
      <c r="BE152" s="324">
        <f t="shared" si="19"/>
        <v>83.72740920153025</v>
      </c>
      <c r="BF152" s="324">
        <f t="shared" si="19"/>
        <v>85.569412203963921</v>
      </c>
      <c r="BG152" s="324">
        <f t="shared" si="19"/>
        <v>87.451939272451128</v>
      </c>
      <c r="BH152" s="324">
        <f t="shared" si="19"/>
        <v>89.375881936445055</v>
      </c>
      <c r="BI152" s="324">
        <f t="shared" si="19"/>
        <v>91.34215133904685</v>
      </c>
      <c r="BJ152" s="324">
        <f t="shared" si="19"/>
        <v>93.351678668505883</v>
      </c>
      <c r="BK152" s="324">
        <f t="shared" si="19"/>
        <v>95.405415599213015</v>
      </c>
      <c r="BL152" s="324">
        <f t="shared" si="19"/>
        <v>97.504334742395699</v>
      </c>
      <c r="BM152" s="324">
        <f t="shared" si="19"/>
        <v>99.649430106728403</v>
      </c>
      <c r="BN152" s="324">
        <f t="shared" si="19"/>
        <v>101.84171756907642</v>
      </c>
      <c r="BO152" s="324">
        <f t="shared" si="19"/>
        <v>104.08223535559611</v>
      </c>
      <c r="BP152" s="324">
        <f t="shared" si="19"/>
        <v>106.37204453341923</v>
      </c>
      <c r="BQ152" s="324">
        <f t="shared" si="19"/>
        <v>108.71222951315445</v>
      </c>
      <c r="BR152" s="324">
        <f t="shared" si="19"/>
        <v>111.10389856244386</v>
      </c>
      <c r="BS152" s="324">
        <f t="shared" si="19"/>
        <v>113.54818433081762</v>
      </c>
      <c r="BT152" s="324">
        <f t="shared" si="19"/>
        <v>116.04624438609561</v>
      </c>
      <c r="BU152" s="324">
        <f t="shared" si="19"/>
        <v>118.59926176258972</v>
      </c>
      <c r="BV152" s="324">
        <f t="shared" si="19"/>
        <v>121.2084455213667</v>
      </c>
      <c r="BW152" s="324">
        <f t="shared" si="19"/>
        <v>123.87503132283676</v>
      </c>
      <c r="BX152" s="324">
        <f t="shared" si="19"/>
        <v>126.60028201193917</v>
      </c>
    </row>
    <row r="153" spans="2:76" hidden="1" outlineLevel="1">
      <c r="B153" s="348" t="s">
        <v>257</v>
      </c>
      <c r="C153" s="348" t="s">
        <v>231</v>
      </c>
      <c r="D153" s="348" t="str">
        <f>'DATA (Real)'!D149</f>
        <v>Mid-Columbia (off-peak) $/MWh</v>
      </c>
      <c r="E153" s="348" t="str">
        <f>'DATA (Real)'!E149</f>
        <v>4 hr Vanadium Flow Battery</v>
      </c>
      <c r="F153" s="314"/>
      <c r="G153" s="314"/>
      <c r="H153" s="314"/>
      <c r="I153" s="345">
        <v>47.250245234171551</v>
      </c>
      <c r="J153" s="345">
        <v>42.695291233062747</v>
      </c>
      <c r="K153" s="345">
        <v>35.737634620666505</v>
      </c>
      <c r="L153" s="345">
        <v>33.298855654398601</v>
      </c>
      <c r="M153" s="345">
        <v>29.94199250539144</v>
      </c>
      <c r="N153" s="345">
        <v>29.873882106145224</v>
      </c>
      <c r="O153" s="345">
        <v>29.969028625488281</v>
      </c>
      <c r="P153" s="345">
        <v>34.386924508412676</v>
      </c>
      <c r="Q153" s="345">
        <v>32.3403474966685</v>
      </c>
      <c r="R153" s="345">
        <v>31.446651989618939</v>
      </c>
      <c r="S153" s="345">
        <v>32.465719086329145</v>
      </c>
      <c r="T153" s="345">
        <v>32.996186469395958</v>
      </c>
      <c r="U153" s="345">
        <v>34.316011184056599</v>
      </c>
      <c r="V153" s="345">
        <v>34.902709827423095</v>
      </c>
      <c r="W153" s="345">
        <v>36.589668127695717</v>
      </c>
      <c r="X153" s="345">
        <v>36.321291920344038</v>
      </c>
      <c r="Y153" s="345">
        <v>37.435441672007244</v>
      </c>
      <c r="Z153" s="345">
        <v>39.591238657633461</v>
      </c>
      <c r="AA153" s="345">
        <v>39.797599767049157</v>
      </c>
      <c r="AB153" s="345">
        <v>41.420371265411376</v>
      </c>
      <c r="AC153" s="345">
        <v>42.373192412058515</v>
      </c>
      <c r="AD153" s="345">
        <v>47.640904057820642</v>
      </c>
      <c r="AE153" s="345">
        <v>47.549325656890872</v>
      </c>
      <c r="AF153" s="324">
        <f t="shared" si="20"/>
        <v>48.595410821342469</v>
      </c>
      <c r="AG153" s="324">
        <f t="shared" si="19"/>
        <v>49.664509859412007</v>
      </c>
      <c r="AH153" s="324">
        <f t="shared" si="19"/>
        <v>50.757129076319075</v>
      </c>
      <c r="AI153" s="324">
        <f t="shared" si="19"/>
        <v>51.873785915998099</v>
      </c>
      <c r="AJ153" s="324">
        <f t="shared" si="19"/>
        <v>53.015009206150054</v>
      </c>
      <c r="AK153" s="324">
        <f t="shared" si="19"/>
        <v>54.181339408685353</v>
      </c>
      <c r="AL153" s="324">
        <f t="shared" si="19"/>
        <v>55.373328875676435</v>
      </c>
      <c r="AM153" s="324">
        <f t="shared" si="19"/>
        <v>56.591542110941319</v>
      </c>
      <c r="AN153" s="324">
        <f t="shared" si="19"/>
        <v>57.836556037382032</v>
      </c>
      <c r="AO153" s="324">
        <f t="shared" si="19"/>
        <v>59.108960270204435</v>
      </c>
      <c r="AP153" s="324">
        <f t="shared" si="19"/>
        <v>60.409357396148934</v>
      </c>
      <c r="AQ153" s="324">
        <f t="shared" si="19"/>
        <v>61.738363258864212</v>
      </c>
      <c r="AR153" s="324">
        <f t="shared" si="19"/>
        <v>63.096607250559224</v>
      </c>
      <c r="AS153" s="324">
        <f t="shared" si="19"/>
        <v>64.484732610071532</v>
      </c>
      <c r="AT153" s="324">
        <f t="shared" si="19"/>
        <v>65.903396727493103</v>
      </c>
      <c r="AU153" s="324">
        <f t="shared" si="19"/>
        <v>67.353271455497946</v>
      </c>
      <c r="AV153" s="324">
        <f t="shared" si="19"/>
        <v>68.835043427518897</v>
      </c>
      <c r="AW153" s="324">
        <f t="shared" si="19"/>
        <v>70.349414382924309</v>
      </c>
      <c r="AX153" s="324">
        <f t="shared" si="19"/>
        <v>71.897101499348651</v>
      </c>
      <c r="AY153" s="324">
        <f t="shared" si="19"/>
        <v>73.478837732334327</v>
      </c>
      <c r="AZ153" s="324">
        <f t="shared" si="19"/>
        <v>75.095372162445685</v>
      </c>
      <c r="BA153" s="324">
        <f t="shared" si="19"/>
        <v>76.747470350019498</v>
      </c>
      <c r="BB153" s="324">
        <f t="shared" si="19"/>
        <v>78.435914697719923</v>
      </c>
      <c r="BC153" s="324">
        <f t="shared" si="19"/>
        <v>80.161504821069769</v>
      </c>
      <c r="BD153" s="324">
        <f t="shared" si="19"/>
        <v>81.925057927133309</v>
      </c>
      <c r="BE153" s="324">
        <f t="shared" si="19"/>
        <v>83.72740920153025</v>
      </c>
      <c r="BF153" s="324">
        <f t="shared" si="19"/>
        <v>85.569412203963921</v>
      </c>
      <c r="BG153" s="324">
        <f t="shared" si="19"/>
        <v>87.451939272451128</v>
      </c>
      <c r="BH153" s="324">
        <f t="shared" si="19"/>
        <v>89.375881936445055</v>
      </c>
      <c r="BI153" s="324">
        <f t="shared" si="19"/>
        <v>91.34215133904685</v>
      </c>
      <c r="BJ153" s="324">
        <f t="shared" si="19"/>
        <v>93.351678668505883</v>
      </c>
      <c r="BK153" s="324">
        <f t="shared" si="19"/>
        <v>95.405415599213015</v>
      </c>
      <c r="BL153" s="324">
        <f t="shared" si="19"/>
        <v>97.504334742395699</v>
      </c>
      <c r="BM153" s="324">
        <f t="shared" si="19"/>
        <v>99.649430106728403</v>
      </c>
      <c r="BN153" s="324">
        <f t="shared" si="19"/>
        <v>101.84171756907642</v>
      </c>
      <c r="BO153" s="324">
        <f t="shared" si="19"/>
        <v>104.08223535559611</v>
      </c>
      <c r="BP153" s="324">
        <f t="shared" si="19"/>
        <v>106.37204453341923</v>
      </c>
      <c r="BQ153" s="324">
        <f t="shared" si="19"/>
        <v>108.71222951315445</v>
      </c>
      <c r="BR153" s="324">
        <f t="shared" si="19"/>
        <v>111.10389856244386</v>
      </c>
      <c r="BS153" s="324">
        <f t="shared" si="19"/>
        <v>113.54818433081762</v>
      </c>
      <c r="BT153" s="324">
        <f t="shared" si="19"/>
        <v>116.04624438609561</v>
      </c>
      <c r="BU153" s="324">
        <f t="shared" si="19"/>
        <v>118.59926176258972</v>
      </c>
      <c r="BV153" s="324">
        <f t="shared" si="19"/>
        <v>121.2084455213667</v>
      </c>
      <c r="BW153" s="324">
        <f t="shared" si="19"/>
        <v>123.87503132283676</v>
      </c>
      <c r="BX153" s="324">
        <f t="shared" si="19"/>
        <v>126.60028201193917</v>
      </c>
    </row>
    <row r="154" spans="2:76" hidden="1" outlineLevel="1">
      <c r="B154" s="348" t="s">
        <v>257</v>
      </c>
      <c r="C154" s="348" t="s">
        <v>231</v>
      </c>
      <c r="D154" s="348" t="str">
        <f>'DATA (Real)'!D150</f>
        <v>Mid-Columbia (off-peak) $/MWh</v>
      </c>
      <c r="E154" s="348" t="str">
        <f>'DATA (Real)'!E150</f>
        <v>4 hr Zinc Bromide Flow Battery</v>
      </c>
      <c r="F154" s="314"/>
      <c r="G154" s="314"/>
      <c r="H154" s="314"/>
      <c r="I154" s="345">
        <v>47.250245234171551</v>
      </c>
      <c r="J154" s="345">
        <v>42.695291233062747</v>
      </c>
      <c r="K154" s="345">
        <v>35.737634620666505</v>
      </c>
      <c r="L154" s="345">
        <v>33.298855654398601</v>
      </c>
      <c r="M154" s="345">
        <v>29.94199250539144</v>
      </c>
      <c r="N154" s="345">
        <v>29.873882106145224</v>
      </c>
      <c r="O154" s="345">
        <v>29.969028625488281</v>
      </c>
      <c r="P154" s="345">
        <v>34.386924508412676</v>
      </c>
      <c r="Q154" s="345">
        <v>32.3403474966685</v>
      </c>
      <c r="R154" s="345">
        <v>31.446651989618939</v>
      </c>
      <c r="S154" s="345">
        <v>32.465719086329145</v>
      </c>
      <c r="T154" s="345">
        <v>32.996186469395958</v>
      </c>
      <c r="U154" s="345">
        <v>34.316011184056599</v>
      </c>
      <c r="V154" s="345">
        <v>34.902709827423095</v>
      </c>
      <c r="W154" s="345">
        <v>36.589668127695717</v>
      </c>
      <c r="X154" s="345">
        <v>36.321291920344038</v>
      </c>
      <c r="Y154" s="345">
        <v>37.435441672007244</v>
      </c>
      <c r="Z154" s="345">
        <v>39.591238657633461</v>
      </c>
      <c r="AA154" s="345">
        <v>39.797599767049157</v>
      </c>
      <c r="AB154" s="345">
        <v>41.420371265411376</v>
      </c>
      <c r="AC154" s="345">
        <v>42.373192412058515</v>
      </c>
      <c r="AD154" s="345">
        <v>47.640904057820642</v>
      </c>
      <c r="AE154" s="345">
        <v>47.549325656890872</v>
      </c>
      <c r="AF154" s="324">
        <f t="shared" si="20"/>
        <v>48.595410821342469</v>
      </c>
      <c r="AG154" s="324">
        <f t="shared" si="19"/>
        <v>49.664509859412007</v>
      </c>
      <c r="AH154" s="324">
        <f t="shared" si="19"/>
        <v>50.757129076319075</v>
      </c>
      <c r="AI154" s="324">
        <f t="shared" si="19"/>
        <v>51.873785915998099</v>
      </c>
      <c r="AJ154" s="324">
        <f t="shared" si="19"/>
        <v>53.015009206150054</v>
      </c>
      <c r="AK154" s="324">
        <f t="shared" si="19"/>
        <v>54.181339408685353</v>
      </c>
      <c r="AL154" s="324">
        <f t="shared" si="19"/>
        <v>55.373328875676435</v>
      </c>
      <c r="AM154" s="324">
        <f t="shared" ref="AG154:BX159" si="21">AL154*(1+AM$2)</f>
        <v>56.591542110941319</v>
      </c>
      <c r="AN154" s="324">
        <f t="shared" si="21"/>
        <v>57.836556037382032</v>
      </c>
      <c r="AO154" s="324">
        <f t="shared" si="21"/>
        <v>59.108960270204435</v>
      </c>
      <c r="AP154" s="324">
        <f t="shared" si="21"/>
        <v>60.409357396148934</v>
      </c>
      <c r="AQ154" s="324">
        <f t="shared" si="21"/>
        <v>61.738363258864212</v>
      </c>
      <c r="AR154" s="324">
        <f t="shared" si="21"/>
        <v>63.096607250559224</v>
      </c>
      <c r="AS154" s="324">
        <f t="shared" si="21"/>
        <v>64.484732610071532</v>
      </c>
      <c r="AT154" s="324">
        <f t="shared" si="21"/>
        <v>65.903396727493103</v>
      </c>
      <c r="AU154" s="324">
        <f t="shared" si="21"/>
        <v>67.353271455497946</v>
      </c>
      <c r="AV154" s="324">
        <f t="shared" si="21"/>
        <v>68.835043427518897</v>
      </c>
      <c r="AW154" s="324">
        <f t="shared" si="21"/>
        <v>70.349414382924309</v>
      </c>
      <c r="AX154" s="324">
        <f t="shared" si="21"/>
        <v>71.897101499348651</v>
      </c>
      <c r="AY154" s="324">
        <f t="shared" si="21"/>
        <v>73.478837732334327</v>
      </c>
      <c r="AZ154" s="324">
        <f t="shared" si="21"/>
        <v>75.095372162445685</v>
      </c>
      <c r="BA154" s="324">
        <f t="shared" si="21"/>
        <v>76.747470350019498</v>
      </c>
      <c r="BB154" s="324">
        <f t="shared" si="21"/>
        <v>78.435914697719923</v>
      </c>
      <c r="BC154" s="324">
        <f t="shared" si="21"/>
        <v>80.161504821069769</v>
      </c>
      <c r="BD154" s="324">
        <f t="shared" si="21"/>
        <v>81.925057927133309</v>
      </c>
      <c r="BE154" s="324">
        <f t="shared" si="21"/>
        <v>83.72740920153025</v>
      </c>
      <c r="BF154" s="324">
        <f t="shared" si="21"/>
        <v>85.569412203963921</v>
      </c>
      <c r="BG154" s="324">
        <f t="shared" si="21"/>
        <v>87.451939272451128</v>
      </c>
      <c r="BH154" s="324">
        <f t="shared" si="21"/>
        <v>89.375881936445055</v>
      </c>
      <c r="BI154" s="324">
        <f t="shared" si="21"/>
        <v>91.34215133904685</v>
      </c>
      <c r="BJ154" s="324">
        <f t="shared" si="21"/>
        <v>93.351678668505883</v>
      </c>
      <c r="BK154" s="324">
        <f t="shared" si="21"/>
        <v>95.405415599213015</v>
      </c>
      <c r="BL154" s="324">
        <f t="shared" si="21"/>
        <v>97.504334742395699</v>
      </c>
      <c r="BM154" s="324">
        <f t="shared" si="21"/>
        <v>99.649430106728403</v>
      </c>
      <c r="BN154" s="324">
        <f t="shared" si="21"/>
        <v>101.84171756907642</v>
      </c>
      <c r="BO154" s="324">
        <f t="shared" si="21"/>
        <v>104.08223535559611</v>
      </c>
      <c r="BP154" s="324">
        <f t="shared" si="21"/>
        <v>106.37204453341923</v>
      </c>
      <c r="BQ154" s="324">
        <f t="shared" si="21"/>
        <v>108.71222951315445</v>
      </c>
      <c r="BR154" s="324">
        <f t="shared" si="21"/>
        <v>111.10389856244386</v>
      </c>
      <c r="BS154" s="324">
        <f t="shared" si="21"/>
        <v>113.54818433081762</v>
      </c>
      <c r="BT154" s="324">
        <f t="shared" si="21"/>
        <v>116.04624438609561</v>
      </c>
      <c r="BU154" s="324">
        <f t="shared" si="21"/>
        <v>118.59926176258972</v>
      </c>
      <c r="BV154" s="324">
        <f t="shared" si="21"/>
        <v>121.2084455213667</v>
      </c>
      <c r="BW154" s="324">
        <f t="shared" si="21"/>
        <v>123.87503132283676</v>
      </c>
      <c r="BX154" s="324">
        <f t="shared" si="21"/>
        <v>126.60028201193917</v>
      </c>
    </row>
    <row r="155" spans="2:76" hidden="1" outlineLevel="1">
      <c r="B155" s="348" t="s">
        <v>257</v>
      </c>
      <c r="C155" s="348" t="s">
        <v>231</v>
      </c>
      <c r="D155" s="348" t="str">
        <f>'DATA (Real)'!D151</f>
        <v>Mid-Columbia (off-peak) $/MWh</v>
      </c>
      <c r="E155" s="348" t="str">
        <f>'DATA (Real)'!E151</f>
        <v>100hr Iron Oxide</v>
      </c>
      <c r="F155" s="314"/>
      <c r="G155" s="314"/>
      <c r="H155" s="314"/>
      <c r="I155" s="345">
        <v>47.250245234171551</v>
      </c>
      <c r="J155" s="345">
        <v>42.695291233062747</v>
      </c>
      <c r="K155" s="345">
        <v>35.737634620666505</v>
      </c>
      <c r="L155" s="345">
        <v>33.298855654398601</v>
      </c>
      <c r="M155" s="345">
        <v>29.94199250539144</v>
      </c>
      <c r="N155" s="345">
        <v>29.873882106145224</v>
      </c>
      <c r="O155" s="345">
        <v>29.969028625488281</v>
      </c>
      <c r="P155" s="345">
        <v>34.386924508412676</v>
      </c>
      <c r="Q155" s="345">
        <v>32.3403474966685</v>
      </c>
      <c r="R155" s="345">
        <v>31.446651989618939</v>
      </c>
      <c r="S155" s="345">
        <v>32.465719086329145</v>
      </c>
      <c r="T155" s="345">
        <v>32.996186469395958</v>
      </c>
      <c r="U155" s="345">
        <v>34.316011184056599</v>
      </c>
      <c r="V155" s="345">
        <v>34.902709827423095</v>
      </c>
      <c r="W155" s="345">
        <v>36.589668127695717</v>
      </c>
      <c r="X155" s="345">
        <v>36.321291920344038</v>
      </c>
      <c r="Y155" s="345">
        <v>37.435441672007244</v>
      </c>
      <c r="Z155" s="345">
        <v>39.591238657633461</v>
      </c>
      <c r="AA155" s="345">
        <v>39.797599767049157</v>
      </c>
      <c r="AB155" s="345">
        <v>41.420371265411376</v>
      </c>
      <c r="AC155" s="345">
        <v>42.373192412058515</v>
      </c>
      <c r="AD155" s="345">
        <v>47.640904057820642</v>
      </c>
      <c r="AE155" s="345">
        <v>47.549325656890872</v>
      </c>
      <c r="AF155" s="324">
        <f t="shared" si="20"/>
        <v>48.595410821342469</v>
      </c>
      <c r="AG155" s="324">
        <f t="shared" si="21"/>
        <v>49.664509859412007</v>
      </c>
      <c r="AH155" s="324">
        <f t="shared" si="21"/>
        <v>50.757129076319075</v>
      </c>
      <c r="AI155" s="324">
        <f t="shared" si="21"/>
        <v>51.873785915998099</v>
      </c>
      <c r="AJ155" s="324">
        <f t="shared" si="21"/>
        <v>53.015009206150054</v>
      </c>
      <c r="AK155" s="324">
        <f t="shared" si="21"/>
        <v>54.181339408685353</v>
      </c>
      <c r="AL155" s="324">
        <f t="shared" si="21"/>
        <v>55.373328875676435</v>
      </c>
      <c r="AM155" s="324">
        <f t="shared" si="21"/>
        <v>56.591542110941319</v>
      </c>
      <c r="AN155" s="324">
        <f t="shared" si="21"/>
        <v>57.836556037382032</v>
      </c>
      <c r="AO155" s="324">
        <f t="shared" si="21"/>
        <v>59.108960270204435</v>
      </c>
      <c r="AP155" s="324">
        <f t="shared" si="21"/>
        <v>60.409357396148934</v>
      </c>
      <c r="AQ155" s="324">
        <f t="shared" si="21"/>
        <v>61.738363258864212</v>
      </c>
      <c r="AR155" s="324">
        <f t="shared" si="21"/>
        <v>63.096607250559224</v>
      </c>
      <c r="AS155" s="324">
        <f t="shared" si="21"/>
        <v>64.484732610071532</v>
      </c>
      <c r="AT155" s="324">
        <f t="shared" si="21"/>
        <v>65.903396727493103</v>
      </c>
      <c r="AU155" s="324">
        <f t="shared" si="21"/>
        <v>67.353271455497946</v>
      </c>
      <c r="AV155" s="324">
        <f t="shared" si="21"/>
        <v>68.835043427518897</v>
      </c>
      <c r="AW155" s="324">
        <f t="shared" si="21"/>
        <v>70.349414382924309</v>
      </c>
      <c r="AX155" s="324">
        <f t="shared" si="21"/>
        <v>71.897101499348651</v>
      </c>
      <c r="AY155" s="324">
        <f t="shared" si="21"/>
        <v>73.478837732334327</v>
      </c>
      <c r="AZ155" s="324">
        <f t="shared" si="21"/>
        <v>75.095372162445685</v>
      </c>
      <c r="BA155" s="324">
        <f t="shared" si="21"/>
        <v>76.747470350019498</v>
      </c>
      <c r="BB155" s="324">
        <f t="shared" si="21"/>
        <v>78.435914697719923</v>
      </c>
      <c r="BC155" s="324">
        <f t="shared" si="21"/>
        <v>80.161504821069769</v>
      </c>
      <c r="BD155" s="324">
        <f t="shared" si="21"/>
        <v>81.925057927133309</v>
      </c>
      <c r="BE155" s="324">
        <f t="shared" si="21"/>
        <v>83.72740920153025</v>
      </c>
      <c r="BF155" s="324">
        <f t="shared" si="21"/>
        <v>85.569412203963921</v>
      </c>
      <c r="BG155" s="324">
        <f t="shared" si="21"/>
        <v>87.451939272451128</v>
      </c>
      <c r="BH155" s="324">
        <f t="shared" si="21"/>
        <v>89.375881936445055</v>
      </c>
      <c r="BI155" s="324">
        <f t="shared" si="21"/>
        <v>91.34215133904685</v>
      </c>
      <c r="BJ155" s="324">
        <f t="shared" si="21"/>
        <v>93.351678668505883</v>
      </c>
      <c r="BK155" s="324">
        <f t="shared" si="21"/>
        <v>95.405415599213015</v>
      </c>
      <c r="BL155" s="324">
        <f t="shared" si="21"/>
        <v>97.504334742395699</v>
      </c>
      <c r="BM155" s="324">
        <f t="shared" si="21"/>
        <v>99.649430106728403</v>
      </c>
      <c r="BN155" s="324">
        <f t="shared" si="21"/>
        <v>101.84171756907642</v>
      </c>
      <c r="BO155" s="324">
        <f t="shared" si="21"/>
        <v>104.08223535559611</v>
      </c>
      <c r="BP155" s="324">
        <f t="shared" si="21"/>
        <v>106.37204453341923</v>
      </c>
      <c r="BQ155" s="324">
        <f t="shared" si="21"/>
        <v>108.71222951315445</v>
      </c>
      <c r="BR155" s="324">
        <f t="shared" si="21"/>
        <v>111.10389856244386</v>
      </c>
      <c r="BS155" s="324">
        <f t="shared" si="21"/>
        <v>113.54818433081762</v>
      </c>
      <c r="BT155" s="324">
        <f t="shared" si="21"/>
        <v>116.04624438609561</v>
      </c>
      <c r="BU155" s="324">
        <f t="shared" si="21"/>
        <v>118.59926176258972</v>
      </c>
      <c r="BV155" s="324">
        <f t="shared" si="21"/>
        <v>121.2084455213667</v>
      </c>
      <c r="BW155" s="324">
        <f t="shared" si="21"/>
        <v>123.87503132283676</v>
      </c>
      <c r="BX155" s="324">
        <f t="shared" si="21"/>
        <v>126.60028201193917</v>
      </c>
    </row>
    <row r="156" spans="2:76" hidden="1" outlineLevel="1">
      <c r="B156" s="348" t="s">
        <v>257</v>
      </c>
      <c r="C156" s="348" t="s">
        <v>231</v>
      </c>
      <c r="D156" s="348" t="str">
        <f>'DATA (Real)'!D152</f>
        <v>Mid-Columbia (off-peak) $/MWh</v>
      </c>
      <c r="E156" s="348" t="str">
        <f>'DATA (Real)'!E152</f>
        <v>Liquid Air</v>
      </c>
      <c r="F156" s="314"/>
      <c r="G156" s="314"/>
      <c r="H156" s="314"/>
      <c r="I156" s="345">
        <v>47.250245234171551</v>
      </c>
      <c r="J156" s="345">
        <v>42.695291233062747</v>
      </c>
      <c r="K156" s="345">
        <v>35.737634620666505</v>
      </c>
      <c r="L156" s="345">
        <v>33.298855654398601</v>
      </c>
      <c r="M156" s="345">
        <v>29.94199250539144</v>
      </c>
      <c r="N156" s="345">
        <v>29.873882106145224</v>
      </c>
      <c r="O156" s="345">
        <v>29.969028625488281</v>
      </c>
      <c r="P156" s="345">
        <v>34.386924508412676</v>
      </c>
      <c r="Q156" s="345">
        <v>32.3403474966685</v>
      </c>
      <c r="R156" s="345">
        <v>31.446651989618939</v>
      </c>
      <c r="S156" s="345">
        <v>32.465719086329145</v>
      </c>
      <c r="T156" s="345">
        <v>32.996186469395958</v>
      </c>
      <c r="U156" s="345">
        <v>34.316011184056599</v>
      </c>
      <c r="V156" s="345">
        <v>34.902709827423095</v>
      </c>
      <c r="W156" s="345">
        <v>36.589668127695717</v>
      </c>
      <c r="X156" s="345">
        <v>36.321291920344038</v>
      </c>
      <c r="Y156" s="345">
        <v>37.435441672007244</v>
      </c>
      <c r="Z156" s="345">
        <v>39.591238657633461</v>
      </c>
      <c r="AA156" s="345">
        <v>39.797599767049157</v>
      </c>
      <c r="AB156" s="345">
        <v>41.420371265411376</v>
      </c>
      <c r="AC156" s="345">
        <v>42.373192412058515</v>
      </c>
      <c r="AD156" s="345">
        <v>47.640904057820642</v>
      </c>
      <c r="AE156" s="345">
        <v>47.549325656890872</v>
      </c>
      <c r="AF156" s="324">
        <f t="shared" si="20"/>
        <v>48.595410821342469</v>
      </c>
      <c r="AG156" s="324">
        <f t="shared" si="21"/>
        <v>49.664509859412007</v>
      </c>
      <c r="AH156" s="324">
        <f t="shared" si="21"/>
        <v>50.757129076319075</v>
      </c>
      <c r="AI156" s="324">
        <f t="shared" si="21"/>
        <v>51.873785915998099</v>
      </c>
      <c r="AJ156" s="324">
        <f t="shared" si="21"/>
        <v>53.015009206150054</v>
      </c>
      <c r="AK156" s="324">
        <f t="shared" si="21"/>
        <v>54.181339408685353</v>
      </c>
      <c r="AL156" s="324">
        <f t="shared" si="21"/>
        <v>55.373328875676435</v>
      </c>
      <c r="AM156" s="324">
        <f t="shared" si="21"/>
        <v>56.591542110941319</v>
      </c>
      <c r="AN156" s="324">
        <f t="shared" si="21"/>
        <v>57.836556037382032</v>
      </c>
      <c r="AO156" s="324">
        <f t="shared" si="21"/>
        <v>59.108960270204435</v>
      </c>
      <c r="AP156" s="324">
        <f t="shared" si="21"/>
        <v>60.409357396148934</v>
      </c>
      <c r="AQ156" s="324">
        <f t="shared" si="21"/>
        <v>61.738363258864212</v>
      </c>
      <c r="AR156" s="324">
        <f t="shared" si="21"/>
        <v>63.096607250559224</v>
      </c>
      <c r="AS156" s="324">
        <f t="shared" si="21"/>
        <v>64.484732610071532</v>
      </c>
      <c r="AT156" s="324">
        <f t="shared" si="21"/>
        <v>65.903396727493103</v>
      </c>
      <c r="AU156" s="324">
        <f t="shared" si="21"/>
        <v>67.353271455497946</v>
      </c>
      <c r="AV156" s="324">
        <f t="shared" si="21"/>
        <v>68.835043427518897</v>
      </c>
      <c r="AW156" s="324">
        <f t="shared" si="21"/>
        <v>70.349414382924309</v>
      </c>
      <c r="AX156" s="324">
        <f t="shared" si="21"/>
        <v>71.897101499348651</v>
      </c>
      <c r="AY156" s="324">
        <f t="shared" si="21"/>
        <v>73.478837732334327</v>
      </c>
      <c r="AZ156" s="324">
        <f t="shared" si="21"/>
        <v>75.095372162445685</v>
      </c>
      <c r="BA156" s="324">
        <f t="shared" si="21"/>
        <v>76.747470350019498</v>
      </c>
      <c r="BB156" s="324">
        <f t="shared" si="21"/>
        <v>78.435914697719923</v>
      </c>
      <c r="BC156" s="324">
        <f t="shared" si="21"/>
        <v>80.161504821069769</v>
      </c>
      <c r="BD156" s="324">
        <f t="shared" si="21"/>
        <v>81.925057927133309</v>
      </c>
      <c r="BE156" s="324">
        <f t="shared" si="21"/>
        <v>83.72740920153025</v>
      </c>
      <c r="BF156" s="324">
        <f t="shared" si="21"/>
        <v>85.569412203963921</v>
      </c>
      <c r="BG156" s="324">
        <f t="shared" si="21"/>
        <v>87.451939272451128</v>
      </c>
      <c r="BH156" s="324">
        <f t="shared" si="21"/>
        <v>89.375881936445055</v>
      </c>
      <c r="BI156" s="324">
        <f t="shared" si="21"/>
        <v>91.34215133904685</v>
      </c>
      <c r="BJ156" s="324">
        <f t="shared" si="21"/>
        <v>93.351678668505883</v>
      </c>
      <c r="BK156" s="324">
        <f t="shared" si="21"/>
        <v>95.405415599213015</v>
      </c>
      <c r="BL156" s="324">
        <f t="shared" si="21"/>
        <v>97.504334742395699</v>
      </c>
      <c r="BM156" s="324">
        <f t="shared" si="21"/>
        <v>99.649430106728403</v>
      </c>
      <c r="BN156" s="324">
        <f t="shared" si="21"/>
        <v>101.84171756907642</v>
      </c>
      <c r="BO156" s="324">
        <f t="shared" si="21"/>
        <v>104.08223535559611</v>
      </c>
      <c r="BP156" s="324">
        <f t="shared" si="21"/>
        <v>106.37204453341923</v>
      </c>
      <c r="BQ156" s="324">
        <f t="shared" si="21"/>
        <v>108.71222951315445</v>
      </c>
      <c r="BR156" s="324">
        <f t="shared" si="21"/>
        <v>111.10389856244386</v>
      </c>
      <c r="BS156" s="324">
        <f t="shared" si="21"/>
        <v>113.54818433081762</v>
      </c>
      <c r="BT156" s="324">
        <f t="shared" si="21"/>
        <v>116.04624438609561</v>
      </c>
      <c r="BU156" s="324">
        <f t="shared" si="21"/>
        <v>118.59926176258972</v>
      </c>
      <c r="BV156" s="324">
        <f t="shared" si="21"/>
        <v>121.2084455213667</v>
      </c>
      <c r="BW156" s="324">
        <f t="shared" si="21"/>
        <v>123.87503132283676</v>
      </c>
      <c r="BX156" s="324">
        <f t="shared" si="21"/>
        <v>126.60028201193917</v>
      </c>
    </row>
    <row r="157" spans="2:76" hidden="1" outlineLevel="1">
      <c r="B157" s="348" t="s">
        <v>257</v>
      </c>
      <c r="C157" s="348" t="s">
        <v>231</v>
      </c>
      <c r="D157" s="348" t="str">
        <f>'DATA (Real)'!D153</f>
        <v>Mid-Columbia (off-peak) $/MWh</v>
      </c>
      <c r="E157" s="348" t="str">
        <f>'DATA (Real)'!E153</f>
        <v>Pumped Hydro (8.5 hr/ 400 MW share)</v>
      </c>
      <c r="F157" s="314"/>
      <c r="G157" s="314"/>
      <c r="H157" s="314"/>
      <c r="I157" s="345">
        <v>47.250245234171551</v>
      </c>
      <c r="J157" s="345">
        <v>42.695291233062747</v>
      </c>
      <c r="K157" s="345">
        <v>35.737634620666505</v>
      </c>
      <c r="L157" s="345">
        <v>33.298855654398601</v>
      </c>
      <c r="M157" s="345">
        <v>29.94199250539144</v>
      </c>
      <c r="N157" s="345">
        <v>29.873882106145224</v>
      </c>
      <c r="O157" s="345">
        <v>29.969028625488281</v>
      </c>
      <c r="P157" s="345">
        <v>34.386924508412676</v>
      </c>
      <c r="Q157" s="345">
        <v>32.3403474966685</v>
      </c>
      <c r="R157" s="345">
        <v>31.446651989618939</v>
      </c>
      <c r="S157" s="345">
        <v>32.465719086329145</v>
      </c>
      <c r="T157" s="345">
        <v>32.996186469395958</v>
      </c>
      <c r="U157" s="345">
        <v>34.316011184056599</v>
      </c>
      <c r="V157" s="345">
        <v>34.902709827423095</v>
      </c>
      <c r="W157" s="345">
        <v>36.589668127695717</v>
      </c>
      <c r="X157" s="345">
        <v>36.321291920344038</v>
      </c>
      <c r="Y157" s="345">
        <v>37.435441672007244</v>
      </c>
      <c r="Z157" s="345">
        <v>39.591238657633461</v>
      </c>
      <c r="AA157" s="345">
        <v>39.797599767049157</v>
      </c>
      <c r="AB157" s="345">
        <v>41.420371265411376</v>
      </c>
      <c r="AC157" s="345">
        <v>42.373192412058515</v>
      </c>
      <c r="AD157" s="345">
        <v>47.640904057820642</v>
      </c>
      <c r="AE157" s="345">
        <v>47.549325656890872</v>
      </c>
      <c r="AF157" s="324">
        <f t="shared" si="20"/>
        <v>48.595410821342469</v>
      </c>
      <c r="AG157" s="324">
        <f t="shared" si="21"/>
        <v>49.664509859412007</v>
      </c>
      <c r="AH157" s="324">
        <f t="shared" si="21"/>
        <v>50.757129076319075</v>
      </c>
      <c r="AI157" s="324">
        <f t="shared" si="21"/>
        <v>51.873785915998099</v>
      </c>
      <c r="AJ157" s="324">
        <f t="shared" si="21"/>
        <v>53.015009206150054</v>
      </c>
      <c r="AK157" s="324">
        <f t="shared" si="21"/>
        <v>54.181339408685353</v>
      </c>
      <c r="AL157" s="324">
        <f t="shared" si="21"/>
        <v>55.373328875676435</v>
      </c>
      <c r="AM157" s="324">
        <f t="shared" si="21"/>
        <v>56.591542110941319</v>
      </c>
      <c r="AN157" s="324">
        <f t="shared" si="21"/>
        <v>57.836556037382032</v>
      </c>
      <c r="AO157" s="324">
        <f t="shared" si="21"/>
        <v>59.108960270204435</v>
      </c>
      <c r="AP157" s="324">
        <f t="shared" si="21"/>
        <v>60.409357396148934</v>
      </c>
      <c r="AQ157" s="324">
        <f t="shared" si="21"/>
        <v>61.738363258864212</v>
      </c>
      <c r="AR157" s="324">
        <f t="shared" si="21"/>
        <v>63.096607250559224</v>
      </c>
      <c r="AS157" s="324">
        <f t="shared" si="21"/>
        <v>64.484732610071532</v>
      </c>
      <c r="AT157" s="324">
        <f t="shared" si="21"/>
        <v>65.903396727493103</v>
      </c>
      <c r="AU157" s="324">
        <f t="shared" si="21"/>
        <v>67.353271455497946</v>
      </c>
      <c r="AV157" s="324">
        <f t="shared" si="21"/>
        <v>68.835043427518897</v>
      </c>
      <c r="AW157" s="324">
        <f t="shared" si="21"/>
        <v>70.349414382924309</v>
      </c>
      <c r="AX157" s="324">
        <f t="shared" si="21"/>
        <v>71.897101499348651</v>
      </c>
      <c r="AY157" s="324">
        <f t="shared" si="21"/>
        <v>73.478837732334327</v>
      </c>
      <c r="AZ157" s="324">
        <f t="shared" si="21"/>
        <v>75.095372162445685</v>
      </c>
      <c r="BA157" s="324">
        <f t="shared" si="21"/>
        <v>76.747470350019498</v>
      </c>
      <c r="BB157" s="324">
        <f t="shared" si="21"/>
        <v>78.435914697719923</v>
      </c>
      <c r="BC157" s="324">
        <f t="shared" si="21"/>
        <v>80.161504821069769</v>
      </c>
      <c r="BD157" s="324">
        <f t="shared" si="21"/>
        <v>81.925057927133309</v>
      </c>
      <c r="BE157" s="324">
        <f t="shared" si="21"/>
        <v>83.72740920153025</v>
      </c>
      <c r="BF157" s="324">
        <f t="shared" si="21"/>
        <v>85.569412203963921</v>
      </c>
      <c r="BG157" s="324">
        <f t="shared" si="21"/>
        <v>87.451939272451128</v>
      </c>
      <c r="BH157" s="324">
        <f t="shared" si="21"/>
        <v>89.375881936445055</v>
      </c>
      <c r="BI157" s="324">
        <f t="shared" si="21"/>
        <v>91.34215133904685</v>
      </c>
      <c r="BJ157" s="324">
        <f t="shared" si="21"/>
        <v>93.351678668505883</v>
      </c>
      <c r="BK157" s="324">
        <f t="shared" si="21"/>
        <v>95.405415599213015</v>
      </c>
      <c r="BL157" s="324">
        <f t="shared" si="21"/>
        <v>97.504334742395699</v>
      </c>
      <c r="BM157" s="324">
        <f t="shared" si="21"/>
        <v>99.649430106728403</v>
      </c>
      <c r="BN157" s="324">
        <f t="shared" si="21"/>
        <v>101.84171756907642</v>
      </c>
      <c r="BO157" s="324">
        <f t="shared" si="21"/>
        <v>104.08223535559611</v>
      </c>
      <c r="BP157" s="324">
        <f t="shared" si="21"/>
        <v>106.37204453341923</v>
      </c>
      <c r="BQ157" s="324">
        <f t="shared" si="21"/>
        <v>108.71222951315445</v>
      </c>
      <c r="BR157" s="324">
        <f t="shared" si="21"/>
        <v>111.10389856244386</v>
      </c>
      <c r="BS157" s="324">
        <f t="shared" si="21"/>
        <v>113.54818433081762</v>
      </c>
      <c r="BT157" s="324">
        <f t="shared" si="21"/>
        <v>116.04624438609561</v>
      </c>
      <c r="BU157" s="324">
        <f t="shared" si="21"/>
        <v>118.59926176258972</v>
      </c>
      <c r="BV157" s="324">
        <f t="shared" si="21"/>
        <v>121.2084455213667</v>
      </c>
      <c r="BW157" s="324">
        <f t="shared" si="21"/>
        <v>123.87503132283676</v>
      </c>
      <c r="BX157" s="324">
        <f t="shared" si="21"/>
        <v>126.60028201193917</v>
      </c>
    </row>
    <row r="158" spans="2:76" hidden="1" outlineLevel="1">
      <c r="B158" s="348" t="s">
        <v>257</v>
      </c>
      <c r="C158" s="348" t="s">
        <v>231</v>
      </c>
      <c r="D158" s="348" t="str">
        <f>'DATA (Real)'!D154</f>
        <v>Mid-Columbia (off-peak) $/MWh</v>
      </c>
      <c r="E158" s="348" t="str">
        <f>'DATA (Real)'!E154</f>
        <v>Pumped Hydro (16 hr/ 100 MW)</v>
      </c>
      <c r="F158" s="314"/>
      <c r="G158" s="314"/>
      <c r="H158" s="314"/>
      <c r="I158" s="345">
        <v>47.250245234171551</v>
      </c>
      <c r="J158" s="345">
        <v>42.695291233062747</v>
      </c>
      <c r="K158" s="345">
        <v>35.737634620666505</v>
      </c>
      <c r="L158" s="345">
        <v>33.298855654398601</v>
      </c>
      <c r="M158" s="345">
        <v>29.94199250539144</v>
      </c>
      <c r="N158" s="345">
        <v>29.873882106145224</v>
      </c>
      <c r="O158" s="345">
        <v>29.969028625488281</v>
      </c>
      <c r="P158" s="345">
        <v>34.386924508412676</v>
      </c>
      <c r="Q158" s="345">
        <v>32.3403474966685</v>
      </c>
      <c r="R158" s="345">
        <v>31.446651989618939</v>
      </c>
      <c r="S158" s="345">
        <v>32.465719086329145</v>
      </c>
      <c r="T158" s="345">
        <v>32.996186469395958</v>
      </c>
      <c r="U158" s="345">
        <v>34.316011184056599</v>
      </c>
      <c r="V158" s="345">
        <v>34.902709827423095</v>
      </c>
      <c r="W158" s="345">
        <v>36.589668127695717</v>
      </c>
      <c r="X158" s="345">
        <v>36.321291920344038</v>
      </c>
      <c r="Y158" s="345">
        <v>37.435441672007244</v>
      </c>
      <c r="Z158" s="345">
        <v>39.591238657633461</v>
      </c>
      <c r="AA158" s="345">
        <v>39.797599767049157</v>
      </c>
      <c r="AB158" s="345">
        <v>41.420371265411376</v>
      </c>
      <c r="AC158" s="345">
        <v>42.373192412058515</v>
      </c>
      <c r="AD158" s="345">
        <v>47.640904057820642</v>
      </c>
      <c r="AE158" s="345">
        <v>47.549325656890872</v>
      </c>
      <c r="AF158" s="324">
        <f t="shared" si="20"/>
        <v>48.595410821342469</v>
      </c>
      <c r="AG158" s="324">
        <f t="shared" si="21"/>
        <v>49.664509859412007</v>
      </c>
      <c r="AH158" s="324">
        <f t="shared" si="21"/>
        <v>50.757129076319075</v>
      </c>
      <c r="AI158" s="324">
        <f t="shared" si="21"/>
        <v>51.873785915998099</v>
      </c>
      <c r="AJ158" s="324">
        <f t="shared" si="21"/>
        <v>53.015009206150054</v>
      </c>
      <c r="AK158" s="324">
        <f t="shared" si="21"/>
        <v>54.181339408685353</v>
      </c>
      <c r="AL158" s="324">
        <f t="shared" si="21"/>
        <v>55.373328875676435</v>
      </c>
      <c r="AM158" s="324">
        <f t="shared" si="21"/>
        <v>56.591542110941319</v>
      </c>
      <c r="AN158" s="324">
        <f t="shared" si="21"/>
        <v>57.836556037382032</v>
      </c>
      <c r="AO158" s="324">
        <f t="shared" si="21"/>
        <v>59.108960270204435</v>
      </c>
      <c r="AP158" s="324">
        <f t="shared" si="21"/>
        <v>60.409357396148934</v>
      </c>
      <c r="AQ158" s="324">
        <f t="shared" si="21"/>
        <v>61.738363258864212</v>
      </c>
      <c r="AR158" s="324">
        <f t="shared" si="21"/>
        <v>63.096607250559224</v>
      </c>
      <c r="AS158" s="324">
        <f t="shared" si="21"/>
        <v>64.484732610071532</v>
      </c>
      <c r="AT158" s="324">
        <f t="shared" si="21"/>
        <v>65.903396727493103</v>
      </c>
      <c r="AU158" s="324">
        <f t="shared" si="21"/>
        <v>67.353271455497946</v>
      </c>
      <c r="AV158" s="324">
        <f t="shared" si="21"/>
        <v>68.835043427518897</v>
      </c>
      <c r="AW158" s="324">
        <f t="shared" si="21"/>
        <v>70.349414382924309</v>
      </c>
      <c r="AX158" s="324">
        <f t="shared" si="21"/>
        <v>71.897101499348651</v>
      </c>
      <c r="AY158" s="324">
        <f t="shared" si="21"/>
        <v>73.478837732334327</v>
      </c>
      <c r="AZ158" s="324">
        <f t="shared" si="21"/>
        <v>75.095372162445685</v>
      </c>
      <c r="BA158" s="324">
        <f t="shared" si="21"/>
        <v>76.747470350019498</v>
      </c>
      <c r="BB158" s="324">
        <f t="shared" si="21"/>
        <v>78.435914697719923</v>
      </c>
      <c r="BC158" s="324">
        <f t="shared" si="21"/>
        <v>80.161504821069769</v>
      </c>
      <c r="BD158" s="324">
        <f t="shared" si="21"/>
        <v>81.925057927133309</v>
      </c>
      <c r="BE158" s="324">
        <f t="shared" si="21"/>
        <v>83.72740920153025</v>
      </c>
      <c r="BF158" s="324">
        <f t="shared" si="21"/>
        <v>85.569412203963921</v>
      </c>
      <c r="BG158" s="324">
        <f t="shared" si="21"/>
        <v>87.451939272451128</v>
      </c>
      <c r="BH158" s="324">
        <f t="shared" si="21"/>
        <v>89.375881936445055</v>
      </c>
      <c r="BI158" s="324">
        <f t="shared" si="21"/>
        <v>91.34215133904685</v>
      </c>
      <c r="BJ158" s="324">
        <f t="shared" si="21"/>
        <v>93.351678668505883</v>
      </c>
      <c r="BK158" s="324">
        <f t="shared" si="21"/>
        <v>95.405415599213015</v>
      </c>
      <c r="BL158" s="324">
        <f t="shared" si="21"/>
        <v>97.504334742395699</v>
      </c>
      <c r="BM158" s="324">
        <f t="shared" si="21"/>
        <v>99.649430106728403</v>
      </c>
      <c r="BN158" s="324">
        <f t="shared" si="21"/>
        <v>101.84171756907642</v>
      </c>
      <c r="BO158" s="324">
        <f t="shared" si="21"/>
        <v>104.08223535559611</v>
      </c>
      <c r="BP158" s="324">
        <f t="shared" si="21"/>
        <v>106.37204453341923</v>
      </c>
      <c r="BQ158" s="324">
        <f t="shared" si="21"/>
        <v>108.71222951315445</v>
      </c>
      <c r="BR158" s="324">
        <f t="shared" si="21"/>
        <v>111.10389856244386</v>
      </c>
      <c r="BS158" s="324">
        <f t="shared" si="21"/>
        <v>113.54818433081762</v>
      </c>
      <c r="BT158" s="324">
        <f t="shared" si="21"/>
        <v>116.04624438609561</v>
      </c>
      <c r="BU158" s="324">
        <f t="shared" si="21"/>
        <v>118.59926176258972</v>
      </c>
      <c r="BV158" s="324">
        <f t="shared" si="21"/>
        <v>121.2084455213667</v>
      </c>
      <c r="BW158" s="324">
        <f t="shared" si="21"/>
        <v>123.87503132283676</v>
      </c>
      <c r="BX158" s="324">
        <f t="shared" si="21"/>
        <v>126.60028201193917</v>
      </c>
    </row>
    <row r="159" spans="2:76" hidden="1" outlineLevel="1">
      <c r="B159" s="348" t="s">
        <v>257</v>
      </c>
      <c r="C159" s="348" t="s">
        <v>231</v>
      </c>
      <c r="D159" s="348" t="str">
        <f>'DATA (Real)'!D155</f>
        <v>Mid-Columbia (off-peak) $/MWh</v>
      </c>
      <c r="E159" s="348" t="str">
        <f>'DATA (Real)'!E155</f>
        <v>Pumped Hyrdo (24 hr/ 100 MW)</v>
      </c>
      <c r="F159" s="314"/>
      <c r="G159" s="314"/>
      <c r="H159" s="314"/>
      <c r="I159" s="345">
        <v>47.250245234171551</v>
      </c>
      <c r="J159" s="345">
        <v>42.695291233062747</v>
      </c>
      <c r="K159" s="345">
        <v>35.737634620666505</v>
      </c>
      <c r="L159" s="345">
        <v>33.298855654398601</v>
      </c>
      <c r="M159" s="345">
        <v>29.94199250539144</v>
      </c>
      <c r="N159" s="345">
        <v>29.873882106145224</v>
      </c>
      <c r="O159" s="345">
        <v>29.969028625488281</v>
      </c>
      <c r="P159" s="345">
        <v>34.386924508412676</v>
      </c>
      <c r="Q159" s="345">
        <v>32.3403474966685</v>
      </c>
      <c r="R159" s="345">
        <v>31.446651989618939</v>
      </c>
      <c r="S159" s="345">
        <v>32.465719086329145</v>
      </c>
      <c r="T159" s="345">
        <v>32.996186469395958</v>
      </c>
      <c r="U159" s="345">
        <v>34.316011184056599</v>
      </c>
      <c r="V159" s="345">
        <v>34.902709827423095</v>
      </c>
      <c r="W159" s="345">
        <v>36.589668127695717</v>
      </c>
      <c r="X159" s="345">
        <v>36.321291920344038</v>
      </c>
      <c r="Y159" s="345">
        <v>37.435441672007244</v>
      </c>
      <c r="Z159" s="345">
        <v>39.591238657633461</v>
      </c>
      <c r="AA159" s="345">
        <v>39.797599767049157</v>
      </c>
      <c r="AB159" s="345">
        <v>41.420371265411376</v>
      </c>
      <c r="AC159" s="345">
        <v>42.373192412058515</v>
      </c>
      <c r="AD159" s="345">
        <v>47.640904057820642</v>
      </c>
      <c r="AE159" s="345">
        <v>47.549325656890872</v>
      </c>
      <c r="AF159" s="324">
        <f t="shared" si="20"/>
        <v>48.595410821342469</v>
      </c>
      <c r="AG159" s="324">
        <f t="shared" si="21"/>
        <v>49.664509859412007</v>
      </c>
      <c r="AH159" s="324">
        <f t="shared" si="21"/>
        <v>50.757129076319075</v>
      </c>
      <c r="AI159" s="324">
        <f t="shared" si="21"/>
        <v>51.873785915998099</v>
      </c>
      <c r="AJ159" s="324">
        <f t="shared" si="21"/>
        <v>53.015009206150054</v>
      </c>
      <c r="AK159" s="324">
        <f t="shared" si="21"/>
        <v>54.181339408685353</v>
      </c>
      <c r="AL159" s="324">
        <f t="shared" si="21"/>
        <v>55.373328875676435</v>
      </c>
      <c r="AM159" s="324">
        <f t="shared" si="21"/>
        <v>56.591542110941319</v>
      </c>
      <c r="AN159" s="324">
        <f t="shared" si="21"/>
        <v>57.836556037382032</v>
      </c>
      <c r="AO159" s="324">
        <f t="shared" si="21"/>
        <v>59.108960270204435</v>
      </c>
      <c r="AP159" s="324">
        <f t="shared" si="21"/>
        <v>60.409357396148934</v>
      </c>
      <c r="AQ159" s="324">
        <f t="shared" si="21"/>
        <v>61.738363258864212</v>
      </c>
      <c r="AR159" s="324">
        <f t="shared" si="21"/>
        <v>63.096607250559224</v>
      </c>
      <c r="AS159" s="324">
        <f t="shared" si="21"/>
        <v>64.484732610071532</v>
      </c>
      <c r="AT159" s="324">
        <f t="shared" si="21"/>
        <v>65.903396727493103</v>
      </c>
      <c r="AU159" s="324">
        <f t="shared" si="21"/>
        <v>67.353271455497946</v>
      </c>
      <c r="AV159" s="324">
        <f t="shared" si="21"/>
        <v>68.835043427518897</v>
      </c>
      <c r="AW159" s="324">
        <f t="shared" si="21"/>
        <v>70.349414382924309</v>
      </c>
      <c r="AX159" s="324">
        <f t="shared" si="21"/>
        <v>71.897101499348651</v>
      </c>
      <c r="AY159" s="324">
        <f t="shared" si="21"/>
        <v>73.478837732334327</v>
      </c>
      <c r="AZ159" s="324">
        <f t="shared" si="21"/>
        <v>75.095372162445685</v>
      </c>
      <c r="BA159" s="324">
        <f t="shared" si="21"/>
        <v>76.747470350019498</v>
      </c>
      <c r="BB159" s="324">
        <f t="shared" si="21"/>
        <v>78.435914697719923</v>
      </c>
      <c r="BC159" s="324">
        <f t="shared" si="21"/>
        <v>80.161504821069769</v>
      </c>
      <c r="BD159" s="324">
        <f t="shared" si="21"/>
        <v>81.925057927133309</v>
      </c>
      <c r="BE159" s="324">
        <f t="shared" si="21"/>
        <v>83.72740920153025</v>
      </c>
      <c r="BF159" s="324">
        <f t="shared" si="21"/>
        <v>85.569412203963921</v>
      </c>
      <c r="BG159" s="324">
        <f t="shared" si="21"/>
        <v>87.451939272451128</v>
      </c>
      <c r="BH159" s="324">
        <f t="shared" si="21"/>
        <v>89.375881936445055</v>
      </c>
      <c r="BI159" s="324">
        <f t="shared" si="21"/>
        <v>91.34215133904685</v>
      </c>
      <c r="BJ159" s="324">
        <f t="shared" si="21"/>
        <v>93.351678668505883</v>
      </c>
      <c r="BK159" s="324">
        <f t="shared" si="21"/>
        <v>95.405415599213015</v>
      </c>
      <c r="BL159" s="324">
        <f t="shared" si="21"/>
        <v>97.504334742395699</v>
      </c>
      <c r="BM159" s="324">
        <f t="shared" si="21"/>
        <v>99.649430106728403</v>
      </c>
      <c r="BN159" s="324">
        <f t="shared" si="21"/>
        <v>101.84171756907642</v>
      </c>
      <c r="BO159" s="324">
        <f t="shared" si="21"/>
        <v>104.08223535559611</v>
      </c>
      <c r="BP159" s="324">
        <f t="shared" si="21"/>
        <v>106.37204453341923</v>
      </c>
      <c r="BQ159" s="324">
        <f t="shared" si="21"/>
        <v>108.71222951315445</v>
      </c>
      <c r="BR159" s="324">
        <f t="shared" si="21"/>
        <v>111.10389856244386</v>
      </c>
      <c r="BS159" s="324">
        <f t="shared" si="21"/>
        <v>113.54818433081762</v>
      </c>
      <c r="BT159" s="324">
        <f t="shared" si="21"/>
        <v>116.04624438609561</v>
      </c>
      <c r="BU159" s="324">
        <f t="shared" si="21"/>
        <v>118.59926176258972</v>
      </c>
      <c r="BV159" s="324">
        <f t="shared" ref="BV159:BX159" si="22">BU159*(1+BV$2)</f>
        <v>121.2084455213667</v>
      </c>
      <c r="BW159" s="324">
        <f t="shared" si="22"/>
        <v>123.87503132283676</v>
      </c>
      <c r="BX159" s="324">
        <f t="shared" si="22"/>
        <v>126.60028201193917</v>
      </c>
    </row>
    <row r="160" spans="2:76" collapsed="1"/>
    <row r="161" spans="2:76">
      <c r="B161" s="259" t="str">
        <f>D161</f>
        <v>Fixed Operation and Maintenance Expenses ($/kW-yr)</v>
      </c>
      <c r="D161" s="259" t="str">
        <f>'DATA (Real)'!D157</f>
        <v>Fixed Operation and Maintenance Expenses ($/kW-yr)</v>
      </c>
      <c r="F161" s="318"/>
      <c r="G161" s="318"/>
      <c r="H161" s="318"/>
      <c r="I161" s="318"/>
      <c r="J161" s="318"/>
      <c r="K161" s="318"/>
      <c r="L161" s="318"/>
      <c r="M161" s="318"/>
      <c r="N161" s="318"/>
      <c r="O161" s="318"/>
      <c r="P161" s="318"/>
      <c r="Q161" s="318"/>
      <c r="R161" s="318"/>
      <c r="S161" s="318"/>
      <c r="T161" s="318"/>
      <c r="U161" s="318"/>
      <c r="V161" s="318"/>
      <c r="W161" s="318"/>
      <c r="X161" s="318"/>
      <c r="Y161" s="318"/>
      <c r="Z161" s="318"/>
      <c r="AA161" s="318"/>
      <c r="AB161" s="318"/>
      <c r="AC161" s="318"/>
      <c r="AD161" s="318"/>
      <c r="AE161" s="318"/>
      <c r="AF161" s="318"/>
      <c r="AG161" s="318"/>
      <c r="AH161" s="318"/>
      <c r="AI161" s="318"/>
      <c r="AJ161" s="318"/>
      <c r="AK161" s="318"/>
      <c r="AL161" s="318"/>
      <c r="AM161" s="318"/>
      <c r="AN161" s="318"/>
      <c r="AO161" s="318"/>
      <c r="AP161" s="318"/>
      <c r="AQ161" s="318"/>
      <c r="AR161" s="318"/>
      <c r="AS161" s="318"/>
      <c r="AT161" s="318"/>
      <c r="AU161" s="318"/>
      <c r="AV161" s="318"/>
      <c r="AW161" s="318"/>
      <c r="AX161" s="318"/>
      <c r="AY161" s="318"/>
      <c r="AZ161" s="318"/>
      <c r="BA161" s="318"/>
      <c r="BB161" s="318"/>
      <c r="BC161" s="318"/>
      <c r="BD161" s="318"/>
      <c r="BE161" s="318"/>
      <c r="BF161" s="318"/>
      <c r="BG161" s="318"/>
      <c r="BH161" s="318"/>
      <c r="BI161" s="318"/>
      <c r="BJ161" s="318"/>
      <c r="BK161" s="318"/>
      <c r="BL161" s="318"/>
      <c r="BM161" s="318"/>
      <c r="BN161" s="318"/>
      <c r="BO161" s="318"/>
      <c r="BP161" s="318"/>
      <c r="BQ161" s="318"/>
      <c r="BR161" s="318"/>
      <c r="BS161" s="318"/>
      <c r="BT161" s="318"/>
      <c r="BU161" s="318"/>
      <c r="BV161" s="318"/>
      <c r="BW161" s="318"/>
      <c r="BX161" s="318"/>
    </row>
    <row r="162" spans="2:76" hidden="1" outlineLevel="1">
      <c r="B162" s="348" t="s">
        <v>230</v>
      </c>
      <c r="C162" s="348" t="str">
        <f>'DATA (Real)'!C158</f>
        <v>NREL Utility-Scale Battery Storage - 4Hr</v>
      </c>
      <c r="D162" s="348" t="str">
        <f>'DATA (Real)'!D158</f>
        <v>Fixed Operation and Maintenance Expenses ($/kW-yr)</v>
      </c>
      <c r="E162" s="348" t="str">
        <f>'DATA (Real)'!E158</f>
        <v>Distribution Scale 4hr Lithium-Ion</v>
      </c>
      <c r="F162" s="314">
        <f>'DATA (Real)'!F158</f>
        <v>57.013691089493207</v>
      </c>
      <c r="G162" s="324">
        <f>'DATA (Real)'!G158*G$4/100</f>
        <v>49.92043281760207</v>
      </c>
      <c r="H162" s="324">
        <f>'DATA (Real)'!H158*H$4/100</f>
        <v>49.715216463296244</v>
      </c>
      <c r="I162" s="324">
        <f>'DATA (Real)'!I158*I$4/100</f>
        <v>46.985205920163672</v>
      </c>
      <c r="J162" s="324">
        <f>'DATA (Real)'!J158*J$4/100</f>
        <v>44.684029190835552</v>
      </c>
      <c r="K162" s="324">
        <f>'DATA (Real)'!K158*K$4/100</f>
        <v>43.223749773497396</v>
      </c>
      <c r="L162" s="324">
        <f>'DATA (Real)'!L158*L$4/100</f>
        <v>42.304237902328481</v>
      </c>
      <c r="M162" s="324">
        <f>'DATA (Real)'!M158*M$4/100</f>
        <v>41.536199576583549</v>
      </c>
      <c r="N162" s="324">
        <f>'DATA (Real)'!N158*N$4/100</f>
        <v>40.480666257446686</v>
      </c>
      <c r="O162" s="324">
        <f>'DATA (Real)'!O158*O$4/100</f>
        <v>39.805842610214427</v>
      </c>
      <c r="P162" s="324">
        <f>'DATA (Real)'!P158*P$4/100</f>
        <v>39.081734080035361</v>
      </c>
      <c r="Q162" s="324">
        <f>'DATA (Real)'!Q158*Q$4/100</f>
        <v>39.462117054932676</v>
      </c>
      <c r="R162" s="324">
        <f>'DATA (Real)'!R158*R$4/100</f>
        <v>39.820030555905483</v>
      </c>
      <c r="S162" s="324">
        <f>'DATA (Real)'!S158*S$4/100</f>
        <v>40.174592586266634</v>
      </c>
      <c r="T162" s="324">
        <f>'DATA (Real)'!T158*T$4/100</f>
        <v>40.525482451174618</v>
      </c>
      <c r="U162" s="324">
        <f>'DATA (Real)'!U158*U$4/100</f>
        <v>40.872366967326656</v>
      </c>
      <c r="V162" s="324">
        <f>'DATA (Real)'!V158*V$4/100</f>
        <v>41.214900068683122</v>
      </c>
      <c r="W162" s="324">
        <f>'DATA (Real)'!W158*W$4/100</f>
        <v>41.552722400886978</v>
      </c>
      <c r="X162" s="324">
        <f>'DATA (Real)'!X158*X$4/100</f>
        <v>41.885460904074719</v>
      </c>
      <c r="Y162" s="324">
        <f>'DATA (Real)'!Y158*Y$4/100</f>
        <v>42.212728383760698</v>
      </c>
      <c r="Z162" s="324">
        <f>'DATA (Real)'!Z158*Z$4/100</f>
        <v>42.534123069475115</v>
      </c>
      <c r="AA162" s="324">
        <f>'DATA (Real)'!AA158*AA$4/100</f>
        <v>42.849228160823344</v>
      </c>
      <c r="AB162" s="324">
        <f>'DATA (Real)'!AB158*AB$4/100</f>
        <v>43.157611360625154</v>
      </c>
      <c r="AC162" s="324">
        <f>'DATA (Real)'!AC158*AC$4/100</f>
        <v>43.458824394788572</v>
      </c>
      <c r="AD162" s="324">
        <f>'DATA (Real)'!AD158*AD$4/100</f>
        <v>43.752402518556636</v>
      </c>
      <c r="AE162" s="324">
        <f>'DATA (Real)'!AE158*AE$4/100</f>
        <v>44.03786400876325</v>
      </c>
      <c r="AF162" s="324">
        <f>'DATA (Real)'!AF158*AF$4/100</f>
        <v>44.314709641720093</v>
      </c>
      <c r="AG162" s="324">
        <f>'DATA (Real)'!AG158*AG$4/100</f>
        <v>44.582422156346674</v>
      </c>
      <c r="AH162" s="324">
        <f>'DATA (Real)'!AH158*AH$4/100</f>
        <v>44.840465702150411</v>
      </c>
      <c r="AI162" s="324">
        <f>'DATA (Real)'!AI158*AI$4/100</f>
        <v>45.088285271645844</v>
      </c>
      <c r="AJ162" s="324">
        <f>'DATA (Real)'!AJ158*AJ$4/100</f>
        <v>45.325306116799041</v>
      </c>
      <c r="AK162" s="324">
        <f>'DATA (Real)'!AK158*AK$4/100</f>
        <v>0</v>
      </c>
      <c r="AL162" s="324">
        <f>'DATA (Real)'!AL158*AL$4/100</f>
        <v>0</v>
      </c>
      <c r="AM162" s="324">
        <f>'DATA (Real)'!AM158*AM$4/100</f>
        <v>0</v>
      </c>
      <c r="AN162" s="324">
        <f>'DATA (Real)'!AN158*AN$4/100</f>
        <v>0</v>
      </c>
      <c r="AO162" s="324">
        <f>'DATA (Real)'!AO158*AO$4/100</f>
        <v>0</v>
      </c>
      <c r="AP162" s="324">
        <f>'DATA (Real)'!AP158*AP$4/100</f>
        <v>0</v>
      </c>
      <c r="AQ162" s="324">
        <f>'DATA (Real)'!AQ158*AQ$4/100</f>
        <v>0</v>
      </c>
      <c r="AR162" s="324">
        <f>'DATA (Real)'!AR158*AR$4/100</f>
        <v>0</v>
      </c>
      <c r="AS162" s="324">
        <f>'DATA (Real)'!AS158*AS$4/100</f>
        <v>0</v>
      </c>
      <c r="AT162" s="324">
        <f>'DATA (Real)'!AT158*AT$4/100</f>
        <v>0</v>
      </c>
      <c r="AU162" s="324">
        <f>'DATA (Real)'!AU158*AU$4/100</f>
        <v>0</v>
      </c>
      <c r="AV162" s="324">
        <f>'DATA (Real)'!AV158*AV$4/100</f>
        <v>0</v>
      </c>
      <c r="AW162" s="324">
        <f>'DATA (Real)'!AW158*AW$4/100</f>
        <v>0</v>
      </c>
      <c r="AX162" s="324">
        <f>'DATA (Real)'!AX158*AX$4/100</f>
        <v>0</v>
      </c>
      <c r="AY162" s="324">
        <f>'DATA (Real)'!AY158*AY$4/100</f>
        <v>0</v>
      </c>
      <c r="AZ162" s="324">
        <f>'DATA (Real)'!AZ158*AZ$4/100</f>
        <v>0</v>
      </c>
      <c r="BA162" s="324">
        <f>'DATA (Real)'!BA158*BA$4/100</f>
        <v>0</v>
      </c>
      <c r="BB162" s="324">
        <f>'DATA (Real)'!BB158*BB$4/100</f>
        <v>0</v>
      </c>
      <c r="BC162" s="324">
        <f>'DATA (Real)'!BC158*BC$4/100</f>
        <v>0</v>
      </c>
      <c r="BD162" s="324">
        <f>'DATA (Real)'!BD158*BD$4/100</f>
        <v>0</v>
      </c>
      <c r="BE162" s="324">
        <f>'DATA (Real)'!BE158*BE$4/100</f>
        <v>0</v>
      </c>
      <c r="BF162" s="324">
        <f>'DATA (Real)'!BF158*BF$4/100</f>
        <v>0</v>
      </c>
      <c r="BG162" s="324">
        <f>'DATA (Real)'!BG158*BG$4/100</f>
        <v>0</v>
      </c>
      <c r="BH162" s="324">
        <f>'DATA (Real)'!BH158*BH$4/100</f>
        <v>0</v>
      </c>
      <c r="BI162" s="324">
        <f>'DATA (Real)'!BI158*BI$4/100</f>
        <v>0</v>
      </c>
      <c r="BJ162" s="324">
        <f>'DATA (Real)'!BJ158*BJ$4/100</f>
        <v>0</v>
      </c>
      <c r="BK162" s="324">
        <f>'DATA (Real)'!BK158*BK$4/100</f>
        <v>0</v>
      </c>
      <c r="BL162" s="324">
        <f>'DATA (Real)'!BL158*BL$4/100</f>
        <v>0</v>
      </c>
      <c r="BM162" s="324">
        <f>'DATA (Real)'!BM158*BM$4/100</f>
        <v>0</v>
      </c>
      <c r="BN162" s="324">
        <f>'DATA (Real)'!BN158*BN$4/100</f>
        <v>0</v>
      </c>
      <c r="BO162" s="324">
        <f>'DATA (Real)'!BO158*BO$4/100</f>
        <v>0</v>
      </c>
      <c r="BP162" s="324">
        <f>'DATA (Real)'!BP158*BP$4/100</f>
        <v>0</v>
      </c>
      <c r="BQ162" s="324">
        <f>'DATA (Real)'!BQ158*BQ$4/100</f>
        <v>0</v>
      </c>
      <c r="BR162" s="324">
        <f>'DATA (Real)'!BR158*BR$4/100</f>
        <v>0</v>
      </c>
      <c r="BS162" s="324">
        <f>'DATA (Real)'!BS158*BS$4/100</f>
        <v>0</v>
      </c>
      <c r="BT162" s="324">
        <f>'DATA (Real)'!BT158*BT$4/100</f>
        <v>0</v>
      </c>
      <c r="BU162" s="324">
        <f>'DATA (Real)'!BU158*BU$4/100</f>
        <v>0</v>
      </c>
      <c r="BV162" s="324">
        <f>'DATA (Real)'!BV158*BV$4/100</f>
        <v>0</v>
      </c>
      <c r="BW162" s="324">
        <f>'DATA (Real)'!BW158*BW$4/100</f>
        <v>0</v>
      </c>
      <c r="BX162" s="324">
        <f>'DATA (Real)'!BX158*BX$4/100</f>
        <v>0</v>
      </c>
    </row>
    <row r="163" spans="2:76" hidden="1" outlineLevel="1">
      <c r="B163" s="348" t="s">
        <v>230</v>
      </c>
      <c r="C163" s="348" t="str">
        <f>'DATA (Real)'!C159</f>
        <v>NREL Utility-Scale Battery Storage - 8Hr</v>
      </c>
      <c r="D163" s="348" t="str">
        <f>'DATA (Real)'!D159</f>
        <v>Fixed Operation and Maintenance Expenses ($/kW-yr)</v>
      </c>
      <c r="E163" s="348" t="str">
        <f>'DATA (Real)'!E159</f>
        <v>Distribution Scale 8hr Lithium-Ion</v>
      </c>
      <c r="F163" s="314">
        <f>'DATA (Real)'!F159</f>
        <v>105.79472726244683</v>
      </c>
      <c r="G163" s="324">
        <f>'DATA (Real)'!G159*G$4/100</f>
        <v>91.780311282449205</v>
      </c>
      <c r="H163" s="324">
        <f>'DATA (Real)'!H159*H$4/100</f>
        <v>90.63446510510623</v>
      </c>
      <c r="I163" s="324">
        <f>'DATA (Real)'!I159*I$4/100</f>
        <v>85.12626898460087</v>
      </c>
      <c r="J163" s="324">
        <f>'DATA (Real)'!J159*J$4/100</f>
        <v>79.848256284519891</v>
      </c>
      <c r="K163" s="324">
        <f>'DATA (Real)'!K159*K$4/100</f>
        <v>77.040710166414343</v>
      </c>
      <c r="L163" s="324">
        <f>'DATA (Real)'!L159*L$4/100</f>
        <v>74.696214546796767</v>
      </c>
      <c r="M163" s="324">
        <f>'DATA (Real)'!M159*M$4/100</f>
        <v>72.741093333382466</v>
      </c>
      <c r="N163" s="324">
        <f>'DATA (Real)'!N159*N$4/100</f>
        <v>70.419532896112571</v>
      </c>
      <c r="O163" s="324">
        <f>'DATA (Real)'!O159*O$4/100</f>
        <v>68.407873768971214</v>
      </c>
      <c r="P163" s="324">
        <f>'DATA (Real)'!P159*P$4/100</f>
        <v>66.61351714264238</v>
      </c>
      <c r="Q163" s="324">
        <f>'DATA (Real)'!Q159*Q$4/100</f>
        <v>67.256565224406543</v>
      </c>
      <c r="R163" s="324">
        <f>'DATA (Real)'!R159*R$4/100</f>
        <v>67.866500248853114</v>
      </c>
      <c r="S163" s="324">
        <f>'DATA (Real)'!S159*S$4/100</f>
        <v>68.47072023680704</v>
      </c>
      <c r="T163" s="324">
        <f>'DATA (Real)'!T159*T$4/100</f>
        <v>69.068678518110488</v>
      </c>
      <c r="U163" s="324">
        <f>'DATA (Real)'!U159*U$4/100</f>
        <v>69.659807135196345</v>
      </c>
      <c r="V163" s="324">
        <f>'DATA (Real)'!V159*V$4/100</f>
        <v>70.243516171031501</v>
      </c>
      <c r="W163" s="324">
        <f>'DATA (Real)'!W159*W$4/100</f>
        <v>70.81919305778969</v>
      </c>
      <c r="X163" s="324">
        <f>'DATA (Real)'!X159*X$4/100</f>
        <v>71.386201865738784</v>
      </c>
      <c r="Y163" s="324">
        <f>'DATA (Real)'!Y159*Y$4/100</f>
        <v>71.943882571797701</v>
      </c>
      <c r="Z163" s="324">
        <f>'DATA (Real)'!Z159*Z$4/100</f>
        <v>72.491550307219811</v>
      </c>
      <c r="AA163" s="324">
        <f>'DATA (Real)'!AA159*AA$4/100</f>
        <v>73.028494583836022</v>
      </c>
      <c r="AB163" s="324">
        <f>'DATA (Real)'!AB159*AB$4/100</f>
        <v>73.553978498274404</v>
      </c>
      <c r="AC163" s="324">
        <f>'DATA (Real)'!AC159*AC$4/100</f>
        <v>74.067237913569841</v>
      </c>
      <c r="AD163" s="324">
        <f>'DATA (Real)'!AD159*AD$4/100</f>
        <v>74.567480617545101</v>
      </c>
      <c r="AE163" s="324">
        <f>'DATA (Real)'!AE159*AE$4/100</f>
        <v>75.053885457344748</v>
      </c>
      <c r="AF163" s="324">
        <f>'DATA (Real)'!AF159*AF$4/100</f>
        <v>75.525601449476994</v>
      </c>
      <c r="AG163" s="324">
        <f>'DATA (Real)'!AG159*AG$4/100</f>
        <v>75.981746864701378</v>
      </c>
      <c r="AH163" s="324">
        <f>'DATA (Real)'!AH159*AH$4/100</f>
        <v>76.421408287094494</v>
      </c>
      <c r="AI163" s="324">
        <f>'DATA (Real)'!AI159*AI$4/100</f>
        <v>76.843639646590404</v>
      </c>
      <c r="AJ163" s="324">
        <f>'DATA (Real)'!AJ159*AJ$4/100</f>
        <v>77.234329938769221</v>
      </c>
      <c r="AK163" s="324">
        <f>'DATA (Real)'!AK159*AK$4/100</f>
        <v>0</v>
      </c>
      <c r="AL163" s="324">
        <f>'DATA (Real)'!AL159*AL$4/100</f>
        <v>0</v>
      </c>
      <c r="AM163" s="324">
        <f>'DATA (Real)'!AM159*AM$4/100</f>
        <v>0</v>
      </c>
      <c r="AN163" s="324">
        <f>'DATA (Real)'!AN159*AN$4/100</f>
        <v>0</v>
      </c>
      <c r="AO163" s="324">
        <f>'DATA (Real)'!AO159*AO$4/100</f>
        <v>0</v>
      </c>
      <c r="AP163" s="324">
        <f>'DATA (Real)'!AP159*AP$4/100</f>
        <v>0</v>
      </c>
      <c r="AQ163" s="324">
        <f>'DATA (Real)'!AQ159*AQ$4/100</f>
        <v>0</v>
      </c>
      <c r="AR163" s="324">
        <f>'DATA (Real)'!AR159*AR$4/100</f>
        <v>0</v>
      </c>
      <c r="AS163" s="324">
        <f>'DATA (Real)'!AS159*AS$4/100</f>
        <v>0</v>
      </c>
      <c r="AT163" s="324">
        <f>'DATA (Real)'!AT159*AT$4/100</f>
        <v>0</v>
      </c>
      <c r="AU163" s="324">
        <f>'DATA (Real)'!AU159*AU$4/100</f>
        <v>0</v>
      </c>
      <c r="AV163" s="324">
        <f>'DATA (Real)'!AV159*AV$4/100</f>
        <v>0</v>
      </c>
      <c r="AW163" s="324">
        <f>'DATA (Real)'!AW159*AW$4/100</f>
        <v>0</v>
      </c>
      <c r="AX163" s="324">
        <f>'DATA (Real)'!AX159*AX$4/100</f>
        <v>0</v>
      </c>
      <c r="AY163" s="324">
        <f>'DATA (Real)'!AY159*AY$4/100</f>
        <v>0</v>
      </c>
      <c r="AZ163" s="324">
        <f>'DATA (Real)'!AZ159*AZ$4/100</f>
        <v>0</v>
      </c>
      <c r="BA163" s="324">
        <f>'DATA (Real)'!BA159*BA$4/100</f>
        <v>0</v>
      </c>
      <c r="BB163" s="324">
        <f>'DATA (Real)'!BB159*BB$4/100</f>
        <v>0</v>
      </c>
      <c r="BC163" s="324">
        <f>'DATA (Real)'!BC159*BC$4/100</f>
        <v>0</v>
      </c>
      <c r="BD163" s="324">
        <f>'DATA (Real)'!BD159*BD$4/100</f>
        <v>0</v>
      </c>
      <c r="BE163" s="324">
        <f>'DATA (Real)'!BE159*BE$4/100</f>
        <v>0</v>
      </c>
      <c r="BF163" s="324">
        <f>'DATA (Real)'!BF159*BF$4/100</f>
        <v>0</v>
      </c>
      <c r="BG163" s="324">
        <f>'DATA (Real)'!BG159*BG$4/100</f>
        <v>0</v>
      </c>
      <c r="BH163" s="324">
        <f>'DATA (Real)'!BH159*BH$4/100</f>
        <v>0</v>
      </c>
      <c r="BI163" s="324">
        <f>'DATA (Real)'!BI159*BI$4/100</f>
        <v>0</v>
      </c>
      <c r="BJ163" s="324">
        <f>'DATA (Real)'!BJ159*BJ$4/100</f>
        <v>0</v>
      </c>
      <c r="BK163" s="324">
        <f>'DATA (Real)'!BK159*BK$4/100</f>
        <v>0</v>
      </c>
      <c r="BL163" s="324">
        <f>'DATA (Real)'!BL159*BL$4/100</f>
        <v>0</v>
      </c>
      <c r="BM163" s="324">
        <f>'DATA (Real)'!BM159*BM$4/100</f>
        <v>0</v>
      </c>
      <c r="BN163" s="324">
        <f>'DATA (Real)'!BN159*BN$4/100</f>
        <v>0</v>
      </c>
      <c r="BO163" s="324">
        <f>'DATA (Real)'!BO159*BO$4/100</f>
        <v>0</v>
      </c>
      <c r="BP163" s="324">
        <f>'DATA (Real)'!BP159*BP$4/100</f>
        <v>0</v>
      </c>
      <c r="BQ163" s="324">
        <f>'DATA (Real)'!BQ159*BQ$4/100</f>
        <v>0</v>
      </c>
      <c r="BR163" s="324">
        <f>'DATA (Real)'!BR159*BR$4/100</f>
        <v>0</v>
      </c>
      <c r="BS163" s="324">
        <f>'DATA (Real)'!BS159*BS$4/100</f>
        <v>0</v>
      </c>
      <c r="BT163" s="324">
        <f>'DATA (Real)'!BT159*BT$4/100</f>
        <v>0</v>
      </c>
      <c r="BU163" s="324">
        <f>'DATA (Real)'!BU159*BU$4/100</f>
        <v>0</v>
      </c>
      <c r="BV163" s="324">
        <f>'DATA (Real)'!BV159*BV$4/100</f>
        <v>0</v>
      </c>
      <c r="BW163" s="324">
        <f>'DATA (Real)'!BW159*BW$4/100</f>
        <v>0</v>
      </c>
      <c r="BX163" s="324">
        <f>'DATA (Real)'!BX159*BX$4/100</f>
        <v>0</v>
      </c>
    </row>
    <row r="164" spans="2:76" hidden="1" outlineLevel="1">
      <c r="B164" s="348" t="s">
        <v>230</v>
      </c>
      <c r="C164" s="348" t="str">
        <f>'DATA (Real)'!C160</f>
        <v>NREL Utility-Scale Battery Storage - 4Hr</v>
      </c>
      <c r="D164" s="348" t="str">
        <f>'DATA (Real)'!D160</f>
        <v>Fixed Operation and Maintenance Expenses ($/kW-yr)</v>
      </c>
      <c r="E164" s="348" t="str">
        <f>'DATA (Real)'!E160</f>
        <v>4hr Lithium-Ion</v>
      </c>
      <c r="F164" s="314">
        <f>'DATA (Real)'!F160</f>
        <v>43.180861120239101</v>
      </c>
      <c r="G164" s="324">
        <f>'DATA (Real)'!G160*G$4/100</f>
        <v>37.808590101200252</v>
      </c>
      <c r="H164" s="324">
        <f>'DATA (Real)'!H160*H$4/100</f>
        <v>37.653163944332555</v>
      </c>
      <c r="I164" s="324">
        <f>'DATA (Real)'!I160*I$4/100</f>
        <v>35.585516614943629</v>
      </c>
      <c r="J164" s="324">
        <f>'DATA (Real)'!J160*J$4/100</f>
        <v>33.842658174042668</v>
      </c>
      <c r="K164" s="324">
        <f>'DATA (Real)'!K160*K$4/100</f>
        <v>32.736676057960317</v>
      </c>
      <c r="L164" s="324">
        <f>'DATA (Real)'!L160*L$4/100</f>
        <v>32.040258870288127</v>
      </c>
      <c r="M164" s="324">
        <f>'DATA (Real)'!M160*M$4/100</f>
        <v>31.458564269478043</v>
      </c>
      <c r="N164" s="324">
        <f>'DATA (Real)'!N160*N$4/100</f>
        <v>30.65912755891863</v>
      </c>
      <c r="O164" s="324">
        <f>'DATA (Real)'!O160*O$4/100</f>
        <v>30.148031616260763</v>
      </c>
      <c r="P164" s="324">
        <f>'DATA (Real)'!P160*P$4/100</f>
        <v>29.599608434387438</v>
      </c>
      <c r="Q164" s="324">
        <f>'DATA (Real)'!Q160*Q$4/100</f>
        <v>29.887701769473598</v>
      </c>
      <c r="R164" s="324">
        <f>'DATA (Real)'!R160*R$4/100</f>
        <v>30.158777240702182</v>
      </c>
      <c r="S164" s="324">
        <f>'DATA (Real)'!S160*S$4/100</f>
        <v>30.427314385008504</v>
      </c>
      <c r="T164" s="324">
        <f>'DATA (Real)'!T160*T$4/100</f>
        <v>30.693070315479794</v>
      </c>
      <c r="U164" s="324">
        <f>'DATA (Real)'!U160*U$4/100</f>
        <v>30.955792686729374</v>
      </c>
      <c r="V164" s="324">
        <f>'DATA (Real)'!V160*V$4/100</f>
        <v>31.215219396281313</v>
      </c>
      <c r="W164" s="324">
        <f>'DATA (Real)'!W160*W$4/100</f>
        <v>31.471078277393087</v>
      </c>
      <c r="X164" s="324">
        <f>'DATA (Real)'!X160*X$4/100</f>
        <v>31.723086783086099</v>
      </c>
      <c r="Y164" s="324">
        <f>'DATA (Real)'!Y160*Y$4/100</f>
        <v>31.970951661143346</v>
      </c>
      <c r="Z164" s="324">
        <f>'DATA (Real)'!Z160*Z$4/100</f>
        <v>32.214368619831973</v>
      </c>
      <c r="AA164" s="324">
        <f>'DATA (Real)'!AA160*AA$4/100</f>
        <v>32.453021984098989</v>
      </c>
      <c r="AB164" s="324">
        <f>'DATA (Real)'!AB160*AB$4/100</f>
        <v>32.686584341981671</v>
      </c>
      <c r="AC164" s="324">
        <f>'DATA (Real)'!AC160*AC$4/100</f>
        <v>32.914716180971013</v>
      </c>
      <c r="AD164" s="324">
        <f>'DATA (Real)'!AD160*AD$4/100</f>
        <v>33.13706551405437</v>
      </c>
      <c r="AE164" s="324">
        <f>'DATA (Real)'!AE160*AE$4/100</f>
        <v>33.353267495161674</v>
      </c>
      <c r="AF164" s="324">
        <f>'DATA (Real)'!AF160*AF$4/100</f>
        <v>33.562944023728981</v>
      </c>
      <c r="AG164" s="324">
        <f>'DATA (Real)'!AG160*AG$4/100</f>
        <v>33.765703338085501</v>
      </c>
      <c r="AH164" s="324">
        <f>'DATA (Real)'!AH160*AH$4/100</f>
        <v>33.961139597366376</v>
      </c>
      <c r="AI164" s="324">
        <f>'DATA (Real)'!AI160*AI$4/100</f>
        <v>34.148832451639962</v>
      </c>
      <c r="AJ164" s="324">
        <f>'DATA (Real)'!AJ160*AJ$4/100</f>
        <v>34.328346599936317</v>
      </c>
      <c r="AK164" s="324">
        <f>'DATA (Real)'!AK160*AK$4/100</f>
        <v>34.499231335851121</v>
      </c>
      <c r="AL164" s="324">
        <f>'DATA (Real)'!AL160*AL$4/100</f>
        <v>34.6610200803918</v>
      </c>
      <c r="AM164" s="324">
        <f>'DATA (Real)'!AM160*AM$4/100</f>
        <v>34.81322990172572</v>
      </c>
      <c r="AN164" s="324">
        <f>'DATA (Real)'!AN160*AN$4/100</f>
        <v>34.955361021479419</v>
      </c>
      <c r="AO164" s="324">
        <f>'DATA (Real)'!AO160*AO$4/100</f>
        <v>35.08689630722985</v>
      </c>
      <c r="AP164" s="324">
        <f>'DATA (Real)'!AP160*AP$4/100</f>
        <v>0</v>
      </c>
      <c r="AQ164" s="324">
        <f>'DATA (Real)'!AQ160*AQ$4/100</f>
        <v>0</v>
      </c>
      <c r="AR164" s="324">
        <f>'DATA (Real)'!AR160*AR$4/100</f>
        <v>0</v>
      </c>
      <c r="AS164" s="324">
        <f>'DATA (Real)'!AS160*AS$4/100</f>
        <v>0</v>
      </c>
      <c r="AT164" s="324">
        <f>'DATA (Real)'!AT160*AT$4/100</f>
        <v>0</v>
      </c>
      <c r="AU164" s="324">
        <f>'DATA (Real)'!AU160*AU$4/100</f>
        <v>0</v>
      </c>
      <c r="AV164" s="324">
        <f>'DATA (Real)'!AV160*AV$4/100</f>
        <v>0</v>
      </c>
      <c r="AW164" s="324">
        <f>'DATA (Real)'!AW160*AW$4/100</f>
        <v>0</v>
      </c>
      <c r="AX164" s="324">
        <f>'DATA (Real)'!AX160*AX$4/100</f>
        <v>0</v>
      </c>
      <c r="AY164" s="324">
        <f>'DATA (Real)'!AY160*AY$4/100</f>
        <v>0</v>
      </c>
      <c r="AZ164" s="324">
        <f>'DATA (Real)'!AZ160*AZ$4/100</f>
        <v>0</v>
      </c>
      <c r="BA164" s="324">
        <f>'DATA (Real)'!BA160*BA$4/100</f>
        <v>0</v>
      </c>
      <c r="BB164" s="324">
        <f>'DATA (Real)'!BB160*BB$4/100</f>
        <v>0</v>
      </c>
      <c r="BC164" s="324">
        <f>'DATA (Real)'!BC160*BC$4/100</f>
        <v>0</v>
      </c>
      <c r="BD164" s="324">
        <f>'DATA (Real)'!BD160*BD$4/100</f>
        <v>0</v>
      </c>
      <c r="BE164" s="324">
        <f>'DATA (Real)'!BE160*BE$4/100</f>
        <v>0</v>
      </c>
      <c r="BF164" s="324">
        <f>'DATA (Real)'!BF160*BF$4/100</f>
        <v>0</v>
      </c>
      <c r="BG164" s="324">
        <f>'DATA (Real)'!BG160*BG$4/100</f>
        <v>0</v>
      </c>
      <c r="BH164" s="324">
        <f>'DATA (Real)'!BH160*BH$4/100</f>
        <v>0</v>
      </c>
      <c r="BI164" s="324">
        <f>'DATA (Real)'!BI160*BI$4/100</f>
        <v>0</v>
      </c>
      <c r="BJ164" s="324">
        <f>'DATA (Real)'!BJ160*BJ$4/100</f>
        <v>0</v>
      </c>
      <c r="BK164" s="324">
        <f>'DATA (Real)'!BK160*BK$4/100</f>
        <v>0</v>
      </c>
      <c r="BL164" s="324">
        <f>'DATA (Real)'!BL160*BL$4/100</f>
        <v>0</v>
      </c>
      <c r="BM164" s="324">
        <f>'DATA (Real)'!BM160*BM$4/100</f>
        <v>0</v>
      </c>
      <c r="BN164" s="324">
        <f>'DATA (Real)'!BN160*BN$4/100</f>
        <v>0</v>
      </c>
      <c r="BO164" s="324">
        <f>'DATA (Real)'!BO160*BO$4/100</f>
        <v>0</v>
      </c>
      <c r="BP164" s="324">
        <f>'DATA (Real)'!BP160*BP$4/100</f>
        <v>0</v>
      </c>
      <c r="BQ164" s="324">
        <f>'DATA (Real)'!BQ160*BQ$4/100</f>
        <v>0</v>
      </c>
      <c r="BR164" s="324">
        <f>'DATA (Real)'!BR160*BR$4/100</f>
        <v>0</v>
      </c>
      <c r="BS164" s="324">
        <f>'DATA (Real)'!BS160*BS$4/100</f>
        <v>0</v>
      </c>
      <c r="BT164" s="324">
        <f>'DATA (Real)'!BT160*BT$4/100</f>
        <v>0</v>
      </c>
      <c r="BU164" s="324">
        <f>'DATA (Real)'!BU160*BU$4/100</f>
        <v>0</v>
      </c>
      <c r="BV164" s="324">
        <f>'DATA (Real)'!BV160*BV$4/100</f>
        <v>0</v>
      </c>
      <c r="BW164" s="324">
        <f>'DATA (Real)'!BW160*BW$4/100</f>
        <v>0</v>
      </c>
      <c r="BX164" s="324">
        <f>'DATA (Real)'!BX160*BX$4/100</f>
        <v>0</v>
      </c>
    </row>
    <row r="165" spans="2:76" hidden="1" outlineLevel="1">
      <c r="B165" s="348" t="s">
        <v>230</v>
      </c>
      <c r="C165" s="348" t="str">
        <f>'DATA (Real)'!C161</f>
        <v>NREL Utility-Scale Battery Storage - 8Hr</v>
      </c>
      <c r="D165" s="348" t="str">
        <f>'DATA (Real)'!D161</f>
        <v>Fixed Operation and Maintenance Expenses ($/kW-yr)</v>
      </c>
      <c r="E165" s="348" t="str">
        <f>'DATA (Real)'!E161</f>
        <v>8hr Lithium-Ion</v>
      </c>
      <c r="F165" s="314">
        <f>'DATA (Real)'!F161</f>
        <v>80.126498352869575</v>
      </c>
      <c r="G165" s="324">
        <f>'DATA (Real)'!G161*G$4/100</f>
        <v>69.512301331953324</v>
      </c>
      <c r="H165" s="324">
        <f>'DATA (Real)'!H161*H$4/100</f>
        <v>68.644463735342754</v>
      </c>
      <c r="I165" s="324">
        <f>'DATA (Real)'!I161*I$4/100</f>
        <v>64.472682411287877</v>
      </c>
      <c r="J165" s="324">
        <f>'DATA (Real)'!J161*J$4/100</f>
        <v>60.475236726964241</v>
      </c>
      <c r="K165" s="324">
        <f>'DATA (Real)'!K161*K$4/100</f>
        <v>58.348865732595797</v>
      </c>
      <c r="L165" s="324">
        <f>'DATA (Real)'!L161*L$4/100</f>
        <v>56.573198558393607</v>
      </c>
      <c r="M165" s="324">
        <f>'DATA (Real)'!M161*M$4/100</f>
        <v>55.09243462298803</v>
      </c>
      <c r="N165" s="324">
        <f>'DATA (Real)'!N161*N$4/100</f>
        <v>53.334138029514776</v>
      </c>
      <c r="O165" s="324">
        <f>'DATA (Real)'!O161*O$4/100</f>
        <v>51.810553575843777</v>
      </c>
      <c r="P165" s="324">
        <f>'DATA (Real)'!P161*P$4/100</f>
        <v>50.451549049017679</v>
      </c>
      <c r="Q165" s="324">
        <f>'DATA (Real)'!Q161*Q$4/100</f>
        <v>50.938578907665281</v>
      </c>
      <c r="R165" s="324">
        <f>'DATA (Real)'!R161*R$4/100</f>
        <v>51.400529696672365</v>
      </c>
      <c r="S165" s="324">
        <f>'DATA (Real)'!S161*S$4/100</f>
        <v>51.858152048204673</v>
      </c>
      <c r="T165" s="324">
        <f>'DATA (Real)'!T161*T$4/100</f>
        <v>52.311031926831213</v>
      </c>
      <c r="U165" s="324">
        <f>'DATA (Real)'!U161*U$4/100</f>
        <v>52.758739174525751</v>
      </c>
      <c r="V165" s="324">
        <f>'DATA (Real)'!V161*V$4/100</f>
        <v>53.200827001666475</v>
      </c>
      <c r="W165" s="324">
        <f>'DATA (Real)'!W161*W$4/100</f>
        <v>53.636831463440714</v>
      </c>
      <c r="X165" s="324">
        <f>'DATA (Real)'!X161*X$4/100</f>
        <v>54.066270921264461</v>
      </c>
      <c r="Y165" s="324">
        <f>'DATA (Real)'!Y161*Y$4/100</f>
        <v>54.488645488804153</v>
      </c>
      <c r="Z165" s="324">
        <f>'DATA (Real)'!Z161*Z$4/100</f>
        <v>54.903436462189433</v>
      </c>
      <c r="AA165" s="324">
        <f>'DATA (Real)'!AA161*AA$4/100</f>
        <v>55.310105733987292</v>
      </c>
      <c r="AB165" s="324">
        <f>'DATA (Real)'!AB161*AB$4/100</f>
        <v>55.708095190496351</v>
      </c>
      <c r="AC165" s="324">
        <f>'DATA (Real)'!AC161*AC$4/100</f>
        <v>56.096826091916824</v>
      </c>
      <c r="AD165" s="324">
        <f>'DATA (Real)'!AD161*AD$4/100</f>
        <v>56.475698434927608</v>
      </c>
      <c r="AE165" s="324">
        <f>'DATA (Real)'!AE161*AE$4/100</f>
        <v>56.844090297202094</v>
      </c>
      <c r="AF165" s="324">
        <f>'DATA (Real)'!AF161*AF$4/100</f>
        <v>57.201357163374389</v>
      </c>
      <c r="AG165" s="324">
        <f>'DATA (Real)'!AG161*AG$4/100</f>
        <v>57.546831231954158</v>
      </c>
      <c r="AH165" s="324">
        <f>'DATA (Real)'!AH161*AH$4/100</f>
        <v>57.879820702684675</v>
      </c>
      <c r="AI165" s="324">
        <f>'DATA (Real)'!AI161*AI$4/100</f>
        <v>58.199609043811087</v>
      </c>
      <c r="AJ165" s="324">
        <f>'DATA (Real)'!AJ161*AJ$4/100</f>
        <v>58.49550890444489</v>
      </c>
      <c r="AK165" s="324">
        <f>'DATA (Real)'!AK161*AK$4/100</f>
        <v>0</v>
      </c>
      <c r="AL165" s="324">
        <f>'DATA (Real)'!AL161*AL$4/100</f>
        <v>0</v>
      </c>
      <c r="AM165" s="324">
        <f>'DATA (Real)'!AM161*AM$4/100</f>
        <v>0</v>
      </c>
      <c r="AN165" s="324">
        <f>'DATA (Real)'!AN161*AN$4/100</f>
        <v>0</v>
      </c>
      <c r="AO165" s="324">
        <f>'DATA (Real)'!AO161*AO$4/100</f>
        <v>0</v>
      </c>
      <c r="AP165" s="324">
        <f>'DATA (Real)'!AP161*AP$4/100</f>
        <v>0</v>
      </c>
      <c r="AQ165" s="324">
        <f>'DATA (Real)'!AQ161*AQ$4/100</f>
        <v>0</v>
      </c>
      <c r="AR165" s="324">
        <f>'DATA (Real)'!AR161*AR$4/100</f>
        <v>0</v>
      </c>
      <c r="AS165" s="324">
        <f>'DATA (Real)'!AS161*AS$4/100</f>
        <v>0</v>
      </c>
      <c r="AT165" s="324">
        <f>'DATA (Real)'!AT161*AT$4/100</f>
        <v>0</v>
      </c>
      <c r="AU165" s="324">
        <f>'DATA (Real)'!AU161*AU$4/100</f>
        <v>0</v>
      </c>
      <c r="AV165" s="324">
        <f>'DATA (Real)'!AV161*AV$4/100</f>
        <v>0</v>
      </c>
      <c r="AW165" s="324">
        <f>'DATA (Real)'!AW161*AW$4/100</f>
        <v>0</v>
      </c>
      <c r="AX165" s="324">
        <f>'DATA (Real)'!AX161*AX$4/100</f>
        <v>0</v>
      </c>
      <c r="AY165" s="324">
        <f>'DATA (Real)'!AY161*AY$4/100</f>
        <v>0</v>
      </c>
      <c r="AZ165" s="324">
        <f>'DATA (Real)'!AZ161*AZ$4/100</f>
        <v>0</v>
      </c>
      <c r="BA165" s="324">
        <f>'DATA (Real)'!BA161*BA$4/100</f>
        <v>0</v>
      </c>
      <c r="BB165" s="324">
        <f>'DATA (Real)'!BB161*BB$4/100</f>
        <v>0</v>
      </c>
      <c r="BC165" s="324">
        <f>'DATA (Real)'!BC161*BC$4/100</f>
        <v>0</v>
      </c>
      <c r="BD165" s="324">
        <f>'DATA (Real)'!BD161*BD$4/100</f>
        <v>0</v>
      </c>
      <c r="BE165" s="324">
        <f>'DATA (Real)'!BE161*BE$4/100</f>
        <v>0</v>
      </c>
      <c r="BF165" s="324">
        <f>'DATA (Real)'!BF161*BF$4/100</f>
        <v>0</v>
      </c>
      <c r="BG165" s="324">
        <f>'DATA (Real)'!BG161*BG$4/100</f>
        <v>0</v>
      </c>
      <c r="BH165" s="324">
        <f>'DATA (Real)'!BH161*BH$4/100</f>
        <v>0</v>
      </c>
      <c r="BI165" s="324">
        <f>'DATA (Real)'!BI161*BI$4/100</f>
        <v>0</v>
      </c>
      <c r="BJ165" s="324">
        <f>'DATA (Real)'!BJ161*BJ$4/100</f>
        <v>0</v>
      </c>
      <c r="BK165" s="324">
        <f>'DATA (Real)'!BK161*BK$4/100</f>
        <v>0</v>
      </c>
      <c r="BL165" s="324">
        <f>'DATA (Real)'!BL161*BL$4/100</f>
        <v>0</v>
      </c>
      <c r="BM165" s="324">
        <f>'DATA (Real)'!BM161*BM$4/100</f>
        <v>0</v>
      </c>
      <c r="BN165" s="324">
        <f>'DATA (Real)'!BN161*BN$4/100</f>
        <v>0</v>
      </c>
      <c r="BO165" s="324">
        <f>'DATA (Real)'!BO161*BO$4/100</f>
        <v>0</v>
      </c>
      <c r="BP165" s="324">
        <f>'DATA (Real)'!BP161*BP$4/100</f>
        <v>0</v>
      </c>
      <c r="BQ165" s="324">
        <f>'DATA (Real)'!BQ161*BQ$4/100</f>
        <v>0</v>
      </c>
      <c r="BR165" s="324">
        <f>'DATA (Real)'!BR161*BR$4/100</f>
        <v>0</v>
      </c>
      <c r="BS165" s="324">
        <f>'DATA (Real)'!BS161*BS$4/100</f>
        <v>0</v>
      </c>
      <c r="BT165" s="324">
        <f>'DATA (Real)'!BT161*BT$4/100</f>
        <v>0</v>
      </c>
      <c r="BU165" s="324">
        <f>'DATA (Real)'!BU161*BU$4/100</f>
        <v>0</v>
      </c>
      <c r="BV165" s="324">
        <f>'DATA (Real)'!BV161*BV$4/100</f>
        <v>0</v>
      </c>
      <c r="BW165" s="324">
        <f>'DATA (Real)'!BW161*BW$4/100</f>
        <v>0</v>
      </c>
      <c r="BX165" s="324">
        <f>'DATA (Real)'!BX161*BX$4/100</f>
        <v>0</v>
      </c>
    </row>
    <row r="166" spans="2:76" hidden="1" outlineLevel="1">
      <c r="B166" s="348" t="s">
        <v>230</v>
      </c>
      <c r="C166" s="348" t="str">
        <f>'DATA (Real)'!C162</f>
        <v>NREL Utility-Scale Battery Storage - 16Hr</v>
      </c>
      <c r="D166" s="348" t="str">
        <f>'DATA (Real)'!D162</f>
        <v>Fixed Operation and Maintenance Expenses ($/kW-yr)</v>
      </c>
      <c r="E166" s="348" t="str">
        <f>'DATA (Real)'!E162</f>
        <v>16hr Lithium-Ion</v>
      </c>
      <c r="F166" s="314">
        <f>'DATA (Real)'!F162</f>
        <v>154.01777281813045</v>
      </c>
      <c r="G166" s="324">
        <f>'DATA (Real)'!G162*G$4/100</f>
        <v>132.9197237934595</v>
      </c>
      <c r="H166" s="324">
        <f>'DATA (Real)'!H162*H$4/100</f>
        <v>130.62706331736317</v>
      </c>
      <c r="I166" s="324">
        <f>'DATA (Real)'!I162*I$4/100</f>
        <v>122.24701400397639</v>
      </c>
      <c r="J166" s="324">
        <f>'DATA (Real)'!J162*J$4/100</f>
        <v>113.74039383280738</v>
      </c>
      <c r="K166" s="324">
        <f>'DATA (Real)'!K162*K$4/100</f>
        <v>109.57324508186673</v>
      </c>
      <c r="L166" s="324">
        <f>'DATA (Real)'!L162*L$4/100</f>
        <v>105.63907793460459</v>
      </c>
      <c r="M166" s="324">
        <f>'DATA (Real)'!M162*M$4/100</f>
        <v>102.36017533000799</v>
      </c>
      <c r="N166" s="324">
        <f>'DATA (Real)'!N162*N$4/100</f>
        <v>98.684158970707102</v>
      </c>
      <c r="O166" s="324">
        <f>'DATA (Real)'!O162*O$4/100</f>
        <v>95.13559749500979</v>
      </c>
      <c r="P166" s="324">
        <f>'DATA (Real)'!P162*P$4/100</f>
        <v>92.15543027827816</v>
      </c>
      <c r="Q166" s="324">
        <f>'DATA (Real)'!Q162*Q$4/100</f>
        <v>93.040333184048635</v>
      </c>
      <c r="R166" s="324">
        <f>'DATA (Real)'!R162*R$4/100</f>
        <v>93.884034608612723</v>
      </c>
      <c r="S166" s="324">
        <f>'DATA (Real)'!S162*S$4/100</f>
        <v>94.719827374597045</v>
      </c>
      <c r="T166" s="324">
        <f>'DATA (Real)'!T162*T$4/100</f>
        <v>95.546955149534085</v>
      </c>
      <c r="U166" s="324">
        <f>'DATA (Real)'!U162*U$4/100</f>
        <v>96.364632150118524</v>
      </c>
      <c r="V166" s="324">
        <f>'DATA (Real)'!V162*V$4/100</f>
        <v>97.172042212436821</v>
      </c>
      <c r="W166" s="324">
        <f>'DATA (Real)'!W162*W$4/100</f>
        <v>97.968337835535962</v>
      </c>
      <c r="X166" s="324">
        <f>'DATA (Real)'!X162*X$4/100</f>
        <v>98.752639197621193</v>
      </c>
      <c r="Y166" s="324">
        <f>'DATA (Real)'!Y162*Y$4/100</f>
        <v>99.524033144125767</v>
      </c>
      <c r="Z166" s="324">
        <f>'DATA (Real)'!Z162*Z$4/100</f>
        <v>100.28157214690435</v>
      </c>
      <c r="AA166" s="324">
        <f>'DATA (Real)'!AA162*AA$4/100</f>
        <v>101.02427323376392</v>
      </c>
      <c r="AB166" s="324">
        <f>'DATA (Real)'!AB162*AB$4/100</f>
        <v>101.7511168875257</v>
      </c>
      <c r="AC166" s="324">
        <f>'DATA (Real)'!AC162*AC$4/100</f>
        <v>102.46104591380843</v>
      </c>
      <c r="AD166" s="324">
        <f>'DATA (Real)'!AD162*AD$4/100</f>
        <v>103.15296427667407</v>
      </c>
      <c r="AE166" s="324">
        <f>'DATA (Real)'!AE162*AE$4/100</f>
        <v>103.8257359012829</v>
      </c>
      <c r="AF166" s="324">
        <f>'DATA (Real)'!AF162*AF$4/100</f>
        <v>104.47818344266517</v>
      </c>
      <c r="AG166" s="324">
        <f>'DATA (Real)'!AG162*AG$4/100</f>
        <v>105.10908701969146</v>
      </c>
      <c r="AH166" s="324">
        <f>'DATA (Real)'!AH162*AH$4/100</f>
        <v>105.71718291332128</v>
      </c>
      <c r="AI166" s="324">
        <f>'DATA (Real)'!AI162*AI$4/100</f>
        <v>106.30116222815332</v>
      </c>
      <c r="AJ166" s="324">
        <f>'DATA (Real)'!AJ162*AJ$4/100</f>
        <v>106.82983351346202</v>
      </c>
      <c r="AK166" s="324">
        <f>'DATA (Real)'!AK162*AK$4/100</f>
        <v>0</v>
      </c>
      <c r="AL166" s="324">
        <f>'DATA (Real)'!AL162*AL$4/100</f>
        <v>0</v>
      </c>
      <c r="AM166" s="324">
        <f>'DATA (Real)'!AM162*AM$4/100</f>
        <v>0</v>
      </c>
      <c r="AN166" s="324">
        <f>'DATA (Real)'!AN162*AN$4/100</f>
        <v>0</v>
      </c>
      <c r="AO166" s="324">
        <f>'DATA (Real)'!AO162*AO$4/100</f>
        <v>0</v>
      </c>
      <c r="AP166" s="324">
        <f>'DATA (Real)'!AP162*AP$4/100</f>
        <v>0</v>
      </c>
      <c r="AQ166" s="324">
        <f>'DATA (Real)'!AQ162*AQ$4/100</f>
        <v>0</v>
      </c>
      <c r="AR166" s="324">
        <f>'DATA (Real)'!AR162*AR$4/100</f>
        <v>0</v>
      </c>
      <c r="AS166" s="324">
        <f>'DATA (Real)'!AS162*AS$4/100</f>
        <v>0</v>
      </c>
      <c r="AT166" s="324">
        <f>'DATA (Real)'!AT162*AT$4/100</f>
        <v>0</v>
      </c>
      <c r="AU166" s="324">
        <f>'DATA (Real)'!AU162*AU$4/100</f>
        <v>0</v>
      </c>
      <c r="AV166" s="324">
        <f>'DATA (Real)'!AV162*AV$4/100</f>
        <v>0</v>
      </c>
      <c r="AW166" s="324">
        <f>'DATA (Real)'!AW162*AW$4/100</f>
        <v>0</v>
      </c>
      <c r="AX166" s="324">
        <f>'DATA (Real)'!AX162*AX$4/100</f>
        <v>0</v>
      </c>
      <c r="AY166" s="324">
        <f>'DATA (Real)'!AY162*AY$4/100</f>
        <v>0</v>
      </c>
      <c r="AZ166" s="324">
        <f>'DATA (Real)'!AZ162*AZ$4/100</f>
        <v>0</v>
      </c>
      <c r="BA166" s="324">
        <f>'DATA (Real)'!BA162*BA$4/100</f>
        <v>0</v>
      </c>
      <c r="BB166" s="324">
        <f>'DATA (Real)'!BB162*BB$4/100</f>
        <v>0</v>
      </c>
      <c r="BC166" s="324">
        <f>'DATA (Real)'!BC162*BC$4/100</f>
        <v>0</v>
      </c>
      <c r="BD166" s="324">
        <f>'DATA (Real)'!BD162*BD$4/100</f>
        <v>0</v>
      </c>
      <c r="BE166" s="324">
        <f>'DATA (Real)'!BE162*BE$4/100</f>
        <v>0</v>
      </c>
      <c r="BF166" s="324">
        <f>'DATA (Real)'!BF162*BF$4/100</f>
        <v>0</v>
      </c>
      <c r="BG166" s="324">
        <f>'DATA (Real)'!BG162*BG$4/100</f>
        <v>0</v>
      </c>
      <c r="BH166" s="324">
        <f>'DATA (Real)'!BH162*BH$4/100</f>
        <v>0</v>
      </c>
      <c r="BI166" s="324">
        <f>'DATA (Real)'!BI162*BI$4/100</f>
        <v>0</v>
      </c>
      <c r="BJ166" s="324">
        <f>'DATA (Real)'!BJ162*BJ$4/100</f>
        <v>0</v>
      </c>
      <c r="BK166" s="324">
        <f>'DATA (Real)'!BK162*BK$4/100</f>
        <v>0</v>
      </c>
      <c r="BL166" s="324">
        <f>'DATA (Real)'!BL162*BL$4/100</f>
        <v>0</v>
      </c>
      <c r="BM166" s="324">
        <f>'DATA (Real)'!BM162*BM$4/100</f>
        <v>0</v>
      </c>
      <c r="BN166" s="324">
        <f>'DATA (Real)'!BN162*BN$4/100</f>
        <v>0</v>
      </c>
      <c r="BO166" s="324">
        <f>'DATA (Real)'!BO162*BO$4/100</f>
        <v>0</v>
      </c>
      <c r="BP166" s="324">
        <f>'DATA (Real)'!BP162*BP$4/100</f>
        <v>0</v>
      </c>
      <c r="BQ166" s="324">
        <f>'DATA (Real)'!BQ162*BQ$4/100</f>
        <v>0</v>
      </c>
      <c r="BR166" s="324">
        <f>'DATA (Real)'!BR162*BR$4/100</f>
        <v>0</v>
      </c>
      <c r="BS166" s="324">
        <f>'DATA (Real)'!BS162*BS$4/100</f>
        <v>0</v>
      </c>
      <c r="BT166" s="324">
        <f>'DATA (Real)'!BT162*BT$4/100</f>
        <v>0</v>
      </c>
      <c r="BU166" s="324">
        <f>'DATA (Real)'!BU162*BU$4/100</f>
        <v>0</v>
      </c>
      <c r="BV166" s="324">
        <f>'DATA (Real)'!BV162*BV$4/100</f>
        <v>0</v>
      </c>
      <c r="BW166" s="324">
        <f>'DATA (Real)'!BW162*BW$4/100</f>
        <v>0</v>
      </c>
      <c r="BX166" s="324">
        <f>'DATA (Real)'!BX162*BX$4/100</f>
        <v>0</v>
      </c>
    </row>
    <row r="167" spans="2:76" hidden="1" outlineLevel="1">
      <c r="B167" s="348" t="s">
        <v>230</v>
      </c>
      <c r="C167" s="348" t="str">
        <f>'DATA (Real)'!C163</f>
        <v>Internal</v>
      </c>
      <c r="D167" s="348" t="str">
        <f>'DATA (Real)'!D163</f>
        <v>Fixed Operation and Maintenance Expenses ($/kW-yr)</v>
      </c>
      <c r="E167" s="348" t="str">
        <f>'DATA (Real)'!E163</f>
        <v>4 hr Vanadium Flow Battery</v>
      </c>
      <c r="F167" s="314">
        <f>'DATA (Real)'!F163</f>
        <v>57.150799999999997</v>
      </c>
      <c r="G167" s="324">
        <f>'DATA (Real)'!G163*G$4/100</f>
        <v>58.579569999999983</v>
      </c>
      <c r="H167" s="324">
        <f>'DATA (Real)'!H163*H$4/100</f>
        <v>62.792097302226765</v>
      </c>
      <c r="I167" s="324">
        <f>'DATA (Real)'!I163*I$4/100</f>
        <v>64.783862628653395</v>
      </c>
      <c r="J167" s="324">
        <f>'DATA (Real)'!J163*J$4/100</f>
        <v>66.307768030611982</v>
      </c>
      <c r="K167" s="324">
        <f>'DATA (Real)'!K163*K$4/100</f>
        <v>67.788641516628985</v>
      </c>
      <c r="L167" s="324">
        <f>'DATA (Real)'!L163*L$4/100</f>
        <v>69.302587843833692</v>
      </c>
      <c r="M167" s="324">
        <f>'DATA (Real)'!M163*M$4/100</f>
        <v>70.850345639012644</v>
      </c>
      <c r="N167" s="324">
        <f>'DATA (Real)'!N163*N$4/100</f>
        <v>72.409053243070929</v>
      </c>
      <c r="O167" s="324">
        <f>'DATA (Real)'!O163*O$4/100</f>
        <v>74.0020524144185</v>
      </c>
      <c r="P167" s="324">
        <f>'DATA (Real)'!P163*P$4/100</f>
        <v>75.630097567535699</v>
      </c>
      <c r="Q167" s="324">
        <f>'DATA (Real)'!Q163*Q$4/100</f>
        <v>77.293959714021469</v>
      </c>
      <c r="R167" s="324">
        <f>'DATA (Real)'!R163*R$4/100</f>
        <v>78.994426827729953</v>
      </c>
      <c r="S167" s="324">
        <f>'DATA (Real)'!S163*S$4/100</f>
        <v>80.732304217940012</v>
      </c>
      <c r="T167" s="324">
        <f>'DATA (Real)'!T163*T$4/100</f>
        <v>82.5084149107347</v>
      </c>
      <c r="U167" s="324">
        <f>'DATA (Real)'!U163*U$4/100</f>
        <v>84.323600038770849</v>
      </c>
      <c r="V167" s="324">
        <f>'DATA (Real)'!V163*V$4/100</f>
        <v>86.178719239623831</v>
      </c>
      <c r="W167" s="324">
        <f>'DATA (Real)'!W163*W$4/100</f>
        <v>88.074651062895541</v>
      </c>
      <c r="X167" s="324">
        <f>'DATA (Real)'!X163*X$4/100</f>
        <v>90.012293386279254</v>
      </c>
      <c r="Y167" s="324">
        <f>'DATA (Real)'!Y163*Y$4/100</f>
        <v>91.992563840777379</v>
      </c>
      <c r="Z167" s="324">
        <f>'DATA (Real)'!Z163*Z$4/100</f>
        <v>94.016400245274497</v>
      </c>
      <c r="AA167" s="324">
        <f>'DATA (Real)'!AA163*AA$4/100</f>
        <v>96.084761050670537</v>
      </c>
      <c r="AB167" s="324">
        <f>'DATA (Real)'!AB163*AB$4/100</f>
        <v>98.198625793785283</v>
      </c>
      <c r="AC167" s="324">
        <f>'DATA (Real)'!AC163*AC$4/100</f>
        <v>100.35899556124856</v>
      </c>
      <c r="AD167" s="324">
        <f>'DATA (Real)'!AD163*AD$4/100</f>
        <v>102.56689346359603</v>
      </c>
      <c r="AE167" s="324">
        <f>'DATA (Real)'!AE163*AE$4/100</f>
        <v>104.82336511979514</v>
      </c>
      <c r="AF167" s="324">
        <f>'DATA (Real)'!AF163*AF$4/100</f>
        <v>107.12947915243063</v>
      </c>
      <c r="AG167" s="324">
        <f>'DATA (Real)'!AG163*AG$4/100</f>
        <v>109.48632769378412</v>
      </c>
      <c r="AH167" s="324">
        <f>'DATA (Real)'!AH163*AH$4/100</f>
        <v>111.89502690304737</v>
      </c>
      <c r="AI167" s="324">
        <f>'DATA (Real)'!AI163*AI$4/100</f>
        <v>114.35671749491441</v>
      </c>
      <c r="AJ167" s="324">
        <f>'DATA (Real)'!AJ163*AJ$4/100</f>
        <v>116.87256527980252</v>
      </c>
      <c r="AK167" s="324">
        <f>'DATA (Real)'!AK163*AK$4/100</f>
        <v>119.44376171595817</v>
      </c>
      <c r="AL167" s="324">
        <f>'DATA (Real)'!AL163*AL$4/100</f>
        <v>122.07152447370925</v>
      </c>
      <c r="AM167" s="324">
        <f>'DATA (Real)'!AM163*AM$4/100</f>
        <v>124.75709801213087</v>
      </c>
      <c r="AN167" s="324">
        <f>'DATA (Real)'!AN163*AN$4/100</f>
        <v>127.50175416839775</v>
      </c>
      <c r="AO167" s="324">
        <f>'DATA (Real)'!AO163*AO$4/100</f>
        <v>130.3067927601025</v>
      </c>
      <c r="AP167" s="324">
        <f>'DATA (Real)'!AP163*AP$4/100</f>
        <v>133.17354220082473</v>
      </c>
      <c r="AQ167" s="324">
        <f>'DATA (Real)'!AQ163*AQ$4/100</f>
        <v>136.10336012924287</v>
      </c>
      <c r="AR167" s="324">
        <f>'DATA (Real)'!AR163*AR$4/100</f>
        <v>139.09763405208622</v>
      </c>
      <c r="AS167" s="324">
        <f>'DATA (Real)'!AS163*AS$4/100</f>
        <v>142.15778200123214</v>
      </c>
      <c r="AT167" s="324">
        <f>'DATA (Real)'!AT163*AT$4/100</f>
        <v>145.28525320525924</v>
      </c>
      <c r="AU167" s="324">
        <f>'DATA (Real)'!AU163*AU$4/100</f>
        <v>148.48152877577493</v>
      </c>
      <c r="AV167" s="324">
        <f>'DATA (Real)'!AV163*AV$4/100</f>
        <v>151.74812240884197</v>
      </c>
      <c r="AW167" s="324">
        <f>'DATA (Real)'!AW163*AW$4/100</f>
        <v>155.08658110183652</v>
      </c>
      <c r="AX167" s="324">
        <f>'DATA (Real)'!AX163*AX$4/100</f>
        <v>158.49848588607694</v>
      </c>
      <c r="AY167" s="324">
        <f>'DATA (Real)'!AY163*AY$4/100</f>
        <v>161.98545257557063</v>
      </c>
      <c r="AZ167" s="324">
        <f>'DATA (Real)'!AZ163*AZ$4/100</f>
        <v>165.54913253223319</v>
      </c>
      <c r="BA167" s="324">
        <f>'DATA (Real)'!BA163*BA$4/100</f>
        <v>169.19121344794232</v>
      </c>
      <c r="BB167" s="324">
        <f>'DATA (Real)'!BB163*BB$4/100</f>
        <v>172.91342014379705</v>
      </c>
      <c r="BC167" s="324">
        <f>'DATA (Real)'!BC163*BC$4/100</f>
        <v>176.7175153869606</v>
      </c>
      <c r="BD167" s="324">
        <f>'DATA (Real)'!BD163*BD$4/100</f>
        <v>180.60530072547371</v>
      </c>
      <c r="BE167" s="324">
        <f>'DATA (Real)'!BE163*BE$4/100</f>
        <v>184.5786173414341</v>
      </c>
      <c r="BF167" s="324">
        <f>'DATA (Real)'!BF163*BF$4/100</f>
        <v>188.63934692294569</v>
      </c>
      <c r="BG167" s="324">
        <f>'DATA (Real)'!BG163*BG$4/100</f>
        <v>192.78941255525049</v>
      </c>
      <c r="BH167" s="324">
        <f>'DATA (Real)'!BH163*BH$4/100</f>
        <v>197.030779631466</v>
      </c>
      <c r="BI167" s="324">
        <f>'DATA (Real)'!BI163*BI$4/100</f>
        <v>201.36545678335824</v>
      </c>
      <c r="BJ167" s="324">
        <f>'DATA (Real)'!BJ163*BJ$4/100</f>
        <v>205.79549683259214</v>
      </c>
      <c r="BK167" s="324">
        <f>'DATA (Real)'!BK163*BK$4/100</f>
        <v>210.32299776290918</v>
      </c>
      <c r="BL167" s="324">
        <f>'DATA (Real)'!BL163*BL$4/100</f>
        <v>214.95010371369321</v>
      </c>
      <c r="BM167" s="324">
        <f>'DATA (Real)'!BM163*BM$4/100</f>
        <v>219.67900599539445</v>
      </c>
      <c r="BN167" s="324">
        <f>'DATA (Real)'!BN163*BN$4/100</f>
        <v>224.51194412729313</v>
      </c>
      <c r="BO167" s="324">
        <f>'DATA (Real)'!BO163*BO$4/100</f>
        <v>229.45120689809357</v>
      </c>
      <c r="BP167" s="324">
        <f>'DATA (Real)'!BP163*BP$4/100</f>
        <v>234.49913344985166</v>
      </c>
      <c r="BQ167" s="324">
        <f>'DATA (Real)'!BQ163*BQ$4/100</f>
        <v>239.65811438574838</v>
      </c>
      <c r="BR167" s="324">
        <f>'DATA (Real)'!BR163*BR$4/100</f>
        <v>244.93059290223485</v>
      </c>
      <c r="BS167" s="324">
        <f>'DATA (Real)'!BS163*BS$4/100</f>
        <v>250.31906594608404</v>
      </c>
      <c r="BT167" s="324">
        <f>'DATA (Real)'!BT163*BT$4/100</f>
        <v>255.82608539689789</v>
      </c>
      <c r="BU167" s="324">
        <f>'DATA (Real)'!BU163*BU$4/100</f>
        <v>261.45425927562968</v>
      </c>
      <c r="BV167" s="324">
        <f>'DATA (Real)'!BV163*BV$4/100</f>
        <v>267.20625297969355</v>
      </c>
      <c r="BW167" s="324">
        <f>'DATA (Real)'!BW163*BW$4/100</f>
        <v>273.08479054524679</v>
      </c>
      <c r="BX167" s="324">
        <f>'DATA (Real)'!BX163*BX$4/100</f>
        <v>279.09265593724223</v>
      </c>
    </row>
    <row r="168" spans="2:76" hidden="1" outlineLevel="1">
      <c r="B168" s="348" t="s">
        <v>230</v>
      </c>
      <c r="C168" s="348" t="str">
        <f>'DATA (Real)'!C164</f>
        <v>Internal</v>
      </c>
      <c r="D168" s="348" t="str">
        <f>'DATA (Real)'!D164</f>
        <v>Fixed Operation and Maintenance Expenses ($/kW-yr)</v>
      </c>
      <c r="E168" s="348" t="str">
        <f>'DATA (Real)'!E164</f>
        <v>4 hr Zinc Bromide Flow Battery</v>
      </c>
      <c r="F168" s="314">
        <f>'DATA (Real)'!F164</f>
        <v>64.295000000000002</v>
      </c>
      <c r="G168" s="324">
        <f>'DATA (Real)'!G164*G$4/100</f>
        <v>65.902374999999992</v>
      </c>
      <c r="H168" s="324">
        <f>'DATA (Real)'!H164*H$4/100</f>
        <v>70.6414940131489</v>
      </c>
      <c r="I168" s="324">
        <f>'DATA (Real)'!I164*I$4/100</f>
        <v>72.88224220324598</v>
      </c>
      <c r="J168" s="324">
        <f>'DATA (Real)'!J164*J$4/100</f>
        <v>74.596645113072739</v>
      </c>
      <c r="K168" s="324">
        <f>'DATA (Real)'!K164*K$4/100</f>
        <v>76.262636853931369</v>
      </c>
      <c r="L168" s="324">
        <f>'DATA (Real)'!L164*L$4/100</f>
        <v>77.965835743669174</v>
      </c>
      <c r="M168" s="324">
        <f>'DATA (Real)'!M164*M$4/100</f>
        <v>79.707072741944444</v>
      </c>
      <c r="N168" s="324">
        <f>'DATA (Real)'!N164*N$4/100</f>
        <v>81.460628342267228</v>
      </c>
      <c r="O168" s="324">
        <f>'DATA (Real)'!O164*O$4/100</f>
        <v>83.252762165797108</v>
      </c>
      <c r="P168" s="324">
        <f>'DATA (Real)'!P164*P$4/100</f>
        <v>85.084322933444639</v>
      </c>
      <c r="Q168" s="324">
        <f>'DATA (Real)'!Q164*Q$4/100</f>
        <v>86.956178037980422</v>
      </c>
      <c r="R168" s="324">
        <f>'DATA (Real)'!R164*R$4/100</f>
        <v>88.869213954816004</v>
      </c>
      <c r="S168" s="324">
        <f>'DATA (Real)'!S164*S$4/100</f>
        <v>90.824336661821945</v>
      </c>
      <c r="T168" s="324">
        <f>'DATA (Real)'!T164*T$4/100</f>
        <v>92.822472068382027</v>
      </c>
      <c r="U168" s="324">
        <f>'DATA (Real)'!U164*U$4/100</f>
        <v>94.864566453886439</v>
      </c>
      <c r="V168" s="324">
        <f>'DATA (Real)'!V164*V$4/100</f>
        <v>96.951586915871943</v>
      </c>
      <c r="W168" s="324">
        <f>'DATA (Real)'!W164*W$4/100</f>
        <v>99.08452182802111</v>
      </c>
      <c r="X168" s="324">
        <f>'DATA (Real)'!X164*X$4/100</f>
        <v>101.26438130823759</v>
      </c>
      <c r="Y168" s="324">
        <f>'DATA (Real)'!Y164*Y$4/100</f>
        <v>103.49219769701882</v>
      </c>
      <c r="Z168" s="324">
        <f>'DATA (Real)'!Z164*Z$4/100</f>
        <v>105.76902604635323</v>
      </c>
      <c r="AA168" s="324">
        <f>'DATA (Real)'!AA164*AA$4/100</f>
        <v>108.095944619373</v>
      </c>
      <c r="AB168" s="324">
        <f>'DATA (Real)'!AB164*AB$4/100</f>
        <v>110.47405540099921</v>
      </c>
      <c r="AC168" s="324">
        <f>'DATA (Real)'!AC164*AC$4/100</f>
        <v>112.90448461982119</v>
      </c>
      <c r="AD168" s="324">
        <f>'DATA (Real)'!AD164*AD$4/100</f>
        <v>115.38838328145725</v>
      </c>
      <c r="AE168" s="324">
        <f>'DATA (Real)'!AE164*AE$4/100</f>
        <v>117.92692771364931</v>
      </c>
      <c r="AF168" s="324">
        <f>'DATA (Real)'!AF164*AF$4/100</f>
        <v>120.5213201233496</v>
      </c>
      <c r="AG168" s="324">
        <f>'DATA (Real)'!AG164*AG$4/100</f>
        <v>123.17278916606328</v>
      </c>
      <c r="AH168" s="324">
        <f>'DATA (Real)'!AH164*AH$4/100</f>
        <v>125.88259052771667</v>
      </c>
      <c r="AI168" s="324">
        <f>'DATA (Real)'!AI164*AI$4/100</f>
        <v>128.65200751932645</v>
      </c>
      <c r="AJ168" s="324">
        <f>'DATA (Real)'!AJ164*AJ$4/100</f>
        <v>131.48235168475162</v>
      </c>
      <c r="AK168" s="324">
        <f>'DATA (Real)'!AK164*AK$4/100</f>
        <v>134.37496342181615</v>
      </c>
      <c r="AL168" s="324">
        <f>'DATA (Real)'!AL164*AL$4/100</f>
        <v>137.33121261709613</v>
      </c>
      <c r="AM168" s="324">
        <f>'DATA (Real)'!AM164*AM$4/100</f>
        <v>140.35249929467224</v>
      </c>
      <c r="AN168" s="324">
        <f>'DATA (Real)'!AN164*AN$4/100</f>
        <v>143.44025427915503</v>
      </c>
      <c r="AO168" s="324">
        <f>'DATA (Real)'!AO164*AO$4/100</f>
        <v>146.59593987329646</v>
      </c>
      <c r="AP168" s="324">
        <f>'DATA (Real)'!AP164*AP$4/100</f>
        <v>149.82105055050897</v>
      </c>
      <c r="AQ168" s="324">
        <f>'DATA (Real)'!AQ164*AQ$4/100</f>
        <v>153.11711366262017</v>
      </c>
      <c r="AR168" s="324">
        <f>'DATA (Real)'!AR164*AR$4/100</f>
        <v>156.4856901631978</v>
      </c>
      <c r="AS168" s="324">
        <f>'DATA (Real)'!AS164*AS$4/100</f>
        <v>159.92837534678816</v>
      </c>
      <c r="AT168" s="324">
        <f>'DATA (Real)'!AT164*AT$4/100</f>
        <v>163.44679960441749</v>
      </c>
      <c r="AU168" s="324">
        <f>'DATA (Real)'!AU164*AU$4/100</f>
        <v>167.04262919571465</v>
      </c>
      <c r="AV168" s="324">
        <f>'DATA (Real)'!AV164*AV$4/100</f>
        <v>170.71756703802038</v>
      </c>
      <c r="AW168" s="324">
        <f>'DATA (Real)'!AW164*AW$4/100</f>
        <v>174.47335351285685</v>
      </c>
      <c r="AX168" s="324">
        <f>'DATA (Real)'!AX164*AX$4/100</f>
        <v>178.31176729013973</v>
      </c>
      <c r="AY168" s="324">
        <f>'DATA (Real)'!AY164*AY$4/100</f>
        <v>182.2346261705228</v>
      </c>
      <c r="AZ168" s="324">
        <f>'DATA (Real)'!AZ164*AZ$4/100</f>
        <v>186.24378794627432</v>
      </c>
      <c r="BA168" s="324">
        <f>'DATA (Real)'!BA164*BA$4/100</f>
        <v>190.34115128109235</v>
      </c>
      <c r="BB168" s="324">
        <f>'DATA (Real)'!BB164*BB$4/100</f>
        <v>194.52865660927637</v>
      </c>
      <c r="BC168" s="324">
        <f>'DATA (Real)'!BC164*BC$4/100</f>
        <v>198.80828705468045</v>
      </c>
      <c r="BD168" s="324">
        <f>'DATA (Real)'!BD164*BD$4/100</f>
        <v>203.18206936988344</v>
      </c>
      <c r="BE168" s="324">
        <f>'DATA (Real)'!BE164*BE$4/100</f>
        <v>207.65207489602085</v>
      </c>
      <c r="BF168" s="324">
        <f>'DATA (Real)'!BF164*BF$4/100</f>
        <v>212.2204205437333</v>
      </c>
      <c r="BG168" s="324">
        <f>'DATA (Real)'!BG164*BG$4/100</f>
        <v>216.88926979569544</v>
      </c>
      <c r="BH168" s="324">
        <f>'DATA (Real)'!BH164*BH$4/100</f>
        <v>221.66083373120077</v>
      </c>
      <c r="BI168" s="324">
        <f>'DATA (Real)'!BI164*BI$4/100</f>
        <v>226.53737207328714</v>
      </c>
      <c r="BJ168" s="324">
        <f>'DATA (Real)'!BJ164*BJ$4/100</f>
        <v>231.5211942588995</v>
      </c>
      <c r="BK168" s="324">
        <f>'DATA (Real)'!BK164*BK$4/100</f>
        <v>236.61466053259531</v>
      </c>
      <c r="BL168" s="324">
        <f>'DATA (Real)'!BL164*BL$4/100</f>
        <v>241.8201830643124</v>
      </c>
      <c r="BM168" s="324">
        <f>'DATA (Real)'!BM164*BM$4/100</f>
        <v>247.1402270917273</v>
      </c>
      <c r="BN168" s="324">
        <f>'DATA (Real)'!BN164*BN$4/100</f>
        <v>252.57731208774527</v>
      </c>
      <c r="BO168" s="324">
        <f>'DATA (Real)'!BO164*BO$4/100</f>
        <v>258.13401295367572</v>
      </c>
      <c r="BP168" s="324">
        <f>'DATA (Real)'!BP164*BP$4/100</f>
        <v>263.81296123865656</v>
      </c>
      <c r="BQ168" s="324">
        <f>'DATA (Real)'!BQ164*BQ$4/100</f>
        <v>269.61684638590702</v>
      </c>
      <c r="BR168" s="324">
        <f>'DATA (Real)'!BR164*BR$4/100</f>
        <v>275.54841700639696</v>
      </c>
      <c r="BS168" s="324">
        <f>'DATA (Real)'!BS164*BS$4/100</f>
        <v>281.6104821805377</v>
      </c>
      <c r="BT168" s="324">
        <f>'DATA (Real)'!BT164*BT$4/100</f>
        <v>287.80591278850954</v>
      </c>
      <c r="BU168" s="324">
        <f>'DATA (Real)'!BU164*BU$4/100</f>
        <v>294.13764286985673</v>
      </c>
      <c r="BV168" s="324">
        <f>'DATA (Real)'!BV164*BV$4/100</f>
        <v>300.60867101299368</v>
      </c>
      <c r="BW168" s="324">
        <f>'DATA (Real)'!BW164*BW$4/100</f>
        <v>307.22206177527949</v>
      </c>
      <c r="BX168" s="324">
        <f>'DATA (Real)'!BX164*BX$4/100</f>
        <v>313.98094713433568</v>
      </c>
    </row>
    <row r="169" spans="2:76" hidden="1" outlineLevel="1">
      <c r="B169" s="348" t="s">
        <v>230</v>
      </c>
      <c r="C169" s="348" t="str">
        <f>'DATA (Real)'!C165</f>
        <v>Internal</v>
      </c>
      <c r="D169" s="348" t="str">
        <f>'DATA (Real)'!D165</f>
        <v>Fixed Operation and Maintenance Expenses ($/kW-yr)</v>
      </c>
      <c r="E169" s="348" t="str">
        <f>'DATA (Real)'!E165</f>
        <v>100hr Iron Oxide</v>
      </c>
      <c r="F169" s="314"/>
      <c r="G169" s="314"/>
      <c r="H169" s="314">
        <f>'DATA (Real)'!H165</f>
        <v>30</v>
      </c>
      <c r="I169" s="324">
        <f>'DATA (Real)'!I165*I$4/$H$4</f>
        <v>30.951599999999999</v>
      </c>
      <c r="J169" s="324">
        <f>'DATA (Real)'!J165*J$4/$H$4</f>
        <v>31.679671907499998</v>
      </c>
      <c r="K169" s="324">
        <f>'DATA (Real)'!K165*K$4/$H$4</f>
        <v>32.387184580100829</v>
      </c>
      <c r="L169" s="324">
        <f>'DATA (Real)'!L165*L$4/$H$4</f>
        <v>33.110498369056415</v>
      </c>
      <c r="M169" s="324">
        <f>'DATA (Real)'!M165*M$4/$H$4</f>
        <v>33.849966165965341</v>
      </c>
      <c r="N169" s="324">
        <f>'DATA (Real)'!N165*N$4/$H$4</f>
        <v>34.594665421616575</v>
      </c>
      <c r="O169" s="324">
        <f>'DATA (Real)'!O165*O$4/$H$4</f>
        <v>35.355748060892147</v>
      </c>
      <c r="P169" s="324">
        <f>'DATA (Real)'!P165*P$4/$H$4</f>
        <v>36.133574518231775</v>
      </c>
      <c r="Q169" s="324">
        <f>'DATA (Real)'!Q165*Q$4/$H$4</f>
        <v>36.928513157632871</v>
      </c>
      <c r="R169" s="324">
        <f>'DATA (Real)'!R165*R$4/$H$4</f>
        <v>37.74094044710079</v>
      </c>
      <c r="S169" s="324">
        <f>'DATA (Real)'!S165*S$4/$H$4</f>
        <v>38.571241136937019</v>
      </c>
      <c r="T169" s="324">
        <f>'DATA (Real)'!T165*T$4/$H$4</f>
        <v>39.419808441949627</v>
      </c>
      <c r="U169" s="324">
        <f>'DATA (Real)'!U165*U$4/$H$4</f>
        <v>40.287044227672517</v>
      </c>
      <c r="V169" s="324">
        <f>'DATA (Real)'!V165*V$4/$H$4</f>
        <v>41.173359200681318</v>
      </c>
      <c r="W169" s="324">
        <f>'DATA (Real)'!W165*W$4/$H$4</f>
        <v>42.079173103096302</v>
      </c>
      <c r="X169" s="324">
        <f>'DATA (Real)'!X165*X$4/$H$4</f>
        <v>43.004914911364416</v>
      </c>
      <c r="Y169" s="324">
        <f>'DATA (Real)'!Y165*Y$4/$H$4</f>
        <v>43.951023039414437</v>
      </c>
      <c r="Z169" s="324">
        <f>'DATA (Real)'!Z165*Z$4/$H$4</f>
        <v>44.917945546281558</v>
      </c>
      <c r="AA169" s="324">
        <f>'DATA (Real)'!AA165*AA$4/$H$4</f>
        <v>45.906140348299751</v>
      </c>
      <c r="AB169" s="324">
        <f>'DATA (Real)'!AB165*AB$4/$H$4</f>
        <v>46.916075435962341</v>
      </c>
      <c r="AC169" s="324">
        <f>'DATA (Real)'!AC165*AC$4/$H$4</f>
        <v>47.948229095553522</v>
      </c>
      <c r="AD169" s="324">
        <f>'DATA (Real)'!AD165*AD$4/$H$4</f>
        <v>49.003090135655697</v>
      </c>
      <c r="AE169" s="324">
        <f>'DATA (Real)'!AE165*AE$4/$H$4</f>
        <v>50.081158118640118</v>
      </c>
      <c r="AF169" s="324">
        <f>'DATA (Real)'!AF165*AF$4/$H$4</f>
        <v>51.182943597250201</v>
      </c>
      <c r="AG169" s="324">
        <f>'DATA (Real)'!AG165*AG$4/$H$4</f>
        <v>52.308968356389705</v>
      </c>
      <c r="AH169" s="324">
        <f>'DATA (Real)'!AH165*AH$4/$H$4</f>
        <v>53.459765660230282</v>
      </c>
      <c r="AI169" s="324">
        <f>'DATA (Real)'!AI165*AI$4/$H$4</f>
        <v>54.635880504755349</v>
      </c>
      <c r="AJ169" s="324">
        <f>'DATA (Real)'!AJ165*AJ$4/$H$4</f>
        <v>55.837869875859965</v>
      </c>
      <c r="AK169" s="324">
        <f>'DATA (Real)'!AK165*AK$4/$H$4</f>
        <v>57.066303013128881</v>
      </c>
      <c r="AL169" s="324">
        <f>'DATA (Real)'!AL165*AL$4/$H$4</f>
        <v>58.321761679417719</v>
      </c>
      <c r="AM169" s="324">
        <f>'DATA (Real)'!AM165*AM$4/$H$4</f>
        <v>59.604840436364917</v>
      </c>
      <c r="AN169" s="324">
        <f>'DATA (Real)'!AN165*AN$4/$H$4</f>
        <v>60.916146925964938</v>
      </c>
      <c r="AO169" s="324">
        <f>'DATA (Real)'!AO165*AO$4/$H$4</f>
        <v>62.256302158336169</v>
      </c>
      <c r="AP169" s="324">
        <f>'DATA (Real)'!AP165*AP$4/$H$4</f>
        <v>63.625940805819567</v>
      </c>
      <c r="AQ169" s="324">
        <f>'DATA (Real)'!AQ165*AQ$4/$H$4</f>
        <v>65.025711503547598</v>
      </c>
      <c r="AR169" s="324">
        <f>'DATA (Real)'!AR165*AR$4/$H$4</f>
        <v>66.456277156625646</v>
      </c>
      <c r="AS169" s="324">
        <f>'DATA (Real)'!AS165*AS$4/$H$4</f>
        <v>67.918315254071402</v>
      </c>
      <c r="AT169" s="324">
        <f>'DATA (Real)'!AT165*AT$4/$H$4</f>
        <v>69.412518189660972</v>
      </c>
      <c r="AU169" s="324">
        <f>'DATA (Real)'!AU165*AU$4/$H$4</f>
        <v>70.939593589833507</v>
      </c>
      <c r="AV169" s="324">
        <f>'DATA (Real)'!AV165*AV$4/$H$4</f>
        <v>72.500264648809846</v>
      </c>
      <c r="AW169" s="324">
        <f>'DATA (Real)'!AW165*AW$4/$H$4</f>
        <v>74.09527047108368</v>
      </c>
      <c r="AX169" s="324">
        <f>'DATA (Real)'!AX165*AX$4/$H$4</f>
        <v>75.725366421447532</v>
      </c>
      <c r="AY169" s="324">
        <f>'DATA (Real)'!AY165*AY$4/$H$4</f>
        <v>77.391324482719369</v>
      </c>
      <c r="AZ169" s="324">
        <f>'DATA (Real)'!AZ165*AZ$4/$H$4</f>
        <v>79.09393362133919</v>
      </c>
      <c r="BA169" s="324">
        <f>'DATA (Real)'!BA165*BA$4/$H$4</f>
        <v>80.83400016100866</v>
      </c>
      <c r="BB169" s="324">
        <f>'DATA (Real)'!BB165*BB$4/$H$4</f>
        <v>82.612348164550852</v>
      </c>
      <c r="BC169" s="324">
        <f>'DATA (Real)'!BC165*BC$4/$H$4</f>
        <v>84.429819824170977</v>
      </c>
      <c r="BD169" s="324">
        <f>'DATA (Real)'!BD165*BD$4/$H$4</f>
        <v>86.287275860302728</v>
      </c>
      <c r="BE169" s="324">
        <f>'DATA (Real)'!BE165*BE$4/$H$4</f>
        <v>88.185595929229379</v>
      </c>
      <c r="BF169" s="324">
        <f>'DATA (Real)'!BF165*BF$4/$H$4</f>
        <v>90.125679039672434</v>
      </c>
      <c r="BG169" s="324">
        <f>'DATA (Real)'!BG165*BG$4/$H$4</f>
        <v>92.108443978545225</v>
      </c>
      <c r="BH169" s="324">
        <f>'DATA (Real)'!BH165*BH$4/$H$4</f>
        <v>94.134829746073237</v>
      </c>
      <c r="BI169" s="324">
        <f>'DATA (Real)'!BI165*BI$4/$H$4</f>
        <v>96.205796000486842</v>
      </c>
      <c r="BJ169" s="324">
        <f>'DATA (Real)'!BJ165*BJ$4/$H$4</f>
        <v>98.322323512497562</v>
      </c>
      <c r="BK169" s="324">
        <f>'DATA (Real)'!BK165*BK$4/$H$4</f>
        <v>100.48541462977251</v>
      </c>
      <c r="BL169" s="324">
        <f>'DATA (Real)'!BL165*BL$4/$H$4</f>
        <v>102.6960937516275</v>
      </c>
      <c r="BM169" s="324">
        <f>'DATA (Real)'!BM165*BM$4/$H$4</f>
        <v>104.95540781416329</v>
      </c>
      <c r="BN169" s="324">
        <f>'DATA (Real)'!BN165*BN$4/$H$4</f>
        <v>107.26442678607489</v>
      </c>
      <c r="BO169" s="324">
        <f>'DATA (Real)'!BO165*BO$4/$H$4</f>
        <v>109.62424417536856</v>
      </c>
      <c r="BP169" s="324">
        <f>'DATA (Real)'!BP165*BP$4/$H$4</f>
        <v>112.03597754722666</v>
      </c>
      <c r="BQ169" s="324">
        <f>'DATA (Real)'!BQ165*BQ$4/$H$4</f>
        <v>114.50076905326566</v>
      </c>
      <c r="BR169" s="324">
        <f>'DATA (Real)'!BR165*BR$4/$H$4</f>
        <v>117.0197859724375</v>
      </c>
      <c r="BS169" s="324">
        <f>'DATA (Real)'!BS165*BS$4/$H$4</f>
        <v>119.59422126383112</v>
      </c>
      <c r="BT169" s="324">
        <f>'DATA (Real)'!BT165*BT$4/$H$4</f>
        <v>122.22529413163542</v>
      </c>
      <c r="BU169" s="324">
        <f>'DATA (Real)'!BU165*BU$4/$H$4</f>
        <v>124.9142506025314</v>
      </c>
      <c r="BV169" s="324">
        <f>'DATA (Real)'!BV165*BV$4/$H$4</f>
        <v>127.66236411578711</v>
      </c>
      <c r="BW169" s="324">
        <f>'DATA (Real)'!BW165*BW$4/$H$4</f>
        <v>130.47093612633444</v>
      </c>
      <c r="BX169" s="324">
        <f>'DATA (Real)'!BX165*BX$4/$H$4</f>
        <v>133.34129672111376</v>
      </c>
    </row>
    <row r="170" spans="2:76" hidden="1" outlineLevel="1">
      <c r="B170" s="348" t="s">
        <v>230</v>
      </c>
      <c r="C170" s="348" t="str">
        <f>'DATA (Real)'!C166</f>
        <v>Internal</v>
      </c>
      <c r="D170" s="348" t="str">
        <f>'DATA (Real)'!D166</f>
        <v>Fixed Operation and Maintenance Expenses ($/kW-yr)</v>
      </c>
      <c r="E170" s="348" t="str">
        <f>'DATA (Real)'!E166</f>
        <v>Liquid Air</v>
      </c>
      <c r="F170" s="314"/>
      <c r="G170" s="314"/>
      <c r="H170" s="314">
        <f>'DATA (Real)'!H166</f>
        <v>25</v>
      </c>
      <c r="I170" s="324">
        <f>'DATA (Real)'!I166*I$4/$H$4</f>
        <v>25.793000000000003</v>
      </c>
      <c r="J170" s="324">
        <f>'DATA (Real)'!J166*J$4/$H$4</f>
        <v>26.399726589583331</v>
      </c>
      <c r="K170" s="324">
        <f>'DATA (Real)'!K166*K$4/$H$4</f>
        <v>26.989320483417355</v>
      </c>
      <c r="L170" s="324">
        <f>'DATA (Real)'!L166*L$4/$H$4</f>
        <v>27.592081974213677</v>
      </c>
      <c r="M170" s="324">
        <f>'DATA (Real)'!M166*M$4/$H$4</f>
        <v>28.208305138304446</v>
      </c>
      <c r="N170" s="324">
        <f>'DATA (Real)'!N166*N$4/$H$4</f>
        <v>28.828887851347151</v>
      </c>
      <c r="O170" s="324">
        <f>'DATA (Real)'!O166*O$4/$H$4</f>
        <v>29.463123384076784</v>
      </c>
      <c r="P170" s="324">
        <f>'DATA (Real)'!P166*P$4/$H$4</f>
        <v>30.111312098526476</v>
      </c>
      <c r="Q170" s="324">
        <f>'DATA (Real)'!Q166*Q$4/$H$4</f>
        <v>30.773760964694059</v>
      </c>
      <c r="R170" s="324">
        <f>'DATA (Real)'!R166*R$4/$H$4</f>
        <v>31.450783705917328</v>
      </c>
      <c r="S170" s="324">
        <f>'DATA (Real)'!S166*S$4/$H$4</f>
        <v>32.142700947447508</v>
      </c>
      <c r="T170" s="324">
        <f>'DATA (Real)'!T166*T$4/$H$4</f>
        <v>32.849840368291353</v>
      </c>
      <c r="U170" s="324">
        <f>'DATA (Real)'!U166*U$4/$H$4</f>
        <v>33.572536856393761</v>
      </c>
      <c r="V170" s="324">
        <f>'DATA (Real)'!V166*V$4/$H$4</f>
        <v>34.311132667234425</v>
      </c>
      <c r="W170" s="324">
        <f>'DATA (Real)'!W166*W$4/$H$4</f>
        <v>35.065977585913586</v>
      </c>
      <c r="X170" s="324">
        <f>'DATA (Real)'!X166*X$4/$H$4</f>
        <v>35.837429092803681</v>
      </c>
      <c r="Y170" s="324">
        <f>'DATA (Real)'!Y166*Y$4/$H$4</f>
        <v>36.625852532845364</v>
      </c>
      <c r="Z170" s="324">
        <f>'DATA (Real)'!Z166*Z$4/$H$4</f>
        <v>37.431621288567968</v>
      </c>
      <c r="AA170" s="324">
        <f>'DATA (Real)'!AA166*AA$4/$H$4</f>
        <v>38.25511695691646</v>
      </c>
      <c r="AB170" s="324">
        <f>'DATA (Real)'!AB166*AB$4/$H$4</f>
        <v>39.096729529968627</v>
      </c>
      <c r="AC170" s="324">
        <f>'DATA (Real)'!AC166*AC$4/$H$4</f>
        <v>39.956857579627929</v>
      </c>
      <c r="AD170" s="324">
        <f>'DATA (Real)'!AD166*AD$4/$H$4</f>
        <v>40.83590844637974</v>
      </c>
      <c r="AE170" s="324">
        <f>'DATA (Real)'!AE166*AE$4/$H$4</f>
        <v>41.734298432200106</v>
      </c>
      <c r="AF170" s="324">
        <f>'DATA (Real)'!AF166*AF$4/$H$4</f>
        <v>42.652452997708508</v>
      </c>
      <c r="AG170" s="324">
        <f>'DATA (Real)'!AG166*AG$4/$H$4</f>
        <v>43.590806963658089</v>
      </c>
      <c r="AH170" s="324">
        <f>'DATA (Real)'!AH166*AH$4/$H$4</f>
        <v>44.549804716858567</v>
      </c>
      <c r="AI170" s="324">
        <f>'DATA (Real)'!AI166*AI$4/$H$4</f>
        <v>45.52990042062946</v>
      </c>
      <c r="AJ170" s="324">
        <f>'DATA (Real)'!AJ166*AJ$4/$H$4</f>
        <v>46.531558229883302</v>
      </c>
      <c r="AK170" s="324">
        <f>'DATA (Real)'!AK166*AK$4/$H$4</f>
        <v>47.55525251094074</v>
      </c>
      <c r="AL170" s="324">
        <f>'DATA (Real)'!AL166*AL$4/$H$4</f>
        <v>48.60146806618144</v>
      </c>
      <c r="AM170" s="324">
        <f>'DATA (Real)'!AM166*AM$4/$H$4</f>
        <v>49.67070036363743</v>
      </c>
      <c r="AN170" s="324">
        <f>'DATA (Real)'!AN166*AN$4/$H$4</f>
        <v>50.763455771637453</v>
      </c>
      <c r="AO170" s="324">
        <f>'DATA (Real)'!AO166*AO$4/$H$4</f>
        <v>51.880251798613472</v>
      </c>
      <c r="AP170" s="324">
        <f>'DATA (Real)'!AP166*AP$4/$H$4</f>
        <v>53.021617338182971</v>
      </c>
      <c r="AQ170" s="324">
        <f>'DATA (Real)'!AQ166*AQ$4/$H$4</f>
        <v>54.188092919622996</v>
      </c>
      <c r="AR170" s="324">
        <f>'DATA (Real)'!AR166*AR$4/$H$4</f>
        <v>55.3802309638547</v>
      </c>
      <c r="AS170" s="324">
        <f>'DATA (Real)'!AS166*AS$4/$H$4</f>
        <v>56.598596045059502</v>
      </c>
      <c r="AT170" s="324">
        <f>'DATA (Real)'!AT166*AT$4/$H$4</f>
        <v>57.843765158050807</v>
      </c>
      <c r="AU170" s="324">
        <f>'DATA (Real)'!AU166*AU$4/$H$4</f>
        <v>59.116327991527925</v>
      </c>
      <c r="AV170" s="324">
        <f>'DATA (Real)'!AV166*AV$4/$H$4</f>
        <v>60.416887207341546</v>
      </c>
      <c r="AW170" s="324">
        <f>'DATA (Real)'!AW166*AW$4/$H$4</f>
        <v>61.746058725903062</v>
      </c>
      <c r="AX170" s="324">
        <f>'DATA (Real)'!AX166*AX$4/$H$4</f>
        <v>63.104472017872936</v>
      </c>
      <c r="AY170" s="324">
        <f>'DATA (Real)'!AY166*AY$4/$H$4</f>
        <v>64.492770402266146</v>
      </c>
      <c r="AZ170" s="324">
        <f>'DATA (Real)'!AZ166*AZ$4/$H$4</f>
        <v>65.911611351115994</v>
      </c>
      <c r="BA170" s="324">
        <f>'DATA (Real)'!BA166*BA$4/$H$4</f>
        <v>67.361666800840553</v>
      </c>
      <c r="BB170" s="324">
        <f>'DATA (Real)'!BB166*BB$4/$H$4</f>
        <v>68.843623470459036</v>
      </c>
      <c r="BC170" s="324">
        <f>'DATA (Real)'!BC166*BC$4/$H$4</f>
        <v>70.358183186809143</v>
      </c>
      <c r="BD170" s="324">
        <f>'DATA (Real)'!BD166*BD$4/$H$4</f>
        <v>71.906063216918938</v>
      </c>
      <c r="BE170" s="324">
        <f>'DATA (Real)'!BE166*BE$4/$H$4</f>
        <v>73.487996607691159</v>
      </c>
      <c r="BF170" s="324">
        <f>'DATA (Real)'!BF166*BF$4/$H$4</f>
        <v>75.104732533060371</v>
      </c>
      <c r="BG170" s="324">
        <f>'DATA (Real)'!BG166*BG$4/$H$4</f>
        <v>76.75703664878769</v>
      </c>
      <c r="BH170" s="324">
        <f>'DATA (Real)'!BH166*BH$4/$H$4</f>
        <v>78.445691455061024</v>
      </c>
      <c r="BI170" s="324">
        <f>'DATA (Real)'!BI166*BI$4/$H$4</f>
        <v>80.171496667072361</v>
      </c>
      <c r="BJ170" s="324">
        <f>'DATA (Real)'!BJ166*BJ$4/$H$4</f>
        <v>81.935269593747961</v>
      </c>
      <c r="BK170" s="324">
        <f>'DATA (Real)'!BK166*BK$4/$H$4</f>
        <v>83.73784552481041</v>
      </c>
      <c r="BL170" s="324">
        <f>'DATA (Real)'!BL166*BL$4/$H$4</f>
        <v>85.580078126356256</v>
      </c>
      <c r="BM170" s="324">
        <f>'DATA (Real)'!BM166*BM$4/$H$4</f>
        <v>87.462839845136088</v>
      </c>
      <c r="BN170" s="324">
        <f>'DATA (Real)'!BN166*BN$4/$H$4</f>
        <v>89.387022321729077</v>
      </c>
      <c r="BO170" s="324">
        <f>'DATA (Real)'!BO166*BO$4/$H$4</f>
        <v>91.353536812807135</v>
      </c>
      <c r="BP170" s="324">
        <f>'DATA (Real)'!BP166*BP$4/$H$4</f>
        <v>93.36331462268889</v>
      </c>
      <c r="BQ170" s="324">
        <f>'DATA (Real)'!BQ166*BQ$4/$H$4</f>
        <v>95.417307544388052</v>
      </c>
      <c r="BR170" s="324">
        <f>'DATA (Real)'!BR166*BR$4/$H$4</f>
        <v>97.516488310364579</v>
      </c>
      <c r="BS170" s="324">
        <f>'DATA (Real)'!BS166*BS$4/$H$4</f>
        <v>99.661851053192606</v>
      </c>
      <c r="BT170" s="324">
        <f>'DATA (Real)'!BT166*BT$4/$H$4</f>
        <v>101.85441177636285</v>
      </c>
      <c r="BU170" s="324">
        <f>'DATA (Real)'!BU166*BU$4/$H$4</f>
        <v>104.09520883544283</v>
      </c>
      <c r="BV170" s="324">
        <f>'DATA (Real)'!BV166*BV$4/$H$4</f>
        <v>106.38530342982257</v>
      </c>
      <c r="BW170" s="324">
        <f>'DATA (Real)'!BW166*BW$4/$H$4</f>
        <v>108.72578010527869</v>
      </c>
      <c r="BX170" s="324">
        <f>'DATA (Real)'!BX166*BX$4/$H$4</f>
        <v>111.11774726759481</v>
      </c>
    </row>
    <row r="171" spans="2:76" hidden="1" outlineLevel="1">
      <c r="B171" s="348" t="s">
        <v>230</v>
      </c>
      <c r="C171" s="348" t="str">
        <f>'DATA (Real)'!C167</f>
        <v>NREL Pumped Storage Hydropower - National Class 10</v>
      </c>
      <c r="D171" s="348" t="str">
        <f>'DATA (Real)'!D167</f>
        <v>Fixed Operation and Maintenance Expenses ($/kW-yr)</v>
      </c>
      <c r="E171" s="348" t="str">
        <f>'DATA (Real)'!E167</f>
        <v>Pumped Hydro (8.5 hr/ 400 MW share)</v>
      </c>
      <c r="F171" s="314">
        <f>'DATA (Real)'!F167</f>
        <v>17.82</v>
      </c>
      <c r="G171" s="324">
        <f>'DATA (Real)'!G167*G$4/100</f>
        <v>18.265499999999996</v>
      </c>
      <c r="H171" s="324">
        <f>'DATA (Real)'!H167*H$4/100</f>
        <v>19.578994063524586</v>
      </c>
      <c r="I171" s="324">
        <f>'DATA (Real)'!I167*I$4/100</f>
        <v>20.200039755219585</v>
      </c>
      <c r="J171" s="324">
        <f>'DATA (Real)'!J167*J$4/100</f>
        <v>20.675203607044967</v>
      </c>
      <c r="K171" s="324">
        <f>'DATA (Real)'!K167*K$4/100</f>
        <v>21.136949820935637</v>
      </c>
      <c r="L171" s="324">
        <f>'DATA (Real)'!L167*L$4/100</f>
        <v>21.609008366936536</v>
      </c>
      <c r="M171" s="324">
        <f>'DATA (Real)'!M167*M$4/100</f>
        <v>22.091609553798115</v>
      </c>
      <c r="N171" s="324">
        <f>'DATA (Real)'!N167*N$4/100</f>
        <v>22.57762496398168</v>
      </c>
      <c r="O171" s="324">
        <f>'DATA (Real)'!O167*O$4/100</f>
        <v>23.074332713189275</v>
      </c>
      <c r="P171" s="324">
        <f>'DATA (Real)'!P167*P$4/100</f>
        <v>23.581968032879441</v>
      </c>
      <c r="Q171" s="324">
        <f>'DATA (Real)'!Q167*Q$4/100</f>
        <v>24.100771329602786</v>
      </c>
      <c r="R171" s="324">
        <f>'DATA (Real)'!R167*R$4/100</f>
        <v>24.630988298854049</v>
      </c>
      <c r="S171" s="324">
        <f>'DATA (Real)'!S167*S$4/100</f>
        <v>25.172870041428837</v>
      </c>
      <c r="T171" s="324">
        <f>'DATA (Real)'!T167*T$4/100</f>
        <v>25.726673182340274</v>
      </c>
      <c r="U171" s="324">
        <f>'DATA (Real)'!U167*U$4/100</f>
        <v>26.292659992351755</v>
      </c>
      <c r="V171" s="324">
        <f>'DATA (Real)'!V167*V$4/100</f>
        <v>26.871098512183494</v>
      </c>
      <c r="W171" s="324">
        <f>'DATA (Real)'!W167*W$4/100</f>
        <v>27.462262679451534</v>
      </c>
      <c r="X171" s="324">
        <f>'DATA (Real)'!X167*X$4/100</f>
        <v>28.066432458399468</v>
      </c>
      <c r="Y171" s="324">
        <f>'DATA (Real)'!Y167*Y$4/100</f>
        <v>28.683893972484256</v>
      </c>
      <c r="Z171" s="324">
        <f>'DATA (Real)'!Z167*Z$4/100</f>
        <v>29.314939639878911</v>
      </c>
      <c r="AA171" s="324">
        <f>'DATA (Real)'!AA167*AA$4/100</f>
        <v>29.959868311956242</v>
      </c>
      <c r="AB171" s="324">
        <f>'DATA (Real)'!AB167*AB$4/100</f>
        <v>30.618985414819285</v>
      </c>
      <c r="AC171" s="324">
        <f>'DATA (Real)'!AC167*AC$4/100</f>
        <v>31.29260309394531</v>
      </c>
      <c r="AD171" s="324">
        <f>'DATA (Real)'!AD167*AD$4/100</f>
        <v>31.981040362012106</v>
      </c>
      <c r="AE171" s="324">
        <f>'DATA (Real)'!AE167*AE$4/100</f>
        <v>32.684623249976369</v>
      </c>
      <c r="AF171" s="324">
        <f>'DATA (Real)'!AF167*AF$4/100</f>
        <v>33.403684961475854</v>
      </c>
      <c r="AG171" s="324">
        <f>'DATA (Real)'!AG167*AG$4/100</f>
        <v>34.138566030628319</v>
      </c>
      <c r="AH171" s="324">
        <f>'DATA (Real)'!AH167*AH$4/100</f>
        <v>34.889614483302147</v>
      </c>
      <c r="AI171" s="324">
        <f>'DATA (Real)'!AI167*AI$4/100</f>
        <v>35.657186001934789</v>
      </c>
      <c r="AJ171" s="324">
        <f>'DATA (Real)'!AJ167*AJ$4/100</f>
        <v>36.441644093977359</v>
      </c>
      <c r="AK171" s="324">
        <f>'DATA (Real)'!AK167*AK$4/100</f>
        <v>37.243360264044853</v>
      </c>
      <c r="AL171" s="324">
        <f>'DATA (Real)'!AL167*AL$4/100</f>
        <v>38.062714189853843</v>
      </c>
      <c r="AM171" s="324">
        <f>'DATA (Real)'!AM167*AM$4/100</f>
        <v>38.900093902030633</v>
      </c>
      <c r="AN171" s="324">
        <f>'DATA (Real)'!AN167*AN$4/100</f>
        <v>39.755895967875304</v>
      </c>
      <c r="AO171" s="324">
        <f>'DATA (Real)'!AO167*AO$4/100</f>
        <v>40.630525679168564</v>
      </c>
      <c r="AP171" s="324">
        <f>'DATA (Real)'!AP167*AP$4/100</f>
        <v>41.524397244110268</v>
      </c>
      <c r="AQ171" s="324">
        <f>'DATA (Real)'!AQ167*AQ$4/100</f>
        <v>42.437933983480697</v>
      </c>
      <c r="AR171" s="324">
        <f>'DATA (Real)'!AR167*AR$4/100</f>
        <v>43.371568531117276</v>
      </c>
      <c r="AS171" s="324">
        <f>'DATA (Real)'!AS167*AS$4/100</f>
        <v>44.325743038801846</v>
      </c>
      <c r="AT171" s="324">
        <f>'DATA (Real)'!AT167*AT$4/100</f>
        <v>45.300909385655487</v>
      </c>
      <c r="AU171" s="324">
        <f>'DATA (Real)'!AU167*AU$4/100</f>
        <v>46.297529392139907</v>
      </c>
      <c r="AV171" s="324">
        <f>'DATA (Real)'!AV167*AV$4/100</f>
        <v>47.316075038766982</v>
      </c>
      <c r="AW171" s="324">
        <f>'DATA (Real)'!AW167*AW$4/100</f>
        <v>48.357028689619867</v>
      </c>
      <c r="AX171" s="324">
        <f>'DATA (Real)'!AX167*AX$4/100</f>
        <v>49.420883320791511</v>
      </c>
      <c r="AY171" s="324">
        <f>'DATA (Real)'!AY167*AY$4/100</f>
        <v>50.508142753848922</v>
      </c>
      <c r="AZ171" s="324">
        <f>'DATA (Real)'!AZ167*AZ$4/100</f>
        <v>51.619321894433597</v>
      </c>
      <c r="BA171" s="324">
        <f>'DATA (Real)'!BA167*BA$4/100</f>
        <v>52.754946976111142</v>
      </c>
      <c r="BB171" s="324">
        <f>'DATA (Real)'!BB167*BB$4/100</f>
        <v>53.915555809585584</v>
      </c>
      <c r="BC171" s="324">
        <f>'DATA (Real)'!BC167*BC$4/100</f>
        <v>55.10169803739646</v>
      </c>
      <c r="BD171" s="324">
        <f>'DATA (Real)'!BD167*BD$4/100</f>
        <v>56.313935394219186</v>
      </c>
      <c r="BE171" s="324">
        <f>'DATA (Real)'!BE167*BE$4/100</f>
        <v>57.552841972892004</v>
      </c>
      <c r="BF171" s="324">
        <f>'DATA (Real)'!BF167*BF$4/100</f>
        <v>58.819004496295626</v>
      </c>
      <c r="BG171" s="324">
        <f>'DATA (Real)'!BG167*BG$4/100</f>
        <v>60.113022595214133</v>
      </c>
      <c r="BH171" s="324">
        <f>'DATA (Real)'!BH167*BH$4/100</f>
        <v>61.435509092308848</v>
      </c>
      <c r="BI171" s="324">
        <f>'DATA (Real)'!BI167*BI$4/100</f>
        <v>62.787090292339641</v>
      </c>
      <c r="BJ171" s="324">
        <f>'DATA (Real)'!BJ167*BJ$4/100</f>
        <v>64.168406278771116</v>
      </c>
      <c r="BK171" s="324">
        <f>'DATA (Real)'!BK167*BK$4/100</f>
        <v>65.580111216904086</v>
      </c>
      <c r="BL171" s="324">
        <f>'DATA (Real)'!BL167*BL$4/100</f>
        <v>67.022873663675966</v>
      </c>
      <c r="BM171" s="324">
        <f>'DATA (Real)'!BM167*BM$4/100</f>
        <v>68.497376884276846</v>
      </c>
      <c r="BN171" s="324">
        <f>'DATA (Real)'!BN167*BN$4/100</f>
        <v>70.004319175730942</v>
      </c>
      <c r="BO171" s="324">
        <f>'DATA (Real)'!BO167*BO$4/100</f>
        <v>71.544414197597021</v>
      </c>
      <c r="BP171" s="324">
        <f>'DATA (Real)'!BP167*BP$4/100</f>
        <v>73.118391309944158</v>
      </c>
      <c r="BQ171" s="324">
        <f>'DATA (Real)'!BQ167*BQ$4/100</f>
        <v>74.726995918762938</v>
      </c>
      <c r="BR171" s="324">
        <f>'DATA (Real)'!BR167*BR$4/100</f>
        <v>76.370989828975723</v>
      </c>
      <c r="BS171" s="324">
        <f>'DATA (Real)'!BS167*BS$4/100</f>
        <v>78.051151605213192</v>
      </c>
      <c r="BT171" s="324">
        <f>'DATA (Real)'!BT167*BT$4/100</f>
        <v>79.768276940527883</v>
      </c>
      <c r="BU171" s="324">
        <f>'DATA (Real)'!BU167*BU$4/100</f>
        <v>81.523179033219492</v>
      </c>
      <c r="BV171" s="324">
        <f>'DATA (Real)'!BV167*BV$4/100</f>
        <v>83.316688971950327</v>
      </c>
      <c r="BW171" s="324">
        <f>'DATA (Real)'!BW167*BW$4/100</f>
        <v>85.149656129333252</v>
      </c>
      <c r="BX171" s="324">
        <f>'DATA (Real)'!BX167*BX$4/100</f>
        <v>87.022948564178563</v>
      </c>
    </row>
    <row r="172" spans="2:76" hidden="1" outlineLevel="1">
      <c r="B172" s="348" t="s">
        <v>230</v>
      </c>
      <c r="C172" s="348" t="str">
        <f>'DATA (Real)'!C168</f>
        <v>NREL Pumped Storage Hydropower - National Class 7</v>
      </c>
      <c r="D172" s="348" t="str">
        <f>'DATA (Real)'!D168</f>
        <v>Fixed Operation and Maintenance Expenses ($/kW-yr)</v>
      </c>
      <c r="E172" s="348" t="str">
        <f>'DATA (Real)'!E168</f>
        <v>Pumped Hydro (16 hr/ 100 MW)</v>
      </c>
      <c r="F172" s="314">
        <f>'DATA (Real)'!F168</f>
        <v>17.82</v>
      </c>
      <c r="G172" s="324">
        <f>'DATA (Real)'!G168*G$4/100</f>
        <v>18.265499999999996</v>
      </c>
      <c r="H172" s="324">
        <f>'DATA (Real)'!H168*H$4/100</f>
        <v>19.578994063524586</v>
      </c>
      <c r="I172" s="324">
        <f>'DATA (Real)'!I168*I$4/100</f>
        <v>20.200039755219585</v>
      </c>
      <c r="J172" s="324">
        <f>'DATA (Real)'!J168*J$4/100</f>
        <v>20.675203607044967</v>
      </c>
      <c r="K172" s="324">
        <f>'DATA (Real)'!K168*K$4/100</f>
        <v>21.136949820935637</v>
      </c>
      <c r="L172" s="324">
        <f>'DATA (Real)'!L168*L$4/100</f>
        <v>21.609008366936536</v>
      </c>
      <c r="M172" s="324">
        <f>'DATA (Real)'!M168*M$4/100</f>
        <v>22.091609553798115</v>
      </c>
      <c r="N172" s="324">
        <f>'DATA (Real)'!N168*N$4/100</f>
        <v>22.57762496398168</v>
      </c>
      <c r="O172" s="324">
        <f>'DATA (Real)'!O168*O$4/100</f>
        <v>23.074332713189275</v>
      </c>
      <c r="P172" s="324">
        <f>'DATA (Real)'!P168*P$4/100</f>
        <v>23.581968032879441</v>
      </c>
      <c r="Q172" s="324">
        <f>'DATA (Real)'!Q168*Q$4/100</f>
        <v>24.100771329602786</v>
      </c>
      <c r="R172" s="324">
        <f>'DATA (Real)'!R168*R$4/100</f>
        <v>24.630988298854049</v>
      </c>
      <c r="S172" s="324">
        <f>'DATA (Real)'!S168*S$4/100</f>
        <v>25.172870041428837</v>
      </c>
      <c r="T172" s="324">
        <f>'DATA (Real)'!T168*T$4/100</f>
        <v>25.726673182340274</v>
      </c>
      <c r="U172" s="324">
        <f>'DATA (Real)'!U168*U$4/100</f>
        <v>26.292659992351755</v>
      </c>
      <c r="V172" s="324">
        <f>'DATA (Real)'!V168*V$4/100</f>
        <v>26.871098512183494</v>
      </c>
      <c r="W172" s="324">
        <f>'DATA (Real)'!W168*W$4/100</f>
        <v>27.462262679451534</v>
      </c>
      <c r="X172" s="324">
        <f>'DATA (Real)'!X168*X$4/100</f>
        <v>28.066432458399468</v>
      </c>
      <c r="Y172" s="324">
        <f>'DATA (Real)'!Y168*Y$4/100</f>
        <v>28.683893972484256</v>
      </c>
      <c r="Z172" s="324">
        <f>'DATA (Real)'!Z168*Z$4/100</f>
        <v>29.314939639878911</v>
      </c>
      <c r="AA172" s="324">
        <f>'DATA (Real)'!AA168*AA$4/100</f>
        <v>29.959868311956242</v>
      </c>
      <c r="AB172" s="324">
        <f>'DATA (Real)'!AB168*AB$4/100</f>
        <v>30.618985414819285</v>
      </c>
      <c r="AC172" s="324">
        <f>'DATA (Real)'!AC168*AC$4/100</f>
        <v>31.29260309394531</v>
      </c>
      <c r="AD172" s="324">
        <f>'DATA (Real)'!AD168*AD$4/100</f>
        <v>31.981040362012106</v>
      </c>
      <c r="AE172" s="324">
        <f>'DATA (Real)'!AE168*AE$4/100</f>
        <v>32.684623249976369</v>
      </c>
      <c r="AF172" s="324">
        <f>'DATA (Real)'!AF168*AF$4/100</f>
        <v>33.403684961475854</v>
      </c>
      <c r="AG172" s="324">
        <f>'DATA (Real)'!AG168*AG$4/100</f>
        <v>34.138566030628319</v>
      </c>
      <c r="AH172" s="324">
        <f>'DATA (Real)'!AH168*AH$4/100</f>
        <v>34.889614483302147</v>
      </c>
      <c r="AI172" s="324">
        <f>'DATA (Real)'!AI168*AI$4/100</f>
        <v>35.657186001934789</v>
      </c>
      <c r="AJ172" s="324">
        <f>'DATA (Real)'!AJ168*AJ$4/100</f>
        <v>36.441644093977359</v>
      </c>
      <c r="AK172" s="324">
        <f>'DATA (Real)'!AK168*AK$4/100</f>
        <v>37.243360264044853</v>
      </c>
      <c r="AL172" s="324">
        <f>'DATA (Real)'!AL168*AL$4/100</f>
        <v>38.062714189853843</v>
      </c>
      <c r="AM172" s="324">
        <f>'DATA (Real)'!AM168*AM$4/100</f>
        <v>38.900093902030633</v>
      </c>
      <c r="AN172" s="324">
        <f>'DATA (Real)'!AN168*AN$4/100</f>
        <v>39.755895967875304</v>
      </c>
      <c r="AO172" s="324">
        <f>'DATA (Real)'!AO168*AO$4/100</f>
        <v>40.630525679168564</v>
      </c>
      <c r="AP172" s="324">
        <f>'DATA (Real)'!AP168*AP$4/100</f>
        <v>41.524397244110268</v>
      </c>
      <c r="AQ172" s="324">
        <f>'DATA (Real)'!AQ168*AQ$4/100</f>
        <v>42.437933983480697</v>
      </c>
      <c r="AR172" s="324">
        <f>'DATA (Real)'!AR168*AR$4/100</f>
        <v>43.371568531117276</v>
      </c>
      <c r="AS172" s="324">
        <f>'DATA (Real)'!AS168*AS$4/100</f>
        <v>44.325743038801846</v>
      </c>
      <c r="AT172" s="324">
        <f>'DATA (Real)'!AT168*AT$4/100</f>
        <v>45.300909385655487</v>
      </c>
      <c r="AU172" s="324">
        <f>'DATA (Real)'!AU168*AU$4/100</f>
        <v>46.297529392139907</v>
      </c>
      <c r="AV172" s="324">
        <f>'DATA (Real)'!AV168*AV$4/100</f>
        <v>47.316075038766982</v>
      </c>
      <c r="AW172" s="324">
        <f>'DATA (Real)'!AW168*AW$4/100</f>
        <v>48.357028689619867</v>
      </c>
      <c r="AX172" s="324">
        <f>'DATA (Real)'!AX168*AX$4/100</f>
        <v>49.420883320791511</v>
      </c>
      <c r="AY172" s="324">
        <f>'DATA (Real)'!AY168*AY$4/100</f>
        <v>50.508142753848922</v>
      </c>
      <c r="AZ172" s="324">
        <f>'DATA (Real)'!AZ168*AZ$4/100</f>
        <v>51.619321894433597</v>
      </c>
      <c r="BA172" s="324">
        <f>'DATA (Real)'!BA168*BA$4/100</f>
        <v>52.754946976111142</v>
      </c>
      <c r="BB172" s="324">
        <f>'DATA (Real)'!BB168*BB$4/100</f>
        <v>53.915555809585584</v>
      </c>
      <c r="BC172" s="324">
        <f>'DATA (Real)'!BC168*BC$4/100</f>
        <v>55.10169803739646</v>
      </c>
      <c r="BD172" s="324">
        <f>'DATA (Real)'!BD168*BD$4/100</f>
        <v>56.313935394219186</v>
      </c>
      <c r="BE172" s="324">
        <f>'DATA (Real)'!BE168*BE$4/100</f>
        <v>57.552841972892004</v>
      </c>
      <c r="BF172" s="324">
        <f>'DATA (Real)'!BF168*BF$4/100</f>
        <v>58.819004496295626</v>
      </c>
      <c r="BG172" s="324">
        <f>'DATA (Real)'!BG168*BG$4/100</f>
        <v>60.113022595214133</v>
      </c>
      <c r="BH172" s="324">
        <f>'DATA (Real)'!BH168*BH$4/100</f>
        <v>61.435509092308848</v>
      </c>
      <c r="BI172" s="324">
        <f>'DATA (Real)'!BI168*BI$4/100</f>
        <v>62.787090292339641</v>
      </c>
      <c r="BJ172" s="324">
        <f>'DATA (Real)'!BJ168*BJ$4/100</f>
        <v>64.168406278771116</v>
      </c>
      <c r="BK172" s="324">
        <f>'DATA (Real)'!BK168*BK$4/100</f>
        <v>65.580111216904086</v>
      </c>
      <c r="BL172" s="324">
        <f>'DATA (Real)'!BL168*BL$4/100</f>
        <v>67.022873663675966</v>
      </c>
      <c r="BM172" s="324">
        <f>'DATA (Real)'!BM168*BM$4/100</f>
        <v>68.497376884276846</v>
      </c>
      <c r="BN172" s="324">
        <f>'DATA (Real)'!BN168*BN$4/100</f>
        <v>70.004319175730942</v>
      </c>
      <c r="BO172" s="324">
        <f>'DATA (Real)'!BO168*BO$4/100</f>
        <v>71.544414197597021</v>
      </c>
      <c r="BP172" s="324">
        <f>'DATA (Real)'!BP168*BP$4/100</f>
        <v>73.118391309944158</v>
      </c>
      <c r="BQ172" s="324">
        <f>'DATA (Real)'!BQ168*BQ$4/100</f>
        <v>74.726995918762938</v>
      </c>
      <c r="BR172" s="324">
        <f>'DATA (Real)'!BR168*BR$4/100</f>
        <v>76.370989828975723</v>
      </c>
      <c r="BS172" s="324">
        <f>'DATA (Real)'!BS168*BS$4/100</f>
        <v>78.051151605213192</v>
      </c>
      <c r="BT172" s="324">
        <f>'DATA (Real)'!BT168*BT$4/100</f>
        <v>79.768276940527883</v>
      </c>
      <c r="BU172" s="324">
        <f>'DATA (Real)'!BU168*BU$4/100</f>
        <v>81.523179033219492</v>
      </c>
      <c r="BV172" s="324">
        <f>'DATA (Real)'!BV168*BV$4/100</f>
        <v>83.316688971950327</v>
      </c>
      <c r="BW172" s="324">
        <f>'DATA (Real)'!BW168*BW$4/100</f>
        <v>85.149656129333252</v>
      </c>
      <c r="BX172" s="324">
        <f>'DATA (Real)'!BX168*BX$4/100</f>
        <v>87.022948564178563</v>
      </c>
    </row>
    <row r="173" spans="2:76" hidden="1" outlineLevel="1">
      <c r="B173" s="348" t="s">
        <v>230</v>
      </c>
      <c r="C173" s="348" t="str">
        <f>'DATA (Real)'!C169</f>
        <v>NREL Pumped Storage Hydropower - National Class 5</v>
      </c>
      <c r="D173" s="348" t="str">
        <f>'DATA (Real)'!D169</f>
        <v>Fixed Operation and Maintenance Expenses ($/kW-yr)</v>
      </c>
      <c r="E173" s="348" t="str">
        <f>'DATA (Real)'!E169</f>
        <v>Pumped Hyrdo (24 hr/ 100 MW)</v>
      </c>
      <c r="F173" s="314">
        <f>'DATA (Real)'!F169</f>
        <v>17.82</v>
      </c>
      <c r="G173" s="324">
        <f>'DATA (Real)'!G169*G$4/100</f>
        <v>18.265499999999996</v>
      </c>
      <c r="H173" s="324">
        <f>'DATA (Real)'!H169*H$4/100</f>
        <v>19.578994063524586</v>
      </c>
      <c r="I173" s="324">
        <f>'DATA (Real)'!I169*I$4/100</f>
        <v>20.200039755219585</v>
      </c>
      <c r="J173" s="324">
        <f>'DATA (Real)'!J169*J$4/100</f>
        <v>20.675203607044967</v>
      </c>
      <c r="K173" s="324">
        <f>'DATA (Real)'!K169*K$4/100</f>
        <v>21.136949820935637</v>
      </c>
      <c r="L173" s="324">
        <f>'DATA (Real)'!L169*L$4/100</f>
        <v>21.609008366936536</v>
      </c>
      <c r="M173" s="324">
        <f>'DATA (Real)'!M169*M$4/100</f>
        <v>22.091609553798115</v>
      </c>
      <c r="N173" s="324">
        <f>'DATA (Real)'!N169*N$4/100</f>
        <v>22.57762496398168</v>
      </c>
      <c r="O173" s="324">
        <f>'DATA (Real)'!O169*O$4/100</f>
        <v>23.074332713189275</v>
      </c>
      <c r="P173" s="324">
        <f>'DATA (Real)'!P169*P$4/100</f>
        <v>23.581968032879441</v>
      </c>
      <c r="Q173" s="324">
        <f>'DATA (Real)'!Q169*Q$4/100</f>
        <v>24.100771329602786</v>
      </c>
      <c r="R173" s="324">
        <f>'DATA (Real)'!R169*R$4/100</f>
        <v>24.630988298854049</v>
      </c>
      <c r="S173" s="324">
        <f>'DATA (Real)'!S169*S$4/100</f>
        <v>25.172870041428837</v>
      </c>
      <c r="T173" s="324">
        <f>'DATA (Real)'!T169*T$4/100</f>
        <v>25.726673182340274</v>
      </c>
      <c r="U173" s="324">
        <f>'DATA (Real)'!U169*U$4/100</f>
        <v>26.292659992351755</v>
      </c>
      <c r="V173" s="324">
        <f>'DATA (Real)'!V169*V$4/100</f>
        <v>26.871098512183494</v>
      </c>
      <c r="W173" s="324">
        <f>'DATA (Real)'!W169*W$4/100</f>
        <v>27.462262679451534</v>
      </c>
      <c r="X173" s="324">
        <f>'DATA (Real)'!X169*X$4/100</f>
        <v>28.066432458399468</v>
      </c>
      <c r="Y173" s="324">
        <f>'DATA (Real)'!Y169*Y$4/100</f>
        <v>28.683893972484256</v>
      </c>
      <c r="Z173" s="324">
        <f>'DATA (Real)'!Z169*Z$4/100</f>
        <v>29.314939639878911</v>
      </c>
      <c r="AA173" s="324">
        <f>'DATA (Real)'!AA169*AA$4/100</f>
        <v>29.959868311956242</v>
      </c>
      <c r="AB173" s="324">
        <f>'DATA (Real)'!AB169*AB$4/100</f>
        <v>30.618985414819285</v>
      </c>
      <c r="AC173" s="324">
        <f>'DATA (Real)'!AC169*AC$4/100</f>
        <v>31.29260309394531</v>
      </c>
      <c r="AD173" s="324">
        <f>'DATA (Real)'!AD169*AD$4/100</f>
        <v>31.981040362012106</v>
      </c>
      <c r="AE173" s="324">
        <f>'DATA (Real)'!AE169*AE$4/100</f>
        <v>32.684623249976369</v>
      </c>
      <c r="AF173" s="324">
        <f>'DATA (Real)'!AF169*AF$4/100</f>
        <v>33.403684961475854</v>
      </c>
      <c r="AG173" s="324">
        <f>'DATA (Real)'!AG169*AG$4/100</f>
        <v>34.138566030628319</v>
      </c>
      <c r="AH173" s="324">
        <f>'DATA (Real)'!AH169*AH$4/100</f>
        <v>34.889614483302147</v>
      </c>
      <c r="AI173" s="324">
        <f>'DATA (Real)'!AI169*AI$4/100</f>
        <v>35.657186001934789</v>
      </c>
      <c r="AJ173" s="324">
        <f>'DATA (Real)'!AJ169*AJ$4/100</f>
        <v>36.441644093977359</v>
      </c>
      <c r="AK173" s="324">
        <f>'DATA (Real)'!AK169*AK$4/100</f>
        <v>37.243360264044853</v>
      </c>
      <c r="AL173" s="324">
        <f>'DATA (Real)'!AL169*AL$4/100</f>
        <v>38.062714189853843</v>
      </c>
      <c r="AM173" s="324">
        <f>'DATA (Real)'!AM169*AM$4/100</f>
        <v>38.900093902030633</v>
      </c>
      <c r="AN173" s="324">
        <f>'DATA (Real)'!AN169*AN$4/100</f>
        <v>39.755895967875304</v>
      </c>
      <c r="AO173" s="324">
        <f>'DATA (Real)'!AO169*AO$4/100</f>
        <v>40.630525679168564</v>
      </c>
      <c r="AP173" s="324">
        <f>'DATA (Real)'!AP169*AP$4/100</f>
        <v>41.524397244110268</v>
      </c>
      <c r="AQ173" s="324">
        <f>'DATA (Real)'!AQ169*AQ$4/100</f>
        <v>42.437933983480697</v>
      </c>
      <c r="AR173" s="324">
        <f>'DATA (Real)'!AR169*AR$4/100</f>
        <v>43.371568531117276</v>
      </c>
      <c r="AS173" s="324">
        <f>'DATA (Real)'!AS169*AS$4/100</f>
        <v>44.325743038801846</v>
      </c>
      <c r="AT173" s="324">
        <f>'DATA (Real)'!AT169*AT$4/100</f>
        <v>45.300909385655487</v>
      </c>
      <c r="AU173" s="324">
        <f>'DATA (Real)'!AU169*AU$4/100</f>
        <v>46.297529392139907</v>
      </c>
      <c r="AV173" s="324">
        <f>'DATA (Real)'!AV169*AV$4/100</f>
        <v>47.316075038766982</v>
      </c>
      <c r="AW173" s="324">
        <f>'DATA (Real)'!AW169*AW$4/100</f>
        <v>48.357028689619867</v>
      </c>
      <c r="AX173" s="324">
        <f>'DATA (Real)'!AX169*AX$4/100</f>
        <v>49.420883320791511</v>
      </c>
      <c r="AY173" s="324">
        <f>'DATA (Real)'!AY169*AY$4/100</f>
        <v>50.508142753848922</v>
      </c>
      <c r="AZ173" s="324">
        <f>'DATA (Real)'!AZ169*AZ$4/100</f>
        <v>51.619321894433597</v>
      </c>
      <c r="BA173" s="324">
        <f>'DATA (Real)'!BA169*BA$4/100</f>
        <v>52.754946976111142</v>
      </c>
      <c r="BB173" s="324">
        <f>'DATA (Real)'!BB169*BB$4/100</f>
        <v>53.915555809585584</v>
      </c>
      <c r="BC173" s="324">
        <f>'DATA (Real)'!BC169*BC$4/100</f>
        <v>55.10169803739646</v>
      </c>
      <c r="BD173" s="324">
        <f>'DATA (Real)'!BD169*BD$4/100</f>
        <v>56.313935394219186</v>
      </c>
      <c r="BE173" s="324">
        <f>'DATA (Real)'!BE169*BE$4/100</f>
        <v>57.552841972892004</v>
      </c>
      <c r="BF173" s="324">
        <f>'DATA (Real)'!BF169*BF$4/100</f>
        <v>58.819004496295626</v>
      </c>
      <c r="BG173" s="324">
        <f>'DATA (Real)'!BG169*BG$4/100</f>
        <v>60.113022595214133</v>
      </c>
      <c r="BH173" s="324">
        <f>'DATA (Real)'!BH169*BH$4/100</f>
        <v>61.435509092308848</v>
      </c>
      <c r="BI173" s="324">
        <f>'DATA (Real)'!BI169*BI$4/100</f>
        <v>62.787090292339641</v>
      </c>
      <c r="BJ173" s="324">
        <f>'DATA (Real)'!BJ169*BJ$4/100</f>
        <v>64.168406278771116</v>
      </c>
      <c r="BK173" s="324">
        <f>'DATA (Real)'!BK169*BK$4/100</f>
        <v>65.580111216904086</v>
      </c>
      <c r="BL173" s="324">
        <f>'DATA (Real)'!BL169*BL$4/100</f>
        <v>67.022873663675966</v>
      </c>
      <c r="BM173" s="324">
        <f>'DATA (Real)'!BM169*BM$4/100</f>
        <v>68.497376884276846</v>
      </c>
      <c r="BN173" s="324">
        <f>'DATA (Real)'!BN169*BN$4/100</f>
        <v>70.004319175730942</v>
      </c>
      <c r="BO173" s="324">
        <f>'DATA (Real)'!BO169*BO$4/100</f>
        <v>71.544414197597021</v>
      </c>
      <c r="BP173" s="324">
        <f>'DATA (Real)'!BP169*BP$4/100</f>
        <v>73.118391309944158</v>
      </c>
      <c r="BQ173" s="324">
        <f>'DATA (Real)'!BQ169*BQ$4/100</f>
        <v>74.726995918762938</v>
      </c>
      <c r="BR173" s="324">
        <f>'DATA (Real)'!BR169*BR$4/100</f>
        <v>76.370989828975723</v>
      </c>
      <c r="BS173" s="324">
        <f>'DATA (Real)'!BS169*BS$4/100</f>
        <v>78.051151605213192</v>
      </c>
      <c r="BT173" s="324">
        <f>'DATA (Real)'!BT169*BT$4/100</f>
        <v>79.768276940527883</v>
      </c>
      <c r="BU173" s="324">
        <f>'DATA (Real)'!BU169*BU$4/100</f>
        <v>81.523179033219492</v>
      </c>
      <c r="BV173" s="324">
        <f>'DATA (Real)'!BV169*BV$4/100</f>
        <v>83.316688971950327</v>
      </c>
      <c r="BW173" s="324">
        <f>'DATA (Real)'!BW169*BW$4/100</f>
        <v>85.149656129333252</v>
      </c>
      <c r="BX173" s="324">
        <f>'DATA (Real)'!BX169*BX$4/100</f>
        <v>87.022948564178563</v>
      </c>
    </row>
    <row r="174" spans="2:76" hidden="1" outlineLevel="1">
      <c r="B174" s="349" t="s">
        <v>230</v>
      </c>
      <c r="C174" s="349" t="str">
        <f>'DATA (Real)'!C170</f>
        <v>Internal</v>
      </c>
      <c r="D174" s="349" t="str">
        <f>'DATA (Real)'!D170</f>
        <v>Fixed Operation and Maintenance Expenses ($/kW-yr)</v>
      </c>
      <c r="E174" s="349" t="str">
        <f>'DATA (Real)'!E170</f>
        <v>Wood Biomass</v>
      </c>
      <c r="F174" s="314"/>
      <c r="G174" s="314"/>
      <c r="H174" s="314">
        <f>'DATA (Real)'!H170</f>
        <v>28.749999999999996</v>
      </c>
      <c r="I174" s="324">
        <f>'DATA (Real)'!I170*I$4/$H$4</f>
        <v>29.661949999999997</v>
      </c>
      <c r="J174" s="324">
        <f>'DATA (Real)'!J170*J$4/$H$4</f>
        <v>30.359685578020827</v>
      </c>
      <c r="K174" s="324">
        <f>'DATA (Real)'!K170*K$4/$H$4</f>
        <v>31.037718555929956</v>
      </c>
      <c r="L174" s="324">
        <f>'DATA (Real)'!L170*L$4/$H$4</f>
        <v>31.730894270345722</v>
      </c>
      <c r="M174" s="324">
        <f>'DATA (Real)'!M170*M$4/$H$4</f>
        <v>32.439550909050112</v>
      </c>
      <c r="N174" s="324">
        <f>'DATA (Real)'!N170*N$4/$H$4</f>
        <v>33.15322102904922</v>
      </c>
      <c r="O174" s="324">
        <f>'DATA (Real)'!O170*O$4/$H$4</f>
        <v>33.8825918916883</v>
      </c>
      <c r="P174" s="324">
        <f>'DATA (Real)'!P170*P$4/$H$4</f>
        <v>34.628008913305443</v>
      </c>
      <c r="Q174" s="324">
        <f>'DATA (Real)'!Q170*Q$4/$H$4</f>
        <v>35.38982510939816</v>
      </c>
      <c r="R174" s="324">
        <f>'DATA (Real)'!R170*R$4/$H$4</f>
        <v>36.168401261804924</v>
      </c>
      <c r="S174" s="324">
        <f>'DATA (Real)'!S170*S$4/$H$4</f>
        <v>36.964106089564631</v>
      </c>
      <c r="T174" s="324">
        <f>'DATA (Real)'!T170*T$4/$H$4</f>
        <v>37.777316423535055</v>
      </c>
      <c r="U174" s="324">
        <f>'DATA (Real)'!U170*U$4/$H$4</f>
        <v>38.608417384852821</v>
      </c>
      <c r="V174" s="324">
        <f>'DATA (Real)'!V170*V$4/$H$4</f>
        <v>39.457802567319582</v>
      </c>
      <c r="W174" s="324">
        <f>'DATA (Real)'!W170*W$4/$H$4</f>
        <v>40.325874223800611</v>
      </c>
      <c r="X174" s="324">
        <f>'DATA (Real)'!X170*X$4/$H$4</f>
        <v>41.213043456724229</v>
      </c>
      <c r="Y174" s="324">
        <f>'DATA (Real)'!Y170*Y$4/$H$4</f>
        <v>42.119730412772164</v>
      </c>
      <c r="Z174" s="324">
        <f>'DATA (Real)'!Z170*Z$4/$H$4</f>
        <v>43.046364481853153</v>
      </c>
      <c r="AA174" s="324">
        <f>'DATA (Real)'!AA170*AA$4/$H$4</f>
        <v>43.993384500453921</v>
      </c>
      <c r="AB174" s="324">
        <f>'DATA (Real)'!AB170*AB$4/$H$4</f>
        <v>44.961238959463913</v>
      </c>
      <c r="AC174" s="324">
        <f>'DATA (Real)'!AC170*AC$4/$H$4</f>
        <v>45.950386216572113</v>
      </c>
      <c r="AD174" s="324">
        <f>'DATA (Real)'!AD170*AD$4/$H$4</f>
        <v>46.961294713336699</v>
      </c>
      <c r="AE174" s="324">
        <f>'DATA (Real)'!AE170*AE$4/$H$4</f>
        <v>47.994443197030108</v>
      </c>
      <c r="AF174" s="324">
        <f>'DATA (Real)'!AF170*AF$4/$H$4</f>
        <v>49.050320947364774</v>
      </c>
      <c r="AG174" s="324">
        <f>'DATA (Real)'!AG170*AG$4/$H$4</f>
        <v>50.129428008206801</v>
      </c>
      <c r="AH174" s="324">
        <f>'DATA (Real)'!AH170*AH$4/$H$4</f>
        <v>51.232275424387346</v>
      </c>
      <c r="AI174" s="324">
        <f>'DATA (Real)'!AI170*AI$4/$H$4</f>
        <v>52.359385483723869</v>
      </c>
      <c r="AJ174" s="324">
        <f>'DATA (Real)'!AJ170*AJ$4/$H$4</f>
        <v>53.511291964365796</v>
      </c>
      <c r="AK174" s="324">
        <f>'DATA (Real)'!AK170*AK$4/$H$4</f>
        <v>54.688540387581838</v>
      </c>
      <c r="AL174" s="324">
        <f>'DATA (Real)'!AL170*AL$4/$H$4</f>
        <v>55.891688276108646</v>
      </c>
      <c r="AM174" s="324">
        <f>'DATA (Real)'!AM170*AM$4/$H$4</f>
        <v>57.121305418183034</v>
      </c>
      <c r="AN174" s="324">
        <f>'DATA (Real)'!AN170*AN$4/$H$4</f>
        <v>58.377974137383063</v>
      </c>
      <c r="AO174" s="324">
        <f>'DATA (Real)'!AO170*AO$4/$H$4</f>
        <v>59.662289568405491</v>
      </c>
      <c r="AP174" s="324">
        <f>'DATA (Real)'!AP170*AP$4/$H$4</f>
        <v>60.974859938910413</v>
      </c>
      <c r="AQ174" s="324">
        <f>'DATA (Real)'!AQ170*AQ$4/$H$4</f>
        <v>62.316306857566438</v>
      </c>
      <c r="AR174" s="324">
        <f>'DATA (Real)'!AR170*AR$4/$H$4</f>
        <v>63.687265608432895</v>
      </c>
      <c r="AS174" s="324">
        <f>'DATA (Real)'!AS170*AS$4/$H$4</f>
        <v>65.088385451818425</v>
      </c>
      <c r="AT174" s="324">
        <f>'DATA (Real)'!AT170*AT$4/$H$4</f>
        <v>66.520329931758425</v>
      </c>
      <c r="AU174" s="324">
        <f>'DATA (Real)'!AU170*AU$4/$H$4</f>
        <v>67.983777190257101</v>
      </c>
      <c r="AV174" s="324">
        <f>'DATA (Real)'!AV170*AV$4/$H$4</f>
        <v>69.479420288442768</v>
      </c>
      <c r="AW174" s="324">
        <f>'DATA (Real)'!AW170*AW$4/$H$4</f>
        <v>71.00796753478852</v>
      </c>
      <c r="AX174" s="324">
        <f>'DATA (Real)'!AX170*AX$4/$H$4</f>
        <v>72.570142820553869</v>
      </c>
      <c r="AY174" s="324">
        <f>'DATA (Real)'!AY170*AY$4/$H$4</f>
        <v>74.166685962606053</v>
      </c>
      <c r="AZ174" s="324">
        <f>'DATA (Real)'!AZ170*AZ$4/$H$4</f>
        <v>75.798353053783387</v>
      </c>
      <c r="BA174" s="324">
        <f>'DATA (Real)'!BA170*BA$4/$H$4</f>
        <v>77.465916820966626</v>
      </c>
      <c r="BB174" s="324">
        <f>'DATA (Real)'!BB170*BB$4/$H$4</f>
        <v>79.170166991027898</v>
      </c>
      <c r="BC174" s="324">
        <f>'DATA (Real)'!BC170*BC$4/$H$4</f>
        <v>80.911910664830501</v>
      </c>
      <c r="BD174" s="324">
        <f>'DATA (Real)'!BD170*BD$4/$H$4</f>
        <v>82.691972699456784</v>
      </c>
      <c r="BE174" s="324">
        <f>'DATA (Real)'!BE170*BE$4/$H$4</f>
        <v>84.511196098844806</v>
      </c>
      <c r="BF174" s="324">
        <f>'DATA (Real)'!BF170*BF$4/$H$4</f>
        <v>86.370442413019404</v>
      </c>
      <c r="BG174" s="324">
        <f>'DATA (Real)'!BG170*BG$4/$H$4</f>
        <v>88.270592146105827</v>
      </c>
      <c r="BH174" s="324">
        <f>'DATA (Real)'!BH170*BH$4/$H$4</f>
        <v>90.212545173320166</v>
      </c>
      <c r="BI174" s="324">
        <f>'DATA (Real)'!BI170*BI$4/$H$4</f>
        <v>92.197221167133208</v>
      </c>
      <c r="BJ174" s="324">
        <f>'DATA (Real)'!BJ170*BJ$4/$H$4</f>
        <v>94.225560032810137</v>
      </c>
      <c r="BK174" s="324">
        <f>'DATA (Real)'!BK170*BK$4/$H$4</f>
        <v>96.298522353531979</v>
      </c>
      <c r="BL174" s="324">
        <f>'DATA (Real)'!BL170*BL$4/$H$4</f>
        <v>98.417089845309661</v>
      </c>
      <c r="BM174" s="324">
        <f>'DATA (Real)'!BM170*BM$4/$H$4</f>
        <v>100.58226582190649</v>
      </c>
      <c r="BN174" s="324">
        <f>'DATA (Real)'!BN170*BN$4/$H$4</f>
        <v>102.79507566998844</v>
      </c>
      <c r="BO174" s="324">
        <f>'DATA (Real)'!BO170*BO$4/$H$4</f>
        <v>105.05656733472817</v>
      </c>
      <c r="BP174" s="324">
        <f>'DATA (Real)'!BP170*BP$4/$H$4</f>
        <v>107.3678118160922</v>
      </c>
      <c r="BQ174" s="324">
        <f>'DATA (Real)'!BQ170*BQ$4/$H$4</f>
        <v>109.72990367604623</v>
      </c>
      <c r="BR174" s="324">
        <f>'DATA (Real)'!BR170*BR$4/$H$4</f>
        <v>112.14396155691925</v>
      </c>
      <c r="BS174" s="324">
        <f>'DATA (Real)'!BS170*BS$4/$H$4</f>
        <v>114.61112871117149</v>
      </c>
      <c r="BT174" s="324">
        <f>'DATA (Real)'!BT170*BT$4/$H$4</f>
        <v>117.13257354281727</v>
      </c>
      <c r="BU174" s="324">
        <f>'DATA (Real)'!BU170*BU$4/$H$4</f>
        <v>119.70949016075924</v>
      </c>
      <c r="BV174" s="324">
        <f>'DATA (Real)'!BV170*BV$4/$H$4</f>
        <v>122.34309894429595</v>
      </c>
      <c r="BW174" s="324">
        <f>'DATA (Real)'!BW170*BW$4/$H$4</f>
        <v>125.03464712107046</v>
      </c>
      <c r="BX174" s="324">
        <f>'DATA (Real)'!BX170*BX$4/$H$4</f>
        <v>127.78540935773403</v>
      </c>
    </row>
    <row r="175" spans="2:76" hidden="1" outlineLevel="1">
      <c r="B175" s="349" t="s">
        <v>230</v>
      </c>
      <c r="C175" s="349" t="str">
        <f>'DATA (Real)'!C171</f>
        <v>Internal</v>
      </c>
      <c r="D175" s="349" t="str">
        <f>'DATA (Real)'!D171</f>
        <v>Fixed Operation and Maintenance Expenses ($/kW-yr)</v>
      </c>
      <c r="E175" s="349" t="str">
        <f>'DATA (Real)'!E171</f>
        <v>Rathdrum CT 2055 Uprates two unit operation</v>
      </c>
      <c r="F175" s="314"/>
      <c r="G175" s="314"/>
      <c r="H175" s="314">
        <f>'DATA (Real)'!H171</f>
        <v>5.4854999999999992</v>
      </c>
      <c r="I175" s="324">
        <f>'DATA (Real)'!I171*I$4/$H$4</f>
        <v>5.6595000599999992</v>
      </c>
      <c r="J175" s="324">
        <f>'DATA (Real)'!J171*J$4/$H$4</f>
        <v>5.792628008286373</v>
      </c>
      <c r="K175" s="324">
        <f>'DATA (Real)'!K171*K$4/$H$4</f>
        <v>5.9219967004714356</v>
      </c>
      <c r="L175" s="324">
        <f>'DATA (Real)'!L171*L$4/$H$4</f>
        <v>6.0542546267819644</v>
      </c>
      <c r="M175" s="324">
        <f>'DATA (Real)'!M171*M$4/$H$4</f>
        <v>6.1894663134467613</v>
      </c>
      <c r="N175" s="324">
        <f>'DATA (Real)'!N171*N$4/$H$4</f>
        <v>6.3256345723425902</v>
      </c>
      <c r="O175" s="324">
        <f>'DATA (Real)'!O171*O$4/$H$4</f>
        <v>6.4647985329341271</v>
      </c>
      <c r="P175" s="324">
        <f>'DATA (Real)'!P171*P$4/$H$4</f>
        <v>6.6070241006586787</v>
      </c>
      <c r="Q175" s="324">
        <f>'DATA (Real)'!Q171*Q$4/$H$4</f>
        <v>6.752378630873169</v>
      </c>
      <c r="R175" s="324">
        <f>'DATA (Real)'!R171*R$4/$H$4</f>
        <v>6.9009309607523797</v>
      </c>
      <c r="S175" s="324">
        <f>'DATA (Real)'!S171*S$4/$H$4</f>
        <v>7.0527514418889323</v>
      </c>
      <c r="T175" s="324">
        <f>'DATA (Real)'!T171*T$4/$H$4</f>
        <v>7.2079119736104884</v>
      </c>
      <c r="U175" s="324">
        <f>'DATA (Real)'!U171*U$4/$H$4</f>
        <v>7.3664860370299188</v>
      </c>
      <c r="V175" s="324">
        <f>'DATA (Real)'!V171*V$4/$H$4</f>
        <v>7.5285487298445775</v>
      </c>
      <c r="W175" s="324">
        <f>'DATA (Real)'!W171*W$4/$H$4</f>
        <v>7.6941768019011567</v>
      </c>
      <c r="X175" s="324">
        <f>'DATA (Real)'!X171*X$4/$H$4</f>
        <v>7.8634486915429838</v>
      </c>
      <c r="Y175" s="324">
        <f>'DATA (Real)'!Y171*Y$4/$H$4</f>
        <v>8.0364445627569303</v>
      </c>
      <c r="Z175" s="324">
        <f>'DATA (Real)'!Z171*Z$4/$H$4</f>
        <v>8.2132463431375822</v>
      </c>
      <c r="AA175" s="324">
        <f>'DATA (Real)'!AA171*AA$4/$H$4</f>
        <v>8.3939377626866083</v>
      </c>
      <c r="AB175" s="324">
        <f>'DATA (Real)'!AB171*AB$4/$H$4</f>
        <v>8.5786043934657137</v>
      </c>
      <c r="AC175" s="324">
        <f>'DATA (Real)'!AC171*AC$4/$H$4</f>
        <v>8.7673336901219585</v>
      </c>
      <c r="AD175" s="324">
        <f>'DATA (Real)'!AD171*AD$4/$H$4</f>
        <v>8.9602150313046423</v>
      </c>
      <c r="AE175" s="324">
        <f>'DATA (Real)'!AE171*AE$4/$H$4</f>
        <v>9.1573397619933452</v>
      </c>
      <c r="AF175" s="324">
        <f>'DATA (Real)'!AF171*AF$4/$H$4</f>
        <v>9.3588012367571984</v>
      </c>
      <c r="AG175" s="324">
        <f>'DATA (Real)'!AG171*AG$4/$H$4</f>
        <v>9.5646948639658564</v>
      </c>
      <c r="AH175" s="324">
        <f>'DATA (Real)'!AH171*AH$4/$H$4</f>
        <v>9.7751181509731051</v>
      </c>
      <c r="AI175" s="324">
        <f>'DATA (Real)'!AI171*AI$4/$H$4</f>
        <v>9.9901707502945136</v>
      </c>
      <c r="AJ175" s="324">
        <f>'DATA (Real)'!AJ171*AJ$4/$H$4</f>
        <v>10.209954506800992</v>
      </c>
      <c r="AK175" s="324">
        <f>'DATA (Real)'!AK171*AK$4/$H$4</f>
        <v>10.434573505950613</v>
      </c>
      <c r="AL175" s="324">
        <f>'DATA (Real)'!AL171*AL$4/$H$4</f>
        <v>10.66413412308153</v>
      </c>
      <c r="AM175" s="324">
        <f>'DATA (Real)'!AM171*AM$4/$H$4</f>
        <v>10.898745073789323</v>
      </c>
      <c r="AN175" s="324">
        <f>'DATA (Real)'!AN171*AN$4/$H$4</f>
        <v>11.138517465412686</v>
      </c>
      <c r="AO175" s="324">
        <f>'DATA (Real)'!AO171*AO$4/$H$4</f>
        <v>11.383564849651767</v>
      </c>
      <c r="AP175" s="324">
        <f>'DATA (Real)'!AP171*AP$4/$H$4</f>
        <v>11.634003276344107</v>
      </c>
      <c r="AQ175" s="324">
        <f>'DATA (Real)'!AQ171*AQ$4/$H$4</f>
        <v>11.889951348423676</v>
      </c>
      <c r="AR175" s="324">
        <f>'DATA (Real)'!AR171*AR$4/$H$4</f>
        <v>12.151530278088998</v>
      </c>
      <c r="AS175" s="324">
        <f>'DATA (Real)'!AS171*AS$4/$H$4</f>
        <v>12.418863944206954</v>
      </c>
      <c r="AT175" s="324">
        <f>'DATA (Real)'!AT171*AT$4/$H$4</f>
        <v>12.692078950979507</v>
      </c>
      <c r="AU175" s="324">
        <f>'DATA (Real)'!AU171*AU$4/$H$4</f>
        <v>12.971304687901057</v>
      </c>
      <c r="AV175" s="324">
        <f>'DATA (Real)'!AV171*AV$4/$H$4</f>
        <v>13.25667339103488</v>
      </c>
      <c r="AW175" s="324">
        <f>'DATA (Real)'!AW171*AW$4/$H$4</f>
        <v>13.548320205637648</v>
      </c>
      <c r="AX175" s="324">
        <f>'DATA (Real)'!AX171*AX$4/$H$4</f>
        <v>13.846383250161677</v>
      </c>
      <c r="AY175" s="324">
        <f>'DATA (Real)'!AY171*AY$4/$H$4</f>
        <v>14.151003681665236</v>
      </c>
      <c r="AZ175" s="324">
        <f>'DATA (Real)'!AZ171*AZ$4/$H$4</f>
        <v>14.462325762661871</v>
      </c>
      <c r="BA175" s="324">
        <f>'DATA (Real)'!BA171*BA$4/$H$4</f>
        <v>14.780496929440432</v>
      </c>
      <c r="BB175" s="324">
        <f>'DATA (Real)'!BB171*BB$4/$H$4</f>
        <v>15.10566786188812</v>
      </c>
      <c r="BC175" s="324">
        <f>'DATA (Real)'!BC171*BC$4/$H$4</f>
        <v>15.437992554849659</v>
      </c>
      <c r="BD175" s="324">
        <f>'DATA (Real)'!BD171*BD$4/$H$4</f>
        <v>15.777628391056352</v>
      </c>
      <c r="BE175" s="324">
        <f>'DATA (Real)'!BE171*BE$4/$H$4</f>
        <v>16.124736215659588</v>
      </c>
      <c r="BF175" s="324">
        <f>'DATA (Real)'!BF171*BF$4/$H$4</f>
        <v>16.479480412404104</v>
      </c>
      <c r="BG175" s="324">
        <f>'DATA (Real)'!BG171*BG$4/$H$4</f>
        <v>16.842028981476993</v>
      </c>
      <c r="BH175" s="324">
        <f>'DATA (Real)'!BH171*BH$4/$H$4</f>
        <v>17.212553619069485</v>
      </c>
      <c r="BI175" s="324">
        <f>'DATA (Real)'!BI171*BI$4/$H$4</f>
        <v>17.591229798689014</v>
      </c>
      <c r="BJ175" s="324">
        <f>'DATA (Real)'!BJ171*BJ$4/$H$4</f>
        <v>17.978236854260174</v>
      </c>
      <c r="BK175" s="324">
        <f>'DATA (Real)'!BK171*BK$4/$H$4</f>
        <v>18.373758065053899</v>
      </c>
      <c r="BL175" s="324">
        <f>'DATA (Real)'!BL171*BL$4/$H$4</f>
        <v>18.777980742485084</v>
      </c>
      <c r="BM175" s="324">
        <f>'DATA (Real)'!BM171*BM$4/$H$4</f>
        <v>19.191096318819756</v>
      </c>
      <c r="BN175" s="324">
        <f>'DATA (Real)'!BN171*BN$4/$H$4</f>
        <v>19.613300437833793</v>
      </c>
      <c r="BO175" s="324">
        <f>'DATA (Real)'!BO171*BO$4/$H$4</f>
        <v>20.044793047466136</v>
      </c>
      <c r="BP175" s="324">
        <f>'DATA (Real)'!BP171*BP$4/$H$4</f>
        <v>20.485778494510392</v>
      </c>
      <c r="BQ175" s="324">
        <f>'DATA (Real)'!BQ171*BQ$4/$H$4</f>
        <v>20.936465621389623</v>
      </c>
      <c r="BR175" s="324">
        <f>'DATA (Real)'!BR171*BR$4/$H$4</f>
        <v>21.397067865060194</v>
      </c>
      <c r="BS175" s="324">
        <f>'DATA (Real)'!BS171*BS$4/$H$4</f>
        <v>21.867803358091518</v>
      </c>
      <c r="BT175" s="324">
        <f>'DATA (Real)'!BT171*BT$4/$H$4</f>
        <v>22.34889503196953</v>
      </c>
      <c r="BU175" s="324">
        <f>'DATA (Real)'!BU171*BU$4/$H$4</f>
        <v>22.840570722672862</v>
      </c>
      <c r="BV175" s="324">
        <f>'DATA (Real)'!BV171*BV$4/$H$4</f>
        <v>23.34306327857167</v>
      </c>
      <c r="BW175" s="324">
        <f>'DATA (Real)'!BW171*BW$4/$H$4</f>
        <v>23.856610670700245</v>
      </c>
      <c r="BX175" s="324">
        <f>'DATA (Real)'!BX171*BX$4/$H$4</f>
        <v>24.381456105455651</v>
      </c>
    </row>
    <row r="176" spans="2:76" hidden="1" outlineLevel="1">
      <c r="B176" s="349" t="s">
        <v>230</v>
      </c>
      <c r="C176" s="349" t="str">
        <f>'DATA (Real)'!C172</f>
        <v>Internal</v>
      </c>
      <c r="D176" s="349" t="str">
        <f>'DATA (Real)'!D172</f>
        <v>Fixed Operation and Maintenance Expenses ($/kW-yr)</v>
      </c>
      <c r="E176" s="349" t="str">
        <f>'DATA (Real)'!E172</f>
        <v>Rathdrum CT: Inlet Evaporation 2 unit operation</v>
      </c>
      <c r="F176" s="314"/>
      <c r="G176" s="314"/>
      <c r="H176" s="314">
        <f>'DATA (Real)'!H172</f>
        <v>5.4854999999999992</v>
      </c>
      <c r="I176" s="324">
        <f>'DATA (Real)'!I172*I$4/$H$4</f>
        <v>5.6595000599999992</v>
      </c>
      <c r="J176" s="324">
        <f>'DATA (Real)'!J172*J$4/$H$4</f>
        <v>5.792628008286373</v>
      </c>
      <c r="K176" s="324">
        <f>'DATA (Real)'!K172*K$4/$H$4</f>
        <v>5.9219967004714356</v>
      </c>
      <c r="L176" s="324">
        <f>'DATA (Real)'!L172*L$4/$H$4</f>
        <v>6.0542546267819644</v>
      </c>
      <c r="M176" s="324">
        <f>'DATA (Real)'!M172*M$4/$H$4</f>
        <v>6.1894663134467613</v>
      </c>
      <c r="N176" s="324">
        <f>'DATA (Real)'!N172*N$4/$H$4</f>
        <v>6.3256345723425902</v>
      </c>
      <c r="O176" s="324">
        <f>'DATA (Real)'!O172*O$4/$H$4</f>
        <v>6.4647985329341271</v>
      </c>
      <c r="P176" s="324">
        <f>'DATA (Real)'!P172*P$4/$H$4</f>
        <v>6.6070241006586787</v>
      </c>
      <c r="Q176" s="324">
        <f>'DATA (Real)'!Q172*Q$4/$H$4</f>
        <v>6.752378630873169</v>
      </c>
      <c r="R176" s="324">
        <f>'DATA (Real)'!R172*R$4/$H$4</f>
        <v>6.9009309607523797</v>
      </c>
      <c r="S176" s="324">
        <f>'DATA (Real)'!S172*S$4/$H$4</f>
        <v>7.0527514418889323</v>
      </c>
      <c r="T176" s="324">
        <f>'DATA (Real)'!T172*T$4/$H$4</f>
        <v>7.2079119736104884</v>
      </c>
      <c r="U176" s="324">
        <f>'DATA (Real)'!U172*U$4/$H$4</f>
        <v>7.3664860370299188</v>
      </c>
      <c r="V176" s="324">
        <f>'DATA (Real)'!V172*V$4/$H$4</f>
        <v>7.5285487298445775</v>
      </c>
      <c r="W176" s="324">
        <f>'DATA (Real)'!W172*W$4/$H$4</f>
        <v>7.6941768019011567</v>
      </c>
      <c r="X176" s="324">
        <f>'DATA (Real)'!X172*X$4/$H$4</f>
        <v>7.8634486915429838</v>
      </c>
      <c r="Y176" s="324">
        <f>'DATA (Real)'!Y172*Y$4/$H$4</f>
        <v>8.0364445627569303</v>
      </c>
      <c r="Z176" s="324">
        <f>'DATA (Real)'!Z172*Z$4/$H$4</f>
        <v>8.2132463431375822</v>
      </c>
      <c r="AA176" s="324">
        <f>'DATA (Real)'!AA172*AA$4/$H$4</f>
        <v>8.3939377626866083</v>
      </c>
      <c r="AB176" s="324">
        <f>'DATA (Real)'!AB172*AB$4/$H$4</f>
        <v>8.5786043934657137</v>
      </c>
      <c r="AC176" s="324">
        <f>'DATA (Real)'!AC172*AC$4/$H$4</f>
        <v>8.7673336901219585</v>
      </c>
      <c r="AD176" s="324">
        <f>'DATA (Real)'!AD172*AD$4/$H$4</f>
        <v>8.9602150313046423</v>
      </c>
      <c r="AE176" s="324">
        <f>'DATA (Real)'!AE172*AE$4/$H$4</f>
        <v>9.1573397619933452</v>
      </c>
      <c r="AF176" s="324">
        <f>'DATA (Real)'!AF172*AF$4/$H$4</f>
        <v>9.3588012367571984</v>
      </c>
      <c r="AG176" s="324">
        <f>'DATA (Real)'!AG172*AG$4/$H$4</f>
        <v>9.5646948639658564</v>
      </c>
      <c r="AH176" s="324">
        <f>'DATA (Real)'!AH172*AH$4/$H$4</f>
        <v>9.7751181509731051</v>
      </c>
      <c r="AI176" s="324">
        <f>'DATA (Real)'!AI172*AI$4/$H$4</f>
        <v>9.9901707502945136</v>
      </c>
      <c r="AJ176" s="324">
        <f>'DATA (Real)'!AJ172*AJ$4/$H$4</f>
        <v>10.209954506800992</v>
      </c>
      <c r="AK176" s="324">
        <f>'DATA (Real)'!AK172*AK$4/$H$4</f>
        <v>10.434573505950613</v>
      </c>
      <c r="AL176" s="324">
        <f>'DATA (Real)'!AL172*AL$4/$H$4</f>
        <v>10.66413412308153</v>
      </c>
      <c r="AM176" s="324">
        <f>'DATA (Real)'!AM172*AM$4/$H$4</f>
        <v>10.898745073789323</v>
      </c>
      <c r="AN176" s="324">
        <f>'DATA (Real)'!AN172*AN$4/$H$4</f>
        <v>11.138517465412686</v>
      </c>
      <c r="AO176" s="324">
        <f>'DATA (Real)'!AO172*AO$4/$H$4</f>
        <v>11.383564849651767</v>
      </c>
      <c r="AP176" s="324">
        <f>'DATA (Real)'!AP172*AP$4/$H$4</f>
        <v>11.634003276344107</v>
      </c>
      <c r="AQ176" s="324">
        <f>'DATA (Real)'!AQ172*AQ$4/$H$4</f>
        <v>11.889951348423676</v>
      </c>
      <c r="AR176" s="324">
        <f>'DATA (Real)'!AR172*AR$4/$H$4</f>
        <v>12.151530278088998</v>
      </c>
      <c r="AS176" s="324">
        <f>'DATA (Real)'!AS172*AS$4/$H$4</f>
        <v>12.418863944206954</v>
      </c>
      <c r="AT176" s="324">
        <f>'DATA (Real)'!AT172*AT$4/$H$4</f>
        <v>12.692078950979507</v>
      </c>
      <c r="AU176" s="324">
        <f>'DATA (Real)'!AU172*AU$4/$H$4</f>
        <v>12.971304687901057</v>
      </c>
      <c r="AV176" s="324">
        <f>'DATA (Real)'!AV172*AV$4/$H$4</f>
        <v>13.25667339103488</v>
      </c>
      <c r="AW176" s="324">
        <f>'DATA (Real)'!AW172*AW$4/$H$4</f>
        <v>13.548320205637648</v>
      </c>
      <c r="AX176" s="324">
        <f>'DATA (Real)'!AX172*AX$4/$H$4</f>
        <v>13.846383250161677</v>
      </c>
      <c r="AY176" s="324">
        <f>'DATA (Real)'!AY172*AY$4/$H$4</f>
        <v>14.151003681665236</v>
      </c>
      <c r="AZ176" s="324">
        <f>'DATA (Real)'!AZ172*AZ$4/$H$4</f>
        <v>14.462325762661871</v>
      </c>
      <c r="BA176" s="324">
        <f>'DATA (Real)'!BA172*BA$4/$H$4</f>
        <v>14.780496929440432</v>
      </c>
      <c r="BB176" s="324">
        <f>'DATA (Real)'!BB172*BB$4/$H$4</f>
        <v>15.10566786188812</v>
      </c>
      <c r="BC176" s="324">
        <f>'DATA (Real)'!BC172*BC$4/$H$4</f>
        <v>15.437992554849659</v>
      </c>
      <c r="BD176" s="324">
        <f>'DATA (Real)'!BD172*BD$4/$H$4</f>
        <v>15.777628391056352</v>
      </c>
      <c r="BE176" s="324">
        <f>'DATA (Real)'!BE172*BE$4/$H$4</f>
        <v>16.124736215659588</v>
      </c>
      <c r="BF176" s="324">
        <f>'DATA (Real)'!BF172*BF$4/$H$4</f>
        <v>16.479480412404104</v>
      </c>
      <c r="BG176" s="324">
        <f>'DATA (Real)'!BG172*BG$4/$H$4</f>
        <v>16.842028981476993</v>
      </c>
      <c r="BH176" s="324">
        <f>'DATA (Real)'!BH172*BH$4/$H$4</f>
        <v>17.212553619069485</v>
      </c>
      <c r="BI176" s="324">
        <f>'DATA (Real)'!BI172*BI$4/$H$4</f>
        <v>17.591229798689014</v>
      </c>
      <c r="BJ176" s="324">
        <f>'DATA (Real)'!BJ172*BJ$4/$H$4</f>
        <v>17.978236854260174</v>
      </c>
      <c r="BK176" s="324">
        <f>'DATA (Real)'!BK172*BK$4/$H$4</f>
        <v>18.373758065053899</v>
      </c>
      <c r="BL176" s="324">
        <f>'DATA (Real)'!BL172*BL$4/$H$4</f>
        <v>18.777980742485084</v>
      </c>
      <c r="BM176" s="324">
        <f>'DATA (Real)'!BM172*BM$4/$H$4</f>
        <v>19.191096318819756</v>
      </c>
      <c r="BN176" s="324">
        <f>'DATA (Real)'!BN172*BN$4/$H$4</f>
        <v>19.613300437833793</v>
      </c>
      <c r="BO176" s="324">
        <f>'DATA (Real)'!BO172*BO$4/$H$4</f>
        <v>20.044793047466136</v>
      </c>
      <c r="BP176" s="324">
        <f>'DATA (Real)'!BP172*BP$4/$H$4</f>
        <v>20.485778494510392</v>
      </c>
      <c r="BQ176" s="324">
        <f>'DATA (Real)'!BQ172*BQ$4/$H$4</f>
        <v>20.936465621389623</v>
      </c>
      <c r="BR176" s="324">
        <f>'DATA (Real)'!BR172*BR$4/$H$4</f>
        <v>21.397067865060194</v>
      </c>
      <c r="BS176" s="324">
        <f>'DATA (Real)'!BS172*BS$4/$H$4</f>
        <v>21.867803358091518</v>
      </c>
      <c r="BT176" s="324">
        <f>'DATA (Real)'!BT172*BT$4/$H$4</f>
        <v>22.34889503196953</v>
      </c>
      <c r="BU176" s="324">
        <f>'DATA (Real)'!BU172*BU$4/$H$4</f>
        <v>22.840570722672862</v>
      </c>
      <c r="BV176" s="324">
        <f>'DATA (Real)'!BV172*BV$4/$H$4</f>
        <v>23.34306327857167</v>
      </c>
      <c r="BW176" s="324">
        <f>'DATA (Real)'!BW172*BW$4/$H$4</f>
        <v>23.856610670700245</v>
      </c>
      <c r="BX176" s="324">
        <f>'DATA (Real)'!BX172*BX$4/$H$4</f>
        <v>24.381456105455651</v>
      </c>
    </row>
    <row r="177" spans="2:76" hidden="1" outlineLevel="1">
      <c r="B177" s="352" t="s">
        <v>230</v>
      </c>
      <c r="C177" s="352" t="str">
        <f>'DATA (Real)'!C173</f>
        <v>NREL Residential PV - Class 8</v>
      </c>
      <c r="D177" s="352" t="str">
        <f>'DATA (Real)'!D173</f>
        <v>Fixed Operation and Maintenance Expenses ($/kW-yr)</v>
      </c>
      <c r="E177" s="352" t="str">
        <f>'DATA (Real)'!E173</f>
        <v>New Residential Solar</v>
      </c>
      <c r="F177" s="314">
        <f>'DATA (Real)'!F173</f>
        <v>29.295961999999999</v>
      </c>
      <c r="G177" s="324">
        <f>'DATA (Real)'!G173*G$4/100</f>
        <v>29.698038251354692</v>
      </c>
      <c r="H177" s="324">
        <f>'DATA (Real)'!H173*H$4/100</f>
        <v>29.915471129922583</v>
      </c>
      <c r="I177" s="324">
        <f>'DATA (Real)'!I173*I$4/100</f>
        <v>28.885356172219662</v>
      </c>
      <c r="J177" s="324">
        <f>'DATA (Real)'!J173*J$4/100</f>
        <v>27.539237651550348</v>
      </c>
      <c r="K177" s="324">
        <f>'DATA (Real)'!K173*K$4/100</f>
        <v>26.083456183894459</v>
      </c>
      <c r="L177" s="324">
        <f>'DATA (Real)'!L173*L$4/100</f>
        <v>24.548913850925736</v>
      </c>
      <c r="M177" s="324">
        <f>'DATA (Real)'!M173*M$4/100</f>
        <v>22.932818778772244</v>
      </c>
      <c r="N177" s="324">
        <f>'DATA (Real)'!N173*N$4/100</f>
        <v>21.225370852488268</v>
      </c>
      <c r="O177" s="324">
        <f>'DATA (Real)'!O173*O$4/100</f>
        <v>19.431695733158875</v>
      </c>
      <c r="P177" s="324">
        <f>'DATA (Real)'!P173*P$4/100</f>
        <v>17.548825829086383</v>
      </c>
      <c r="Q177" s="324">
        <f>'DATA (Real)'!Q173*Q$4/100</f>
        <v>17.788324116659311</v>
      </c>
      <c r="R177" s="324">
        <f>'DATA (Real)'!R173*R$4/100</f>
        <v>18.029866697184172</v>
      </c>
      <c r="S177" s="324">
        <f>'DATA (Real)'!S173*S$4/100</f>
        <v>18.273427602379659</v>
      </c>
      <c r="T177" s="324">
        <f>'DATA (Real)'!T173*T$4/100</f>
        <v>18.518978731922314</v>
      </c>
      <c r="U177" s="324">
        <f>'DATA (Real)'!U173*U$4/100</f>
        <v>18.76648977220529</v>
      </c>
      <c r="V177" s="324">
        <f>'DATA (Real)'!V173*V$4/100</f>
        <v>19.015928112554469</v>
      </c>
      <c r="W177" s="324">
        <f>'DATA (Real)'!W173*W$4/100</f>
        <v>19.267258758829264</v>
      </c>
      <c r="X177" s="324">
        <f>'DATA (Real)'!X173*X$4/100</f>
        <v>19.520444244333675</v>
      </c>
      <c r="Y177" s="324">
        <f>'DATA (Real)'!Y173*Y$4/100</f>
        <v>19.775444537961008</v>
      </c>
      <c r="Z177" s="324">
        <f>'DATA (Real)'!Z173*Z$4/100</f>
        <v>20.032216949493684</v>
      </c>
      <c r="AA177" s="324">
        <f>'DATA (Real)'!AA173*AA$4/100</f>
        <v>20.290716031977421</v>
      </c>
      <c r="AB177" s="324">
        <f>'DATA (Real)'!AB173*AB$4/100</f>
        <v>20.550893481086895</v>
      </c>
      <c r="AC177" s="324">
        <f>'DATA (Real)'!AC173*AC$4/100</f>
        <v>20.812698031397705</v>
      </c>
      <c r="AD177" s="324">
        <f>'DATA (Real)'!AD173*AD$4/100</f>
        <v>21.076075349477343</v>
      </c>
      <c r="AE177" s="324">
        <f>'DATA (Real)'!AE173*AE$4/100</f>
        <v>21.340967923705289</v>
      </c>
      <c r="AF177" s="324">
        <f>'DATA (Real)'!AF173*AF$4/100</f>
        <v>21.607314950730121</v>
      </c>
      <c r="AG177" s="324">
        <f>'DATA (Real)'!AG173*AG$4/100</f>
        <v>21.875052218468969</v>
      </c>
      <c r="AH177" s="324">
        <f>'DATA (Real)'!AH173*AH$4/100</f>
        <v>22.144111985552172</v>
      </c>
      <c r="AI177" s="324">
        <f>'DATA (Real)'!AI173*AI$4/100</f>
        <v>22.414422857113301</v>
      </c>
      <c r="AJ177" s="324">
        <f>'DATA (Real)'!AJ173*AJ$4/100</f>
        <v>22.685909656822115</v>
      </c>
      <c r="AK177" s="324">
        <f>'DATA (Real)'!AK173*AK$4/100</f>
        <v>0</v>
      </c>
      <c r="AL177" s="324">
        <f>'DATA (Real)'!AL173*AL$4/100</f>
        <v>0</v>
      </c>
      <c r="AM177" s="324">
        <f>'DATA (Real)'!AM173*AM$4/100</f>
        <v>0</v>
      </c>
      <c r="AN177" s="324">
        <f>'DATA (Real)'!AN173*AN$4/100</f>
        <v>0</v>
      </c>
      <c r="AO177" s="324">
        <f>'DATA (Real)'!AO173*AO$4/100</f>
        <v>0</v>
      </c>
      <c r="AP177" s="324">
        <f>'DATA (Real)'!AP173*AP$4/100</f>
        <v>0</v>
      </c>
      <c r="AQ177" s="324">
        <f>'DATA (Real)'!AQ173*AQ$4/100</f>
        <v>0</v>
      </c>
      <c r="AR177" s="324">
        <f>'DATA (Real)'!AR173*AR$4/100</f>
        <v>0</v>
      </c>
      <c r="AS177" s="324">
        <f>'DATA (Real)'!AS173*AS$4/100</f>
        <v>0</v>
      </c>
      <c r="AT177" s="324">
        <f>'DATA (Real)'!AT173*AT$4/100</f>
        <v>0</v>
      </c>
      <c r="AU177" s="324">
        <f>'DATA (Real)'!AU173*AU$4/100</f>
        <v>0</v>
      </c>
      <c r="AV177" s="324">
        <f>'DATA (Real)'!AV173*AV$4/100</f>
        <v>0</v>
      </c>
      <c r="AW177" s="324">
        <f>'DATA (Real)'!AW173*AW$4/100</f>
        <v>0</v>
      </c>
      <c r="AX177" s="324">
        <f>'DATA (Real)'!AX173*AX$4/100</f>
        <v>0</v>
      </c>
      <c r="AY177" s="324">
        <f>'DATA (Real)'!AY173*AY$4/100</f>
        <v>0</v>
      </c>
      <c r="AZ177" s="324">
        <f>'DATA (Real)'!AZ173*AZ$4/100</f>
        <v>0</v>
      </c>
      <c r="BA177" s="324">
        <f>'DATA (Real)'!BA173*BA$4/100</f>
        <v>0</v>
      </c>
      <c r="BB177" s="324">
        <f>'DATA (Real)'!BB173*BB$4/100</f>
        <v>0</v>
      </c>
      <c r="BC177" s="324">
        <f>'DATA (Real)'!BC173*BC$4/100</f>
        <v>0</v>
      </c>
      <c r="BD177" s="324">
        <f>'DATA (Real)'!BD173*BD$4/100</f>
        <v>0</v>
      </c>
      <c r="BE177" s="324">
        <f>'DATA (Real)'!BE173*BE$4/100</f>
        <v>0</v>
      </c>
      <c r="BF177" s="324">
        <f>'DATA (Real)'!BF173*BF$4/100</f>
        <v>0</v>
      </c>
      <c r="BG177" s="324">
        <f>'DATA (Real)'!BG173*BG$4/100</f>
        <v>0</v>
      </c>
      <c r="BH177" s="324">
        <f>'DATA (Real)'!BH173*BH$4/100</f>
        <v>0</v>
      </c>
      <c r="BI177" s="324">
        <f>'DATA (Real)'!BI173*BI$4/100</f>
        <v>0</v>
      </c>
      <c r="BJ177" s="324">
        <f>'DATA (Real)'!BJ173*BJ$4/100</f>
        <v>0</v>
      </c>
      <c r="BK177" s="324">
        <f>'DATA (Real)'!BK173*BK$4/100</f>
        <v>0</v>
      </c>
      <c r="BL177" s="324">
        <f>'DATA (Real)'!BL173*BL$4/100</f>
        <v>0</v>
      </c>
      <c r="BM177" s="324">
        <f>'DATA (Real)'!BM173*BM$4/100</f>
        <v>0</v>
      </c>
      <c r="BN177" s="324">
        <f>'DATA (Real)'!BN173*BN$4/100</f>
        <v>0</v>
      </c>
      <c r="BO177" s="324">
        <f>'DATA (Real)'!BO173*BO$4/100</f>
        <v>0</v>
      </c>
      <c r="BP177" s="324">
        <f>'DATA (Real)'!BP173*BP$4/100</f>
        <v>0</v>
      </c>
      <c r="BQ177" s="324">
        <f>'DATA (Real)'!BQ173*BQ$4/100</f>
        <v>0</v>
      </c>
      <c r="BR177" s="324">
        <f>'DATA (Real)'!BR173*BR$4/100</f>
        <v>0</v>
      </c>
      <c r="BS177" s="324">
        <f>'DATA (Real)'!BS173*BS$4/100</f>
        <v>0</v>
      </c>
      <c r="BT177" s="324">
        <f>'DATA (Real)'!BT173*BT$4/100</f>
        <v>0</v>
      </c>
      <c r="BU177" s="324">
        <f>'DATA (Real)'!BU173*BU$4/100</f>
        <v>0</v>
      </c>
      <c r="BV177" s="324">
        <f>'DATA (Real)'!BV173*BV$4/100</f>
        <v>0</v>
      </c>
      <c r="BW177" s="324">
        <f>'DATA (Real)'!BW173*BW$4/100</f>
        <v>0</v>
      </c>
      <c r="BX177" s="324">
        <f>'DATA (Real)'!BX173*BX$4/100</f>
        <v>0</v>
      </c>
    </row>
    <row r="178" spans="2:76" hidden="1" outlineLevel="1">
      <c r="B178" s="352" t="s">
        <v>230</v>
      </c>
      <c r="C178" s="352" t="str">
        <f>'DATA (Real)'!C174</f>
        <v>NREL Residential PV - Class 8</v>
      </c>
      <c r="D178" s="352" t="str">
        <f>'DATA (Real)'!D174</f>
        <v>Fixed Operation and Maintenance Expenses ($/kW-yr)</v>
      </c>
      <c r="E178" s="352" t="str">
        <f>'DATA (Real)'!E174</f>
        <v>New Residential Solar + Storage (Solar Only)</v>
      </c>
      <c r="F178" s="314">
        <f>'DATA (Real)'!F174</f>
        <v>29.295961999999999</v>
      </c>
      <c r="G178" s="324">
        <f>'DATA (Real)'!G174*G$4/100</f>
        <v>29.698038251354692</v>
      </c>
      <c r="H178" s="324">
        <f>'DATA (Real)'!H174*H$4/100</f>
        <v>29.915471129922583</v>
      </c>
      <c r="I178" s="324">
        <f>'DATA (Real)'!I174*I$4/100</f>
        <v>28.885356172219662</v>
      </c>
      <c r="J178" s="324">
        <f>'DATA (Real)'!J174*J$4/100</f>
        <v>27.539237651550348</v>
      </c>
      <c r="K178" s="324">
        <f>'DATA (Real)'!K174*K$4/100</f>
        <v>26.083456183894459</v>
      </c>
      <c r="L178" s="324">
        <f>'DATA (Real)'!L174*L$4/100</f>
        <v>24.548913850925736</v>
      </c>
      <c r="M178" s="324">
        <f>'DATA (Real)'!M174*M$4/100</f>
        <v>22.932818778772244</v>
      </c>
      <c r="N178" s="324">
        <f>'DATA (Real)'!N174*N$4/100</f>
        <v>21.225370852488268</v>
      </c>
      <c r="O178" s="324">
        <f>'DATA (Real)'!O174*O$4/100</f>
        <v>19.431695733158875</v>
      </c>
      <c r="P178" s="324">
        <f>'DATA (Real)'!P174*P$4/100</f>
        <v>17.548825829086383</v>
      </c>
      <c r="Q178" s="324">
        <f>'DATA (Real)'!Q174*Q$4/100</f>
        <v>17.788324116659311</v>
      </c>
      <c r="R178" s="324">
        <f>'DATA (Real)'!R174*R$4/100</f>
        <v>18.029866697184172</v>
      </c>
      <c r="S178" s="324">
        <f>'DATA (Real)'!S174*S$4/100</f>
        <v>18.273427602379659</v>
      </c>
      <c r="T178" s="324">
        <f>'DATA (Real)'!T174*T$4/100</f>
        <v>18.518978731922314</v>
      </c>
      <c r="U178" s="324">
        <f>'DATA (Real)'!U174*U$4/100</f>
        <v>18.76648977220529</v>
      </c>
      <c r="V178" s="324">
        <f>'DATA (Real)'!V174*V$4/100</f>
        <v>19.015928112554469</v>
      </c>
      <c r="W178" s="324">
        <f>'DATA (Real)'!W174*W$4/100</f>
        <v>19.267258758829264</v>
      </c>
      <c r="X178" s="324">
        <f>'DATA (Real)'!X174*X$4/100</f>
        <v>19.520444244333675</v>
      </c>
      <c r="Y178" s="324">
        <f>'DATA (Real)'!Y174*Y$4/100</f>
        <v>19.775444537961008</v>
      </c>
      <c r="Z178" s="324">
        <f>'DATA (Real)'!Z174*Z$4/100</f>
        <v>20.032216949493684</v>
      </c>
      <c r="AA178" s="324">
        <f>'DATA (Real)'!AA174*AA$4/100</f>
        <v>20.290716031977421</v>
      </c>
      <c r="AB178" s="324">
        <f>'DATA (Real)'!AB174*AB$4/100</f>
        <v>20.550893481086895</v>
      </c>
      <c r="AC178" s="324">
        <f>'DATA (Real)'!AC174*AC$4/100</f>
        <v>20.812698031397705</v>
      </c>
      <c r="AD178" s="324">
        <f>'DATA (Real)'!AD174*AD$4/100</f>
        <v>21.076075349477343</v>
      </c>
      <c r="AE178" s="324">
        <f>'DATA (Real)'!AE174*AE$4/100</f>
        <v>21.340967923705289</v>
      </c>
      <c r="AF178" s="324">
        <f>'DATA (Real)'!AF174*AF$4/100</f>
        <v>21.607314950730121</v>
      </c>
      <c r="AG178" s="324">
        <f>'DATA (Real)'!AG174*AG$4/100</f>
        <v>21.875052218468969</v>
      </c>
      <c r="AH178" s="324">
        <f>'DATA (Real)'!AH174*AH$4/100</f>
        <v>22.144111985552172</v>
      </c>
      <c r="AI178" s="324">
        <f>'DATA (Real)'!AI174*AI$4/100</f>
        <v>22.414422857113301</v>
      </c>
      <c r="AJ178" s="324">
        <f>'DATA (Real)'!AJ174*AJ$4/100</f>
        <v>22.685909656822115</v>
      </c>
      <c r="AK178" s="324">
        <f>'DATA (Real)'!AK174*AK$4/100</f>
        <v>0</v>
      </c>
      <c r="AL178" s="324">
        <f>'DATA (Real)'!AL174*AL$4/100</f>
        <v>0</v>
      </c>
      <c r="AM178" s="324">
        <f>'DATA (Real)'!AM174*AM$4/100</f>
        <v>0</v>
      </c>
      <c r="AN178" s="324">
        <f>'DATA (Real)'!AN174*AN$4/100</f>
        <v>0</v>
      </c>
      <c r="AO178" s="324">
        <f>'DATA (Real)'!AO174*AO$4/100</f>
        <v>0</v>
      </c>
      <c r="AP178" s="324">
        <f>'DATA (Real)'!AP174*AP$4/100</f>
        <v>0</v>
      </c>
      <c r="AQ178" s="324">
        <f>'DATA (Real)'!AQ174*AQ$4/100</f>
        <v>0</v>
      </c>
      <c r="AR178" s="324">
        <f>'DATA (Real)'!AR174*AR$4/100</f>
        <v>0</v>
      </c>
      <c r="AS178" s="324">
        <f>'DATA (Real)'!AS174*AS$4/100</f>
        <v>0</v>
      </c>
      <c r="AT178" s="324">
        <f>'DATA (Real)'!AT174*AT$4/100</f>
        <v>0</v>
      </c>
      <c r="AU178" s="324">
        <f>'DATA (Real)'!AU174*AU$4/100</f>
        <v>0</v>
      </c>
      <c r="AV178" s="324">
        <f>'DATA (Real)'!AV174*AV$4/100</f>
        <v>0</v>
      </c>
      <c r="AW178" s="324">
        <f>'DATA (Real)'!AW174*AW$4/100</f>
        <v>0</v>
      </c>
      <c r="AX178" s="324">
        <f>'DATA (Real)'!AX174*AX$4/100</f>
        <v>0</v>
      </c>
      <c r="AY178" s="324">
        <f>'DATA (Real)'!AY174*AY$4/100</f>
        <v>0</v>
      </c>
      <c r="AZ178" s="324">
        <f>'DATA (Real)'!AZ174*AZ$4/100</f>
        <v>0</v>
      </c>
      <c r="BA178" s="324">
        <f>'DATA (Real)'!BA174*BA$4/100</f>
        <v>0</v>
      </c>
      <c r="BB178" s="324">
        <f>'DATA (Real)'!BB174*BB$4/100</f>
        <v>0</v>
      </c>
      <c r="BC178" s="324">
        <f>'DATA (Real)'!BC174*BC$4/100</f>
        <v>0</v>
      </c>
      <c r="BD178" s="324">
        <f>'DATA (Real)'!BD174*BD$4/100</f>
        <v>0</v>
      </c>
      <c r="BE178" s="324">
        <f>'DATA (Real)'!BE174*BE$4/100</f>
        <v>0</v>
      </c>
      <c r="BF178" s="324">
        <f>'DATA (Real)'!BF174*BF$4/100</f>
        <v>0</v>
      </c>
      <c r="BG178" s="324">
        <f>'DATA (Real)'!BG174*BG$4/100</f>
        <v>0</v>
      </c>
      <c r="BH178" s="324">
        <f>'DATA (Real)'!BH174*BH$4/100</f>
        <v>0</v>
      </c>
      <c r="BI178" s="324">
        <f>'DATA (Real)'!BI174*BI$4/100</f>
        <v>0</v>
      </c>
      <c r="BJ178" s="324">
        <f>'DATA (Real)'!BJ174*BJ$4/100</f>
        <v>0</v>
      </c>
      <c r="BK178" s="324">
        <f>'DATA (Real)'!BK174*BK$4/100</f>
        <v>0</v>
      </c>
      <c r="BL178" s="324">
        <f>'DATA (Real)'!BL174*BL$4/100</f>
        <v>0</v>
      </c>
      <c r="BM178" s="324">
        <f>'DATA (Real)'!BM174*BM$4/100</f>
        <v>0</v>
      </c>
      <c r="BN178" s="324">
        <f>'DATA (Real)'!BN174*BN$4/100</f>
        <v>0</v>
      </c>
      <c r="BO178" s="324">
        <f>'DATA (Real)'!BO174*BO$4/100</f>
        <v>0</v>
      </c>
      <c r="BP178" s="324">
        <f>'DATA (Real)'!BP174*BP$4/100</f>
        <v>0</v>
      </c>
      <c r="BQ178" s="324">
        <f>'DATA (Real)'!BQ174*BQ$4/100</f>
        <v>0</v>
      </c>
      <c r="BR178" s="324">
        <f>'DATA (Real)'!BR174*BR$4/100</f>
        <v>0</v>
      </c>
      <c r="BS178" s="324">
        <f>'DATA (Real)'!BS174*BS$4/100</f>
        <v>0</v>
      </c>
      <c r="BT178" s="324">
        <f>'DATA (Real)'!BT174*BT$4/100</f>
        <v>0</v>
      </c>
      <c r="BU178" s="324">
        <f>'DATA (Real)'!BU174*BU$4/100</f>
        <v>0</v>
      </c>
      <c r="BV178" s="324">
        <f>'DATA (Real)'!BV174*BV$4/100</f>
        <v>0</v>
      </c>
      <c r="BW178" s="324">
        <f>'DATA (Real)'!BW174*BW$4/100</f>
        <v>0</v>
      </c>
      <c r="BX178" s="324">
        <f>'DATA (Real)'!BX174*BX$4/100</f>
        <v>0</v>
      </c>
    </row>
    <row r="179" spans="2:76" hidden="1" outlineLevel="1">
      <c r="B179" s="352" t="s">
        <v>230</v>
      </c>
      <c r="C179" s="352" t="str">
        <f>'DATA (Real)'!C175</f>
        <v>NREL Residential Battery Storage - 5 kW - 12.5 kWh</v>
      </c>
      <c r="D179" s="352" t="str">
        <f>'DATA (Real)'!D175</f>
        <v>Fixed Operation and Maintenance Expenses ($/kW-yr)</v>
      </c>
      <c r="E179" s="352" t="str">
        <f>'DATA (Real)'!E175</f>
        <v>New Residential Solar + Storage (Battery Only)</v>
      </c>
      <c r="F179" s="314">
        <f>'DATA (Real)'!F175</f>
        <v>93.660152825328879</v>
      </c>
      <c r="G179" s="324">
        <f>'DATA (Real)'!G175*G$4/100</f>
        <v>90.107252124098252</v>
      </c>
      <c r="H179" s="324">
        <f>'DATA (Real)'!H175*H$4/100</f>
        <v>89.723022144982025</v>
      </c>
      <c r="I179" s="324">
        <f>'DATA (Real)'!I175*I$4/100</f>
        <v>86.002112619180409</v>
      </c>
      <c r="J179" s="324">
        <f>'DATA (Real)'!J175*J$4/100</f>
        <v>81.715967660430309</v>
      </c>
      <c r="K179" s="324">
        <f>'DATA (Real)'!K175*K$4/100</f>
        <v>77.420380669658613</v>
      </c>
      <c r="L179" s="324">
        <f>'DATA (Real)'!L175*L$4/100</f>
        <v>75.948538236104113</v>
      </c>
      <c r="M179" s="324">
        <f>'DATA (Real)'!M175*M$4/100</f>
        <v>74.74048676596847</v>
      </c>
      <c r="N179" s="324">
        <f>'DATA (Real)'!N175*N$4/100</f>
        <v>73.836438599358331</v>
      </c>
      <c r="O179" s="324">
        <f>'DATA (Real)'!O175*O$4/100</f>
        <v>72.96888359121121</v>
      </c>
      <c r="P179" s="324">
        <f>'DATA (Real)'!P175*P$4/100</f>
        <v>72.268965252050762</v>
      </c>
      <c r="Q179" s="324">
        <f>'DATA (Real)'!Q175*Q$4/100</f>
        <v>72.955605963239108</v>
      </c>
      <c r="R179" s="324">
        <f>'DATA (Real)'!R175*R$4/100</f>
        <v>73.61709313364355</v>
      </c>
      <c r="S179" s="324">
        <f>'DATA (Real)'!S175*S$4/100</f>
        <v>74.272375226259541</v>
      </c>
      <c r="T179" s="324">
        <f>'DATA (Real)'!T175*T$4/100</f>
        <v>74.920859057874083</v>
      </c>
      <c r="U179" s="324">
        <f>'DATA (Real)'!U175*U$4/100</f>
        <v>75.561928348469934</v>
      </c>
      <c r="V179" s="324">
        <f>'DATA (Real)'!V175*V$4/100</f>
        <v>76.194942992068249</v>
      </c>
      <c r="W179" s="324">
        <f>'DATA (Real)'!W175*W$4/100</f>
        <v>76.819238306663991</v>
      </c>
      <c r="X179" s="324">
        <f>'DATA (Real)'!X175*X$4/100</f>
        <v>77.434124262693928</v>
      </c>
      <c r="Y179" s="324">
        <f>'DATA (Real)'!Y175*Y$4/100</f>
        <v>78.038884689448636</v>
      </c>
      <c r="Z179" s="324">
        <f>'DATA (Real)'!Z175*Z$4/100</f>
        <v>78.63277645883754</v>
      </c>
      <c r="AA179" s="324">
        <f>'DATA (Real)'!AA175*AA$4/100</f>
        <v>79.215028645889646</v>
      </c>
      <c r="AB179" s="324">
        <f>'DATA (Real)'!AB175*AB$4/100</f>
        <v>79.784841665366287</v>
      </c>
      <c r="AC179" s="324">
        <f>'DATA (Real)'!AC175*AC$4/100</f>
        <v>80.341386383834973</v>
      </c>
      <c r="AD179" s="324">
        <f>'DATA (Real)'!AD175*AD$4/100</f>
        <v>80.883803206550454</v>
      </c>
      <c r="AE179" s="324">
        <f>'DATA (Real)'!AE175*AE$4/100</f>
        <v>81.411201138455496</v>
      </c>
      <c r="AF179" s="324">
        <f>'DATA (Real)'!AF175*AF$4/100</f>
        <v>81.922656818612552</v>
      </c>
      <c r="AG179" s="324">
        <f>'DATA (Real)'!AG175*AG$4/100</f>
        <v>82.417213527345353</v>
      </c>
      <c r="AH179" s="324">
        <f>'DATA (Real)'!AH175*AH$4/100</f>
        <v>82.893880165362333</v>
      </c>
      <c r="AI179" s="324">
        <f>'DATA (Real)'!AI175*AI$4/100</f>
        <v>83.351630204104865</v>
      </c>
      <c r="AJ179" s="324">
        <f>'DATA (Real)'!AJ175*AJ$4/100</f>
        <v>83.758909787024237</v>
      </c>
      <c r="AK179" s="324">
        <f>'DATA (Real)'!AK175*AK$4/100</f>
        <v>0</v>
      </c>
      <c r="AL179" s="324">
        <f>'DATA (Real)'!AL175*AL$4/100</f>
        <v>0</v>
      </c>
      <c r="AM179" s="324">
        <f>'DATA (Real)'!AM175*AM$4/100</f>
        <v>0</v>
      </c>
      <c r="AN179" s="324">
        <f>'DATA (Real)'!AN175*AN$4/100</f>
        <v>0</v>
      </c>
      <c r="AO179" s="324">
        <f>'DATA (Real)'!AO175*AO$4/100</f>
        <v>0</v>
      </c>
      <c r="AP179" s="324">
        <f>'DATA (Real)'!AP175*AP$4/100</f>
        <v>0</v>
      </c>
      <c r="AQ179" s="324">
        <f>'DATA (Real)'!AQ175*AQ$4/100</f>
        <v>0</v>
      </c>
      <c r="AR179" s="324">
        <f>'DATA (Real)'!AR175*AR$4/100</f>
        <v>0</v>
      </c>
      <c r="AS179" s="324">
        <f>'DATA (Real)'!AS175*AS$4/100</f>
        <v>0</v>
      </c>
      <c r="AT179" s="324">
        <f>'DATA (Real)'!AT175*AT$4/100</f>
        <v>0</v>
      </c>
      <c r="AU179" s="324">
        <f>'DATA (Real)'!AU175*AU$4/100</f>
        <v>0</v>
      </c>
      <c r="AV179" s="324">
        <f>'DATA (Real)'!AV175*AV$4/100</f>
        <v>0</v>
      </c>
      <c r="AW179" s="324">
        <f>'DATA (Real)'!AW175*AW$4/100</f>
        <v>0</v>
      </c>
      <c r="AX179" s="324">
        <f>'DATA (Real)'!AX175*AX$4/100</f>
        <v>0</v>
      </c>
      <c r="AY179" s="324">
        <f>'DATA (Real)'!AY175*AY$4/100</f>
        <v>0</v>
      </c>
      <c r="AZ179" s="324">
        <f>'DATA (Real)'!AZ175*AZ$4/100</f>
        <v>0</v>
      </c>
      <c r="BA179" s="324">
        <f>'DATA (Real)'!BA175*BA$4/100</f>
        <v>0</v>
      </c>
      <c r="BB179" s="324">
        <f>'DATA (Real)'!BB175*BB$4/100</f>
        <v>0</v>
      </c>
      <c r="BC179" s="324">
        <f>'DATA (Real)'!BC175*BC$4/100</f>
        <v>0</v>
      </c>
      <c r="BD179" s="324">
        <f>'DATA (Real)'!BD175*BD$4/100</f>
        <v>0</v>
      </c>
      <c r="BE179" s="324">
        <f>'DATA (Real)'!BE175*BE$4/100</f>
        <v>0</v>
      </c>
      <c r="BF179" s="324">
        <f>'DATA (Real)'!BF175*BF$4/100</f>
        <v>0</v>
      </c>
      <c r="BG179" s="324">
        <f>'DATA (Real)'!BG175*BG$4/100</f>
        <v>0</v>
      </c>
      <c r="BH179" s="324">
        <f>'DATA (Real)'!BH175*BH$4/100</f>
        <v>0</v>
      </c>
      <c r="BI179" s="324">
        <f>'DATA (Real)'!BI175*BI$4/100</f>
        <v>0</v>
      </c>
      <c r="BJ179" s="324">
        <f>'DATA (Real)'!BJ175*BJ$4/100</f>
        <v>0</v>
      </c>
      <c r="BK179" s="324">
        <f>'DATA (Real)'!BK175*BK$4/100</f>
        <v>0</v>
      </c>
      <c r="BL179" s="324">
        <f>'DATA (Real)'!BL175*BL$4/100</f>
        <v>0</v>
      </c>
      <c r="BM179" s="324">
        <f>'DATA (Real)'!BM175*BM$4/100</f>
        <v>0</v>
      </c>
      <c r="BN179" s="324">
        <f>'DATA (Real)'!BN175*BN$4/100</f>
        <v>0</v>
      </c>
      <c r="BO179" s="324">
        <f>'DATA (Real)'!BO175*BO$4/100</f>
        <v>0</v>
      </c>
      <c r="BP179" s="324">
        <f>'DATA (Real)'!BP175*BP$4/100</f>
        <v>0</v>
      </c>
      <c r="BQ179" s="324">
        <f>'DATA (Real)'!BQ175*BQ$4/100</f>
        <v>0</v>
      </c>
      <c r="BR179" s="324">
        <f>'DATA (Real)'!BR175*BR$4/100</f>
        <v>0</v>
      </c>
      <c r="BS179" s="324">
        <f>'DATA (Real)'!BS175*BS$4/100</f>
        <v>0</v>
      </c>
      <c r="BT179" s="324">
        <f>'DATA (Real)'!BT175*BT$4/100</f>
        <v>0</v>
      </c>
      <c r="BU179" s="324">
        <f>'DATA (Real)'!BU175*BU$4/100</f>
        <v>0</v>
      </c>
      <c r="BV179" s="324">
        <f>'DATA (Real)'!BV175*BV$4/100</f>
        <v>0</v>
      </c>
      <c r="BW179" s="324">
        <f>'DATA (Real)'!BW175*BW$4/100</f>
        <v>0</v>
      </c>
      <c r="BX179" s="324">
        <f>'DATA (Real)'!BX175*BX$4/100</f>
        <v>0</v>
      </c>
    </row>
    <row r="180" spans="2:76" hidden="1" outlineLevel="1">
      <c r="B180" s="352" t="s">
        <v>230</v>
      </c>
      <c r="C180" s="352" t="str">
        <f>'DATA (Real)'!C176</f>
        <v>NREL Residential PV - Class 8</v>
      </c>
      <c r="D180" s="352" t="str">
        <f>'DATA (Real)'!D176</f>
        <v>Fixed Operation and Maintenance Expenses ($/kW-yr)</v>
      </c>
      <c r="E180" s="352" t="str">
        <f>'DATA (Real)'!E176</f>
        <v>Existing Residential Solar</v>
      </c>
      <c r="F180" s="314">
        <f>'DATA (Real)'!F176</f>
        <v>29.295961999999999</v>
      </c>
      <c r="G180" s="324">
        <f>'DATA (Real)'!G176*G$4/100</f>
        <v>29.698038251354692</v>
      </c>
      <c r="H180" s="324">
        <f>'DATA (Real)'!H176*H$4/100</f>
        <v>29.915471129922583</v>
      </c>
      <c r="I180" s="324">
        <f>'DATA (Real)'!I176*I$4/100</f>
        <v>28.885356172219662</v>
      </c>
      <c r="J180" s="324">
        <f>'DATA (Real)'!J176*J$4/100</f>
        <v>27.539237651550348</v>
      </c>
      <c r="K180" s="324">
        <f>'DATA (Real)'!K176*K$4/100</f>
        <v>26.083456183894459</v>
      </c>
      <c r="L180" s="324">
        <f>'DATA (Real)'!L176*L$4/100</f>
        <v>24.548913850925736</v>
      </c>
      <c r="M180" s="324">
        <f>'DATA (Real)'!M176*M$4/100</f>
        <v>22.932818778772244</v>
      </c>
      <c r="N180" s="324">
        <f>'DATA (Real)'!N176*N$4/100</f>
        <v>21.225370852488268</v>
      </c>
      <c r="O180" s="324">
        <f>'DATA (Real)'!O176*O$4/100</f>
        <v>19.431695733158875</v>
      </c>
      <c r="P180" s="324">
        <f>'DATA (Real)'!P176*P$4/100</f>
        <v>17.548825829086383</v>
      </c>
      <c r="Q180" s="324">
        <f>'DATA (Real)'!Q176*Q$4/100</f>
        <v>17.788324116659311</v>
      </c>
      <c r="R180" s="324">
        <f>'DATA (Real)'!R176*R$4/100</f>
        <v>18.029866697184172</v>
      </c>
      <c r="S180" s="324">
        <f>'DATA (Real)'!S176*S$4/100</f>
        <v>18.273427602379659</v>
      </c>
      <c r="T180" s="324">
        <f>'DATA (Real)'!T176*T$4/100</f>
        <v>18.518978731922314</v>
      </c>
      <c r="U180" s="324">
        <f>'DATA (Real)'!U176*U$4/100</f>
        <v>18.76648977220529</v>
      </c>
      <c r="V180" s="324">
        <f>'DATA (Real)'!V176*V$4/100</f>
        <v>19.015928112554469</v>
      </c>
      <c r="W180" s="324">
        <f>'DATA (Real)'!W176*W$4/100</f>
        <v>19.267258758829264</v>
      </c>
      <c r="X180" s="324">
        <f>'DATA (Real)'!X176*X$4/100</f>
        <v>19.520444244333675</v>
      </c>
      <c r="Y180" s="324">
        <f>'DATA (Real)'!Y176*Y$4/100</f>
        <v>19.775444537961008</v>
      </c>
      <c r="Z180" s="324">
        <f>'DATA (Real)'!Z176*Z$4/100</f>
        <v>20.032216949493684</v>
      </c>
      <c r="AA180" s="324">
        <f>'DATA (Real)'!AA176*AA$4/100</f>
        <v>20.290716031977421</v>
      </c>
      <c r="AB180" s="324">
        <f>'DATA (Real)'!AB176*AB$4/100</f>
        <v>20.550893481086895</v>
      </c>
      <c r="AC180" s="324">
        <f>'DATA (Real)'!AC176*AC$4/100</f>
        <v>20.812698031397705</v>
      </c>
      <c r="AD180" s="324">
        <f>'DATA (Real)'!AD176*AD$4/100</f>
        <v>21.076075349477343</v>
      </c>
      <c r="AE180" s="324">
        <f>'DATA (Real)'!AE176*AE$4/100</f>
        <v>21.340967923705289</v>
      </c>
      <c r="AF180" s="324">
        <f>'DATA (Real)'!AF176*AF$4/100</f>
        <v>21.607314950730121</v>
      </c>
      <c r="AG180" s="324">
        <f>'DATA (Real)'!AG176*AG$4/100</f>
        <v>21.875052218468969</v>
      </c>
      <c r="AH180" s="324">
        <f>'DATA (Real)'!AH176*AH$4/100</f>
        <v>22.144111985552172</v>
      </c>
      <c r="AI180" s="324">
        <f>'DATA (Real)'!AI176*AI$4/100</f>
        <v>22.414422857113301</v>
      </c>
      <c r="AJ180" s="324">
        <f>'DATA (Real)'!AJ176*AJ$4/100</f>
        <v>22.685909656822115</v>
      </c>
      <c r="AK180" s="324">
        <f>'DATA (Real)'!AK176*AK$4/100</f>
        <v>0</v>
      </c>
      <c r="AL180" s="324">
        <f>'DATA (Real)'!AL176*AL$4/100</f>
        <v>0</v>
      </c>
      <c r="AM180" s="324">
        <f>'DATA (Real)'!AM176*AM$4/100</f>
        <v>0</v>
      </c>
      <c r="AN180" s="324">
        <f>'DATA (Real)'!AN176*AN$4/100</f>
        <v>0</v>
      </c>
      <c r="AO180" s="324">
        <f>'DATA (Real)'!AO176*AO$4/100</f>
        <v>0</v>
      </c>
      <c r="AP180" s="324">
        <f>'DATA (Real)'!AP176*AP$4/100</f>
        <v>0</v>
      </c>
      <c r="AQ180" s="324">
        <f>'DATA (Real)'!AQ176*AQ$4/100</f>
        <v>0</v>
      </c>
      <c r="AR180" s="324">
        <f>'DATA (Real)'!AR176*AR$4/100</f>
        <v>0</v>
      </c>
      <c r="AS180" s="324">
        <f>'DATA (Real)'!AS176*AS$4/100</f>
        <v>0</v>
      </c>
      <c r="AT180" s="324">
        <f>'DATA (Real)'!AT176*AT$4/100</f>
        <v>0</v>
      </c>
      <c r="AU180" s="324">
        <f>'DATA (Real)'!AU176*AU$4/100</f>
        <v>0</v>
      </c>
      <c r="AV180" s="324">
        <f>'DATA (Real)'!AV176*AV$4/100</f>
        <v>0</v>
      </c>
      <c r="AW180" s="324">
        <f>'DATA (Real)'!AW176*AW$4/100</f>
        <v>0</v>
      </c>
      <c r="AX180" s="324">
        <f>'DATA (Real)'!AX176*AX$4/100</f>
        <v>0</v>
      </c>
      <c r="AY180" s="324">
        <f>'DATA (Real)'!AY176*AY$4/100</f>
        <v>0</v>
      </c>
      <c r="AZ180" s="324">
        <f>'DATA (Real)'!AZ176*AZ$4/100</f>
        <v>0</v>
      </c>
      <c r="BA180" s="324">
        <f>'DATA (Real)'!BA176*BA$4/100</f>
        <v>0</v>
      </c>
      <c r="BB180" s="324">
        <f>'DATA (Real)'!BB176*BB$4/100</f>
        <v>0</v>
      </c>
      <c r="BC180" s="324">
        <f>'DATA (Real)'!BC176*BC$4/100</f>
        <v>0</v>
      </c>
      <c r="BD180" s="324">
        <f>'DATA (Real)'!BD176*BD$4/100</f>
        <v>0</v>
      </c>
      <c r="BE180" s="324">
        <f>'DATA (Real)'!BE176*BE$4/100</f>
        <v>0</v>
      </c>
      <c r="BF180" s="324">
        <f>'DATA (Real)'!BF176*BF$4/100</f>
        <v>0</v>
      </c>
      <c r="BG180" s="324">
        <f>'DATA (Real)'!BG176*BG$4/100</f>
        <v>0</v>
      </c>
      <c r="BH180" s="324">
        <f>'DATA (Real)'!BH176*BH$4/100</f>
        <v>0</v>
      </c>
      <c r="BI180" s="324">
        <f>'DATA (Real)'!BI176*BI$4/100</f>
        <v>0</v>
      </c>
      <c r="BJ180" s="324">
        <f>'DATA (Real)'!BJ176*BJ$4/100</f>
        <v>0</v>
      </c>
      <c r="BK180" s="324">
        <f>'DATA (Real)'!BK176*BK$4/100</f>
        <v>0</v>
      </c>
      <c r="BL180" s="324">
        <f>'DATA (Real)'!BL176*BL$4/100</f>
        <v>0</v>
      </c>
      <c r="BM180" s="324">
        <f>'DATA (Real)'!BM176*BM$4/100</f>
        <v>0</v>
      </c>
      <c r="BN180" s="324">
        <f>'DATA (Real)'!BN176*BN$4/100</f>
        <v>0</v>
      </c>
      <c r="BO180" s="324">
        <f>'DATA (Real)'!BO176*BO$4/100</f>
        <v>0</v>
      </c>
      <c r="BP180" s="324">
        <f>'DATA (Real)'!BP176*BP$4/100</f>
        <v>0</v>
      </c>
      <c r="BQ180" s="324">
        <f>'DATA (Real)'!BQ176*BQ$4/100</f>
        <v>0</v>
      </c>
      <c r="BR180" s="324">
        <f>'DATA (Real)'!BR176*BR$4/100</f>
        <v>0</v>
      </c>
      <c r="BS180" s="324">
        <f>'DATA (Real)'!BS176*BS$4/100</f>
        <v>0</v>
      </c>
      <c r="BT180" s="324">
        <f>'DATA (Real)'!BT176*BT$4/100</f>
        <v>0</v>
      </c>
      <c r="BU180" s="324">
        <f>'DATA (Real)'!BU176*BU$4/100</f>
        <v>0</v>
      </c>
      <c r="BV180" s="324">
        <f>'DATA (Real)'!BV176*BV$4/100</f>
        <v>0</v>
      </c>
      <c r="BW180" s="324">
        <f>'DATA (Real)'!BW176*BW$4/100</f>
        <v>0</v>
      </c>
      <c r="BX180" s="324">
        <f>'DATA (Real)'!BX176*BX$4/100</f>
        <v>0</v>
      </c>
    </row>
    <row r="181" spans="2:76" hidden="1" outlineLevel="1">
      <c r="B181" s="352" t="s">
        <v>230</v>
      </c>
      <c r="C181" s="352" t="str">
        <f>'DATA (Real)'!C177</f>
        <v>NREL Residential PV - Class 8</v>
      </c>
      <c r="D181" s="352" t="str">
        <f>'DATA (Real)'!D177</f>
        <v>Fixed Operation and Maintenance Expenses ($/kW-yr)</v>
      </c>
      <c r="E181" s="352" t="str">
        <f>'DATA (Real)'!E177</f>
        <v>Existing Residential Solar + Storage (Solar Only)</v>
      </c>
      <c r="F181" s="314">
        <f>'DATA (Real)'!F177</f>
        <v>29.295961999999999</v>
      </c>
      <c r="G181" s="324">
        <f>'DATA (Real)'!G177*G$4/100</f>
        <v>29.698038251354692</v>
      </c>
      <c r="H181" s="324">
        <f>'DATA (Real)'!H177*H$4/100</f>
        <v>29.915471129922583</v>
      </c>
      <c r="I181" s="324">
        <f>'DATA (Real)'!I177*I$4/100</f>
        <v>28.885356172219662</v>
      </c>
      <c r="J181" s="324">
        <f>'DATA (Real)'!J177*J$4/100</f>
        <v>27.539237651550348</v>
      </c>
      <c r="K181" s="324">
        <f>'DATA (Real)'!K177*K$4/100</f>
        <v>26.083456183894459</v>
      </c>
      <c r="L181" s="324">
        <f>'DATA (Real)'!L177*L$4/100</f>
        <v>24.548913850925736</v>
      </c>
      <c r="M181" s="324">
        <f>'DATA (Real)'!M177*M$4/100</f>
        <v>22.932818778772244</v>
      </c>
      <c r="N181" s="324">
        <f>'DATA (Real)'!N177*N$4/100</f>
        <v>21.225370852488268</v>
      </c>
      <c r="O181" s="324">
        <f>'DATA (Real)'!O177*O$4/100</f>
        <v>19.431695733158875</v>
      </c>
      <c r="P181" s="324">
        <f>'DATA (Real)'!P177*P$4/100</f>
        <v>17.548825829086383</v>
      </c>
      <c r="Q181" s="324">
        <f>'DATA (Real)'!Q177*Q$4/100</f>
        <v>17.788324116659311</v>
      </c>
      <c r="R181" s="324">
        <f>'DATA (Real)'!R177*R$4/100</f>
        <v>18.029866697184172</v>
      </c>
      <c r="S181" s="324">
        <f>'DATA (Real)'!S177*S$4/100</f>
        <v>18.273427602379659</v>
      </c>
      <c r="T181" s="324">
        <f>'DATA (Real)'!T177*T$4/100</f>
        <v>18.518978731922314</v>
      </c>
      <c r="U181" s="324">
        <f>'DATA (Real)'!U177*U$4/100</f>
        <v>18.76648977220529</v>
      </c>
      <c r="V181" s="324">
        <f>'DATA (Real)'!V177*V$4/100</f>
        <v>19.015928112554469</v>
      </c>
      <c r="W181" s="324">
        <f>'DATA (Real)'!W177*W$4/100</f>
        <v>19.267258758829264</v>
      </c>
      <c r="X181" s="324">
        <f>'DATA (Real)'!X177*X$4/100</f>
        <v>19.520444244333675</v>
      </c>
      <c r="Y181" s="324">
        <f>'DATA (Real)'!Y177*Y$4/100</f>
        <v>19.775444537961008</v>
      </c>
      <c r="Z181" s="324">
        <f>'DATA (Real)'!Z177*Z$4/100</f>
        <v>20.032216949493684</v>
      </c>
      <c r="AA181" s="324">
        <f>'DATA (Real)'!AA177*AA$4/100</f>
        <v>20.290716031977421</v>
      </c>
      <c r="AB181" s="324">
        <f>'DATA (Real)'!AB177*AB$4/100</f>
        <v>20.550893481086895</v>
      </c>
      <c r="AC181" s="324">
        <f>'DATA (Real)'!AC177*AC$4/100</f>
        <v>20.812698031397705</v>
      </c>
      <c r="AD181" s="324">
        <f>'DATA (Real)'!AD177*AD$4/100</f>
        <v>21.076075349477343</v>
      </c>
      <c r="AE181" s="324">
        <f>'DATA (Real)'!AE177*AE$4/100</f>
        <v>21.340967923705289</v>
      </c>
      <c r="AF181" s="324">
        <f>'DATA (Real)'!AF177*AF$4/100</f>
        <v>21.607314950730121</v>
      </c>
      <c r="AG181" s="324">
        <f>'DATA (Real)'!AG177*AG$4/100</f>
        <v>21.875052218468969</v>
      </c>
      <c r="AH181" s="324">
        <f>'DATA (Real)'!AH177*AH$4/100</f>
        <v>22.144111985552172</v>
      </c>
      <c r="AI181" s="324">
        <f>'DATA (Real)'!AI177*AI$4/100</f>
        <v>22.414422857113301</v>
      </c>
      <c r="AJ181" s="324">
        <f>'DATA (Real)'!AJ177*AJ$4/100</f>
        <v>22.685909656822115</v>
      </c>
      <c r="AK181" s="324">
        <f>'DATA (Real)'!AK177*AK$4/100</f>
        <v>0</v>
      </c>
      <c r="AL181" s="324">
        <f>'DATA (Real)'!AL177*AL$4/100</f>
        <v>0</v>
      </c>
      <c r="AM181" s="324">
        <f>'DATA (Real)'!AM177*AM$4/100</f>
        <v>0</v>
      </c>
      <c r="AN181" s="324">
        <f>'DATA (Real)'!AN177*AN$4/100</f>
        <v>0</v>
      </c>
      <c r="AO181" s="324">
        <f>'DATA (Real)'!AO177*AO$4/100</f>
        <v>0</v>
      </c>
      <c r="AP181" s="324">
        <f>'DATA (Real)'!AP177*AP$4/100</f>
        <v>0</v>
      </c>
      <c r="AQ181" s="324">
        <f>'DATA (Real)'!AQ177*AQ$4/100</f>
        <v>0</v>
      </c>
      <c r="AR181" s="324">
        <f>'DATA (Real)'!AR177*AR$4/100</f>
        <v>0</v>
      </c>
      <c r="AS181" s="324">
        <f>'DATA (Real)'!AS177*AS$4/100</f>
        <v>0</v>
      </c>
      <c r="AT181" s="324">
        <f>'DATA (Real)'!AT177*AT$4/100</f>
        <v>0</v>
      </c>
      <c r="AU181" s="324">
        <f>'DATA (Real)'!AU177*AU$4/100</f>
        <v>0</v>
      </c>
      <c r="AV181" s="324">
        <f>'DATA (Real)'!AV177*AV$4/100</f>
        <v>0</v>
      </c>
      <c r="AW181" s="324">
        <f>'DATA (Real)'!AW177*AW$4/100</f>
        <v>0</v>
      </c>
      <c r="AX181" s="324">
        <f>'DATA (Real)'!AX177*AX$4/100</f>
        <v>0</v>
      </c>
      <c r="AY181" s="324">
        <f>'DATA (Real)'!AY177*AY$4/100</f>
        <v>0</v>
      </c>
      <c r="AZ181" s="324">
        <f>'DATA (Real)'!AZ177*AZ$4/100</f>
        <v>0</v>
      </c>
      <c r="BA181" s="324">
        <f>'DATA (Real)'!BA177*BA$4/100</f>
        <v>0</v>
      </c>
      <c r="BB181" s="324">
        <f>'DATA (Real)'!BB177*BB$4/100</f>
        <v>0</v>
      </c>
      <c r="BC181" s="324">
        <f>'DATA (Real)'!BC177*BC$4/100</f>
        <v>0</v>
      </c>
      <c r="BD181" s="324">
        <f>'DATA (Real)'!BD177*BD$4/100</f>
        <v>0</v>
      </c>
      <c r="BE181" s="324">
        <f>'DATA (Real)'!BE177*BE$4/100</f>
        <v>0</v>
      </c>
      <c r="BF181" s="324">
        <f>'DATA (Real)'!BF177*BF$4/100</f>
        <v>0</v>
      </c>
      <c r="BG181" s="324">
        <f>'DATA (Real)'!BG177*BG$4/100</f>
        <v>0</v>
      </c>
      <c r="BH181" s="324">
        <f>'DATA (Real)'!BH177*BH$4/100</f>
        <v>0</v>
      </c>
      <c r="BI181" s="324">
        <f>'DATA (Real)'!BI177*BI$4/100</f>
        <v>0</v>
      </c>
      <c r="BJ181" s="324">
        <f>'DATA (Real)'!BJ177*BJ$4/100</f>
        <v>0</v>
      </c>
      <c r="BK181" s="324">
        <f>'DATA (Real)'!BK177*BK$4/100</f>
        <v>0</v>
      </c>
      <c r="BL181" s="324">
        <f>'DATA (Real)'!BL177*BL$4/100</f>
        <v>0</v>
      </c>
      <c r="BM181" s="324">
        <f>'DATA (Real)'!BM177*BM$4/100</f>
        <v>0</v>
      </c>
      <c r="BN181" s="324">
        <f>'DATA (Real)'!BN177*BN$4/100</f>
        <v>0</v>
      </c>
      <c r="BO181" s="324">
        <f>'DATA (Real)'!BO177*BO$4/100</f>
        <v>0</v>
      </c>
      <c r="BP181" s="324">
        <f>'DATA (Real)'!BP177*BP$4/100</f>
        <v>0</v>
      </c>
      <c r="BQ181" s="324">
        <f>'DATA (Real)'!BQ177*BQ$4/100</f>
        <v>0</v>
      </c>
      <c r="BR181" s="324">
        <f>'DATA (Real)'!BR177*BR$4/100</f>
        <v>0</v>
      </c>
      <c r="BS181" s="324">
        <f>'DATA (Real)'!BS177*BS$4/100</f>
        <v>0</v>
      </c>
      <c r="BT181" s="324">
        <f>'DATA (Real)'!BT177*BT$4/100</f>
        <v>0</v>
      </c>
      <c r="BU181" s="324">
        <f>'DATA (Real)'!BU177*BU$4/100</f>
        <v>0</v>
      </c>
      <c r="BV181" s="324">
        <f>'DATA (Real)'!BV177*BV$4/100</f>
        <v>0</v>
      </c>
      <c r="BW181" s="324">
        <f>'DATA (Real)'!BW177*BW$4/100</f>
        <v>0</v>
      </c>
      <c r="BX181" s="324">
        <f>'DATA (Real)'!BX177*BX$4/100</f>
        <v>0</v>
      </c>
    </row>
    <row r="182" spans="2:76" hidden="1" outlineLevel="1">
      <c r="B182" s="352" t="s">
        <v>230</v>
      </c>
      <c r="C182" s="352" t="str">
        <f>'DATA (Real)'!C178</f>
        <v>NREL Residential Battery Storage - 5 kW - 12.5 kWh</v>
      </c>
      <c r="D182" s="352" t="str">
        <f>'DATA (Real)'!D178</f>
        <v>Fixed Operation and Maintenance Expenses ($/kW-yr)</v>
      </c>
      <c r="E182" s="352" t="str">
        <f>'DATA (Real)'!E178</f>
        <v>Existing Residential Solar + Storage (Battery Only)</v>
      </c>
      <c r="F182" s="314">
        <f>'DATA (Real)'!F178</f>
        <v>93.660152825328879</v>
      </c>
      <c r="G182" s="324">
        <f>'DATA (Real)'!G178*G$4/100</f>
        <v>90.107252124098252</v>
      </c>
      <c r="H182" s="324">
        <f>'DATA (Real)'!H178*H$4/100</f>
        <v>89.723022144982025</v>
      </c>
      <c r="I182" s="324">
        <f>'DATA (Real)'!I178*I$4/100</f>
        <v>86.002112619180409</v>
      </c>
      <c r="J182" s="324">
        <f>'DATA (Real)'!J178*J$4/100</f>
        <v>81.715967660430309</v>
      </c>
      <c r="K182" s="324">
        <f>'DATA (Real)'!K178*K$4/100</f>
        <v>77.420380669658613</v>
      </c>
      <c r="L182" s="324">
        <f>'DATA (Real)'!L178*L$4/100</f>
        <v>75.948538236104113</v>
      </c>
      <c r="M182" s="324">
        <f>'DATA (Real)'!M178*M$4/100</f>
        <v>74.74048676596847</v>
      </c>
      <c r="N182" s="324">
        <f>'DATA (Real)'!N178*N$4/100</f>
        <v>73.836438599358331</v>
      </c>
      <c r="O182" s="324">
        <f>'DATA (Real)'!O178*O$4/100</f>
        <v>72.96888359121121</v>
      </c>
      <c r="P182" s="324">
        <f>'DATA (Real)'!P178*P$4/100</f>
        <v>72.268965252050762</v>
      </c>
      <c r="Q182" s="324">
        <f>'DATA (Real)'!Q178*Q$4/100</f>
        <v>72.955605963239108</v>
      </c>
      <c r="R182" s="324">
        <f>'DATA (Real)'!R178*R$4/100</f>
        <v>73.61709313364355</v>
      </c>
      <c r="S182" s="324">
        <f>'DATA (Real)'!S178*S$4/100</f>
        <v>74.272375226259541</v>
      </c>
      <c r="T182" s="324">
        <f>'DATA (Real)'!T178*T$4/100</f>
        <v>74.920859057874083</v>
      </c>
      <c r="U182" s="324">
        <f>'DATA (Real)'!U178*U$4/100</f>
        <v>75.561928348469934</v>
      </c>
      <c r="V182" s="324">
        <f>'DATA (Real)'!V178*V$4/100</f>
        <v>76.194942992068249</v>
      </c>
      <c r="W182" s="324">
        <f>'DATA (Real)'!W178*W$4/100</f>
        <v>76.819238306663991</v>
      </c>
      <c r="X182" s="324">
        <f>'DATA (Real)'!X178*X$4/100</f>
        <v>77.434124262693928</v>
      </c>
      <c r="Y182" s="324">
        <f>'DATA (Real)'!Y178*Y$4/100</f>
        <v>78.038884689448636</v>
      </c>
      <c r="Z182" s="324">
        <f>'DATA (Real)'!Z178*Z$4/100</f>
        <v>78.63277645883754</v>
      </c>
      <c r="AA182" s="324">
        <f>'DATA (Real)'!AA178*AA$4/100</f>
        <v>79.215028645889646</v>
      </c>
      <c r="AB182" s="324">
        <f>'DATA (Real)'!AB178*AB$4/100</f>
        <v>79.784841665366287</v>
      </c>
      <c r="AC182" s="324">
        <f>'DATA (Real)'!AC178*AC$4/100</f>
        <v>80.341386383834973</v>
      </c>
      <c r="AD182" s="324">
        <f>'DATA (Real)'!AD178*AD$4/100</f>
        <v>80.883803206550454</v>
      </c>
      <c r="AE182" s="324">
        <f>'DATA (Real)'!AE178*AE$4/100</f>
        <v>81.411201138455496</v>
      </c>
      <c r="AF182" s="324">
        <f>'DATA (Real)'!AF178*AF$4/100</f>
        <v>81.922656818612552</v>
      </c>
      <c r="AG182" s="324">
        <f>'DATA (Real)'!AG178*AG$4/100</f>
        <v>82.417213527345353</v>
      </c>
      <c r="AH182" s="324">
        <f>'DATA (Real)'!AH178*AH$4/100</f>
        <v>82.893880165362333</v>
      </c>
      <c r="AI182" s="324">
        <f>'DATA (Real)'!AI178*AI$4/100</f>
        <v>83.351630204104865</v>
      </c>
      <c r="AJ182" s="324">
        <f>'DATA (Real)'!AJ178*AJ$4/100</f>
        <v>83.758909787024237</v>
      </c>
      <c r="AK182" s="324">
        <f>'DATA (Real)'!AK178*AK$4/100</f>
        <v>0</v>
      </c>
      <c r="AL182" s="324">
        <f>'DATA (Real)'!AL178*AL$4/100</f>
        <v>0</v>
      </c>
      <c r="AM182" s="324">
        <f>'DATA (Real)'!AM178*AM$4/100</f>
        <v>0</v>
      </c>
      <c r="AN182" s="324">
        <f>'DATA (Real)'!AN178*AN$4/100</f>
        <v>0</v>
      </c>
      <c r="AO182" s="324">
        <f>'DATA (Real)'!AO178*AO$4/100</f>
        <v>0</v>
      </c>
      <c r="AP182" s="324">
        <f>'DATA (Real)'!AP178*AP$4/100</f>
        <v>0</v>
      </c>
      <c r="AQ182" s="324">
        <f>'DATA (Real)'!AQ178*AQ$4/100</f>
        <v>0</v>
      </c>
      <c r="AR182" s="324">
        <f>'DATA (Real)'!AR178*AR$4/100</f>
        <v>0</v>
      </c>
      <c r="AS182" s="324">
        <f>'DATA (Real)'!AS178*AS$4/100</f>
        <v>0</v>
      </c>
      <c r="AT182" s="324">
        <f>'DATA (Real)'!AT178*AT$4/100</f>
        <v>0</v>
      </c>
      <c r="AU182" s="324">
        <f>'DATA (Real)'!AU178*AU$4/100</f>
        <v>0</v>
      </c>
      <c r="AV182" s="324">
        <f>'DATA (Real)'!AV178*AV$4/100</f>
        <v>0</v>
      </c>
      <c r="AW182" s="324">
        <f>'DATA (Real)'!AW178*AW$4/100</f>
        <v>0</v>
      </c>
      <c r="AX182" s="324">
        <f>'DATA (Real)'!AX178*AX$4/100</f>
        <v>0</v>
      </c>
      <c r="AY182" s="324">
        <f>'DATA (Real)'!AY178*AY$4/100</f>
        <v>0</v>
      </c>
      <c r="AZ182" s="324">
        <f>'DATA (Real)'!AZ178*AZ$4/100</f>
        <v>0</v>
      </c>
      <c r="BA182" s="324">
        <f>'DATA (Real)'!BA178*BA$4/100</f>
        <v>0</v>
      </c>
      <c r="BB182" s="324">
        <f>'DATA (Real)'!BB178*BB$4/100</f>
        <v>0</v>
      </c>
      <c r="BC182" s="324">
        <f>'DATA (Real)'!BC178*BC$4/100</f>
        <v>0</v>
      </c>
      <c r="BD182" s="324">
        <f>'DATA (Real)'!BD178*BD$4/100</f>
        <v>0</v>
      </c>
      <c r="BE182" s="324">
        <f>'DATA (Real)'!BE178*BE$4/100</f>
        <v>0</v>
      </c>
      <c r="BF182" s="324">
        <f>'DATA (Real)'!BF178*BF$4/100</f>
        <v>0</v>
      </c>
      <c r="BG182" s="324">
        <f>'DATA (Real)'!BG178*BG$4/100</f>
        <v>0</v>
      </c>
      <c r="BH182" s="324">
        <f>'DATA (Real)'!BH178*BH$4/100</f>
        <v>0</v>
      </c>
      <c r="BI182" s="324">
        <f>'DATA (Real)'!BI178*BI$4/100</f>
        <v>0</v>
      </c>
      <c r="BJ182" s="324">
        <f>'DATA (Real)'!BJ178*BJ$4/100</f>
        <v>0</v>
      </c>
      <c r="BK182" s="324">
        <f>'DATA (Real)'!BK178*BK$4/100</f>
        <v>0</v>
      </c>
      <c r="BL182" s="324">
        <f>'DATA (Real)'!BL178*BL$4/100</f>
        <v>0</v>
      </c>
      <c r="BM182" s="324">
        <f>'DATA (Real)'!BM178*BM$4/100</f>
        <v>0</v>
      </c>
      <c r="BN182" s="324">
        <f>'DATA (Real)'!BN178*BN$4/100</f>
        <v>0</v>
      </c>
      <c r="BO182" s="324">
        <f>'DATA (Real)'!BO178*BO$4/100</f>
        <v>0</v>
      </c>
      <c r="BP182" s="324">
        <f>'DATA (Real)'!BP178*BP$4/100</f>
        <v>0</v>
      </c>
      <c r="BQ182" s="324">
        <f>'DATA (Real)'!BQ178*BQ$4/100</f>
        <v>0</v>
      </c>
      <c r="BR182" s="324">
        <f>'DATA (Real)'!BR178*BR$4/100</f>
        <v>0</v>
      </c>
      <c r="BS182" s="324">
        <f>'DATA (Real)'!BS178*BS$4/100</f>
        <v>0</v>
      </c>
      <c r="BT182" s="324">
        <f>'DATA (Real)'!BT178*BT$4/100</f>
        <v>0</v>
      </c>
      <c r="BU182" s="324">
        <f>'DATA (Real)'!BU178*BU$4/100</f>
        <v>0</v>
      </c>
      <c r="BV182" s="324">
        <f>'DATA (Real)'!BV178*BV$4/100</f>
        <v>0</v>
      </c>
      <c r="BW182" s="324">
        <f>'DATA (Real)'!BW178*BW$4/100</f>
        <v>0</v>
      </c>
      <c r="BX182" s="324">
        <f>'DATA (Real)'!BX178*BX$4/100</f>
        <v>0</v>
      </c>
    </row>
    <row r="183" spans="2:76" hidden="1" outlineLevel="1">
      <c r="B183" s="352" t="s">
        <v>230</v>
      </c>
      <c r="C183" s="352" t="str">
        <f>'DATA (Real)'!C179</f>
        <v>NREL Commercial PV - Class 8</v>
      </c>
      <c r="D183" s="352" t="str">
        <f>'DATA (Real)'!D179</f>
        <v>Fixed Operation and Maintenance Expenses ($/kW-yr)</v>
      </c>
      <c r="E183" s="352" t="str">
        <f>'DATA (Real)'!E179</f>
        <v>Commercial Solar</v>
      </c>
      <c r="F183" s="314">
        <f>'DATA (Real)'!F179</f>
        <v>18.778165000000001</v>
      </c>
      <c r="G183" s="324">
        <f>'DATA (Real)'!G179*G$4/100</f>
        <v>18.368008894295638</v>
      </c>
      <c r="H183" s="324">
        <f>'DATA (Real)'!H179*H$4/100</f>
        <v>18.919286287345784</v>
      </c>
      <c r="I183" s="324">
        <f>'DATA (Real)'!I179*I$4/100</f>
        <v>18.725406502115199</v>
      </c>
      <c r="J183" s="324">
        <f>'DATA (Real)'!J179*J$4/100</f>
        <v>18.353205947388549</v>
      </c>
      <c r="K183" s="324">
        <f>'DATA (Real)'!K179*K$4/100</f>
        <v>17.932267701786365</v>
      </c>
      <c r="L183" s="324">
        <f>'DATA (Real)'!L179*L$4/100</f>
        <v>17.48337337660308</v>
      </c>
      <c r="M183" s="324">
        <f>'DATA (Real)'!M179*M$4/100</f>
        <v>17.005484221593463</v>
      </c>
      <c r="N183" s="324">
        <f>'DATA (Real)'!N179*N$4/100</f>
        <v>16.492149988518854</v>
      </c>
      <c r="O183" s="324">
        <f>'DATA (Real)'!O179*O$4/100</f>
        <v>15.947998394825706</v>
      </c>
      <c r="P183" s="324">
        <f>'DATA (Real)'!P179*P$4/100</f>
        <v>15.371921930415624</v>
      </c>
      <c r="Q183" s="324">
        <f>'DATA (Real)'!Q179*Q$4/100</f>
        <v>15.574540925662383</v>
      </c>
      <c r="R183" s="324">
        <f>'DATA (Real)'!R179*R$4/100</f>
        <v>15.778635146485687</v>
      </c>
      <c r="S183" s="324">
        <f>'DATA (Real)'!S179*S$4/100</f>
        <v>15.984171435217192</v>
      </c>
      <c r="T183" s="324">
        <f>'DATA (Real)'!T179*T$4/100</f>
        <v>16.191114461241987</v>
      </c>
      <c r="U183" s="324">
        <f>'DATA (Real)'!U179*U$4/100</f>
        <v>16.399426641437223</v>
      </c>
      <c r="V183" s="324">
        <f>'DATA (Real)'!V179*V$4/100</f>
        <v>16.609068058161814</v>
      </c>
      <c r="W183" s="324">
        <f>'DATA (Real)'!W179*W$4/100</f>
        <v>16.819996374727829</v>
      </c>
      <c r="X183" s="324">
        <f>'DATA (Real)'!X179*X$4/100</f>
        <v>17.032166748282599</v>
      </c>
      <c r="Y183" s="324">
        <f>'DATA (Real)'!Y179*Y$4/100</f>
        <v>17.245531740028404</v>
      </c>
      <c r="Z183" s="324">
        <f>'DATA (Real)'!Z179*Z$4/100</f>
        <v>17.460041222704863</v>
      </c>
      <c r="AA183" s="324">
        <f>'DATA (Real)'!AA179*AA$4/100</f>
        <v>17.67564228525691</v>
      </c>
      <c r="AB183" s="324">
        <f>'DATA (Real)'!AB179*AB$4/100</f>
        <v>17.892279134609456</v>
      </c>
      <c r="AC183" s="324">
        <f>'DATA (Real)'!AC179*AC$4/100</f>
        <v>18.109892994467451</v>
      </c>
      <c r="AD183" s="324">
        <f>'DATA (Real)'!AD179*AD$4/100</f>
        <v>18.328422001058051</v>
      </c>
      <c r="AE183" s="324">
        <f>'DATA (Real)'!AE179*AE$4/100</f>
        <v>18.547801095729312</v>
      </c>
      <c r="AF183" s="324">
        <f>'DATA (Real)'!AF179*AF$4/100</f>
        <v>18.767961914317599</v>
      </c>
      <c r="AG183" s="324">
        <f>'DATA (Real)'!AG179*AG$4/100</f>
        <v>18.988832673193432</v>
      </c>
      <c r="AH183" s="324">
        <f>'DATA (Real)'!AH179*AH$4/100</f>
        <v>19.210338051893274</v>
      </c>
      <c r="AI183" s="324">
        <f>'DATA (Real)'!AI179*AI$4/100</f>
        <v>19.432399072242085</v>
      </c>
      <c r="AJ183" s="324">
        <f>'DATA (Real)'!AJ179*AJ$4/100</f>
        <v>19.654932973869109</v>
      </c>
      <c r="AK183" s="324">
        <f>'DATA (Real)'!AK179*AK$4/100</f>
        <v>0</v>
      </c>
      <c r="AL183" s="324">
        <f>'DATA (Real)'!AL179*AL$4/100</f>
        <v>0</v>
      </c>
      <c r="AM183" s="324">
        <f>'DATA (Real)'!AM179*AM$4/100</f>
        <v>0</v>
      </c>
      <c r="AN183" s="324">
        <f>'DATA (Real)'!AN179*AN$4/100</f>
        <v>0</v>
      </c>
      <c r="AO183" s="324">
        <f>'DATA (Real)'!AO179*AO$4/100</f>
        <v>0</v>
      </c>
      <c r="AP183" s="324">
        <f>'DATA (Real)'!AP179*AP$4/100</f>
        <v>0</v>
      </c>
      <c r="AQ183" s="324">
        <f>'DATA (Real)'!AQ179*AQ$4/100</f>
        <v>0</v>
      </c>
      <c r="AR183" s="324">
        <f>'DATA (Real)'!AR179*AR$4/100</f>
        <v>0</v>
      </c>
      <c r="AS183" s="324">
        <f>'DATA (Real)'!AS179*AS$4/100</f>
        <v>0</v>
      </c>
      <c r="AT183" s="324">
        <f>'DATA (Real)'!AT179*AT$4/100</f>
        <v>0</v>
      </c>
      <c r="AU183" s="324">
        <f>'DATA (Real)'!AU179*AU$4/100</f>
        <v>0</v>
      </c>
      <c r="AV183" s="324">
        <f>'DATA (Real)'!AV179*AV$4/100</f>
        <v>0</v>
      </c>
      <c r="AW183" s="324">
        <f>'DATA (Real)'!AW179*AW$4/100</f>
        <v>0</v>
      </c>
      <c r="AX183" s="324">
        <f>'DATA (Real)'!AX179*AX$4/100</f>
        <v>0</v>
      </c>
      <c r="AY183" s="324">
        <f>'DATA (Real)'!AY179*AY$4/100</f>
        <v>0</v>
      </c>
      <c r="AZ183" s="324">
        <f>'DATA (Real)'!AZ179*AZ$4/100</f>
        <v>0</v>
      </c>
      <c r="BA183" s="324">
        <f>'DATA (Real)'!BA179*BA$4/100</f>
        <v>0</v>
      </c>
      <c r="BB183" s="324">
        <f>'DATA (Real)'!BB179*BB$4/100</f>
        <v>0</v>
      </c>
      <c r="BC183" s="324">
        <f>'DATA (Real)'!BC179*BC$4/100</f>
        <v>0</v>
      </c>
      <c r="BD183" s="324">
        <f>'DATA (Real)'!BD179*BD$4/100</f>
        <v>0</v>
      </c>
      <c r="BE183" s="324">
        <f>'DATA (Real)'!BE179*BE$4/100</f>
        <v>0</v>
      </c>
      <c r="BF183" s="324">
        <f>'DATA (Real)'!BF179*BF$4/100</f>
        <v>0</v>
      </c>
      <c r="BG183" s="324">
        <f>'DATA (Real)'!BG179*BG$4/100</f>
        <v>0</v>
      </c>
      <c r="BH183" s="324">
        <f>'DATA (Real)'!BH179*BH$4/100</f>
        <v>0</v>
      </c>
      <c r="BI183" s="324">
        <f>'DATA (Real)'!BI179*BI$4/100</f>
        <v>0</v>
      </c>
      <c r="BJ183" s="324">
        <f>'DATA (Real)'!BJ179*BJ$4/100</f>
        <v>0</v>
      </c>
      <c r="BK183" s="324">
        <f>'DATA (Real)'!BK179*BK$4/100</f>
        <v>0</v>
      </c>
      <c r="BL183" s="324">
        <f>'DATA (Real)'!BL179*BL$4/100</f>
        <v>0</v>
      </c>
      <c r="BM183" s="324">
        <f>'DATA (Real)'!BM179*BM$4/100</f>
        <v>0</v>
      </c>
      <c r="BN183" s="324">
        <f>'DATA (Real)'!BN179*BN$4/100</f>
        <v>0</v>
      </c>
      <c r="BO183" s="324">
        <f>'DATA (Real)'!BO179*BO$4/100</f>
        <v>0</v>
      </c>
      <c r="BP183" s="324">
        <f>'DATA (Real)'!BP179*BP$4/100</f>
        <v>0</v>
      </c>
      <c r="BQ183" s="324">
        <f>'DATA (Real)'!BQ179*BQ$4/100</f>
        <v>0</v>
      </c>
      <c r="BR183" s="324">
        <f>'DATA (Real)'!BR179*BR$4/100</f>
        <v>0</v>
      </c>
      <c r="BS183" s="324">
        <f>'DATA (Real)'!BS179*BS$4/100</f>
        <v>0</v>
      </c>
      <c r="BT183" s="324">
        <f>'DATA (Real)'!BT179*BT$4/100</f>
        <v>0</v>
      </c>
      <c r="BU183" s="324">
        <f>'DATA (Real)'!BU179*BU$4/100</f>
        <v>0</v>
      </c>
      <c r="BV183" s="324">
        <f>'DATA (Real)'!BV179*BV$4/100</f>
        <v>0</v>
      </c>
      <c r="BW183" s="324">
        <f>'DATA (Real)'!BW179*BW$4/100</f>
        <v>0</v>
      </c>
      <c r="BX183" s="324">
        <f>'DATA (Real)'!BX179*BX$4/100</f>
        <v>0</v>
      </c>
    </row>
    <row r="184" spans="2:76" hidden="1" outlineLevel="1">
      <c r="B184" s="352" t="s">
        <v>230</v>
      </c>
      <c r="C184" s="352" t="str">
        <f>'DATA (Real)'!C180</f>
        <v>NREL Commercial PV - Class 8</v>
      </c>
      <c r="D184" s="352" t="str">
        <f>'DATA (Real)'!D180</f>
        <v>Fixed Operation and Maintenance Expenses ($/kW-yr)</v>
      </c>
      <c r="E184" s="352" t="str">
        <f>'DATA (Real)'!E180</f>
        <v>Commercial Solar + Storage (Solar Only)</v>
      </c>
      <c r="F184" s="314">
        <f>'DATA (Real)'!F180</f>
        <v>18.778165000000001</v>
      </c>
      <c r="G184" s="324">
        <f>'DATA (Real)'!G180*G$4/100</f>
        <v>18.368008894295638</v>
      </c>
      <c r="H184" s="324">
        <f>'DATA (Real)'!H180*H$4/100</f>
        <v>18.919286287345784</v>
      </c>
      <c r="I184" s="324">
        <f>'DATA (Real)'!I180*I$4/100</f>
        <v>18.725406502115199</v>
      </c>
      <c r="J184" s="324">
        <f>'DATA (Real)'!J180*J$4/100</f>
        <v>18.353205947388549</v>
      </c>
      <c r="K184" s="324">
        <f>'DATA (Real)'!K180*K$4/100</f>
        <v>17.932267701786365</v>
      </c>
      <c r="L184" s="324">
        <f>'DATA (Real)'!L180*L$4/100</f>
        <v>17.48337337660308</v>
      </c>
      <c r="M184" s="324">
        <f>'DATA (Real)'!M180*M$4/100</f>
        <v>17.005484221593463</v>
      </c>
      <c r="N184" s="324">
        <f>'DATA (Real)'!N180*N$4/100</f>
        <v>16.492149988518854</v>
      </c>
      <c r="O184" s="324">
        <f>'DATA (Real)'!O180*O$4/100</f>
        <v>15.947998394825706</v>
      </c>
      <c r="P184" s="324">
        <f>'DATA (Real)'!P180*P$4/100</f>
        <v>15.371921930415624</v>
      </c>
      <c r="Q184" s="324">
        <f>'DATA (Real)'!Q180*Q$4/100</f>
        <v>15.574540925662383</v>
      </c>
      <c r="R184" s="324">
        <f>'DATA (Real)'!R180*R$4/100</f>
        <v>15.778635146485687</v>
      </c>
      <c r="S184" s="324">
        <f>'DATA (Real)'!S180*S$4/100</f>
        <v>15.984171435217192</v>
      </c>
      <c r="T184" s="324">
        <f>'DATA (Real)'!T180*T$4/100</f>
        <v>16.191114461241987</v>
      </c>
      <c r="U184" s="324">
        <f>'DATA (Real)'!U180*U$4/100</f>
        <v>16.399426641437223</v>
      </c>
      <c r="V184" s="324">
        <f>'DATA (Real)'!V180*V$4/100</f>
        <v>16.609068058161814</v>
      </c>
      <c r="W184" s="324">
        <f>'DATA (Real)'!W180*W$4/100</f>
        <v>16.819996374727829</v>
      </c>
      <c r="X184" s="324">
        <f>'DATA (Real)'!X180*X$4/100</f>
        <v>17.032166748282599</v>
      </c>
      <c r="Y184" s="324">
        <f>'DATA (Real)'!Y180*Y$4/100</f>
        <v>17.245531740028404</v>
      </c>
      <c r="Z184" s="324">
        <f>'DATA (Real)'!Z180*Z$4/100</f>
        <v>17.460041222704863</v>
      </c>
      <c r="AA184" s="324">
        <f>'DATA (Real)'!AA180*AA$4/100</f>
        <v>17.67564228525691</v>
      </c>
      <c r="AB184" s="324">
        <f>'DATA (Real)'!AB180*AB$4/100</f>
        <v>17.892279134609456</v>
      </c>
      <c r="AC184" s="324">
        <f>'DATA (Real)'!AC180*AC$4/100</f>
        <v>18.109892994467451</v>
      </c>
      <c r="AD184" s="324">
        <f>'DATA (Real)'!AD180*AD$4/100</f>
        <v>18.328422001058051</v>
      </c>
      <c r="AE184" s="324">
        <f>'DATA (Real)'!AE180*AE$4/100</f>
        <v>18.547801095729312</v>
      </c>
      <c r="AF184" s="324">
        <f>'DATA (Real)'!AF180*AF$4/100</f>
        <v>18.767961914317599</v>
      </c>
      <c r="AG184" s="324">
        <f>'DATA (Real)'!AG180*AG$4/100</f>
        <v>18.988832673193432</v>
      </c>
      <c r="AH184" s="324">
        <f>'DATA (Real)'!AH180*AH$4/100</f>
        <v>19.210338051893274</v>
      </c>
      <c r="AI184" s="324">
        <f>'DATA (Real)'!AI180*AI$4/100</f>
        <v>19.432399072242085</v>
      </c>
      <c r="AJ184" s="324">
        <f>'DATA (Real)'!AJ180*AJ$4/100</f>
        <v>19.654932973869109</v>
      </c>
      <c r="AK184" s="324">
        <f>'DATA (Real)'!AK180*AK$4/100</f>
        <v>0</v>
      </c>
      <c r="AL184" s="324">
        <f>'DATA (Real)'!AL180*AL$4/100</f>
        <v>0</v>
      </c>
      <c r="AM184" s="324">
        <f>'DATA (Real)'!AM180*AM$4/100</f>
        <v>0</v>
      </c>
      <c r="AN184" s="324">
        <f>'DATA (Real)'!AN180*AN$4/100</f>
        <v>0</v>
      </c>
      <c r="AO184" s="324">
        <f>'DATA (Real)'!AO180*AO$4/100</f>
        <v>0</v>
      </c>
      <c r="AP184" s="324">
        <f>'DATA (Real)'!AP180*AP$4/100</f>
        <v>0</v>
      </c>
      <c r="AQ184" s="324">
        <f>'DATA (Real)'!AQ180*AQ$4/100</f>
        <v>0</v>
      </c>
      <c r="AR184" s="324">
        <f>'DATA (Real)'!AR180*AR$4/100</f>
        <v>0</v>
      </c>
      <c r="AS184" s="324">
        <f>'DATA (Real)'!AS180*AS$4/100</f>
        <v>0</v>
      </c>
      <c r="AT184" s="324">
        <f>'DATA (Real)'!AT180*AT$4/100</f>
        <v>0</v>
      </c>
      <c r="AU184" s="324">
        <f>'DATA (Real)'!AU180*AU$4/100</f>
        <v>0</v>
      </c>
      <c r="AV184" s="324">
        <f>'DATA (Real)'!AV180*AV$4/100</f>
        <v>0</v>
      </c>
      <c r="AW184" s="324">
        <f>'DATA (Real)'!AW180*AW$4/100</f>
        <v>0</v>
      </c>
      <c r="AX184" s="324">
        <f>'DATA (Real)'!AX180*AX$4/100</f>
        <v>0</v>
      </c>
      <c r="AY184" s="324">
        <f>'DATA (Real)'!AY180*AY$4/100</f>
        <v>0</v>
      </c>
      <c r="AZ184" s="324">
        <f>'DATA (Real)'!AZ180*AZ$4/100</f>
        <v>0</v>
      </c>
      <c r="BA184" s="324">
        <f>'DATA (Real)'!BA180*BA$4/100</f>
        <v>0</v>
      </c>
      <c r="BB184" s="324">
        <f>'DATA (Real)'!BB180*BB$4/100</f>
        <v>0</v>
      </c>
      <c r="BC184" s="324">
        <f>'DATA (Real)'!BC180*BC$4/100</f>
        <v>0</v>
      </c>
      <c r="BD184" s="324">
        <f>'DATA (Real)'!BD180*BD$4/100</f>
        <v>0</v>
      </c>
      <c r="BE184" s="324">
        <f>'DATA (Real)'!BE180*BE$4/100</f>
        <v>0</v>
      </c>
      <c r="BF184" s="324">
        <f>'DATA (Real)'!BF180*BF$4/100</f>
        <v>0</v>
      </c>
      <c r="BG184" s="324">
        <f>'DATA (Real)'!BG180*BG$4/100</f>
        <v>0</v>
      </c>
      <c r="BH184" s="324">
        <f>'DATA (Real)'!BH180*BH$4/100</f>
        <v>0</v>
      </c>
      <c r="BI184" s="324">
        <f>'DATA (Real)'!BI180*BI$4/100</f>
        <v>0</v>
      </c>
      <c r="BJ184" s="324">
        <f>'DATA (Real)'!BJ180*BJ$4/100</f>
        <v>0</v>
      </c>
      <c r="BK184" s="324">
        <f>'DATA (Real)'!BK180*BK$4/100</f>
        <v>0</v>
      </c>
      <c r="BL184" s="324">
        <f>'DATA (Real)'!BL180*BL$4/100</f>
        <v>0</v>
      </c>
      <c r="BM184" s="324">
        <f>'DATA (Real)'!BM180*BM$4/100</f>
        <v>0</v>
      </c>
      <c r="BN184" s="324">
        <f>'DATA (Real)'!BN180*BN$4/100</f>
        <v>0</v>
      </c>
      <c r="BO184" s="324">
        <f>'DATA (Real)'!BO180*BO$4/100</f>
        <v>0</v>
      </c>
      <c r="BP184" s="324">
        <f>'DATA (Real)'!BP180*BP$4/100</f>
        <v>0</v>
      </c>
      <c r="BQ184" s="324">
        <f>'DATA (Real)'!BQ180*BQ$4/100</f>
        <v>0</v>
      </c>
      <c r="BR184" s="324">
        <f>'DATA (Real)'!BR180*BR$4/100</f>
        <v>0</v>
      </c>
      <c r="BS184" s="324">
        <f>'DATA (Real)'!BS180*BS$4/100</f>
        <v>0</v>
      </c>
      <c r="BT184" s="324">
        <f>'DATA (Real)'!BT180*BT$4/100</f>
        <v>0</v>
      </c>
      <c r="BU184" s="324">
        <f>'DATA (Real)'!BU180*BU$4/100</f>
        <v>0</v>
      </c>
      <c r="BV184" s="324">
        <f>'DATA (Real)'!BV180*BV$4/100</f>
        <v>0</v>
      </c>
      <c r="BW184" s="324">
        <f>'DATA (Real)'!BW180*BW$4/100</f>
        <v>0</v>
      </c>
      <c r="BX184" s="324">
        <f>'DATA (Real)'!BX180*BX$4/100</f>
        <v>0</v>
      </c>
    </row>
    <row r="185" spans="2:76" hidden="1" outlineLevel="1">
      <c r="B185" s="352" t="s">
        <v>230</v>
      </c>
      <c r="C185" s="352" t="str">
        <f>'DATA (Real)'!C181</f>
        <v>NREL Commercial Battery Storage 4Hr</v>
      </c>
      <c r="D185" s="352" t="str">
        <f>'DATA (Real)'!D181</f>
        <v>Fixed Operation and Maintenance Expenses ($/kW-yr)</v>
      </c>
      <c r="E185" s="352" t="str">
        <f>'DATA (Real)'!E181</f>
        <v>Commercial Solar + Storage (Battery Only)</v>
      </c>
      <c r="F185" s="314">
        <f>'DATA (Real)'!F181</f>
        <v>55.556214031186578</v>
      </c>
      <c r="G185" s="324">
        <f>'DATA (Real)'!G181*G$4/100</f>
        <v>47.220025822368569</v>
      </c>
      <c r="H185" s="324">
        <f>'DATA (Real)'!H181*H$4/100</f>
        <v>46.929526833362473</v>
      </c>
      <c r="I185" s="324">
        <f>'DATA (Real)'!I181*I$4/100</f>
        <v>44.805631346456657</v>
      </c>
      <c r="J185" s="324">
        <f>'DATA (Real)'!J181*J$4/100</f>
        <v>42.316688838766623</v>
      </c>
      <c r="K185" s="324">
        <f>'DATA (Real)'!K181*K$4/100</f>
        <v>39.764574866738158</v>
      </c>
      <c r="L185" s="324">
        <f>'DATA (Real)'!L181*L$4/100</f>
        <v>38.949927210725953</v>
      </c>
      <c r="M185" s="324">
        <f>'DATA (Real)'!M181*M$4/100</f>
        <v>38.278993033292998</v>
      </c>
      <c r="N185" s="324">
        <f>'DATA (Real)'!N181*N$4/100</f>
        <v>37.783534723706886</v>
      </c>
      <c r="O185" s="324">
        <f>'DATA (Real)'!O181*O$4/100</f>
        <v>37.32266821340702</v>
      </c>
      <c r="P185" s="324">
        <f>'DATA (Real)'!P181*P$4/100</f>
        <v>36.948160580448928</v>
      </c>
      <c r="Q185" s="324">
        <f>'DATA (Real)'!Q181*Q$4/100</f>
        <v>37.291396920677613</v>
      </c>
      <c r="R185" s="324">
        <f>'DATA (Real)'!R181*R$4/100</f>
        <v>37.629415274699241</v>
      </c>
      <c r="S185" s="324">
        <f>'DATA (Real)'!S181*S$4/100</f>
        <v>37.964257400188195</v>
      </c>
      <c r="T185" s="324">
        <f>'DATA (Real)'!T181*T$4/100</f>
        <v>38.295619942205796</v>
      </c>
      <c r="U185" s="324">
        <f>'DATA (Real)'!U181*U$4/100</f>
        <v>38.623187735490305</v>
      </c>
      <c r="V185" s="324">
        <f>'DATA (Real)'!V181*V$4/100</f>
        <v>38.946633431627475</v>
      </c>
      <c r="W185" s="324">
        <f>'DATA (Real)'!W181*W$4/100</f>
        <v>39.26561711553056</v>
      </c>
      <c r="X185" s="324">
        <f>'DATA (Real)'!X181*X$4/100</f>
        <v>39.579785910944608</v>
      </c>
      <c r="Y185" s="324">
        <f>'DATA (Real)'!Y181*Y$4/100</f>
        <v>39.888773574672825</v>
      </c>
      <c r="Z185" s="324">
        <f>'DATA (Real)'!Z181*Z$4/100</f>
        <v>40.192200079224314</v>
      </c>
      <c r="AA185" s="324">
        <f>'DATA (Real)'!AA181*AA$4/100</f>
        <v>40.489671183565775</v>
      </c>
      <c r="AB185" s="324">
        <f>'DATA (Real)'!AB181*AB$4/100</f>
        <v>40.780777991660088</v>
      </c>
      <c r="AC185" s="324">
        <f>'DATA (Real)'!AC181*AC$4/100</f>
        <v>41.065096498457514</v>
      </c>
      <c r="AD185" s="324">
        <f>'DATA (Real)'!AD181*AD$4/100</f>
        <v>41.342187123006255</v>
      </c>
      <c r="AE185" s="324">
        <f>'DATA (Real)'!AE181*AE$4/100</f>
        <v>41.611594228329743</v>
      </c>
      <c r="AF185" s="324">
        <f>'DATA (Real)'!AF181*AF$4/100</f>
        <v>41.872845627720054</v>
      </c>
      <c r="AG185" s="324">
        <f>'DATA (Real)'!AG181*AG$4/100</f>
        <v>42.125452077076879</v>
      </c>
      <c r="AH185" s="324">
        <f>'DATA (Real)'!AH181*AH$4/100</f>
        <v>42.368906752921745</v>
      </c>
      <c r="AI185" s="324">
        <f>'DATA (Real)'!AI181*AI$4/100</f>
        <v>42.602684715698487</v>
      </c>
      <c r="AJ185" s="324">
        <f>'DATA (Real)'!AJ181*AJ$4/100</f>
        <v>42.822498399705353</v>
      </c>
      <c r="AK185" s="324">
        <f>'DATA (Real)'!AK181*AK$4/100</f>
        <v>0</v>
      </c>
      <c r="AL185" s="324">
        <f>'DATA (Real)'!AL181*AL$4/100</f>
        <v>0</v>
      </c>
      <c r="AM185" s="324">
        <f>'DATA (Real)'!AM181*AM$4/100</f>
        <v>0</v>
      </c>
      <c r="AN185" s="324">
        <f>'DATA (Real)'!AN181*AN$4/100</f>
        <v>0</v>
      </c>
      <c r="AO185" s="324">
        <f>'DATA (Real)'!AO181*AO$4/100</f>
        <v>0</v>
      </c>
      <c r="AP185" s="324">
        <f>'DATA (Real)'!AP181*AP$4/100</f>
        <v>0</v>
      </c>
      <c r="AQ185" s="324">
        <f>'DATA (Real)'!AQ181*AQ$4/100</f>
        <v>0</v>
      </c>
      <c r="AR185" s="324">
        <f>'DATA (Real)'!AR181*AR$4/100</f>
        <v>0</v>
      </c>
      <c r="AS185" s="324">
        <f>'DATA (Real)'!AS181*AS$4/100</f>
        <v>0</v>
      </c>
      <c r="AT185" s="324">
        <f>'DATA (Real)'!AT181*AT$4/100</f>
        <v>0</v>
      </c>
      <c r="AU185" s="324">
        <f>'DATA (Real)'!AU181*AU$4/100</f>
        <v>0</v>
      </c>
      <c r="AV185" s="324">
        <f>'DATA (Real)'!AV181*AV$4/100</f>
        <v>0</v>
      </c>
      <c r="AW185" s="324">
        <f>'DATA (Real)'!AW181*AW$4/100</f>
        <v>0</v>
      </c>
      <c r="AX185" s="324">
        <f>'DATA (Real)'!AX181*AX$4/100</f>
        <v>0</v>
      </c>
      <c r="AY185" s="324">
        <f>'DATA (Real)'!AY181*AY$4/100</f>
        <v>0</v>
      </c>
      <c r="AZ185" s="324">
        <f>'DATA (Real)'!AZ181*AZ$4/100</f>
        <v>0</v>
      </c>
      <c r="BA185" s="324">
        <f>'DATA (Real)'!BA181*BA$4/100</f>
        <v>0</v>
      </c>
      <c r="BB185" s="324">
        <f>'DATA (Real)'!BB181*BB$4/100</f>
        <v>0</v>
      </c>
      <c r="BC185" s="324">
        <f>'DATA (Real)'!BC181*BC$4/100</f>
        <v>0</v>
      </c>
      <c r="BD185" s="324">
        <f>'DATA (Real)'!BD181*BD$4/100</f>
        <v>0</v>
      </c>
      <c r="BE185" s="324">
        <f>'DATA (Real)'!BE181*BE$4/100</f>
        <v>0</v>
      </c>
      <c r="BF185" s="324">
        <f>'DATA (Real)'!BF181*BF$4/100</f>
        <v>0</v>
      </c>
      <c r="BG185" s="324">
        <f>'DATA (Real)'!BG181*BG$4/100</f>
        <v>0</v>
      </c>
      <c r="BH185" s="324">
        <f>'DATA (Real)'!BH181*BH$4/100</f>
        <v>0</v>
      </c>
      <c r="BI185" s="324">
        <f>'DATA (Real)'!BI181*BI$4/100</f>
        <v>0</v>
      </c>
      <c r="BJ185" s="324">
        <f>'DATA (Real)'!BJ181*BJ$4/100</f>
        <v>0</v>
      </c>
      <c r="BK185" s="324">
        <f>'DATA (Real)'!BK181*BK$4/100</f>
        <v>0</v>
      </c>
      <c r="BL185" s="324">
        <f>'DATA (Real)'!BL181*BL$4/100</f>
        <v>0</v>
      </c>
      <c r="BM185" s="324">
        <f>'DATA (Real)'!BM181*BM$4/100</f>
        <v>0</v>
      </c>
      <c r="BN185" s="324">
        <f>'DATA (Real)'!BN181*BN$4/100</f>
        <v>0</v>
      </c>
      <c r="BO185" s="324">
        <f>'DATA (Real)'!BO181*BO$4/100</f>
        <v>0</v>
      </c>
      <c r="BP185" s="324">
        <f>'DATA (Real)'!BP181*BP$4/100</f>
        <v>0</v>
      </c>
      <c r="BQ185" s="324">
        <f>'DATA (Real)'!BQ181*BQ$4/100</f>
        <v>0</v>
      </c>
      <c r="BR185" s="324">
        <f>'DATA (Real)'!BR181*BR$4/100</f>
        <v>0</v>
      </c>
      <c r="BS185" s="324">
        <f>'DATA (Real)'!BS181*BS$4/100</f>
        <v>0</v>
      </c>
      <c r="BT185" s="324">
        <f>'DATA (Real)'!BT181*BT$4/100</f>
        <v>0</v>
      </c>
      <c r="BU185" s="324">
        <f>'DATA (Real)'!BU181*BU$4/100</f>
        <v>0</v>
      </c>
      <c r="BV185" s="324">
        <f>'DATA (Real)'!BV181*BV$4/100</f>
        <v>0</v>
      </c>
      <c r="BW185" s="324">
        <f>'DATA (Real)'!BW181*BW$4/100</f>
        <v>0</v>
      </c>
      <c r="BX185" s="324">
        <f>'DATA (Real)'!BX181*BX$4/100</f>
        <v>0</v>
      </c>
    </row>
    <row r="186" spans="2:76" hidden="1" outlineLevel="1">
      <c r="B186" s="352" t="s">
        <v>230</v>
      </c>
      <c r="C186" s="352" t="str">
        <f>'DATA (Real)'!C182</f>
        <v>NREL Utility PV - Class 4/LAZARD’S LEVELIZED COST OF ENERGY ANALYSIS—VERSION 15.0</v>
      </c>
      <c r="D186" s="352" t="str">
        <f>'DATA (Real)'!D182</f>
        <v>Fixed Operation and Maintenance Expenses ($/kW-yr)</v>
      </c>
      <c r="E186" s="352" t="str">
        <f>'DATA (Real)'!E182</f>
        <v>Solar Photovoltaic Fixed Array (5 MW AC)</v>
      </c>
      <c r="F186" s="314">
        <f>'DATA (Real)'!F182</f>
        <v>28.153925631999996</v>
      </c>
      <c r="G186" s="324">
        <f>'DATA (Real)'!G182*G$4/100</f>
        <v>26.22134044444444</v>
      </c>
      <c r="H186" s="324">
        <f>'DATA (Real)'!H182*H$4/100</f>
        <v>27.279648371656105</v>
      </c>
      <c r="I186" s="324">
        <f>'DATA (Real)'!I182*I$4/100</f>
        <v>27.302374544155597</v>
      </c>
      <c r="J186" s="324">
        <f>'DATA (Real)'!J182*J$4/100</f>
        <v>27.08489739266232</v>
      </c>
      <c r="K186" s="324">
        <f>'DATA (Real)'!K182*K$4/100</f>
        <v>26.813527091801497</v>
      </c>
      <c r="L186" s="324">
        <f>'DATA (Real)'!L182*L$4/100</f>
        <v>26.519118013618591</v>
      </c>
      <c r="M186" s="324">
        <f>'DATA (Real)'!M182*M$4/100</f>
        <v>26.200728179562557</v>
      </c>
      <c r="N186" s="324">
        <f>'DATA (Real)'!N182*N$4/100</f>
        <v>25.848956458587022</v>
      </c>
      <c r="O186" s="324">
        <f>'DATA (Real)'!O182*O$4/100</f>
        <v>25.471477692061622</v>
      </c>
      <c r="P186" s="324">
        <f>'DATA (Real)'!P182*P$4/100</f>
        <v>25.06728844515742</v>
      </c>
      <c r="Q186" s="324">
        <f>'DATA (Real)'!Q182*Q$4/100</f>
        <v>25.449280998719711</v>
      </c>
      <c r="R186" s="324">
        <f>'DATA (Real)'!R182*R$4/100</f>
        <v>25.836394383461688</v>
      </c>
      <c r="S186" s="324">
        <f>'DATA (Real)'!S182*S$4/100</f>
        <v>26.22867136979637</v>
      </c>
      <c r="T186" s="324">
        <f>'DATA (Real)'!T182*T$4/100</f>
        <v>26.626154184617253</v>
      </c>
      <c r="U186" s="324">
        <f>'DATA (Real)'!U182*U$4/100</f>
        <v>27.02888446695307</v>
      </c>
      <c r="V186" s="324">
        <f>'DATA (Real)'!V182*V$4/100</f>
        <v>27.436903221950274</v>
      </c>
      <c r="W186" s="324">
        <f>'DATA (Real)'!W182*W$4/100</f>
        <v>27.850250773131201</v>
      </c>
      <c r="X186" s="324">
        <f>'DATA (Real)'!X182*X$4/100</f>
        <v>28.268966712874018</v>
      </c>
      <c r="Y186" s="324">
        <f>'DATA (Real)'!Y182*Y$4/100</f>
        <v>28.69308985105938</v>
      </c>
      <c r="Z186" s="324">
        <f>'DATA (Real)'!Z182*Z$4/100</f>
        <v>29.122658161826944</v>
      </c>
      <c r="AA186" s="324">
        <f>'DATA (Real)'!AA182*AA$4/100</f>
        <v>29.557708728383318</v>
      </c>
      <c r="AB186" s="324">
        <f>'DATA (Real)'!AB182*AB$4/100</f>
        <v>29.998277685801483</v>
      </c>
      <c r="AC186" s="324">
        <f>'DATA (Real)'!AC182*AC$4/100</f>
        <v>30.444400161749844</v>
      </c>
      <c r="AD186" s="324">
        <f>'DATA (Real)'!AD182*AD$4/100</f>
        <v>30.896110215087646</v>
      </c>
      <c r="AE186" s="324">
        <f>'DATA (Real)'!AE182*AE$4/100</f>
        <v>31.35344077226133</v>
      </c>
      <c r="AF186" s="324">
        <f>'DATA (Real)'!AF182*AF$4/100</f>
        <v>31.816423561434853</v>
      </c>
      <c r="AG186" s="324">
        <f>'DATA (Real)'!AG182*AG$4/100</f>
        <v>32.285089044285016</v>
      </c>
      <c r="AH186" s="324">
        <f>'DATA (Real)'!AH182*AH$4/100</f>
        <v>32.759466345390962</v>
      </c>
      <c r="AI186" s="324">
        <f>'DATA (Real)'!AI182*AI$4/100</f>
        <v>33.239583179144908</v>
      </c>
      <c r="AJ186" s="324">
        <f>'DATA (Real)'!AJ182*AJ$4/100</f>
        <v>33.725465774109331</v>
      </c>
      <c r="AK186" s="324">
        <f>'DATA (Real)'!AK182*AK$4/100</f>
        <v>0</v>
      </c>
      <c r="AL186" s="324">
        <f>'DATA (Real)'!AL182*AL$4/100</f>
        <v>0</v>
      </c>
      <c r="AM186" s="324">
        <f>'DATA (Real)'!AM182*AM$4/100</f>
        <v>0</v>
      </c>
      <c r="AN186" s="324">
        <f>'DATA (Real)'!AN182*AN$4/100</f>
        <v>0</v>
      </c>
      <c r="AO186" s="324">
        <f>'DATA (Real)'!AO182*AO$4/100</f>
        <v>0</v>
      </c>
      <c r="AP186" s="324">
        <f>'DATA (Real)'!AP182*AP$4/100</f>
        <v>0</v>
      </c>
      <c r="AQ186" s="324">
        <f>'DATA (Real)'!AQ182*AQ$4/100</f>
        <v>0</v>
      </c>
      <c r="AR186" s="324">
        <f>'DATA (Real)'!AR182*AR$4/100</f>
        <v>0</v>
      </c>
      <c r="AS186" s="324">
        <f>'DATA (Real)'!AS182*AS$4/100</f>
        <v>0</v>
      </c>
      <c r="AT186" s="324">
        <f>'DATA (Real)'!AT182*AT$4/100</f>
        <v>0</v>
      </c>
      <c r="AU186" s="324">
        <f>'DATA (Real)'!AU182*AU$4/100</f>
        <v>0</v>
      </c>
      <c r="AV186" s="324">
        <f>'DATA (Real)'!AV182*AV$4/100</f>
        <v>0</v>
      </c>
      <c r="AW186" s="324">
        <f>'DATA (Real)'!AW182*AW$4/100</f>
        <v>0</v>
      </c>
      <c r="AX186" s="324">
        <f>'DATA (Real)'!AX182*AX$4/100</f>
        <v>0</v>
      </c>
      <c r="AY186" s="324">
        <f>'DATA (Real)'!AY182*AY$4/100</f>
        <v>0</v>
      </c>
      <c r="AZ186" s="324">
        <f>'DATA (Real)'!AZ182*AZ$4/100</f>
        <v>0</v>
      </c>
      <c r="BA186" s="324">
        <f>'DATA (Real)'!BA182*BA$4/100</f>
        <v>0</v>
      </c>
      <c r="BB186" s="324">
        <f>'DATA (Real)'!BB182*BB$4/100</f>
        <v>0</v>
      </c>
      <c r="BC186" s="324">
        <f>'DATA (Real)'!BC182*BC$4/100</f>
        <v>0</v>
      </c>
      <c r="BD186" s="324">
        <f>'DATA (Real)'!BD182*BD$4/100</f>
        <v>0</v>
      </c>
      <c r="BE186" s="324">
        <f>'DATA (Real)'!BE182*BE$4/100</f>
        <v>0</v>
      </c>
      <c r="BF186" s="324">
        <f>'DATA (Real)'!BF182*BF$4/100</f>
        <v>0</v>
      </c>
      <c r="BG186" s="324">
        <f>'DATA (Real)'!BG182*BG$4/100</f>
        <v>0</v>
      </c>
      <c r="BH186" s="324">
        <f>'DATA (Real)'!BH182*BH$4/100</f>
        <v>0</v>
      </c>
      <c r="BI186" s="324">
        <f>'DATA (Real)'!BI182*BI$4/100</f>
        <v>0</v>
      </c>
      <c r="BJ186" s="324">
        <f>'DATA (Real)'!BJ182*BJ$4/100</f>
        <v>0</v>
      </c>
      <c r="BK186" s="324">
        <f>'DATA (Real)'!BK182*BK$4/100</f>
        <v>0</v>
      </c>
      <c r="BL186" s="324">
        <f>'DATA (Real)'!BL182*BL$4/100</f>
        <v>0</v>
      </c>
      <c r="BM186" s="324">
        <f>'DATA (Real)'!BM182*BM$4/100</f>
        <v>0</v>
      </c>
      <c r="BN186" s="324">
        <f>'DATA (Real)'!BN182*BN$4/100</f>
        <v>0</v>
      </c>
      <c r="BO186" s="324">
        <f>'DATA (Real)'!BO182*BO$4/100</f>
        <v>0</v>
      </c>
      <c r="BP186" s="324">
        <f>'DATA (Real)'!BP182*BP$4/100</f>
        <v>0</v>
      </c>
      <c r="BQ186" s="324">
        <f>'DATA (Real)'!BQ182*BQ$4/100</f>
        <v>0</v>
      </c>
      <c r="BR186" s="324">
        <f>'DATA (Real)'!BR182*BR$4/100</f>
        <v>0</v>
      </c>
      <c r="BS186" s="324">
        <f>'DATA (Real)'!BS182*BS$4/100</f>
        <v>0</v>
      </c>
      <c r="BT186" s="324">
        <f>'DATA (Real)'!BT182*BT$4/100</f>
        <v>0</v>
      </c>
      <c r="BU186" s="324">
        <f>'DATA (Real)'!BU182*BU$4/100</f>
        <v>0</v>
      </c>
      <c r="BV186" s="324">
        <f>'DATA (Real)'!BV182*BV$4/100</f>
        <v>0</v>
      </c>
      <c r="BW186" s="324">
        <f>'DATA (Real)'!BW182*BW$4/100</f>
        <v>0</v>
      </c>
      <c r="BX186" s="324">
        <f>'DATA (Real)'!BX182*BX$4/100</f>
        <v>0</v>
      </c>
    </row>
    <row r="187" spans="2:76" hidden="1" outlineLevel="1">
      <c r="B187" s="352" t="s">
        <v>230</v>
      </c>
      <c r="C187" s="352" t="str">
        <f>'DATA (Real)'!C183</f>
        <v>NREL Utility PV - Class 4/LAZARD’S LEVELIZED COST OF ENERGY ANALYSIS—VERSION 15.0</v>
      </c>
      <c r="D187" s="352" t="str">
        <f>'DATA (Real)'!D183</f>
        <v>Fixed Operation and Maintenance Expenses ($/kW-yr)</v>
      </c>
      <c r="E187" s="352" t="str">
        <f>'DATA (Real)'!E183</f>
        <v>Solar Photovoltaic Fixed Array (5 MW AC) + Storage (Solar Only)</v>
      </c>
      <c r="F187" s="314">
        <f>'DATA (Real)'!F183</f>
        <v>28.153925631999996</v>
      </c>
      <c r="G187" s="324">
        <f>'DATA (Real)'!G183*G$4/100</f>
        <v>26.22134044444444</v>
      </c>
      <c r="H187" s="324">
        <f>'DATA (Real)'!H183*H$4/100</f>
        <v>27.279648371656105</v>
      </c>
      <c r="I187" s="324">
        <f>'DATA (Real)'!I183*I$4/100</f>
        <v>27.302374544155597</v>
      </c>
      <c r="J187" s="324">
        <f>'DATA (Real)'!J183*J$4/100</f>
        <v>27.08489739266232</v>
      </c>
      <c r="K187" s="324">
        <f>'DATA (Real)'!K183*K$4/100</f>
        <v>26.813527091801497</v>
      </c>
      <c r="L187" s="324">
        <f>'DATA (Real)'!L183*L$4/100</f>
        <v>26.519118013618591</v>
      </c>
      <c r="M187" s="324">
        <f>'DATA (Real)'!M183*M$4/100</f>
        <v>26.200728179562557</v>
      </c>
      <c r="N187" s="324">
        <f>'DATA (Real)'!N183*N$4/100</f>
        <v>25.848956458587022</v>
      </c>
      <c r="O187" s="324">
        <f>'DATA (Real)'!O183*O$4/100</f>
        <v>25.471477692061622</v>
      </c>
      <c r="P187" s="324">
        <f>'DATA (Real)'!P183*P$4/100</f>
        <v>25.06728844515742</v>
      </c>
      <c r="Q187" s="324">
        <f>'DATA (Real)'!Q183*Q$4/100</f>
        <v>25.449280998719711</v>
      </c>
      <c r="R187" s="324">
        <f>'DATA (Real)'!R183*R$4/100</f>
        <v>25.836394383461688</v>
      </c>
      <c r="S187" s="324">
        <f>'DATA (Real)'!S183*S$4/100</f>
        <v>26.22867136979637</v>
      </c>
      <c r="T187" s="324">
        <f>'DATA (Real)'!T183*T$4/100</f>
        <v>26.626154184617253</v>
      </c>
      <c r="U187" s="324">
        <f>'DATA (Real)'!U183*U$4/100</f>
        <v>27.02888446695307</v>
      </c>
      <c r="V187" s="324">
        <f>'DATA (Real)'!V183*V$4/100</f>
        <v>27.436903221950274</v>
      </c>
      <c r="W187" s="324">
        <f>'DATA (Real)'!W183*W$4/100</f>
        <v>27.850250773131201</v>
      </c>
      <c r="X187" s="324">
        <f>'DATA (Real)'!X183*X$4/100</f>
        <v>28.268966712874018</v>
      </c>
      <c r="Y187" s="324">
        <f>'DATA (Real)'!Y183*Y$4/100</f>
        <v>28.69308985105938</v>
      </c>
      <c r="Z187" s="324">
        <f>'DATA (Real)'!Z183*Z$4/100</f>
        <v>29.122658161826944</v>
      </c>
      <c r="AA187" s="324">
        <f>'DATA (Real)'!AA183*AA$4/100</f>
        <v>29.557708728383318</v>
      </c>
      <c r="AB187" s="324">
        <f>'DATA (Real)'!AB183*AB$4/100</f>
        <v>29.998277685801483</v>
      </c>
      <c r="AC187" s="324">
        <f>'DATA (Real)'!AC183*AC$4/100</f>
        <v>30.444400161749844</v>
      </c>
      <c r="AD187" s="324">
        <f>'DATA (Real)'!AD183*AD$4/100</f>
        <v>30.896110215087646</v>
      </c>
      <c r="AE187" s="324">
        <f>'DATA (Real)'!AE183*AE$4/100</f>
        <v>31.35344077226133</v>
      </c>
      <c r="AF187" s="324">
        <f>'DATA (Real)'!AF183*AF$4/100</f>
        <v>31.816423561434853</v>
      </c>
      <c r="AG187" s="324">
        <f>'DATA (Real)'!AG183*AG$4/100</f>
        <v>32.285089044285016</v>
      </c>
      <c r="AH187" s="324">
        <f>'DATA (Real)'!AH183*AH$4/100</f>
        <v>32.759466345390962</v>
      </c>
      <c r="AI187" s="324">
        <f>'DATA (Real)'!AI183*AI$4/100</f>
        <v>33.239583179144908</v>
      </c>
      <c r="AJ187" s="324">
        <f>'DATA (Real)'!AJ183*AJ$4/100</f>
        <v>33.725465774109331</v>
      </c>
      <c r="AK187" s="324">
        <f>'DATA (Real)'!AK183*AK$4/100</f>
        <v>0</v>
      </c>
      <c r="AL187" s="324">
        <f>'DATA (Real)'!AL183*AL$4/100</f>
        <v>0</v>
      </c>
      <c r="AM187" s="324">
        <f>'DATA (Real)'!AM183*AM$4/100</f>
        <v>0</v>
      </c>
      <c r="AN187" s="324">
        <f>'DATA (Real)'!AN183*AN$4/100</f>
        <v>0</v>
      </c>
      <c r="AO187" s="324">
        <f>'DATA (Real)'!AO183*AO$4/100</f>
        <v>0</v>
      </c>
      <c r="AP187" s="324">
        <f>'DATA (Real)'!AP183*AP$4/100</f>
        <v>0</v>
      </c>
      <c r="AQ187" s="324">
        <f>'DATA (Real)'!AQ183*AQ$4/100</f>
        <v>0</v>
      </c>
      <c r="AR187" s="324">
        <f>'DATA (Real)'!AR183*AR$4/100</f>
        <v>0</v>
      </c>
      <c r="AS187" s="324">
        <f>'DATA (Real)'!AS183*AS$4/100</f>
        <v>0</v>
      </c>
      <c r="AT187" s="324">
        <f>'DATA (Real)'!AT183*AT$4/100</f>
        <v>0</v>
      </c>
      <c r="AU187" s="324">
        <f>'DATA (Real)'!AU183*AU$4/100</f>
        <v>0</v>
      </c>
      <c r="AV187" s="324">
        <f>'DATA (Real)'!AV183*AV$4/100</f>
        <v>0</v>
      </c>
      <c r="AW187" s="324">
        <f>'DATA (Real)'!AW183*AW$4/100</f>
        <v>0</v>
      </c>
      <c r="AX187" s="324">
        <f>'DATA (Real)'!AX183*AX$4/100</f>
        <v>0</v>
      </c>
      <c r="AY187" s="324">
        <f>'DATA (Real)'!AY183*AY$4/100</f>
        <v>0</v>
      </c>
      <c r="AZ187" s="324">
        <f>'DATA (Real)'!AZ183*AZ$4/100</f>
        <v>0</v>
      </c>
      <c r="BA187" s="324">
        <f>'DATA (Real)'!BA183*BA$4/100</f>
        <v>0</v>
      </c>
      <c r="BB187" s="324">
        <f>'DATA (Real)'!BB183*BB$4/100</f>
        <v>0</v>
      </c>
      <c r="BC187" s="324">
        <f>'DATA (Real)'!BC183*BC$4/100</f>
        <v>0</v>
      </c>
      <c r="BD187" s="324">
        <f>'DATA (Real)'!BD183*BD$4/100</f>
        <v>0</v>
      </c>
      <c r="BE187" s="324">
        <f>'DATA (Real)'!BE183*BE$4/100</f>
        <v>0</v>
      </c>
      <c r="BF187" s="324">
        <f>'DATA (Real)'!BF183*BF$4/100</f>
        <v>0</v>
      </c>
      <c r="BG187" s="324">
        <f>'DATA (Real)'!BG183*BG$4/100</f>
        <v>0</v>
      </c>
      <c r="BH187" s="324">
        <f>'DATA (Real)'!BH183*BH$4/100</f>
        <v>0</v>
      </c>
      <c r="BI187" s="324">
        <f>'DATA (Real)'!BI183*BI$4/100</f>
        <v>0</v>
      </c>
      <c r="BJ187" s="324">
        <f>'DATA (Real)'!BJ183*BJ$4/100</f>
        <v>0</v>
      </c>
      <c r="BK187" s="324">
        <f>'DATA (Real)'!BK183*BK$4/100</f>
        <v>0</v>
      </c>
      <c r="BL187" s="324">
        <f>'DATA (Real)'!BL183*BL$4/100</f>
        <v>0</v>
      </c>
      <c r="BM187" s="324">
        <f>'DATA (Real)'!BM183*BM$4/100</f>
        <v>0</v>
      </c>
      <c r="BN187" s="324">
        <f>'DATA (Real)'!BN183*BN$4/100</f>
        <v>0</v>
      </c>
      <c r="BO187" s="324">
        <f>'DATA (Real)'!BO183*BO$4/100</f>
        <v>0</v>
      </c>
      <c r="BP187" s="324">
        <f>'DATA (Real)'!BP183*BP$4/100</f>
        <v>0</v>
      </c>
      <c r="BQ187" s="324">
        <f>'DATA (Real)'!BQ183*BQ$4/100</f>
        <v>0</v>
      </c>
      <c r="BR187" s="324">
        <f>'DATA (Real)'!BR183*BR$4/100</f>
        <v>0</v>
      </c>
      <c r="BS187" s="324">
        <f>'DATA (Real)'!BS183*BS$4/100</f>
        <v>0</v>
      </c>
      <c r="BT187" s="324">
        <f>'DATA (Real)'!BT183*BT$4/100</f>
        <v>0</v>
      </c>
      <c r="BU187" s="324">
        <f>'DATA (Real)'!BU183*BU$4/100</f>
        <v>0</v>
      </c>
      <c r="BV187" s="324">
        <f>'DATA (Real)'!BV183*BV$4/100</f>
        <v>0</v>
      </c>
      <c r="BW187" s="324">
        <f>'DATA (Real)'!BW183*BW$4/100</f>
        <v>0</v>
      </c>
      <c r="BX187" s="324">
        <f>'DATA (Real)'!BX183*BX$4/100</f>
        <v>0</v>
      </c>
    </row>
    <row r="188" spans="2:76" hidden="1" outlineLevel="1">
      <c r="B188" s="352" t="s">
        <v>230</v>
      </c>
      <c r="C188" s="352" t="str">
        <f>'DATA (Real)'!C184</f>
        <v>NREL Utility-Scale Battery Storage - 4Hr/LAZARD’S LEVELIZED COST O F STORAGE ANALYSIS—VERSION 7 . 0</v>
      </c>
      <c r="D188" s="352" t="str">
        <f>'DATA (Real)'!D184</f>
        <v>Fixed Operation and Maintenance Expenses ($/kW-yr)</v>
      </c>
      <c r="E188" s="352" t="str">
        <f>'DATA (Real)'!E184</f>
        <v>Solar Photovoltaic Fixed Array (5 MW AC) + Storage (Battery Only)</v>
      </c>
      <c r="F188" s="314">
        <f>'DATA (Real)'!F184</f>
        <v>22.454047782524334</v>
      </c>
      <c r="G188" s="324">
        <f>'DATA (Real)'!G184*G$4/100</f>
        <v>19.660466852624133</v>
      </c>
      <c r="H188" s="324">
        <f>'DATA (Real)'!H184*H$4/100</f>
        <v>19.579645251052931</v>
      </c>
      <c r="I188" s="324">
        <f>'DATA (Real)'!I184*I$4/100</f>
        <v>18.504468639770685</v>
      </c>
      <c r="J188" s="324">
        <f>'DATA (Real)'!J184*J$4/100</f>
        <v>17.598182250502187</v>
      </c>
      <c r="K188" s="324">
        <f>'DATA (Real)'!K184*K$4/100</f>
        <v>17.023071550139363</v>
      </c>
      <c r="L188" s="324">
        <f>'DATA (Real)'!L184*L$4/100</f>
        <v>16.660934612549823</v>
      </c>
      <c r="M188" s="324">
        <f>'DATA (Real)'!M184*M$4/100</f>
        <v>16.358453420128583</v>
      </c>
      <c r="N188" s="324">
        <f>'DATA (Real)'!N184*N$4/100</f>
        <v>15.942746330637688</v>
      </c>
      <c r="O188" s="324">
        <f>'DATA (Real)'!O184*O$4/100</f>
        <v>15.676976440455599</v>
      </c>
      <c r="P188" s="324">
        <f>'DATA (Real)'!P184*P$4/100</f>
        <v>15.39179638588147</v>
      </c>
      <c r="Q188" s="324">
        <f>'DATA (Real)'!Q184*Q$4/100</f>
        <v>15.541604920126273</v>
      </c>
      <c r="R188" s="324">
        <f>'DATA (Real)'!R184*R$4/100</f>
        <v>15.682564165165136</v>
      </c>
      <c r="S188" s="324">
        <f>'DATA (Real)'!S184*S$4/100</f>
        <v>15.822203480204424</v>
      </c>
      <c r="T188" s="324">
        <f>'DATA (Real)'!T184*T$4/100</f>
        <v>15.960396564049494</v>
      </c>
      <c r="U188" s="324">
        <f>'DATA (Real)'!U184*U$4/100</f>
        <v>16.097012197099275</v>
      </c>
      <c r="V188" s="324">
        <f>'DATA (Real)'!V184*V$4/100</f>
        <v>16.231914086066283</v>
      </c>
      <c r="W188" s="324">
        <f>'DATA (Real)'!W184*W$4/100</f>
        <v>16.364960704244403</v>
      </c>
      <c r="X188" s="324">
        <f>'DATA (Real)'!X184*X$4/100</f>
        <v>16.496005127204775</v>
      </c>
      <c r="Y188" s="324">
        <f>'DATA (Real)'!Y184*Y$4/100</f>
        <v>16.624894863794538</v>
      </c>
      <c r="Z188" s="324">
        <f>'DATA (Real)'!Z184*Z$4/100</f>
        <v>16.75147168231263</v>
      </c>
      <c r="AA188" s="324">
        <f>'DATA (Real)'!AA184*AA$4/100</f>
        <v>16.875571431731473</v>
      </c>
      <c r="AB188" s="324">
        <f>'DATA (Real)'!AB184*AB$4/100</f>
        <v>16.997023857830474</v>
      </c>
      <c r="AC188" s="324">
        <f>'DATA (Real)'!AC184*AC$4/100</f>
        <v>17.115652414104929</v>
      </c>
      <c r="AD188" s="324">
        <f>'DATA (Real)'!AD184*AD$4/100</f>
        <v>17.231274067308274</v>
      </c>
      <c r="AE188" s="324">
        <f>'DATA (Real)'!AE184*AE$4/100</f>
        <v>17.34369909748407</v>
      </c>
      <c r="AF188" s="324">
        <f>'DATA (Real)'!AF184*AF$4/100</f>
        <v>17.452730892339073</v>
      </c>
      <c r="AG188" s="324">
        <f>'DATA (Real)'!AG184*AG$4/100</f>
        <v>17.558165735804465</v>
      </c>
      <c r="AH188" s="324">
        <f>'DATA (Real)'!AH184*AH$4/100</f>
        <v>17.659792590630513</v>
      </c>
      <c r="AI188" s="324">
        <f>'DATA (Real)'!AI184*AI$4/100</f>
        <v>17.757392874852783</v>
      </c>
      <c r="AJ188" s="324">
        <f>'DATA (Real)'!AJ184*AJ$4/100</f>
        <v>17.850740231966885</v>
      </c>
      <c r="AK188" s="324">
        <f>'DATA (Real)'!AK184*AK$4/100</f>
        <v>0</v>
      </c>
      <c r="AL188" s="324">
        <f>'DATA (Real)'!AL184*AL$4/100</f>
        <v>0</v>
      </c>
      <c r="AM188" s="324">
        <f>'DATA (Real)'!AM184*AM$4/100</f>
        <v>0</v>
      </c>
      <c r="AN188" s="324">
        <f>'DATA (Real)'!AN184*AN$4/100</f>
        <v>0</v>
      </c>
      <c r="AO188" s="324">
        <f>'DATA (Real)'!AO184*AO$4/100</f>
        <v>0</v>
      </c>
      <c r="AP188" s="324">
        <f>'DATA (Real)'!AP184*AP$4/100</f>
        <v>0</v>
      </c>
      <c r="AQ188" s="324">
        <f>'DATA (Real)'!AQ184*AQ$4/100</f>
        <v>0</v>
      </c>
      <c r="AR188" s="324">
        <f>'DATA (Real)'!AR184*AR$4/100</f>
        <v>0</v>
      </c>
      <c r="AS188" s="324">
        <f>'DATA (Real)'!AS184*AS$4/100</f>
        <v>0</v>
      </c>
      <c r="AT188" s="324">
        <f>'DATA (Real)'!AT184*AT$4/100</f>
        <v>0</v>
      </c>
      <c r="AU188" s="324">
        <f>'DATA (Real)'!AU184*AU$4/100</f>
        <v>0</v>
      </c>
      <c r="AV188" s="324">
        <f>'DATA (Real)'!AV184*AV$4/100</f>
        <v>0</v>
      </c>
      <c r="AW188" s="324">
        <f>'DATA (Real)'!AW184*AW$4/100</f>
        <v>0</v>
      </c>
      <c r="AX188" s="324">
        <f>'DATA (Real)'!AX184*AX$4/100</f>
        <v>0</v>
      </c>
      <c r="AY188" s="324">
        <f>'DATA (Real)'!AY184*AY$4/100</f>
        <v>0</v>
      </c>
      <c r="AZ188" s="324">
        <f>'DATA (Real)'!AZ184*AZ$4/100</f>
        <v>0</v>
      </c>
      <c r="BA188" s="324">
        <f>'DATA (Real)'!BA184*BA$4/100</f>
        <v>0</v>
      </c>
      <c r="BB188" s="324">
        <f>'DATA (Real)'!BB184*BB$4/100</f>
        <v>0</v>
      </c>
      <c r="BC188" s="324">
        <f>'DATA (Real)'!BC184*BC$4/100</f>
        <v>0</v>
      </c>
      <c r="BD188" s="324">
        <f>'DATA (Real)'!BD184*BD$4/100</f>
        <v>0</v>
      </c>
      <c r="BE188" s="324">
        <f>'DATA (Real)'!BE184*BE$4/100</f>
        <v>0</v>
      </c>
      <c r="BF188" s="324">
        <f>'DATA (Real)'!BF184*BF$4/100</f>
        <v>0</v>
      </c>
      <c r="BG188" s="324">
        <f>'DATA (Real)'!BG184*BG$4/100</f>
        <v>0</v>
      </c>
      <c r="BH188" s="324">
        <f>'DATA (Real)'!BH184*BH$4/100</f>
        <v>0</v>
      </c>
      <c r="BI188" s="324">
        <f>'DATA (Real)'!BI184*BI$4/100</f>
        <v>0</v>
      </c>
      <c r="BJ188" s="324">
        <f>'DATA (Real)'!BJ184*BJ$4/100</f>
        <v>0</v>
      </c>
      <c r="BK188" s="324">
        <f>'DATA (Real)'!BK184*BK$4/100</f>
        <v>0</v>
      </c>
      <c r="BL188" s="324">
        <f>'DATA (Real)'!BL184*BL$4/100</f>
        <v>0</v>
      </c>
      <c r="BM188" s="324">
        <f>'DATA (Real)'!BM184*BM$4/100</f>
        <v>0</v>
      </c>
      <c r="BN188" s="324">
        <f>'DATA (Real)'!BN184*BN$4/100</f>
        <v>0</v>
      </c>
      <c r="BO188" s="324">
        <f>'DATA (Real)'!BO184*BO$4/100</f>
        <v>0</v>
      </c>
      <c r="BP188" s="324">
        <f>'DATA (Real)'!BP184*BP$4/100</f>
        <v>0</v>
      </c>
      <c r="BQ188" s="324">
        <f>'DATA (Real)'!BQ184*BQ$4/100</f>
        <v>0</v>
      </c>
      <c r="BR188" s="324">
        <f>'DATA (Real)'!BR184*BR$4/100</f>
        <v>0</v>
      </c>
      <c r="BS188" s="324">
        <f>'DATA (Real)'!BS184*BS$4/100</f>
        <v>0</v>
      </c>
      <c r="BT188" s="324">
        <f>'DATA (Real)'!BT184*BT$4/100</f>
        <v>0</v>
      </c>
      <c r="BU188" s="324">
        <f>'DATA (Real)'!BU184*BU$4/100</f>
        <v>0</v>
      </c>
      <c r="BV188" s="324">
        <f>'DATA (Real)'!BV184*BV$4/100</f>
        <v>0</v>
      </c>
      <c r="BW188" s="324">
        <f>'DATA (Real)'!BW184*BW$4/100</f>
        <v>0</v>
      </c>
      <c r="BX188" s="324">
        <f>'DATA (Real)'!BX184*BX$4/100</f>
        <v>0</v>
      </c>
    </row>
    <row r="189" spans="2:76" hidden="1" outlineLevel="1">
      <c r="B189" s="352" t="s">
        <v>230</v>
      </c>
      <c r="C189" s="352" t="str">
        <f>'DATA (Real)'!C185</f>
        <v>NREL Utility PV - Class 4</v>
      </c>
      <c r="D189" s="352" t="str">
        <f>'DATA (Real)'!D185</f>
        <v>Fixed Operation and Maintenance Expenses ($/kW-yr)</v>
      </c>
      <c r="E189" s="352" t="str">
        <f>'DATA (Real)'!E185</f>
        <v>Solar Photovoltaic w/Single Axis Tracking (100 MW AC)</v>
      </c>
      <c r="F189" s="314">
        <f>'DATA (Real)'!F185</f>
        <v>22.623690239999998</v>
      </c>
      <c r="G189" s="324">
        <f>'DATA (Real)'!G185*G$4/100</f>
        <v>21.070719999999998</v>
      </c>
      <c r="H189" s="324">
        <f>'DATA (Real)'!H185*H$4/100</f>
        <v>21.921146012937939</v>
      </c>
      <c r="I189" s="324">
        <f>'DATA (Real)'!I185*I$4/100</f>
        <v>21.939408115839321</v>
      </c>
      <c r="J189" s="324">
        <f>'DATA (Real)'!J185*J$4/100</f>
        <v>21.76464969053222</v>
      </c>
      <c r="K189" s="324">
        <f>'DATA (Real)'!K185*K$4/100</f>
        <v>21.546584270197631</v>
      </c>
      <c r="L189" s="324">
        <f>'DATA (Real)'!L185*L$4/100</f>
        <v>21.310005546657795</v>
      </c>
      <c r="M189" s="324">
        <f>'DATA (Real)'!M185*M$4/100</f>
        <v>21.054156572862766</v>
      </c>
      <c r="N189" s="324">
        <f>'DATA (Real)'!N185*N$4/100</f>
        <v>20.771482868507427</v>
      </c>
      <c r="O189" s="324">
        <f>'DATA (Real)'!O185*O$4/100</f>
        <v>20.468151716835234</v>
      </c>
      <c r="P189" s="324">
        <f>'DATA (Real)'!P185*P$4/100</f>
        <v>20.143356786287214</v>
      </c>
      <c r="Q189" s="324">
        <f>'DATA (Real)'!Q185*Q$4/100</f>
        <v>20.450315088256907</v>
      </c>
      <c r="R189" s="324">
        <f>'DATA (Real)'!R185*R$4/100</f>
        <v>20.761388343853145</v>
      </c>
      <c r="S189" s="324">
        <f>'DATA (Real)'!S185*S$4/100</f>
        <v>21.076610922157798</v>
      </c>
      <c r="T189" s="324">
        <f>'DATA (Real)'!T185*T$4/100</f>
        <v>21.396016755496007</v>
      </c>
      <c r="U189" s="324">
        <f>'DATA (Real)'!U185*U$4/100</f>
        <v>21.719639303801571</v>
      </c>
      <c r="V189" s="324">
        <f>'DATA (Real)'!V185*V$4/100</f>
        <v>22.047511517638615</v>
      </c>
      <c r="W189" s="324">
        <f>'DATA (Real)'!W185*W$4/100</f>
        <v>22.379665799837571</v>
      </c>
      <c r="X189" s="324">
        <f>'DATA (Real)'!X185*X$4/100</f>
        <v>22.716133965702333</v>
      </c>
      <c r="Y189" s="324">
        <f>'DATA (Real)'!Y185*Y$4/100</f>
        <v>23.056947201744148</v>
      </c>
      <c r="Z189" s="324">
        <f>'DATA (Real)'!Z185*Z$4/100</f>
        <v>23.402136022896652</v>
      </c>
      <c r="AA189" s="324">
        <f>'DATA (Real)'!AA185*AA$4/100</f>
        <v>23.751730228165169</v>
      </c>
      <c r="AB189" s="324">
        <f>'DATA (Real)'!AB185*AB$4/100</f>
        <v>24.105758854661904</v>
      </c>
      <c r="AC189" s="324">
        <f>'DATA (Real)'!AC185*AC$4/100</f>
        <v>24.464250129977554</v>
      </c>
      <c r="AD189" s="324">
        <f>'DATA (Real)'!AD185*AD$4/100</f>
        <v>24.827231422838285</v>
      </c>
      <c r="AE189" s="324">
        <f>'DATA (Real)'!AE185*AE$4/100</f>
        <v>25.194729191995712</v>
      </c>
      <c r="AF189" s="324">
        <f>'DATA (Real)'!AF185*AF$4/100</f>
        <v>25.566768933295865</v>
      </c>
      <c r="AG189" s="324">
        <f>'DATA (Real)'!AG185*AG$4/100</f>
        <v>25.943375124871885</v>
      </c>
      <c r="AH189" s="324">
        <f>'DATA (Real)'!AH185*AH$4/100</f>
        <v>26.324571170403452</v>
      </c>
      <c r="AI189" s="324">
        <f>'DATA (Real)'!AI185*AI$4/100</f>
        <v>26.710379340384304</v>
      </c>
      <c r="AJ189" s="324">
        <f>'DATA (Real)'!AJ185*AJ$4/100</f>
        <v>27.10082071133785</v>
      </c>
      <c r="AK189" s="324">
        <f>'DATA (Real)'!AK185*AK$4/100</f>
        <v>0</v>
      </c>
      <c r="AL189" s="324">
        <f>'DATA (Real)'!AL185*AL$4/100</f>
        <v>0</v>
      </c>
      <c r="AM189" s="324">
        <f>'DATA (Real)'!AM185*AM$4/100</f>
        <v>0</v>
      </c>
      <c r="AN189" s="324">
        <f>'DATA (Real)'!AN185*AN$4/100</f>
        <v>0</v>
      </c>
      <c r="AO189" s="324">
        <f>'DATA (Real)'!AO185*AO$4/100</f>
        <v>0</v>
      </c>
      <c r="AP189" s="324">
        <f>'DATA (Real)'!AP185*AP$4/100</f>
        <v>0</v>
      </c>
      <c r="AQ189" s="324">
        <f>'DATA (Real)'!AQ185*AQ$4/100</f>
        <v>0</v>
      </c>
      <c r="AR189" s="324">
        <f>'DATA (Real)'!AR185*AR$4/100</f>
        <v>0</v>
      </c>
      <c r="AS189" s="324">
        <f>'DATA (Real)'!AS185*AS$4/100</f>
        <v>0</v>
      </c>
      <c r="AT189" s="324">
        <f>'DATA (Real)'!AT185*AT$4/100</f>
        <v>0</v>
      </c>
      <c r="AU189" s="324">
        <f>'DATA (Real)'!AU185*AU$4/100</f>
        <v>0</v>
      </c>
      <c r="AV189" s="324">
        <f>'DATA (Real)'!AV185*AV$4/100</f>
        <v>0</v>
      </c>
      <c r="AW189" s="324">
        <f>'DATA (Real)'!AW185*AW$4/100</f>
        <v>0</v>
      </c>
      <c r="AX189" s="324">
        <f>'DATA (Real)'!AX185*AX$4/100</f>
        <v>0</v>
      </c>
      <c r="AY189" s="324">
        <f>'DATA (Real)'!AY185*AY$4/100</f>
        <v>0</v>
      </c>
      <c r="AZ189" s="324">
        <f>'DATA (Real)'!AZ185*AZ$4/100</f>
        <v>0</v>
      </c>
      <c r="BA189" s="324">
        <f>'DATA (Real)'!BA185*BA$4/100</f>
        <v>0</v>
      </c>
      <c r="BB189" s="324">
        <f>'DATA (Real)'!BB185*BB$4/100</f>
        <v>0</v>
      </c>
      <c r="BC189" s="324">
        <f>'DATA (Real)'!BC185*BC$4/100</f>
        <v>0</v>
      </c>
      <c r="BD189" s="324">
        <f>'DATA (Real)'!BD185*BD$4/100</f>
        <v>0</v>
      </c>
      <c r="BE189" s="324">
        <f>'DATA (Real)'!BE185*BE$4/100</f>
        <v>0</v>
      </c>
      <c r="BF189" s="324">
        <f>'DATA (Real)'!BF185*BF$4/100</f>
        <v>0</v>
      </c>
      <c r="BG189" s="324">
        <f>'DATA (Real)'!BG185*BG$4/100</f>
        <v>0</v>
      </c>
      <c r="BH189" s="324">
        <f>'DATA (Real)'!BH185*BH$4/100</f>
        <v>0</v>
      </c>
      <c r="BI189" s="324">
        <f>'DATA (Real)'!BI185*BI$4/100</f>
        <v>0</v>
      </c>
      <c r="BJ189" s="324">
        <f>'DATA (Real)'!BJ185*BJ$4/100</f>
        <v>0</v>
      </c>
      <c r="BK189" s="324">
        <f>'DATA (Real)'!BK185*BK$4/100</f>
        <v>0</v>
      </c>
      <c r="BL189" s="324">
        <f>'DATA (Real)'!BL185*BL$4/100</f>
        <v>0</v>
      </c>
      <c r="BM189" s="324">
        <f>'DATA (Real)'!BM185*BM$4/100</f>
        <v>0</v>
      </c>
      <c r="BN189" s="324">
        <f>'DATA (Real)'!BN185*BN$4/100</f>
        <v>0</v>
      </c>
      <c r="BO189" s="324">
        <f>'DATA (Real)'!BO185*BO$4/100</f>
        <v>0</v>
      </c>
      <c r="BP189" s="324">
        <f>'DATA (Real)'!BP185*BP$4/100</f>
        <v>0</v>
      </c>
      <c r="BQ189" s="324">
        <f>'DATA (Real)'!BQ185*BQ$4/100</f>
        <v>0</v>
      </c>
      <c r="BR189" s="324">
        <f>'DATA (Real)'!BR185*BR$4/100</f>
        <v>0</v>
      </c>
      <c r="BS189" s="324">
        <f>'DATA (Real)'!BS185*BS$4/100</f>
        <v>0</v>
      </c>
      <c r="BT189" s="324">
        <f>'DATA (Real)'!BT185*BT$4/100</f>
        <v>0</v>
      </c>
      <c r="BU189" s="324">
        <f>'DATA (Real)'!BU185*BU$4/100</f>
        <v>0</v>
      </c>
      <c r="BV189" s="324">
        <f>'DATA (Real)'!BV185*BV$4/100</f>
        <v>0</v>
      </c>
      <c r="BW189" s="324">
        <f>'DATA (Real)'!BW185*BW$4/100</f>
        <v>0</v>
      </c>
      <c r="BX189" s="324">
        <f>'DATA (Real)'!BX185*BX$4/100</f>
        <v>0</v>
      </c>
    </row>
    <row r="190" spans="2:76" hidden="1" outlineLevel="1">
      <c r="B190" s="352" t="s">
        <v>230</v>
      </c>
      <c r="C190" s="352" t="str">
        <f>'DATA (Real)'!C186</f>
        <v>NREL Utility PV - Class 5</v>
      </c>
      <c r="D190" s="352" t="str">
        <f>'DATA (Real)'!D186</f>
        <v>Fixed Operation and Maintenance Expenses ($/kW-yr)</v>
      </c>
      <c r="E190" s="352" t="str">
        <f>'DATA (Real)'!E186</f>
        <v>Southern NW Solar Photovoltaic w/ Single Axis Tracking (100 MW AC)</v>
      </c>
      <c r="F190" s="314">
        <f>'DATA (Real)'!F186</f>
        <v>22.623690239999998</v>
      </c>
      <c r="G190" s="324">
        <f>'DATA (Real)'!G186*G$4/100</f>
        <v>21.070719999999998</v>
      </c>
      <c r="H190" s="324">
        <f>'DATA (Real)'!H186*H$4/100</f>
        <v>21.921146012937939</v>
      </c>
      <c r="I190" s="324">
        <f>'DATA (Real)'!I186*I$4/100</f>
        <v>21.939408115839321</v>
      </c>
      <c r="J190" s="324">
        <f>'DATA (Real)'!J186*J$4/100</f>
        <v>21.76464969053222</v>
      </c>
      <c r="K190" s="324">
        <f>'DATA (Real)'!K186*K$4/100</f>
        <v>21.546584270197631</v>
      </c>
      <c r="L190" s="324">
        <f>'DATA (Real)'!L186*L$4/100</f>
        <v>21.310005546657795</v>
      </c>
      <c r="M190" s="324">
        <f>'DATA (Real)'!M186*M$4/100</f>
        <v>21.054156572862766</v>
      </c>
      <c r="N190" s="324">
        <f>'DATA (Real)'!N186*N$4/100</f>
        <v>20.771482868507427</v>
      </c>
      <c r="O190" s="324">
        <f>'DATA (Real)'!O186*O$4/100</f>
        <v>20.468151716835234</v>
      </c>
      <c r="P190" s="324">
        <f>'DATA (Real)'!P186*P$4/100</f>
        <v>20.143356786287214</v>
      </c>
      <c r="Q190" s="324">
        <f>'DATA (Real)'!Q186*Q$4/100</f>
        <v>20.450315088256907</v>
      </c>
      <c r="R190" s="324">
        <f>'DATA (Real)'!R186*R$4/100</f>
        <v>20.761388343853145</v>
      </c>
      <c r="S190" s="324">
        <f>'DATA (Real)'!S186*S$4/100</f>
        <v>21.076610922157798</v>
      </c>
      <c r="T190" s="324">
        <f>'DATA (Real)'!T186*T$4/100</f>
        <v>21.396016755496007</v>
      </c>
      <c r="U190" s="324">
        <f>'DATA (Real)'!U186*U$4/100</f>
        <v>21.719639303801571</v>
      </c>
      <c r="V190" s="324">
        <f>'DATA (Real)'!V186*V$4/100</f>
        <v>22.047511517638615</v>
      </c>
      <c r="W190" s="324">
        <f>'DATA (Real)'!W186*W$4/100</f>
        <v>22.379665799837571</v>
      </c>
      <c r="X190" s="324">
        <f>'DATA (Real)'!X186*X$4/100</f>
        <v>22.716133965702333</v>
      </c>
      <c r="Y190" s="324">
        <f>'DATA (Real)'!Y186*Y$4/100</f>
        <v>23.056947201744148</v>
      </c>
      <c r="Z190" s="324">
        <f>'DATA (Real)'!Z186*Z$4/100</f>
        <v>23.402136022896652</v>
      </c>
      <c r="AA190" s="324">
        <f>'DATA (Real)'!AA186*AA$4/100</f>
        <v>23.751730228165169</v>
      </c>
      <c r="AB190" s="324">
        <f>'DATA (Real)'!AB186*AB$4/100</f>
        <v>24.105758854661904</v>
      </c>
      <c r="AC190" s="324">
        <f>'DATA (Real)'!AC186*AC$4/100</f>
        <v>24.464250129977554</v>
      </c>
      <c r="AD190" s="324">
        <f>'DATA (Real)'!AD186*AD$4/100</f>
        <v>24.827231422838285</v>
      </c>
      <c r="AE190" s="324">
        <f>'DATA (Real)'!AE186*AE$4/100</f>
        <v>25.194729191995712</v>
      </c>
      <c r="AF190" s="324">
        <f>'DATA (Real)'!AF186*AF$4/100</f>
        <v>25.566768933295865</v>
      </c>
      <c r="AG190" s="324">
        <f>'DATA (Real)'!AG186*AG$4/100</f>
        <v>25.943375124871885</v>
      </c>
      <c r="AH190" s="324">
        <f>'DATA (Real)'!AH186*AH$4/100</f>
        <v>26.324571170403452</v>
      </c>
      <c r="AI190" s="324">
        <f>'DATA (Real)'!AI186*AI$4/100</f>
        <v>26.710379340384304</v>
      </c>
      <c r="AJ190" s="324">
        <f>'DATA (Real)'!AJ186*AJ$4/100</f>
        <v>27.10082071133785</v>
      </c>
      <c r="AK190" s="324">
        <f>'DATA (Real)'!AK186*AK$4/100</f>
        <v>0</v>
      </c>
      <c r="AL190" s="324">
        <f>'DATA (Real)'!AL186*AL$4/100</f>
        <v>0</v>
      </c>
      <c r="AM190" s="324">
        <f>'DATA (Real)'!AM186*AM$4/100</f>
        <v>0</v>
      </c>
      <c r="AN190" s="324">
        <f>'DATA (Real)'!AN186*AN$4/100</f>
        <v>0</v>
      </c>
      <c r="AO190" s="324">
        <f>'DATA (Real)'!AO186*AO$4/100</f>
        <v>0</v>
      </c>
      <c r="AP190" s="324">
        <f>'DATA (Real)'!AP186*AP$4/100</f>
        <v>0</v>
      </c>
      <c r="AQ190" s="324">
        <f>'DATA (Real)'!AQ186*AQ$4/100</f>
        <v>0</v>
      </c>
      <c r="AR190" s="324">
        <f>'DATA (Real)'!AR186*AR$4/100</f>
        <v>0</v>
      </c>
      <c r="AS190" s="324">
        <f>'DATA (Real)'!AS186*AS$4/100</f>
        <v>0</v>
      </c>
      <c r="AT190" s="324">
        <f>'DATA (Real)'!AT186*AT$4/100</f>
        <v>0</v>
      </c>
      <c r="AU190" s="324">
        <f>'DATA (Real)'!AU186*AU$4/100</f>
        <v>0</v>
      </c>
      <c r="AV190" s="324">
        <f>'DATA (Real)'!AV186*AV$4/100</f>
        <v>0</v>
      </c>
      <c r="AW190" s="324">
        <f>'DATA (Real)'!AW186*AW$4/100</f>
        <v>0</v>
      </c>
      <c r="AX190" s="324">
        <f>'DATA (Real)'!AX186*AX$4/100</f>
        <v>0</v>
      </c>
      <c r="AY190" s="324">
        <f>'DATA (Real)'!AY186*AY$4/100</f>
        <v>0</v>
      </c>
      <c r="AZ190" s="324">
        <f>'DATA (Real)'!AZ186*AZ$4/100</f>
        <v>0</v>
      </c>
      <c r="BA190" s="324">
        <f>'DATA (Real)'!BA186*BA$4/100</f>
        <v>0</v>
      </c>
      <c r="BB190" s="324">
        <f>'DATA (Real)'!BB186*BB$4/100</f>
        <v>0</v>
      </c>
      <c r="BC190" s="324">
        <f>'DATA (Real)'!BC186*BC$4/100</f>
        <v>0</v>
      </c>
      <c r="BD190" s="324">
        <f>'DATA (Real)'!BD186*BD$4/100</f>
        <v>0</v>
      </c>
      <c r="BE190" s="324">
        <f>'DATA (Real)'!BE186*BE$4/100</f>
        <v>0</v>
      </c>
      <c r="BF190" s="324">
        <f>'DATA (Real)'!BF186*BF$4/100</f>
        <v>0</v>
      </c>
      <c r="BG190" s="324">
        <f>'DATA (Real)'!BG186*BG$4/100</f>
        <v>0</v>
      </c>
      <c r="BH190" s="324">
        <f>'DATA (Real)'!BH186*BH$4/100</f>
        <v>0</v>
      </c>
      <c r="BI190" s="324">
        <f>'DATA (Real)'!BI186*BI$4/100</f>
        <v>0</v>
      </c>
      <c r="BJ190" s="324">
        <f>'DATA (Real)'!BJ186*BJ$4/100</f>
        <v>0</v>
      </c>
      <c r="BK190" s="324">
        <f>'DATA (Real)'!BK186*BK$4/100</f>
        <v>0</v>
      </c>
      <c r="BL190" s="324">
        <f>'DATA (Real)'!BL186*BL$4/100</f>
        <v>0</v>
      </c>
      <c r="BM190" s="324">
        <f>'DATA (Real)'!BM186*BM$4/100</f>
        <v>0</v>
      </c>
      <c r="BN190" s="324">
        <f>'DATA (Real)'!BN186*BN$4/100</f>
        <v>0</v>
      </c>
      <c r="BO190" s="324">
        <f>'DATA (Real)'!BO186*BO$4/100</f>
        <v>0</v>
      </c>
      <c r="BP190" s="324">
        <f>'DATA (Real)'!BP186*BP$4/100</f>
        <v>0</v>
      </c>
      <c r="BQ190" s="324">
        <f>'DATA (Real)'!BQ186*BQ$4/100</f>
        <v>0</v>
      </c>
      <c r="BR190" s="324">
        <f>'DATA (Real)'!BR186*BR$4/100</f>
        <v>0</v>
      </c>
      <c r="BS190" s="324">
        <f>'DATA (Real)'!BS186*BS$4/100</f>
        <v>0</v>
      </c>
      <c r="BT190" s="324">
        <f>'DATA (Real)'!BT186*BT$4/100</f>
        <v>0</v>
      </c>
      <c r="BU190" s="324">
        <f>'DATA (Real)'!BU186*BU$4/100</f>
        <v>0</v>
      </c>
      <c r="BV190" s="324">
        <f>'DATA (Real)'!BV186*BV$4/100</f>
        <v>0</v>
      </c>
      <c r="BW190" s="324">
        <f>'DATA (Real)'!BW186*BW$4/100</f>
        <v>0</v>
      </c>
      <c r="BX190" s="324">
        <f>'DATA (Real)'!BX186*BX$4/100</f>
        <v>0</v>
      </c>
    </row>
    <row r="191" spans="2:76" hidden="1" outlineLevel="1">
      <c r="B191" s="352" t="s">
        <v>230</v>
      </c>
      <c r="C191" s="352" t="str">
        <f>'DATA (Real)'!C187</f>
        <v>NREL Utility PV - Class 4</v>
      </c>
      <c r="D191" s="352" t="str">
        <f>'DATA (Real)'!D187</f>
        <v>Fixed Operation and Maintenance Expenses ($/kW-yr)</v>
      </c>
      <c r="E191" s="352" t="str">
        <f>'DATA (Real)'!E187</f>
        <v>100 MW/400 MWh Lithium-ion w/Solar (Solar Only)</v>
      </c>
      <c r="F191" s="314">
        <f>'DATA (Real)'!F187</f>
        <v>22.623690239999998</v>
      </c>
      <c r="G191" s="324">
        <f>'DATA (Real)'!G187*G$4/100</f>
        <v>21.070719999999998</v>
      </c>
      <c r="H191" s="324">
        <f>'DATA (Real)'!H187*H$4/100</f>
        <v>21.921146012937939</v>
      </c>
      <c r="I191" s="324">
        <f>'DATA (Real)'!I187*I$4/100</f>
        <v>21.939408115839321</v>
      </c>
      <c r="J191" s="324">
        <f>'DATA (Real)'!J187*J$4/100</f>
        <v>21.76464969053222</v>
      </c>
      <c r="K191" s="324">
        <f>'DATA (Real)'!K187*K$4/100</f>
        <v>21.546584270197631</v>
      </c>
      <c r="L191" s="324">
        <f>'DATA (Real)'!L187*L$4/100</f>
        <v>21.310005546657795</v>
      </c>
      <c r="M191" s="324">
        <f>'DATA (Real)'!M187*M$4/100</f>
        <v>21.054156572862766</v>
      </c>
      <c r="N191" s="324">
        <f>'DATA (Real)'!N187*N$4/100</f>
        <v>20.771482868507427</v>
      </c>
      <c r="O191" s="324">
        <f>'DATA (Real)'!O187*O$4/100</f>
        <v>20.468151716835234</v>
      </c>
      <c r="P191" s="324">
        <f>'DATA (Real)'!P187*P$4/100</f>
        <v>20.143356786287214</v>
      </c>
      <c r="Q191" s="324">
        <f>'DATA (Real)'!Q187*Q$4/100</f>
        <v>20.450315088256907</v>
      </c>
      <c r="R191" s="324">
        <f>'DATA (Real)'!R187*R$4/100</f>
        <v>20.761388343853145</v>
      </c>
      <c r="S191" s="324">
        <f>'DATA (Real)'!S187*S$4/100</f>
        <v>21.076610922157798</v>
      </c>
      <c r="T191" s="324">
        <f>'DATA (Real)'!T187*T$4/100</f>
        <v>21.396016755496007</v>
      </c>
      <c r="U191" s="324">
        <f>'DATA (Real)'!U187*U$4/100</f>
        <v>21.719639303801571</v>
      </c>
      <c r="V191" s="324">
        <f>'DATA (Real)'!V187*V$4/100</f>
        <v>22.047511517638615</v>
      </c>
      <c r="W191" s="324">
        <f>'DATA (Real)'!W187*W$4/100</f>
        <v>22.379665799837571</v>
      </c>
      <c r="X191" s="324">
        <f>'DATA (Real)'!X187*X$4/100</f>
        <v>22.716133965702333</v>
      </c>
      <c r="Y191" s="324">
        <f>'DATA (Real)'!Y187*Y$4/100</f>
        <v>23.056947201744148</v>
      </c>
      <c r="Z191" s="324">
        <f>'DATA (Real)'!Z187*Z$4/100</f>
        <v>23.402136022896652</v>
      </c>
      <c r="AA191" s="324">
        <f>'DATA (Real)'!AA187*AA$4/100</f>
        <v>23.751730228165169</v>
      </c>
      <c r="AB191" s="324">
        <f>'DATA (Real)'!AB187*AB$4/100</f>
        <v>24.105758854661904</v>
      </c>
      <c r="AC191" s="324">
        <f>'DATA (Real)'!AC187*AC$4/100</f>
        <v>24.464250129977554</v>
      </c>
      <c r="AD191" s="324">
        <f>'DATA (Real)'!AD187*AD$4/100</f>
        <v>24.827231422838285</v>
      </c>
      <c r="AE191" s="324">
        <f>'DATA (Real)'!AE187*AE$4/100</f>
        <v>25.194729191995712</v>
      </c>
      <c r="AF191" s="324">
        <f>'DATA (Real)'!AF187*AF$4/100</f>
        <v>25.566768933295865</v>
      </c>
      <c r="AG191" s="324">
        <f>'DATA (Real)'!AG187*AG$4/100</f>
        <v>25.943375124871885</v>
      </c>
      <c r="AH191" s="324">
        <f>'DATA (Real)'!AH187*AH$4/100</f>
        <v>26.324571170403452</v>
      </c>
      <c r="AI191" s="324">
        <f>'DATA (Real)'!AI187*AI$4/100</f>
        <v>26.710379340384304</v>
      </c>
      <c r="AJ191" s="324">
        <f>'DATA (Real)'!AJ187*AJ$4/100</f>
        <v>27.10082071133785</v>
      </c>
      <c r="AK191" s="324">
        <f>'DATA (Real)'!AK187*AK$4/100</f>
        <v>0</v>
      </c>
      <c r="AL191" s="324">
        <f>'DATA (Real)'!AL187*AL$4/100</f>
        <v>0</v>
      </c>
      <c r="AM191" s="324">
        <f>'DATA (Real)'!AM187*AM$4/100</f>
        <v>0</v>
      </c>
      <c r="AN191" s="324">
        <f>'DATA (Real)'!AN187*AN$4/100</f>
        <v>0</v>
      </c>
      <c r="AO191" s="324">
        <f>'DATA (Real)'!AO187*AO$4/100</f>
        <v>0</v>
      </c>
      <c r="AP191" s="324">
        <f>'DATA (Real)'!AP187*AP$4/100</f>
        <v>0</v>
      </c>
      <c r="AQ191" s="324">
        <f>'DATA (Real)'!AQ187*AQ$4/100</f>
        <v>0</v>
      </c>
      <c r="AR191" s="324">
        <f>'DATA (Real)'!AR187*AR$4/100</f>
        <v>0</v>
      </c>
      <c r="AS191" s="324">
        <f>'DATA (Real)'!AS187*AS$4/100</f>
        <v>0</v>
      </c>
      <c r="AT191" s="324">
        <f>'DATA (Real)'!AT187*AT$4/100</f>
        <v>0</v>
      </c>
      <c r="AU191" s="324">
        <f>'DATA (Real)'!AU187*AU$4/100</f>
        <v>0</v>
      </c>
      <c r="AV191" s="324">
        <f>'DATA (Real)'!AV187*AV$4/100</f>
        <v>0</v>
      </c>
      <c r="AW191" s="324">
        <f>'DATA (Real)'!AW187*AW$4/100</f>
        <v>0</v>
      </c>
      <c r="AX191" s="324">
        <f>'DATA (Real)'!AX187*AX$4/100</f>
        <v>0</v>
      </c>
      <c r="AY191" s="324">
        <f>'DATA (Real)'!AY187*AY$4/100</f>
        <v>0</v>
      </c>
      <c r="AZ191" s="324">
        <f>'DATA (Real)'!AZ187*AZ$4/100</f>
        <v>0</v>
      </c>
      <c r="BA191" s="324">
        <f>'DATA (Real)'!BA187*BA$4/100</f>
        <v>0</v>
      </c>
      <c r="BB191" s="324">
        <f>'DATA (Real)'!BB187*BB$4/100</f>
        <v>0</v>
      </c>
      <c r="BC191" s="324">
        <f>'DATA (Real)'!BC187*BC$4/100</f>
        <v>0</v>
      </c>
      <c r="BD191" s="324">
        <f>'DATA (Real)'!BD187*BD$4/100</f>
        <v>0</v>
      </c>
      <c r="BE191" s="324">
        <f>'DATA (Real)'!BE187*BE$4/100</f>
        <v>0</v>
      </c>
      <c r="BF191" s="324">
        <f>'DATA (Real)'!BF187*BF$4/100</f>
        <v>0</v>
      </c>
      <c r="BG191" s="324">
        <f>'DATA (Real)'!BG187*BG$4/100</f>
        <v>0</v>
      </c>
      <c r="BH191" s="324">
        <f>'DATA (Real)'!BH187*BH$4/100</f>
        <v>0</v>
      </c>
      <c r="BI191" s="324">
        <f>'DATA (Real)'!BI187*BI$4/100</f>
        <v>0</v>
      </c>
      <c r="BJ191" s="324">
        <f>'DATA (Real)'!BJ187*BJ$4/100</f>
        <v>0</v>
      </c>
      <c r="BK191" s="324">
        <f>'DATA (Real)'!BK187*BK$4/100</f>
        <v>0</v>
      </c>
      <c r="BL191" s="324">
        <f>'DATA (Real)'!BL187*BL$4/100</f>
        <v>0</v>
      </c>
      <c r="BM191" s="324">
        <f>'DATA (Real)'!BM187*BM$4/100</f>
        <v>0</v>
      </c>
      <c r="BN191" s="324">
        <f>'DATA (Real)'!BN187*BN$4/100</f>
        <v>0</v>
      </c>
      <c r="BO191" s="324">
        <f>'DATA (Real)'!BO187*BO$4/100</f>
        <v>0</v>
      </c>
      <c r="BP191" s="324">
        <f>'DATA (Real)'!BP187*BP$4/100</f>
        <v>0</v>
      </c>
      <c r="BQ191" s="324">
        <f>'DATA (Real)'!BQ187*BQ$4/100</f>
        <v>0</v>
      </c>
      <c r="BR191" s="324">
        <f>'DATA (Real)'!BR187*BR$4/100</f>
        <v>0</v>
      </c>
      <c r="BS191" s="324">
        <f>'DATA (Real)'!BS187*BS$4/100</f>
        <v>0</v>
      </c>
      <c r="BT191" s="324">
        <f>'DATA (Real)'!BT187*BT$4/100</f>
        <v>0</v>
      </c>
      <c r="BU191" s="324">
        <f>'DATA (Real)'!BU187*BU$4/100</f>
        <v>0</v>
      </c>
      <c r="BV191" s="324">
        <f>'DATA (Real)'!BV187*BV$4/100</f>
        <v>0</v>
      </c>
      <c r="BW191" s="324">
        <f>'DATA (Real)'!BW187*BW$4/100</f>
        <v>0</v>
      </c>
      <c r="BX191" s="324">
        <f>'DATA (Real)'!BX187*BX$4/100</f>
        <v>0</v>
      </c>
    </row>
    <row r="192" spans="2:76" hidden="1" outlineLevel="1">
      <c r="B192" s="352" t="s">
        <v>230</v>
      </c>
      <c r="C192" s="352" t="str">
        <f>'DATA (Real)'!C188</f>
        <v>NREL Utility-Scale Battery Storage - 4Hr</v>
      </c>
      <c r="D192" s="352" t="str">
        <f>'DATA (Real)'!D188</f>
        <v>Fixed Operation and Maintenance Expenses ($/kW-yr)</v>
      </c>
      <c r="E192" s="352" t="str">
        <f>'DATA (Real)'!E188</f>
        <v>100 MW/400 MWh Lithium-ion w/Solar (Battery Only)</v>
      </c>
      <c r="F192" s="314">
        <f>'DATA (Real)'!F188</f>
        <v>43.180861120239101</v>
      </c>
      <c r="G192" s="324">
        <f>'DATA (Real)'!G188*G$4/100</f>
        <v>37.808590101200252</v>
      </c>
      <c r="H192" s="324">
        <f>'DATA (Real)'!H188*H$4/100</f>
        <v>37.653163944332555</v>
      </c>
      <c r="I192" s="324">
        <f>'DATA (Real)'!I188*I$4/100</f>
        <v>35.585516614943629</v>
      </c>
      <c r="J192" s="324">
        <f>'DATA (Real)'!J188*J$4/100</f>
        <v>33.842658174042668</v>
      </c>
      <c r="K192" s="324">
        <f>'DATA (Real)'!K188*K$4/100</f>
        <v>32.736676057960317</v>
      </c>
      <c r="L192" s="324">
        <f>'DATA (Real)'!L188*L$4/100</f>
        <v>32.040258870288127</v>
      </c>
      <c r="M192" s="324">
        <f>'DATA (Real)'!M188*M$4/100</f>
        <v>31.458564269478043</v>
      </c>
      <c r="N192" s="324">
        <f>'DATA (Real)'!N188*N$4/100</f>
        <v>30.65912755891863</v>
      </c>
      <c r="O192" s="324">
        <f>'DATA (Real)'!O188*O$4/100</f>
        <v>30.148031616260763</v>
      </c>
      <c r="P192" s="324">
        <f>'DATA (Real)'!P188*P$4/100</f>
        <v>29.599608434387438</v>
      </c>
      <c r="Q192" s="324">
        <f>'DATA (Real)'!Q188*Q$4/100</f>
        <v>29.887701769473598</v>
      </c>
      <c r="R192" s="324">
        <f>'DATA (Real)'!R188*R$4/100</f>
        <v>30.158777240702182</v>
      </c>
      <c r="S192" s="324">
        <f>'DATA (Real)'!S188*S$4/100</f>
        <v>30.427314385008504</v>
      </c>
      <c r="T192" s="324">
        <f>'DATA (Real)'!T188*T$4/100</f>
        <v>30.693070315479794</v>
      </c>
      <c r="U192" s="324">
        <f>'DATA (Real)'!U188*U$4/100</f>
        <v>30.955792686729374</v>
      </c>
      <c r="V192" s="324">
        <f>'DATA (Real)'!V188*V$4/100</f>
        <v>31.215219396281313</v>
      </c>
      <c r="W192" s="324">
        <f>'DATA (Real)'!W188*W$4/100</f>
        <v>31.471078277393087</v>
      </c>
      <c r="X192" s="324">
        <f>'DATA (Real)'!X188*X$4/100</f>
        <v>31.723086783086099</v>
      </c>
      <c r="Y192" s="324">
        <f>'DATA (Real)'!Y188*Y$4/100</f>
        <v>31.970951661143346</v>
      </c>
      <c r="Z192" s="324">
        <f>'DATA (Real)'!Z188*Z$4/100</f>
        <v>32.214368619831973</v>
      </c>
      <c r="AA192" s="324">
        <f>'DATA (Real)'!AA188*AA$4/100</f>
        <v>32.453021984098989</v>
      </c>
      <c r="AB192" s="324">
        <f>'DATA (Real)'!AB188*AB$4/100</f>
        <v>32.686584341981671</v>
      </c>
      <c r="AC192" s="324">
        <f>'DATA (Real)'!AC188*AC$4/100</f>
        <v>32.914716180971013</v>
      </c>
      <c r="AD192" s="324">
        <f>'DATA (Real)'!AD188*AD$4/100</f>
        <v>33.13706551405437</v>
      </c>
      <c r="AE192" s="324">
        <f>'DATA (Real)'!AE188*AE$4/100</f>
        <v>33.353267495161674</v>
      </c>
      <c r="AF192" s="324">
        <f>'DATA (Real)'!AF188*AF$4/100</f>
        <v>33.562944023728981</v>
      </c>
      <c r="AG192" s="324">
        <f>'DATA (Real)'!AG188*AG$4/100</f>
        <v>33.765703338085501</v>
      </c>
      <c r="AH192" s="324">
        <f>'DATA (Real)'!AH188*AH$4/100</f>
        <v>33.961139597366376</v>
      </c>
      <c r="AI192" s="324">
        <f>'DATA (Real)'!AI188*AI$4/100</f>
        <v>34.148832451639962</v>
      </c>
      <c r="AJ192" s="324">
        <f>'DATA (Real)'!AJ188*AJ$4/100</f>
        <v>34.328346599936317</v>
      </c>
      <c r="AK192" s="324">
        <f>'DATA (Real)'!AK188*AK$4/100</f>
        <v>0</v>
      </c>
      <c r="AL192" s="324">
        <f>'DATA (Real)'!AL188*AL$4/100</f>
        <v>0</v>
      </c>
      <c r="AM192" s="324">
        <f>'DATA (Real)'!AM188*AM$4/100</f>
        <v>0</v>
      </c>
      <c r="AN192" s="324">
        <f>'DATA (Real)'!AN188*AN$4/100</f>
        <v>0</v>
      </c>
      <c r="AO192" s="324">
        <f>'DATA (Real)'!AO188*AO$4/100</f>
        <v>0</v>
      </c>
      <c r="AP192" s="324">
        <f>'DATA (Real)'!AP188*AP$4/100</f>
        <v>0</v>
      </c>
      <c r="AQ192" s="324">
        <f>'DATA (Real)'!AQ188*AQ$4/100</f>
        <v>0</v>
      </c>
      <c r="AR192" s="324">
        <f>'DATA (Real)'!AR188*AR$4/100</f>
        <v>0</v>
      </c>
      <c r="AS192" s="324">
        <f>'DATA (Real)'!AS188*AS$4/100</f>
        <v>0</v>
      </c>
      <c r="AT192" s="324">
        <f>'DATA (Real)'!AT188*AT$4/100</f>
        <v>0</v>
      </c>
      <c r="AU192" s="324">
        <f>'DATA (Real)'!AU188*AU$4/100</f>
        <v>0</v>
      </c>
      <c r="AV192" s="324">
        <f>'DATA (Real)'!AV188*AV$4/100</f>
        <v>0</v>
      </c>
      <c r="AW192" s="324">
        <f>'DATA (Real)'!AW188*AW$4/100</f>
        <v>0</v>
      </c>
      <c r="AX192" s="324">
        <f>'DATA (Real)'!AX188*AX$4/100</f>
        <v>0</v>
      </c>
      <c r="AY192" s="324">
        <f>'DATA (Real)'!AY188*AY$4/100</f>
        <v>0</v>
      </c>
      <c r="AZ192" s="324">
        <f>'DATA (Real)'!AZ188*AZ$4/100</f>
        <v>0</v>
      </c>
      <c r="BA192" s="324">
        <f>'DATA (Real)'!BA188*BA$4/100</f>
        <v>0</v>
      </c>
      <c r="BB192" s="324">
        <f>'DATA (Real)'!BB188*BB$4/100</f>
        <v>0</v>
      </c>
      <c r="BC192" s="324">
        <f>'DATA (Real)'!BC188*BC$4/100</f>
        <v>0</v>
      </c>
      <c r="BD192" s="324">
        <f>'DATA (Real)'!BD188*BD$4/100</f>
        <v>0</v>
      </c>
      <c r="BE192" s="324">
        <f>'DATA (Real)'!BE188*BE$4/100</f>
        <v>0</v>
      </c>
      <c r="BF192" s="324">
        <f>'DATA (Real)'!BF188*BF$4/100</f>
        <v>0</v>
      </c>
      <c r="BG192" s="324">
        <f>'DATA (Real)'!BG188*BG$4/100</f>
        <v>0</v>
      </c>
      <c r="BH192" s="324">
        <f>'DATA (Real)'!BH188*BH$4/100</f>
        <v>0</v>
      </c>
      <c r="BI192" s="324">
        <f>'DATA (Real)'!BI188*BI$4/100</f>
        <v>0</v>
      </c>
      <c r="BJ192" s="324">
        <f>'DATA (Real)'!BJ188*BJ$4/100</f>
        <v>0</v>
      </c>
      <c r="BK192" s="324">
        <f>'DATA (Real)'!BK188*BK$4/100</f>
        <v>0</v>
      </c>
      <c r="BL192" s="324">
        <f>'DATA (Real)'!BL188*BL$4/100</f>
        <v>0</v>
      </c>
      <c r="BM192" s="324">
        <f>'DATA (Real)'!BM188*BM$4/100</f>
        <v>0</v>
      </c>
      <c r="BN192" s="324">
        <f>'DATA (Real)'!BN188*BN$4/100</f>
        <v>0</v>
      </c>
      <c r="BO192" s="324">
        <f>'DATA (Real)'!BO188*BO$4/100</f>
        <v>0</v>
      </c>
      <c r="BP192" s="324">
        <f>'DATA (Real)'!BP188*BP$4/100</f>
        <v>0</v>
      </c>
      <c r="BQ192" s="324">
        <f>'DATA (Real)'!BQ188*BQ$4/100</f>
        <v>0</v>
      </c>
      <c r="BR192" s="324">
        <f>'DATA (Real)'!BR188*BR$4/100</f>
        <v>0</v>
      </c>
      <c r="BS192" s="324">
        <f>'DATA (Real)'!BS188*BS$4/100</f>
        <v>0</v>
      </c>
      <c r="BT192" s="324">
        <f>'DATA (Real)'!BT188*BT$4/100</f>
        <v>0</v>
      </c>
      <c r="BU192" s="324">
        <f>'DATA (Real)'!BU188*BU$4/100</f>
        <v>0</v>
      </c>
      <c r="BV192" s="324">
        <f>'DATA (Real)'!BV188*BV$4/100</f>
        <v>0</v>
      </c>
      <c r="BW192" s="324">
        <f>'DATA (Real)'!BW188*BW$4/100</f>
        <v>0</v>
      </c>
      <c r="BX192" s="324">
        <f>'DATA (Real)'!BX188*BX$4/100</f>
        <v>0</v>
      </c>
    </row>
    <row r="193" spans="2:76" hidden="1" outlineLevel="1">
      <c r="B193" s="352" t="s">
        <v>230</v>
      </c>
      <c r="C193" s="352" t="str">
        <f>'DATA (Real)'!C189</f>
        <v>NREL Utility PV - Class 4</v>
      </c>
      <c r="D193" s="352" t="str">
        <f>'DATA (Real)'!D189</f>
        <v>Fixed Operation and Maintenance Expenses ($/kW-yr)</v>
      </c>
      <c r="E193" s="352" t="str">
        <f>'DATA (Real)'!E189</f>
        <v>100 MW/200 MWh Lithium-ion w/Solar (Solar Only)</v>
      </c>
      <c r="F193" s="314">
        <f>'DATA (Real)'!F189</f>
        <v>22.623690239999998</v>
      </c>
      <c r="G193" s="324">
        <f>'DATA (Real)'!G189*G$4/100</f>
        <v>21.070719999999998</v>
      </c>
      <c r="H193" s="324">
        <f>'DATA (Real)'!H189*H$4/100</f>
        <v>21.921146012937939</v>
      </c>
      <c r="I193" s="324">
        <f>'DATA (Real)'!I189*I$4/100</f>
        <v>21.939408115839321</v>
      </c>
      <c r="J193" s="324">
        <f>'DATA (Real)'!J189*J$4/100</f>
        <v>21.76464969053222</v>
      </c>
      <c r="K193" s="324">
        <f>'DATA (Real)'!K189*K$4/100</f>
        <v>21.546584270197631</v>
      </c>
      <c r="L193" s="324">
        <f>'DATA (Real)'!L189*L$4/100</f>
        <v>21.310005546657795</v>
      </c>
      <c r="M193" s="324">
        <f>'DATA (Real)'!M189*M$4/100</f>
        <v>21.054156572862766</v>
      </c>
      <c r="N193" s="324">
        <f>'DATA (Real)'!N189*N$4/100</f>
        <v>20.771482868507427</v>
      </c>
      <c r="O193" s="324">
        <f>'DATA (Real)'!O189*O$4/100</f>
        <v>20.468151716835234</v>
      </c>
      <c r="P193" s="324">
        <f>'DATA (Real)'!P189*P$4/100</f>
        <v>20.143356786287214</v>
      </c>
      <c r="Q193" s="324">
        <f>'DATA (Real)'!Q189*Q$4/100</f>
        <v>20.450315088256907</v>
      </c>
      <c r="R193" s="324">
        <f>'DATA (Real)'!R189*R$4/100</f>
        <v>20.761388343853145</v>
      </c>
      <c r="S193" s="324">
        <f>'DATA (Real)'!S189*S$4/100</f>
        <v>21.076610922157798</v>
      </c>
      <c r="T193" s="324">
        <f>'DATA (Real)'!T189*T$4/100</f>
        <v>21.396016755496007</v>
      </c>
      <c r="U193" s="324">
        <f>'DATA (Real)'!U189*U$4/100</f>
        <v>21.719639303801571</v>
      </c>
      <c r="V193" s="324">
        <f>'DATA (Real)'!V189*V$4/100</f>
        <v>22.047511517638615</v>
      </c>
      <c r="W193" s="324">
        <f>'DATA (Real)'!W189*W$4/100</f>
        <v>22.379665799837571</v>
      </c>
      <c r="X193" s="324">
        <f>'DATA (Real)'!X189*X$4/100</f>
        <v>22.716133965702333</v>
      </c>
      <c r="Y193" s="324">
        <f>'DATA (Real)'!Y189*Y$4/100</f>
        <v>23.056947201744148</v>
      </c>
      <c r="Z193" s="324">
        <f>'DATA (Real)'!Z189*Z$4/100</f>
        <v>23.402136022896652</v>
      </c>
      <c r="AA193" s="324">
        <f>'DATA (Real)'!AA189*AA$4/100</f>
        <v>23.751730228165169</v>
      </c>
      <c r="AB193" s="324">
        <f>'DATA (Real)'!AB189*AB$4/100</f>
        <v>24.105758854661904</v>
      </c>
      <c r="AC193" s="324">
        <f>'DATA (Real)'!AC189*AC$4/100</f>
        <v>24.464250129977554</v>
      </c>
      <c r="AD193" s="324">
        <f>'DATA (Real)'!AD189*AD$4/100</f>
        <v>24.827231422838285</v>
      </c>
      <c r="AE193" s="324">
        <f>'DATA (Real)'!AE189*AE$4/100</f>
        <v>25.194729191995712</v>
      </c>
      <c r="AF193" s="324">
        <f>'DATA (Real)'!AF189*AF$4/100</f>
        <v>25.566768933295865</v>
      </c>
      <c r="AG193" s="324">
        <f>'DATA (Real)'!AG189*AG$4/100</f>
        <v>25.943375124871885</v>
      </c>
      <c r="AH193" s="324">
        <f>'DATA (Real)'!AH189*AH$4/100</f>
        <v>26.324571170403452</v>
      </c>
      <c r="AI193" s="324">
        <f>'DATA (Real)'!AI189*AI$4/100</f>
        <v>26.710379340384304</v>
      </c>
      <c r="AJ193" s="324">
        <f>'DATA (Real)'!AJ189*AJ$4/100</f>
        <v>27.10082071133785</v>
      </c>
      <c r="AK193" s="324">
        <f>'DATA (Real)'!AK189*AK$4/100</f>
        <v>0</v>
      </c>
      <c r="AL193" s="324">
        <f>'DATA (Real)'!AL189*AL$4/100</f>
        <v>0</v>
      </c>
      <c r="AM193" s="324">
        <f>'DATA (Real)'!AM189*AM$4/100</f>
        <v>0</v>
      </c>
      <c r="AN193" s="324">
        <f>'DATA (Real)'!AN189*AN$4/100</f>
        <v>0</v>
      </c>
      <c r="AO193" s="324">
        <f>'DATA (Real)'!AO189*AO$4/100</f>
        <v>0</v>
      </c>
      <c r="AP193" s="324">
        <f>'DATA (Real)'!AP189*AP$4/100</f>
        <v>0</v>
      </c>
      <c r="AQ193" s="324">
        <f>'DATA (Real)'!AQ189*AQ$4/100</f>
        <v>0</v>
      </c>
      <c r="AR193" s="324">
        <f>'DATA (Real)'!AR189*AR$4/100</f>
        <v>0</v>
      </c>
      <c r="AS193" s="324">
        <f>'DATA (Real)'!AS189*AS$4/100</f>
        <v>0</v>
      </c>
      <c r="AT193" s="324">
        <f>'DATA (Real)'!AT189*AT$4/100</f>
        <v>0</v>
      </c>
      <c r="AU193" s="324">
        <f>'DATA (Real)'!AU189*AU$4/100</f>
        <v>0</v>
      </c>
      <c r="AV193" s="324">
        <f>'DATA (Real)'!AV189*AV$4/100</f>
        <v>0</v>
      </c>
      <c r="AW193" s="324">
        <f>'DATA (Real)'!AW189*AW$4/100</f>
        <v>0</v>
      </c>
      <c r="AX193" s="324">
        <f>'DATA (Real)'!AX189*AX$4/100</f>
        <v>0</v>
      </c>
      <c r="AY193" s="324">
        <f>'DATA (Real)'!AY189*AY$4/100</f>
        <v>0</v>
      </c>
      <c r="AZ193" s="324">
        <f>'DATA (Real)'!AZ189*AZ$4/100</f>
        <v>0</v>
      </c>
      <c r="BA193" s="324">
        <f>'DATA (Real)'!BA189*BA$4/100</f>
        <v>0</v>
      </c>
      <c r="BB193" s="324">
        <f>'DATA (Real)'!BB189*BB$4/100</f>
        <v>0</v>
      </c>
      <c r="BC193" s="324">
        <f>'DATA (Real)'!BC189*BC$4/100</f>
        <v>0</v>
      </c>
      <c r="BD193" s="324">
        <f>'DATA (Real)'!BD189*BD$4/100</f>
        <v>0</v>
      </c>
      <c r="BE193" s="324">
        <f>'DATA (Real)'!BE189*BE$4/100</f>
        <v>0</v>
      </c>
      <c r="BF193" s="324">
        <f>'DATA (Real)'!BF189*BF$4/100</f>
        <v>0</v>
      </c>
      <c r="BG193" s="324">
        <f>'DATA (Real)'!BG189*BG$4/100</f>
        <v>0</v>
      </c>
      <c r="BH193" s="324">
        <f>'DATA (Real)'!BH189*BH$4/100</f>
        <v>0</v>
      </c>
      <c r="BI193" s="324">
        <f>'DATA (Real)'!BI189*BI$4/100</f>
        <v>0</v>
      </c>
      <c r="BJ193" s="324">
        <f>'DATA (Real)'!BJ189*BJ$4/100</f>
        <v>0</v>
      </c>
      <c r="BK193" s="324">
        <f>'DATA (Real)'!BK189*BK$4/100</f>
        <v>0</v>
      </c>
      <c r="BL193" s="324">
        <f>'DATA (Real)'!BL189*BL$4/100</f>
        <v>0</v>
      </c>
      <c r="BM193" s="324">
        <f>'DATA (Real)'!BM189*BM$4/100</f>
        <v>0</v>
      </c>
      <c r="BN193" s="324">
        <f>'DATA (Real)'!BN189*BN$4/100</f>
        <v>0</v>
      </c>
      <c r="BO193" s="324">
        <f>'DATA (Real)'!BO189*BO$4/100</f>
        <v>0</v>
      </c>
      <c r="BP193" s="324">
        <f>'DATA (Real)'!BP189*BP$4/100</f>
        <v>0</v>
      </c>
      <c r="BQ193" s="324">
        <f>'DATA (Real)'!BQ189*BQ$4/100</f>
        <v>0</v>
      </c>
      <c r="BR193" s="324">
        <f>'DATA (Real)'!BR189*BR$4/100</f>
        <v>0</v>
      </c>
      <c r="BS193" s="324">
        <f>'DATA (Real)'!BS189*BS$4/100</f>
        <v>0</v>
      </c>
      <c r="BT193" s="324">
        <f>'DATA (Real)'!BT189*BT$4/100</f>
        <v>0</v>
      </c>
      <c r="BU193" s="324">
        <f>'DATA (Real)'!BU189*BU$4/100</f>
        <v>0</v>
      </c>
      <c r="BV193" s="324">
        <f>'DATA (Real)'!BV189*BV$4/100</f>
        <v>0</v>
      </c>
      <c r="BW193" s="324">
        <f>'DATA (Real)'!BW189*BW$4/100</f>
        <v>0</v>
      </c>
      <c r="BX193" s="324">
        <f>'DATA (Real)'!BX189*BX$4/100</f>
        <v>0</v>
      </c>
    </row>
    <row r="194" spans="2:76" hidden="1" outlineLevel="1">
      <c r="B194" s="352" t="s">
        <v>230</v>
      </c>
      <c r="C194" s="352" t="str">
        <f>'DATA (Real)'!C190</f>
        <v>NREL Utility-Scale Battery Storage - 2Hr</v>
      </c>
      <c r="D194" s="352" t="str">
        <f>'DATA (Real)'!D190</f>
        <v>Fixed Operation and Maintenance Expenses ($/kW-yr)</v>
      </c>
      <c r="E194" s="352" t="str">
        <f>'DATA (Real)'!E190</f>
        <v>100 MW/200 MWh Lithium-ion w/Solar (Battery Only)</v>
      </c>
      <c r="F194" s="314">
        <f>'DATA (Real)'!F190</f>
        <v>24.708042503923892</v>
      </c>
      <c r="G194" s="324">
        <f>'DATA (Real)'!G190*G$4/100</f>
        <v>21.956734485823716</v>
      </c>
      <c r="H194" s="324">
        <f>'DATA (Real)'!H190*H$4/100</f>
        <v>22.157514048827462</v>
      </c>
      <c r="I194" s="324">
        <f>'DATA (Real)'!I190*I$4/100</f>
        <v>21.141933716771501</v>
      </c>
      <c r="J194" s="324">
        <f>'DATA (Real)'!J190*J$4/100</f>
        <v>20.526368897581882</v>
      </c>
      <c r="K194" s="324">
        <f>'DATA (Real)'!K190*K$4/100</f>
        <v>19.93058122064258</v>
      </c>
      <c r="L194" s="324">
        <f>'DATA (Real)'!L190*L$4/100</f>
        <v>19.773789026235381</v>
      </c>
      <c r="M194" s="324">
        <f>'DATA (Real)'!M190*M$4/100</f>
        <v>19.641629092723054</v>
      </c>
      <c r="N194" s="324">
        <f>'DATA (Real)'!N190*N$4/100</f>
        <v>19.321622323620556</v>
      </c>
      <c r="O194" s="324">
        <f>'DATA (Real)'!O190*O$4/100</f>
        <v>19.316770636469258</v>
      </c>
      <c r="P194" s="324">
        <f>'DATA (Real)'!P190*P$4/100</f>
        <v>19.173638127072316</v>
      </c>
      <c r="Q194" s="324">
        <f>'DATA (Real)'!Q190*Q$4/100</f>
        <v>19.362263200377761</v>
      </c>
      <c r="R194" s="324">
        <f>'DATA (Real)'!R190*R$4/100</f>
        <v>19.537901012717093</v>
      </c>
      <c r="S194" s="324">
        <f>'DATA (Real)'!S190*S$4/100</f>
        <v>19.711895553410411</v>
      </c>
      <c r="T194" s="324">
        <f>'DATA (Real)'!T190*T$4/100</f>
        <v>19.884089509804081</v>
      </c>
      <c r="U194" s="324">
        <f>'DATA (Real)'!U190*U$4/100</f>
        <v>20.054319442831179</v>
      </c>
      <c r="V194" s="324">
        <f>'DATA (Real)'!V190*V$4/100</f>
        <v>20.222415593588732</v>
      </c>
      <c r="W194" s="324">
        <f>'DATA (Real)'!W190*W$4/100</f>
        <v>20.388201684369275</v>
      </c>
      <c r="X194" s="324">
        <f>'DATA (Real)'!X190*X$4/100</f>
        <v>20.551494713996917</v>
      </c>
      <c r="Y194" s="324">
        <f>'DATA (Real)'!Y190*Y$4/100</f>
        <v>20.712104747312942</v>
      </c>
      <c r="Z194" s="324">
        <f>'DATA (Real)'!Z190*Z$4/100</f>
        <v>20.869834698653243</v>
      </c>
      <c r="AA194" s="324">
        <f>'DATA (Real)'!AA190*AA$4/100</f>
        <v>21.02448010915483</v>
      </c>
      <c r="AB194" s="324">
        <f>'DATA (Real)'!AB190*AB$4/100</f>
        <v>21.175828917724338</v>
      </c>
      <c r="AC194" s="324">
        <f>'DATA (Real)'!AC190*AC$4/100</f>
        <v>21.323661225498107</v>
      </c>
      <c r="AD194" s="324">
        <f>'DATA (Real)'!AD190*AD$4/100</f>
        <v>21.467749053617755</v>
      </c>
      <c r="AE194" s="324">
        <f>'DATA (Real)'!AE190*AE$4/100</f>
        <v>21.607856094141471</v>
      </c>
      <c r="AF194" s="324">
        <f>'DATA (Real)'!AF190*AF$4/100</f>
        <v>21.743737453906288</v>
      </c>
      <c r="AG194" s="324">
        <f>'DATA (Real)'!AG190*AG$4/100</f>
        <v>21.875139391151183</v>
      </c>
      <c r="AH194" s="324">
        <f>'DATA (Real)'!AH190*AH$4/100</f>
        <v>22.001799044707223</v>
      </c>
      <c r="AI194" s="324">
        <f>'DATA (Real)'!AI190*AI$4/100</f>
        <v>22.123444155554406</v>
      </c>
      <c r="AJ194" s="324">
        <f>'DATA (Real)'!AJ190*AJ$4/100</f>
        <v>22.244765447682038</v>
      </c>
      <c r="AK194" s="324">
        <f>'DATA (Real)'!AK190*AK$4/100</f>
        <v>0</v>
      </c>
      <c r="AL194" s="324">
        <f>'DATA (Real)'!AL190*AL$4/100</f>
        <v>0</v>
      </c>
      <c r="AM194" s="324">
        <f>'DATA (Real)'!AM190*AM$4/100</f>
        <v>0</v>
      </c>
      <c r="AN194" s="324">
        <f>'DATA (Real)'!AN190*AN$4/100</f>
        <v>0</v>
      </c>
      <c r="AO194" s="324">
        <f>'DATA (Real)'!AO190*AO$4/100</f>
        <v>0</v>
      </c>
      <c r="AP194" s="324">
        <f>'DATA (Real)'!AP190*AP$4/100</f>
        <v>0</v>
      </c>
      <c r="AQ194" s="324">
        <f>'DATA (Real)'!AQ190*AQ$4/100</f>
        <v>0</v>
      </c>
      <c r="AR194" s="324">
        <f>'DATA (Real)'!AR190*AR$4/100</f>
        <v>0</v>
      </c>
      <c r="AS194" s="324">
        <f>'DATA (Real)'!AS190*AS$4/100</f>
        <v>0</v>
      </c>
      <c r="AT194" s="324">
        <f>'DATA (Real)'!AT190*AT$4/100</f>
        <v>0</v>
      </c>
      <c r="AU194" s="324">
        <f>'DATA (Real)'!AU190*AU$4/100</f>
        <v>0</v>
      </c>
      <c r="AV194" s="324">
        <f>'DATA (Real)'!AV190*AV$4/100</f>
        <v>0</v>
      </c>
      <c r="AW194" s="324">
        <f>'DATA (Real)'!AW190*AW$4/100</f>
        <v>0</v>
      </c>
      <c r="AX194" s="324">
        <f>'DATA (Real)'!AX190*AX$4/100</f>
        <v>0</v>
      </c>
      <c r="AY194" s="324">
        <f>'DATA (Real)'!AY190*AY$4/100</f>
        <v>0</v>
      </c>
      <c r="AZ194" s="324">
        <f>'DATA (Real)'!AZ190*AZ$4/100</f>
        <v>0</v>
      </c>
      <c r="BA194" s="324">
        <f>'DATA (Real)'!BA190*BA$4/100</f>
        <v>0</v>
      </c>
      <c r="BB194" s="324">
        <f>'DATA (Real)'!BB190*BB$4/100</f>
        <v>0</v>
      </c>
      <c r="BC194" s="324">
        <f>'DATA (Real)'!BC190*BC$4/100</f>
        <v>0</v>
      </c>
      <c r="BD194" s="324">
        <f>'DATA (Real)'!BD190*BD$4/100</f>
        <v>0</v>
      </c>
      <c r="BE194" s="324">
        <f>'DATA (Real)'!BE190*BE$4/100</f>
        <v>0</v>
      </c>
      <c r="BF194" s="324">
        <f>'DATA (Real)'!BF190*BF$4/100</f>
        <v>0</v>
      </c>
      <c r="BG194" s="324">
        <f>'DATA (Real)'!BG190*BG$4/100</f>
        <v>0</v>
      </c>
      <c r="BH194" s="324">
        <f>'DATA (Real)'!BH190*BH$4/100</f>
        <v>0</v>
      </c>
      <c r="BI194" s="324">
        <f>'DATA (Real)'!BI190*BI$4/100</f>
        <v>0</v>
      </c>
      <c r="BJ194" s="324">
        <f>'DATA (Real)'!BJ190*BJ$4/100</f>
        <v>0</v>
      </c>
      <c r="BK194" s="324">
        <f>'DATA (Real)'!BK190*BK$4/100</f>
        <v>0</v>
      </c>
      <c r="BL194" s="324">
        <f>'DATA (Real)'!BL190*BL$4/100</f>
        <v>0</v>
      </c>
      <c r="BM194" s="324">
        <f>'DATA (Real)'!BM190*BM$4/100</f>
        <v>0</v>
      </c>
      <c r="BN194" s="324">
        <f>'DATA (Real)'!BN190*BN$4/100</f>
        <v>0</v>
      </c>
      <c r="BO194" s="324">
        <f>'DATA (Real)'!BO190*BO$4/100</f>
        <v>0</v>
      </c>
      <c r="BP194" s="324">
        <f>'DATA (Real)'!BP190*BP$4/100</f>
        <v>0</v>
      </c>
      <c r="BQ194" s="324">
        <f>'DATA (Real)'!BQ190*BQ$4/100</f>
        <v>0</v>
      </c>
      <c r="BR194" s="324">
        <f>'DATA (Real)'!BR190*BR$4/100</f>
        <v>0</v>
      </c>
      <c r="BS194" s="324">
        <f>'DATA (Real)'!BS190*BS$4/100</f>
        <v>0</v>
      </c>
      <c r="BT194" s="324">
        <f>'DATA (Real)'!BT190*BT$4/100</f>
        <v>0</v>
      </c>
      <c r="BU194" s="324">
        <f>'DATA (Real)'!BU190*BU$4/100</f>
        <v>0</v>
      </c>
      <c r="BV194" s="324">
        <f>'DATA (Real)'!BV190*BV$4/100</f>
        <v>0</v>
      </c>
      <c r="BW194" s="324">
        <f>'DATA (Real)'!BW190*BW$4/100</f>
        <v>0</v>
      </c>
      <c r="BX194" s="324">
        <f>'DATA (Real)'!BX190*BX$4/100</f>
        <v>0</v>
      </c>
    </row>
    <row r="195" spans="2:76" hidden="1" outlineLevel="1">
      <c r="B195" s="352" t="s">
        <v>230</v>
      </c>
      <c r="C195" s="352" t="str">
        <f>'DATA (Real)'!C191</f>
        <v>NREL Utility PV - Class 4</v>
      </c>
      <c r="D195" s="352" t="str">
        <f>'DATA (Real)'!D191</f>
        <v>Fixed Operation and Maintenance Expenses ($/kW-yr)</v>
      </c>
      <c r="E195" s="352" t="str">
        <f>'DATA (Real)'!E191</f>
        <v>50 MW/200 MWh Lithium-ion w/Solar (Solar Only)</v>
      </c>
      <c r="F195" s="314">
        <f>'DATA (Real)'!F191</f>
        <v>22.623690239999998</v>
      </c>
      <c r="G195" s="324">
        <f>'DATA (Real)'!G191*G$4/100</f>
        <v>21.070719999999998</v>
      </c>
      <c r="H195" s="324">
        <f>'DATA (Real)'!H191*H$4/100</f>
        <v>21.921146012937939</v>
      </c>
      <c r="I195" s="324">
        <f>'DATA (Real)'!I191*I$4/100</f>
        <v>21.939408115839321</v>
      </c>
      <c r="J195" s="324">
        <f>'DATA (Real)'!J191*J$4/100</f>
        <v>21.76464969053222</v>
      </c>
      <c r="K195" s="324">
        <f>'DATA (Real)'!K191*K$4/100</f>
        <v>21.546584270197631</v>
      </c>
      <c r="L195" s="324">
        <f>'DATA (Real)'!L191*L$4/100</f>
        <v>21.310005546657795</v>
      </c>
      <c r="M195" s="324">
        <f>'DATA (Real)'!M191*M$4/100</f>
        <v>21.054156572862766</v>
      </c>
      <c r="N195" s="324">
        <f>'DATA (Real)'!N191*N$4/100</f>
        <v>20.771482868507427</v>
      </c>
      <c r="O195" s="324">
        <f>'DATA (Real)'!O191*O$4/100</f>
        <v>20.468151716835234</v>
      </c>
      <c r="P195" s="324">
        <f>'DATA (Real)'!P191*P$4/100</f>
        <v>20.143356786287214</v>
      </c>
      <c r="Q195" s="324">
        <f>'DATA (Real)'!Q191*Q$4/100</f>
        <v>20.450315088256907</v>
      </c>
      <c r="R195" s="324">
        <f>'DATA (Real)'!R191*R$4/100</f>
        <v>20.761388343853145</v>
      </c>
      <c r="S195" s="324">
        <f>'DATA (Real)'!S191*S$4/100</f>
        <v>21.076610922157798</v>
      </c>
      <c r="T195" s="324">
        <f>'DATA (Real)'!T191*T$4/100</f>
        <v>21.396016755496007</v>
      </c>
      <c r="U195" s="324">
        <f>'DATA (Real)'!U191*U$4/100</f>
        <v>21.719639303801571</v>
      </c>
      <c r="V195" s="324">
        <f>'DATA (Real)'!V191*V$4/100</f>
        <v>22.047511517638615</v>
      </c>
      <c r="W195" s="324">
        <f>'DATA (Real)'!W191*W$4/100</f>
        <v>22.379665799837571</v>
      </c>
      <c r="X195" s="324">
        <f>'DATA (Real)'!X191*X$4/100</f>
        <v>22.716133965702333</v>
      </c>
      <c r="Y195" s="324">
        <f>'DATA (Real)'!Y191*Y$4/100</f>
        <v>23.056947201744148</v>
      </c>
      <c r="Z195" s="324">
        <f>'DATA (Real)'!Z191*Z$4/100</f>
        <v>23.402136022896652</v>
      </c>
      <c r="AA195" s="324">
        <f>'DATA (Real)'!AA191*AA$4/100</f>
        <v>23.751730228165169</v>
      </c>
      <c r="AB195" s="324">
        <f>'DATA (Real)'!AB191*AB$4/100</f>
        <v>24.105758854661904</v>
      </c>
      <c r="AC195" s="324">
        <f>'DATA (Real)'!AC191*AC$4/100</f>
        <v>24.464250129977554</v>
      </c>
      <c r="AD195" s="324">
        <f>'DATA (Real)'!AD191*AD$4/100</f>
        <v>24.827231422838285</v>
      </c>
      <c r="AE195" s="324">
        <f>'DATA (Real)'!AE191*AE$4/100</f>
        <v>25.194729191995712</v>
      </c>
      <c r="AF195" s="324">
        <f>'DATA (Real)'!AF191*AF$4/100</f>
        <v>25.566768933295865</v>
      </c>
      <c r="AG195" s="324">
        <f>'DATA (Real)'!AG191*AG$4/100</f>
        <v>25.943375124871885</v>
      </c>
      <c r="AH195" s="324">
        <f>'DATA (Real)'!AH191*AH$4/100</f>
        <v>26.324571170403452</v>
      </c>
      <c r="AI195" s="324">
        <f>'DATA (Real)'!AI191*AI$4/100</f>
        <v>26.710379340384304</v>
      </c>
      <c r="AJ195" s="324">
        <f>'DATA (Real)'!AJ191*AJ$4/100</f>
        <v>27.10082071133785</v>
      </c>
      <c r="AK195" s="324">
        <f>'DATA (Real)'!AK191*AK$4/100</f>
        <v>0</v>
      </c>
      <c r="AL195" s="324">
        <f>'DATA (Real)'!AL191*AL$4/100</f>
        <v>0</v>
      </c>
      <c r="AM195" s="324">
        <f>'DATA (Real)'!AM191*AM$4/100</f>
        <v>0</v>
      </c>
      <c r="AN195" s="324">
        <f>'DATA (Real)'!AN191*AN$4/100</f>
        <v>0</v>
      </c>
      <c r="AO195" s="324">
        <f>'DATA (Real)'!AO191*AO$4/100</f>
        <v>0</v>
      </c>
      <c r="AP195" s="324">
        <f>'DATA (Real)'!AP191*AP$4/100</f>
        <v>0</v>
      </c>
      <c r="AQ195" s="324">
        <f>'DATA (Real)'!AQ191*AQ$4/100</f>
        <v>0</v>
      </c>
      <c r="AR195" s="324">
        <f>'DATA (Real)'!AR191*AR$4/100</f>
        <v>0</v>
      </c>
      <c r="AS195" s="324">
        <f>'DATA (Real)'!AS191*AS$4/100</f>
        <v>0</v>
      </c>
      <c r="AT195" s="324">
        <f>'DATA (Real)'!AT191*AT$4/100</f>
        <v>0</v>
      </c>
      <c r="AU195" s="324">
        <f>'DATA (Real)'!AU191*AU$4/100</f>
        <v>0</v>
      </c>
      <c r="AV195" s="324">
        <f>'DATA (Real)'!AV191*AV$4/100</f>
        <v>0</v>
      </c>
      <c r="AW195" s="324">
        <f>'DATA (Real)'!AW191*AW$4/100</f>
        <v>0</v>
      </c>
      <c r="AX195" s="324">
        <f>'DATA (Real)'!AX191*AX$4/100</f>
        <v>0</v>
      </c>
      <c r="AY195" s="324">
        <f>'DATA (Real)'!AY191*AY$4/100</f>
        <v>0</v>
      </c>
      <c r="AZ195" s="324">
        <f>'DATA (Real)'!AZ191*AZ$4/100</f>
        <v>0</v>
      </c>
      <c r="BA195" s="324">
        <f>'DATA (Real)'!BA191*BA$4/100</f>
        <v>0</v>
      </c>
      <c r="BB195" s="324">
        <f>'DATA (Real)'!BB191*BB$4/100</f>
        <v>0</v>
      </c>
      <c r="BC195" s="324">
        <f>'DATA (Real)'!BC191*BC$4/100</f>
        <v>0</v>
      </c>
      <c r="BD195" s="324">
        <f>'DATA (Real)'!BD191*BD$4/100</f>
        <v>0</v>
      </c>
      <c r="BE195" s="324">
        <f>'DATA (Real)'!BE191*BE$4/100</f>
        <v>0</v>
      </c>
      <c r="BF195" s="324">
        <f>'DATA (Real)'!BF191*BF$4/100</f>
        <v>0</v>
      </c>
      <c r="BG195" s="324">
        <f>'DATA (Real)'!BG191*BG$4/100</f>
        <v>0</v>
      </c>
      <c r="BH195" s="324">
        <f>'DATA (Real)'!BH191*BH$4/100</f>
        <v>0</v>
      </c>
      <c r="BI195" s="324">
        <f>'DATA (Real)'!BI191*BI$4/100</f>
        <v>0</v>
      </c>
      <c r="BJ195" s="324">
        <f>'DATA (Real)'!BJ191*BJ$4/100</f>
        <v>0</v>
      </c>
      <c r="BK195" s="324">
        <f>'DATA (Real)'!BK191*BK$4/100</f>
        <v>0</v>
      </c>
      <c r="BL195" s="324">
        <f>'DATA (Real)'!BL191*BL$4/100</f>
        <v>0</v>
      </c>
      <c r="BM195" s="324">
        <f>'DATA (Real)'!BM191*BM$4/100</f>
        <v>0</v>
      </c>
      <c r="BN195" s="324">
        <f>'DATA (Real)'!BN191*BN$4/100</f>
        <v>0</v>
      </c>
      <c r="BO195" s="324">
        <f>'DATA (Real)'!BO191*BO$4/100</f>
        <v>0</v>
      </c>
      <c r="BP195" s="324">
        <f>'DATA (Real)'!BP191*BP$4/100</f>
        <v>0</v>
      </c>
      <c r="BQ195" s="324">
        <f>'DATA (Real)'!BQ191*BQ$4/100</f>
        <v>0</v>
      </c>
      <c r="BR195" s="324">
        <f>'DATA (Real)'!BR191*BR$4/100</f>
        <v>0</v>
      </c>
      <c r="BS195" s="324">
        <f>'DATA (Real)'!BS191*BS$4/100</f>
        <v>0</v>
      </c>
      <c r="BT195" s="324">
        <f>'DATA (Real)'!BT191*BT$4/100</f>
        <v>0</v>
      </c>
      <c r="BU195" s="324">
        <f>'DATA (Real)'!BU191*BU$4/100</f>
        <v>0</v>
      </c>
      <c r="BV195" s="324">
        <f>'DATA (Real)'!BV191*BV$4/100</f>
        <v>0</v>
      </c>
      <c r="BW195" s="324">
        <f>'DATA (Real)'!BW191*BW$4/100</f>
        <v>0</v>
      </c>
      <c r="BX195" s="324">
        <f>'DATA (Real)'!BX191*BX$4/100</f>
        <v>0</v>
      </c>
    </row>
    <row r="196" spans="2:76" hidden="1" outlineLevel="1">
      <c r="B196" s="352" t="s">
        <v>230</v>
      </c>
      <c r="C196" s="352" t="str">
        <f>'DATA (Real)'!C192</f>
        <v>NREL Utility-Scale Battery Storage - 2Hr</v>
      </c>
      <c r="D196" s="352" t="str">
        <f>'DATA (Real)'!D192</f>
        <v>Fixed Operation and Maintenance Expenses ($/kW-yr)</v>
      </c>
      <c r="E196" s="352" t="str">
        <f>'DATA (Real)'!E192</f>
        <v>50 MW/200 MWh Lithium-ion w/Solar (Battery Only)</v>
      </c>
      <c r="F196" s="314">
        <f>'DATA (Real)'!F192</f>
        <v>24.708042503923892</v>
      </c>
      <c r="G196" s="324">
        <f>'DATA (Real)'!G192*G$4/100</f>
        <v>21.956734485823716</v>
      </c>
      <c r="H196" s="324">
        <f>'DATA (Real)'!H192*H$4/100</f>
        <v>22.157514048827462</v>
      </c>
      <c r="I196" s="324">
        <f>'DATA (Real)'!I192*I$4/100</f>
        <v>21.141933716771501</v>
      </c>
      <c r="J196" s="324">
        <f>'DATA (Real)'!J192*J$4/100</f>
        <v>20.526368897581882</v>
      </c>
      <c r="K196" s="324">
        <f>'DATA (Real)'!K192*K$4/100</f>
        <v>19.93058122064258</v>
      </c>
      <c r="L196" s="324">
        <f>'DATA (Real)'!L192*L$4/100</f>
        <v>19.773789026235381</v>
      </c>
      <c r="M196" s="324">
        <f>'DATA (Real)'!M192*M$4/100</f>
        <v>19.641629092723054</v>
      </c>
      <c r="N196" s="324">
        <f>'DATA (Real)'!N192*N$4/100</f>
        <v>19.321622323620556</v>
      </c>
      <c r="O196" s="324">
        <f>'DATA (Real)'!O192*O$4/100</f>
        <v>19.316770636469258</v>
      </c>
      <c r="P196" s="324">
        <f>'DATA (Real)'!P192*P$4/100</f>
        <v>19.173638127072316</v>
      </c>
      <c r="Q196" s="324">
        <f>'DATA (Real)'!Q192*Q$4/100</f>
        <v>19.362263200377761</v>
      </c>
      <c r="R196" s="324">
        <f>'DATA (Real)'!R192*R$4/100</f>
        <v>19.537901012717093</v>
      </c>
      <c r="S196" s="324">
        <f>'DATA (Real)'!S192*S$4/100</f>
        <v>19.711895553410411</v>
      </c>
      <c r="T196" s="324">
        <f>'DATA (Real)'!T192*T$4/100</f>
        <v>19.884089509804081</v>
      </c>
      <c r="U196" s="324">
        <f>'DATA (Real)'!U192*U$4/100</f>
        <v>20.054319442831179</v>
      </c>
      <c r="V196" s="324">
        <f>'DATA (Real)'!V192*V$4/100</f>
        <v>20.222415593588732</v>
      </c>
      <c r="W196" s="324">
        <f>'DATA (Real)'!W192*W$4/100</f>
        <v>20.388201684369275</v>
      </c>
      <c r="X196" s="324">
        <f>'DATA (Real)'!X192*X$4/100</f>
        <v>20.551494713996917</v>
      </c>
      <c r="Y196" s="324">
        <f>'DATA (Real)'!Y192*Y$4/100</f>
        <v>20.712104747312942</v>
      </c>
      <c r="Z196" s="324">
        <f>'DATA (Real)'!Z192*Z$4/100</f>
        <v>20.869834698653243</v>
      </c>
      <c r="AA196" s="324">
        <f>'DATA (Real)'!AA192*AA$4/100</f>
        <v>21.02448010915483</v>
      </c>
      <c r="AB196" s="324">
        <f>'DATA (Real)'!AB192*AB$4/100</f>
        <v>21.175828917724338</v>
      </c>
      <c r="AC196" s="324">
        <f>'DATA (Real)'!AC192*AC$4/100</f>
        <v>21.323661225498107</v>
      </c>
      <c r="AD196" s="324">
        <f>'DATA (Real)'!AD192*AD$4/100</f>
        <v>21.467749053617755</v>
      </c>
      <c r="AE196" s="324">
        <f>'DATA (Real)'!AE192*AE$4/100</f>
        <v>21.607856094141471</v>
      </c>
      <c r="AF196" s="324">
        <f>'DATA (Real)'!AF192*AF$4/100</f>
        <v>21.743737453906288</v>
      </c>
      <c r="AG196" s="324">
        <f>'DATA (Real)'!AG192*AG$4/100</f>
        <v>21.875139391151183</v>
      </c>
      <c r="AH196" s="324">
        <f>'DATA (Real)'!AH192*AH$4/100</f>
        <v>22.001799044707223</v>
      </c>
      <c r="AI196" s="324">
        <f>'DATA (Real)'!AI192*AI$4/100</f>
        <v>22.123444155554406</v>
      </c>
      <c r="AJ196" s="324">
        <f>'DATA (Real)'!AJ192*AJ$4/100</f>
        <v>22.244765447682038</v>
      </c>
      <c r="AK196" s="324">
        <f>'DATA (Real)'!AK192*AK$4/100</f>
        <v>0</v>
      </c>
      <c r="AL196" s="324">
        <f>'DATA (Real)'!AL192*AL$4/100</f>
        <v>0</v>
      </c>
      <c r="AM196" s="324">
        <f>'DATA (Real)'!AM192*AM$4/100</f>
        <v>0</v>
      </c>
      <c r="AN196" s="324">
        <f>'DATA (Real)'!AN192*AN$4/100</f>
        <v>0</v>
      </c>
      <c r="AO196" s="324">
        <f>'DATA (Real)'!AO192*AO$4/100</f>
        <v>0</v>
      </c>
      <c r="AP196" s="324">
        <f>'DATA (Real)'!AP192*AP$4/100</f>
        <v>0</v>
      </c>
      <c r="AQ196" s="324">
        <f>'DATA (Real)'!AQ192*AQ$4/100</f>
        <v>0</v>
      </c>
      <c r="AR196" s="324">
        <f>'DATA (Real)'!AR192*AR$4/100</f>
        <v>0</v>
      </c>
      <c r="AS196" s="324">
        <f>'DATA (Real)'!AS192*AS$4/100</f>
        <v>0</v>
      </c>
      <c r="AT196" s="324">
        <f>'DATA (Real)'!AT192*AT$4/100</f>
        <v>0</v>
      </c>
      <c r="AU196" s="324">
        <f>'DATA (Real)'!AU192*AU$4/100</f>
        <v>0</v>
      </c>
      <c r="AV196" s="324">
        <f>'DATA (Real)'!AV192*AV$4/100</f>
        <v>0</v>
      </c>
      <c r="AW196" s="324">
        <f>'DATA (Real)'!AW192*AW$4/100</f>
        <v>0</v>
      </c>
      <c r="AX196" s="324">
        <f>'DATA (Real)'!AX192*AX$4/100</f>
        <v>0</v>
      </c>
      <c r="AY196" s="324">
        <f>'DATA (Real)'!AY192*AY$4/100</f>
        <v>0</v>
      </c>
      <c r="AZ196" s="324">
        <f>'DATA (Real)'!AZ192*AZ$4/100</f>
        <v>0</v>
      </c>
      <c r="BA196" s="324">
        <f>'DATA (Real)'!BA192*BA$4/100</f>
        <v>0</v>
      </c>
      <c r="BB196" s="324">
        <f>'DATA (Real)'!BB192*BB$4/100</f>
        <v>0</v>
      </c>
      <c r="BC196" s="324">
        <f>'DATA (Real)'!BC192*BC$4/100</f>
        <v>0</v>
      </c>
      <c r="BD196" s="324">
        <f>'DATA (Real)'!BD192*BD$4/100</f>
        <v>0</v>
      </c>
      <c r="BE196" s="324">
        <f>'DATA (Real)'!BE192*BE$4/100</f>
        <v>0</v>
      </c>
      <c r="BF196" s="324">
        <f>'DATA (Real)'!BF192*BF$4/100</f>
        <v>0</v>
      </c>
      <c r="BG196" s="324">
        <f>'DATA (Real)'!BG192*BG$4/100</f>
        <v>0</v>
      </c>
      <c r="BH196" s="324">
        <f>'DATA (Real)'!BH192*BH$4/100</f>
        <v>0</v>
      </c>
      <c r="BI196" s="324">
        <f>'DATA (Real)'!BI192*BI$4/100</f>
        <v>0</v>
      </c>
      <c r="BJ196" s="324">
        <f>'DATA (Real)'!BJ192*BJ$4/100</f>
        <v>0</v>
      </c>
      <c r="BK196" s="324">
        <f>'DATA (Real)'!BK192*BK$4/100</f>
        <v>0</v>
      </c>
      <c r="BL196" s="324">
        <f>'DATA (Real)'!BL192*BL$4/100</f>
        <v>0</v>
      </c>
      <c r="BM196" s="324">
        <f>'DATA (Real)'!BM192*BM$4/100</f>
        <v>0</v>
      </c>
      <c r="BN196" s="324">
        <f>'DATA (Real)'!BN192*BN$4/100</f>
        <v>0</v>
      </c>
      <c r="BO196" s="324">
        <f>'DATA (Real)'!BO192*BO$4/100</f>
        <v>0</v>
      </c>
      <c r="BP196" s="324">
        <f>'DATA (Real)'!BP192*BP$4/100</f>
        <v>0</v>
      </c>
      <c r="BQ196" s="324">
        <f>'DATA (Real)'!BQ192*BQ$4/100</f>
        <v>0</v>
      </c>
      <c r="BR196" s="324">
        <f>'DATA (Real)'!BR192*BR$4/100</f>
        <v>0</v>
      </c>
      <c r="BS196" s="324">
        <f>'DATA (Real)'!BS192*BS$4/100</f>
        <v>0</v>
      </c>
      <c r="BT196" s="324">
        <f>'DATA (Real)'!BT192*BT$4/100</f>
        <v>0</v>
      </c>
      <c r="BU196" s="324">
        <f>'DATA (Real)'!BU192*BU$4/100</f>
        <v>0</v>
      </c>
      <c r="BV196" s="324">
        <f>'DATA (Real)'!BV192*BV$4/100</f>
        <v>0</v>
      </c>
      <c r="BW196" s="324">
        <f>'DATA (Real)'!BW192*BW$4/100</f>
        <v>0</v>
      </c>
      <c r="BX196" s="324">
        <f>'DATA (Real)'!BX192*BX$4/100</f>
        <v>0</v>
      </c>
    </row>
    <row r="197" spans="2:76" hidden="1" outlineLevel="1">
      <c r="B197" s="350" t="s">
        <v>230</v>
      </c>
      <c r="C197" s="350" t="str">
        <f>'DATA (Real)'!C193</f>
        <v>NREL Land-Based Wind - Class 8</v>
      </c>
      <c r="D197" s="350" t="str">
        <f>'DATA (Real)'!D193</f>
        <v>Fixed Operation and Maintenance Expenses ($/kW-yr)</v>
      </c>
      <c r="E197" s="350" t="str">
        <f>'DATA (Real)'!E193</f>
        <v>NW Wind On System (Share)</v>
      </c>
      <c r="F197" s="314">
        <f>'DATA (Real)'!F193</f>
        <v>43</v>
      </c>
      <c r="G197" s="324">
        <f>'DATA (Real)'!G193*G$4/100</f>
        <v>43.659874999999992</v>
      </c>
      <c r="H197" s="324">
        <f>'DATA (Real)'!H193*H$4/100</f>
        <v>46.354531960724032</v>
      </c>
      <c r="I197" s="324">
        <f>'DATA (Real)'!I193*I$4/100</f>
        <v>47.365805901899584</v>
      </c>
      <c r="J197" s="324">
        <f>'DATA (Real)'!J193*J$4/100</f>
        <v>48.010096815910266</v>
      </c>
      <c r="K197" s="324">
        <f>'DATA (Real)'!K193*K$4/100</f>
        <v>48.601937088262503</v>
      </c>
      <c r="L197" s="324">
        <f>'DATA (Real)'!L193*L$4/100</f>
        <v>49.196266523379087</v>
      </c>
      <c r="M197" s="324">
        <f>'DATA (Real)'!M193*M$4/100</f>
        <v>49.79290110708763</v>
      </c>
      <c r="N197" s="324">
        <f>'DATA (Real)'!N193*N$4/100</f>
        <v>50.375217091353058</v>
      </c>
      <c r="O197" s="324">
        <f>'DATA (Real)'!O193*O$4/100</f>
        <v>50.959055214790354</v>
      </c>
      <c r="P197" s="324">
        <f>'DATA (Real)'!P193*P$4/100</f>
        <v>51.544200610586657</v>
      </c>
      <c r="Q197" s="324">
        <f>'DATA (Real)'!Q193*Q$4/100</f>
        <v>52.283086726339413</v>
      </c>
      <c r="R197" s="324">
        <f>'DATA (Real)'!R193*R$4/100</f>
        <v>53.029536438089778</v>
      </c>
      <c r="S197" s="324">
        <f>'DATA (Real)'!S193*S$4/100</f>
        <v>53.783524923181602</v>
      </c>
      <c r="T197" s="324">
        <f>'DATA (Real)'!T193*T$4/100</f>
        <v>54.545022605981437</v>
      </c>
      <c r="U197" s="324">
        <f>'DATA (Real)'!U193*U$4/100</f>
        <v>55.313994960761626</v>
      </c>
      <c r="V197" s="324">
        <f>'DATA (Real)'!V193*V$4/100</f>
        <v>56.090402308210869</v>
      </c>
      <c r="W197" s="324">
        <f>'DATA (Real)'!W193*W$4/100</f>
        <v>56.874199605386849</v>
      </c>
      <c r="X197" s="324">
        <f>'DATA (Real)'!X193*X$4/100</f>
        <v>57.665336228921412</v>
      </c>
      <c r="Y197" s="324">
        <f>'DATA (Real)'!Y193*Y$4/100</f>
        <v>58.463755751282498</v>
      </c>
      <c r="Z197" s="324">
        <f>'DATA (Real)'!Z193*Z$4/100</f>
        <v>59.26939570989267</v>
      </c>
      <c r="AA197" s="324">
        <f>'DATA (Real)'!AA193*AA$4/100</f>
        <v>60.082187368898055</v>
      </c>
      <c r="AB197" s="324">
        <f>'DATA (Real)'!AB193*AB$4/100</f>
        <v>60.902055473376102</v>
      </c>
      <c r="AC197" s="324">
        <f>'DATA (Real)'!AC193*AC$4/100</f>
        <v>61.72891799576464</v>
      </c>
      <c r="AD197" s="324">
        <f>'DATA (Real)'!AD193*AD$4/100</f>
        <v>62.562685874289137</v>
      </c>
      <c r="AE197" s="324">
        <f>'DATA (Real)'!AE193*AE$4/100</f>
        <v>63.403262743158763</v>
      </c>
      <c r="AF197" s="324">
        <f>'DATA (Real)'!AF193*AF$4/100</f>
        <v>64.250544654295524</v>
      </c>
      <c r="AG197" s="324">
        <f>'DATA (Real)'!AG193*AG$4/100</f>
        <v>65.104419790354598</v>
      </c>
      <c r="AH197" s="324">
        <f>'DATA (Real)'!AH193*AH$4/100</f>
        <v>65.9647681687876</v>
      </c>
      <c r="AI197" s="324">
        <f>'DATA (Real)'!AI193*AI$4/100</f>
        <v>66.83146133669311</v>
      </c>
      <c r="AJ197" s="324">
        <f>'DATA (Real)'!AJ193*AJ$4/100</f>
        <v>67.704362056192778</v>
      </c>
      <c r="AK197" s="324">
        <f>'DATA (Real)'!AK193*AK$4/100</f>
        <v>0</v>
      </c>
      <c r="AL197" s="324">
        <f>'DATA (Real)'!AL193*AL$4/100</f>
        <v>0</v>
      </c>
      <c r="AM197" s="324">
        <f>'DATA (Real)'!AM193*AM$4/100</f>
        <v>0</v>
      </c>
      <c r="AN197" s="324">
        <f>'DATA (Real)'!AN193*AN$4/100</f>
        <v>0</v>
      </c>
      <c r="AO197" s="324">
        <f>'DATA (Real)'!AO193*AO$4/100</f>
        <v>0</v>
      </c>
      <c r="AP197" s="324">
        <f>'DATA (Real)'!AP193*AP$4/100</f>
        <v>0</v>
      </c>
      <c r="AQ197" s="324">
        <f>'DATA (Real)'!AQ193*AQ$4/100</f>
        <v>0</v>
      </c>
      <c r="AR197" s="324">
        <f>'DATA (Real)'!AR193*AR$4/100</f>
        <v>0</v>
      </c>
      <c r="AS197" s="324">
        <f>'DATA (Real)'!AS193*AS$4/100</f>
        <v>0</v>
      </c>
      <c r="AT197" s="324">
        <f>'DATA (Real)'!AT193*AT$4/100</f>
        <v>0</v>
      </c>
      <c r="AU197" s="324">
        <f>'DATA (Real)'!AU193*AU$4/100</f>
        <v>0</v>
      </c>
      <c r="AV197" s="324">
        <f>'DATA (Real)'!AV193*AV$4/100</f>
        <v>0</v>
      </c>
      <c r="AW197" s="324">
        <f>'DATA (Real)'!AW193*AW$4/100</f>
        <v>0</v>
      </c>
      <c r="AX197" s="324">
        <f>'DATA (Real)'!AX193*AX$4/100</f>
        <v>0</v>
      </c>
      <c r="AY197" s="324">
        <f>'DATA (Real)'!AY193*AY$4/100</f>
        <v>0</v>
      </c>
      <c r="AZ197" s="324">
        <f>'DATA (Real)'!AZ193*AZ$4/100</f>
        <v>0</v>
      </c>
      <c r="BA197" s="324">
        <f>'DATA (Real)'!BA193*BA$4/100</f>
        <v>0</v>
      </c>
      <c r="BB197" s="324">
        <f>'DATA (Real)'!BB193*BB$4/100</f>
        <v>0</v>
      </c>
      <c r="BC197" s="324">
        <f>'DATA (Real)'!BC193*BC$4/100</f>
        <v>0</v>
      </c>
      <c r="BD197" s="324">
        <f>'DATA (Real)'!BD193*BD$4/100</f>
        <v>0</v>
      </c>
      <c r="BE197" s="324">
        <f>'DATA (Real)'!BE193*BE$4/100</f>
        <v>0</v>
      </c>
      <c r="BF197" s="324">
        <f>'DATA (Real)'!BF193*BF$4/100</f>
        <v>0</v>
      </c>
      <c r="BG197" s="324">
        <f>'DATA (Real)'!BG193*BG$4/100</f>
        <v>0</v>
      </c>
      <c r="BH197" s="324">
        <f>'DATA (Real)'!BH193*BH$4/100</f>
        <v>0</v>
      </c>
      <c r="BI197" s="324">
        <f>'DATA (Real)'!BI193*BI$4/100</f>
        <v>0</v>
      </c>
      <c r="BJ197" s="324">
        <f>'DATA (Real)'!BJ193*BJ$4/100</f>
        <v>0</v>
      </c>
      <c r="BK197" s="324">
        <f>'DATA (Real)'!BK193*BK$4/100</f>
        <v>0</v>
      </c>
      <c r="BL197" s="324">
        <f>'DATA (Real)'!BL193*BL$4/100</f>
        <v>0</v>
      </c>
      <c r="BM197" s="324">
        <f>'DATA (Real)'!BM193*BM$4/100</f>
        <v>0</v>
      </c>
      <c r="BN197" s="324">
        <f>'DATA (Real)'!BN193*BN$4/100</f>
        <v>0</v>
      </c>
      <c r="BO197" s="324">
        <f>'DATA (Real)'!BO193*BO$4/100</f>
        <v>0</v>
      </c>
      <c r="BP197" s="324">
        <f>'DATA (Real)'!BP193*BP$4/100</f>
        <v>0</v>
      </c>
      <c r="BQ197" s="324">
        <f>'DATA (Real)'!BQ193*BQ$4/100</f>
        <v>0</v>
      </c>
      <c r="BR197" s="324">
        <f>'DATA (Real)'!BR193*BR$4/100</f>
        <v>0</v>
      </c>
      <c r="BS197" s="324">
        <f>'DATA (Real)'!BS193*BS$4/100</f>
        <v>0</v>
      </c>
      <c r="BT197" s="324">
        <f>'DATA (Real)'!BT193*BT$4/100</f>
        <v>0</v>
      </c>
      <c r="BU197" s="324">
        <f>'DATA (Real)'!BU193*BU$4/100</f>
        <v>0</v>
      </c>
      <c r="BV197" s="324">
        <f>'DATA (Real)'!BV193*BV$4/100</f>
        <v>0</v>
      </c>
      <c r="BW197" s="324">
        <f>'DATA (Real)'!BW193*BW$4/100</f>
        <v>0</v>
      </c>
      <c r="BX197" s="324">
        <f>'DATA (Real)'!BX193*BX$4/100</f>
        <v>0</v>
      </c>
    </row>
    <row r="198" spans="2:76" hidden="1" outlineLevel="1">
      <c r="B198" s="350" t="s">
        <v>230</v>
      </c>
      <c r="C198" s="350" t="str">
        <f>'DATA (Real)'!C194</f>
        <v>NREL Land-Based Wind - Class 8</v>
      </c>
      <c r="D198" s="350" t="str">
        <f>'DATA (Real)'!D194</f>
        <v>Fixed Operation and Maintenance Expenses ($/kW-yr)</v>
      </c>
      <c r="E198" s="350" t="str">
        <f>'DATA (Real)'!E194</f>
        <v>NW Wind Off System</v>
      </c>
      <c r="F198" s="314">
        <f>'DATA (Real)'!F194</f>
        <v>41.951219512195124</v>
      </c>
      <c r="G198" s="324">
        <f>'DATA (Real)'!G194*G$4/100</f>
        <v>42.594999999999999</v>
      </c>
      <c r="H198" s="324">
        <f>'DATA (Real)'!H194*H$4/100</f>
        <v>45.223933620218574</v>
      </c>
      <c r="I198" s="324">
        <f>'DATA (Real)'!I194*I$4/100</f>
        <v>46.210542343316668</v>
      </c>
      <c r="J198" s="324">
        <f>'DATA (Real)'!J194*J$4/100</f>
        <v>46.839118844790498</v>
      </c>
      <c r="K198" s="324">
        <f>'DATA (Real)'!K194*K$4/100</f>
        <v>47.416523988548796</v>
      </c>
      <c r="L198" s="324">
        <f>'DATA (Real)'!L194*L$4/100</f>
        <v>47.996357583784487</v>
      </c>
      <c r="M198" s="324">
        <f>'DATA (Real)'!M194*M$4/100</f>
        <v>48.578440104475739</v>
      </c>
      <c r="N198" s="324">
        <f>'DATA (Real)'!N194*N$4/100</f>
        <v>49.146553259856645</v>
      </c>
      <c r="O198" s="324">
        <f>'DATA (Real)'!O194*O$4/100</f>
        <v>49.716151429063757</v>
      </c>
      <c r="P198" s="324">
        <f>'DATA (Real)'!P194*P$4/100</f>
        <v>50.287024985938203</v>
      </c>
      <c r="Q198" s="324">
        <f>'DATA (Real)'!Q194*Q$4/100</f>
        <v>51.007889489111633</v>
      </c>
      <c r="R198" s="324">
        <f>'DATA (Real)'!R194*R$4/100</f>
        <v>51.736133110331494</v>
      </c>
      <c r="S198" s="324">
        <f>'DATA (Real)'!S194*S$4/100</f>
        <v>52.471731632372304</v>
      </c>
      <c r="T198" s="324">
        <f>'DATA (Real)'!T194*T$4/100</f>
        <v>53.214656200957506</v>
      </c>
      <c r="U198" s="324">
        <f>'DATA (Real)'!U194*U$4/100</f>
        <v>53.964873132450364</v>
      </c>
      <c r="V198" s="324">
        <f>'DATA (Real)'!V194*V$4/100</f>
        <v>54.722343715327682</v>
      </c>
      <c r="W198" s="324">
        <f>'DATA (Real)'!W194*W$4/100</f>
        <v>55.487024005255471</v>
      </c>
      <c r="X198" s="324">
        <f>'DATA (Real)'!X194*X$4/100</f>
        <v>56.258864613581885</v>
      </c>
      <c r="Y198" s="324">
        <f>'DATA (Real)'!Y194*Y$4/100</f>
        <v>57.037810489056099</v>
      </c>
      <c r="Z198" s="324">
        <f>'DATA (Real)'!Z194*Z$4/100</f>
        <v>57.823800692578217</v>
      </c>
      <c r="AA198" s="324">
        <f>'DATA (Real)'!AA194*AA$4/100</f>
        <v>58.616768164778605</v>
      </c>
      <c r="AB198" s="324">
        <f>'DATA (Real)'!AB194*AB$4/100</f>
        <v>59.416639486220589</v>
      </c>
      <c r="AC198" s="324">
        <f>'DATA (Real)'!AC194*AC$4/100</f>
        <v>60.223334630014286</v>
      </c>
      <c r="AD198" s="324">
        <f>'DATA (Real)'!AD194*AD$4/100</f>
        <v>61.03676670662356</v>
      </c>
      <c r="AE198" s="324">
        <f>'DATA (Real)'!AE194*AE$4/100</f>
        <v>61.856841700642718</v>
      </c>
      <c r="AF198" s="324">
        <f>'DATA (Real)'!AF194*AF$4/100</f>
        <v>62.683458199312696</v>
      </c>
      <c r="AG198" s="324">
        <f>'DATA (Real)'!AG194*AG$4/100</f>
        <v>63.516507112541078</v>
      </c>
      <c r="AH198" s="324">
        <f>'DATA (Real)'!AH194*AH$4/100</f>
        <v>64.355871384183033</v>
      </c>
      <c r="AI198" s="324">
        <f>'DATA (Real)'!AI194*AI$4/100</f>
        <v>65.201425694334745</v>
      </c>
      <c r="AJ198" s="324">
        <f>'DATA (Real)'!AJ194*AJ$4/100</f>
        <v>66.0530361523832</v>
      </c>
      <c r="AK198" s="324">
        <f>'DATA (Real)'!AK194*AK$4/100</f>
        <v>0</v>
      </c>
      <c r="AL198" s="324">
        <f>'DATA (Real)'!AL194*AL$4/100</f>
        <v>0</v>
      </c>
      <c r="AM198" s="324">
        <f>'DATA (Real)'!AM194*AM$4/100</f>
        <v>0</v>
      </c>
      <c r="AN198" s="324">
        <f>'DATA (Real)'!AN194*AN$4/100</f>
        <v>0</v>
      </c>
      <c r="AO198" s="324">
        <f>'DATA (Real)'!AO194*AO$4/100</f>
        <v>0</v>
      </c>
      <c r="AP198" s="324">
        <f>'DATA (Real)'!AP194*AP$4/100</f>
        <v>0</v>
      </c>
      <c r="AQ198" s="324">
        <f>'DATA (Real)'!AQ194*AQ$4/100</f>
        <v>0</v>
      </c>
      <c r="AR198" s="324">
        <f>'DATA (Real)'!AR194*AR$4/100</f>
        <v>0</v>
      </c>
      <c r="AS198" s="324">
        <f>'DATA (Real)'!AS194*AS$4/100</f>
        <v>0</v>
      </c>
      <c r="AT198" s="324">
        <f>'DATA (Real)'!AT194*AT$4/100</f>
        <v>0</v>
      </c>
      <c r="AU198" s="324">
        <f>'DATA (Real)'!AU194*AU$4/100</f>
        <v>0</v>
      </c>
      <c r="AV198" s="324">
        <f>'DATA (Real)'!AV194*AV$4/100</f>
        <v>0</v>
      </c>
      <c r="AW198" s="324">
        <f>'DATA (Real)'!AW194*AW$4/100</f>
        <v>0</v>
      </c>
      <c r="AX198" s="324">
        <f>'DATA (Real)'!AX194*AX$4/100</f>
        <v>0</v>
      </c>
      <c r="AY198" s="324">
        <f>'DATA (Real)'!AY194*AY$4/100</f>
        <v>0</v>
      </c>
      <c r="AZ198" s="324">
        <f>'DATA (Real)'!AZ194*AZ$4/100</f>
        <v>0</v>
      </c>
      <c r="BA198" s="324">
        <f>'DATA (Real)'!BA194*BA$4/100</f>
        <v>0</v>
      </c>
      <c r="BB198" s="324">
        <f>'DATA (Real)'!BB194*BB$4/100</f>
        <v>0</v>
      </c>
      <c r="BC198" s="324">
        <f>'DATA (Real)'!BC194*BC$4/100</f>
        <v>0</v>
      </c>
      <c r="BD198" s="324">
        <f>'DATA (Real)'!BD194*BD$4/100</f>
        <v>0</v>
      </c>
      <c r="BE198" s="324">
        <f>'DATA (Real)'!BE194*BE$4/100</f>
        <v>0</v>
      </c>
      <c r="BF198" s="324">
        <f>'DATA (Real)'!BF194*BF$4/100</f>
        <v>0</v>
      </c>
      <c r="BG198" s="324">
        <f>'DATA (Real)'!BG194*BG$4/100</f>
        <v>0</v>
      </c>
      <c r="BH198" s="324">
        <f>'DATA (Real)'!BH194*BH$4/100</f>
        <v>0</v>
      </c>
      <c r="BI198" s="324">
        <f>'DATA (Real)'!BI194*BI$4/100</f>
        <v>0</v>
      </c>
      <c r="BJ198" s="324">
        <f>'DATA (Real)'!BJ194*BJ$4/100</f>
        <v>0</v>
      </c>
      <c r="BK198" s="324">
        <f>'DATA (Real)'!BK194*BK$4/100</f>
        <v>0</v>
      </c>
      <c r="BL198" s="324">
        <f>'DATA (Real)'!BL194*BL$4/100</f>
        <v>0</v>
      </c>
      <c r="BM198" s="324">
        <f>'DATA (Real)'!BM194*BM$4/100</f>
        <v>0</v>
      </c>
      <c r="BN198" s="324">
        <f>'DATA (Real)'!BN194*BN$4/100</f>
        <v>0</v>
      </c>
      <c r="BO198" s="324">
        <f>'DATA (Real)'!BO194*BO$4/100</f>
        <v>0</v>
      </c>
      <c r="BP198" s="324">
        <f>'DATA (Real)'!BP194*BP$4/100</f>
        <v>0</v>
      </c>
      <c r="BQ198" s="324">
        <f>'DATA (Real)'!BQ194*BQ$4/100</f>
        <v>0</v>
      </c>
      <c r="BR198" s="324">
        <f>'DATA (Real)'!BR194*BR$4/100</f>
        <v>0</v>
      </c>
      <c r="BS198" s="324">
        <f>'DATA (Real)'!BS194*BS$4/100</f>
        <v>0</v>
      </c>
      <c r="BT198" s="324">
        <f>'DATA (Real)'!BT194*BT$4/100</f>
        <v>0</v>
      </c>
      <c r="BU198" s="324">
        <f>'DATA (Real)'!BU194*BU$4/100</f>
        <v>0</v>
      </c>
      <c r="BV198" s="324">
        <f>'DATA (Real)'!BV194*BV$4/100</f>
        <v>0</v>
      </c>
      <c r="BW198" s="324">
        <f>'DATA (Real)'!BW194*BW$4/100</f>
        <v>0</v>
      </c>
      <c r="BX198" s="324">
        <f>'DATA (Real)'!BX194*BX$4/100</f>
        <v>0</v>
      </c>
    </row>
    <row r="199" spans="2:76" hidden="1" outlineLevel="1">
      <c r="B199" s="350" t="s">
        <v>230</v>
      </c>
      <c r="C199" s="350" t="str">
        <f>'DATA (Real)'!C195</f>
        <v>NREL Land-Based Wind - Class 3</v>
      </c>
      <c r="D199" s="350" t="str">
        <f>'DATA (Real)'!D195</f>
        <v>Fixed Operation and Maintenance Expenses ($/kW-yr)</v>
      </c>
      <c r="E199" s="350" t="str">
        <f>'DATA (Real)'!E195</f>
        <v>Wind Montana</v>
      </c>
      <c r="F199" s="314">
        <f>'DATA (Real)'!F195</f>
        <v>43</v>
      </c>
      <c r="G199" s="324">
        <f>'DATA (Real)'!G195*G$4/100</f>
        <v>43.659874999999992</v>
      </c>
      <c r="H199" s="324">
        <f>'DATA (Real)'!H195*H$4/100</f>
        <v>46.354531960724032</v>
      </c>
      <c r="I199" s="324">
        <f>'DATA (Real)'!I195*I$4/100</f>
        <v>47.365805901899584</v>
      </c>
      <c r="J199" s="324">
        <f>'DATA (Real)'!J195*J$4/100</f>
        <v>48.010096815910266</v>
      </c>
      <c r="K199" s="324">
        <f>'DATA (Real)'!K195*K$4/100</f>
        <v>48.601937088262503</v>
      </c>
      <c r="L199" s="324">
        <f>'DATA (Real)'!L195*L$4/100</f>
        <v>49.196266523379087</v>
      </c>
      <c r="M199" s="324">
        <f>'DATA (Real)'!M195*M$4/100</f>
        <v>49.79290110708763</v>
      </c>
      <c r="N199" s="324">
        <f>'DATA (Real)'!N195*N$4/100</f>
        <v>50.375217091353058</v>
      </c>
      <c r="O199" s="324">
        <f>'DATA (Real)'!O195*O$4/100</f>
        <v>50.959055214790354</v>
      </c>
      <c r="P199" s="324">
        <f>'DATA (Real)'!P195*P$4/100</f>
        <v>51.544200610586657</v>
      </c>
      <c r="Q199" s="324">
        <f>'DATA (Real)'!Q195*Q$4/100</f>
        <v>52.283086726339413</v>
      </c>
      <c r="R199" s="324">
        <f>'DATA (Real)'!R195*R$4/100</f>
        <v>53.029536438089778</v>
      </c>
      <c r="S199" s="324">
        <f>'DATA (Real)'!S195*S$4/100</f>
        <v>53.783524923181602</v>
      </c>
      <c r="T199" s="324">
        <f>'DATA (Real)'!T195*T$4/100</f>
        <v>54.545022605981437</v>
      </c>
      <c r="U199" s="324">
        <f>'DATA (Real)'!U195*U$4/100</f>
        <v>55.313994960761626</v>
      </c>
      <c r="V199" s="324">
        <f>'DATA (Real)'!V195*V$4/100</f>
        <v>56.090402308210869</v>
      </c>
      <c r="W199" s="324">
        <f>'DATA (Real)'!W195*W$4/100</f>
        <v>56.874199605386849</v>
      </c>
      <c r="X199" s="324">
        <f>'DATA (Real)'!X195*X$4/100</f>
        <v>57.665336228921412</v>
      </c>
      <c r="Y199" s="324">
        <f>'DATA (Real)'!Y195*Y$4/100</f>
        <v>58.463755751282498</v>
      </c>
      <c r="Z199" s="324">
        <f>'DATA (Real)'!Z195*Z$4/100</f>
        <v>59.26939570989267</v>
      </c>
      <c r="AA199" s="324">
        <f>'DATA (Real)'!AA195*AA$4/100</f>
        <v>60.082187368898055</v>
      </c>
      <c r="AB199" s="324">
        <f>'DATA (Real)'!AB195*AB$4/100</f>
        <v>60.902055473376102</v>
      </c>
      <c r="AC199" s="324">
        <f>'DATA (Real)'!AC195*AC$4/100</f>
        <v>61.72891799576464</v>
      </c>
      <c r="AD199" s="324">
        <f>'DATA (Real)'!AD195*AD$4/100</f>
        <v>62.562685874289137</v>
      </c>
      <c r="AE199" s="324">
        <f>'DATA (Real)'!AE195*AE$4/100</f>
        <v>63.403262743158763</v>
      </c>
      <c r="AF199" s="324">
        <f>'DATA (Real)'!AF195*AF$4/100</f>
        <v>64.250544654295524</v>
      </c>
      <c r="AG199" s="324">
        <f>'DATA (Real)'!AG195*AG$4/100</f>
        <v>65.104419790354598</v>
      </c>
      <c r="AH199" s="324">
        <f>'DATA (Real)'!AH195*AH$4/100</f>
        <v>65.9647681687876</v>
      </c>
      <c r="AI199" s="324">
        <f>'DATA (Real)'!AI195*AI$4/100</f>
        <v>66.83146133669311</v>
      </c>
      <c r="AJ199" s="324">
        <f>'DATA (Real)'!AJ195*AJ$4/100</f>
        <v>67.704362056192778</v>
      </c>
      <c r="AK199" s="324">
        <f>'DATA (Real)'!AK195*AK$4/100</f>
        <v>0</v>
      </c>
      <c r="AL199" s="324">
        <f>'DATA (Real)'!AL195*AL$4/100</f>
        <v>0</v>
      </c>
      <c r="AM199" s="324">
        <f>'DATA (Real)'!AM195*AM$4/100</f>
        <v>0</v>
      </c>
      <c r="AN199" s="324">
        <f>'DATA (Real)'!AN195*AN$4/100</f>
        <v>0</v>
      </c>
      <c r="AO199" s="324">
        <f>'DATA (Real)'!AO195*AO$4/100</f>
        <v>0</v>
      </c>
      <c r="AP199" s="324">
        <f>'DATA (Real)'!AP195*AP$4/100</f>
        <v>0</v>
      </c>
      <c r="AQ199" s="324">
        <f>'DATA (Real)'!AQ195*AQ$4/100</f>
        <v>0</v>
      </c>
      <c r="AR199" s="324">
        <f>'DATA (Real)'!AR195*AR$4/100</f>
        <v>0</v>
      </c>
      <c r="AS199" s="324">
        <f>'DATA (Real)'!AS195*AS$4/100</f>
        <v>0</v>
      </c>
      <c r="AT199" s="324">
        <f>'DATA (Real)'!AT195*AT$4/100</f>
        <v>0</v>
      </c>
      <c r="AU199" s="324">
        <f>'DATA (Real)'!AU195*AU$4/100</f>
        <v>0</v>
      </c>
      <c r="AV199" s="324">
        <f>'DATA (Real)'!AV195*AV$4/100</f>
        <v>0</v>
      </c>
      <c r="AW199" s="324">
        <f>'DATA (Real)'!AW195*AW$4/100</f>
        <v>0</v>
      </c>
      <c r="AX199" s="324">
        <f>'DATA (Real)'!AX195*AX$4/100</f>
        <v>0</v>
      </c>
      <c r="AY199" s="324">
        <f>'DATA (Real)'!AY195*AY$4/100</f>
        <v>0</v>
      </c>
      <c r="AZ199" s="324">
        <f>'DATA (Real)'!AZ195*AZ$4/100</f>
        <v>0</v>
      </c>
      <c r="BA199" s="324">
        <f>'DATA (Real)'!BA195*BA$4/100</f>
        <v>0</v>
      </c>
      <c r="BB199" s="324">
        <f>'DATA (Real)'!BB195*BB$4/100</f>
        <v>0</v>
      </c>
      <c r="BC199" s="324">
        <f>'DATA (Real)'!BC195*BC$4/100</f>
        <v>0</v>
      </c>
      <c r="BD199" s="324">
        <f>'DATA (Real)'!BD195*BD$4/100</f>
        <v>0</v>
      </c>
      <c r="BE199" s="324">
        <f>'DATA (Real)'!BE195*BE$4/100</f>
        <v>0</v>
      </c>
      <c r="BF199" s="324">
        <f>'DATA (Real)'!BF195*BF$4/100</f>
        <v>0</v>
      </c>
      <c r="BG199" s="324">
        <f>'DATA (Real)'!BG195*BG$4/100</f>
        <v>0</v>
      </c>
      <c r="BH199" s="324">
        <f>'DATA (Real)'!BH195*BH$4/100</f>
        <v>0</v>
      </c>
      <c r="BI199" s="324">
        <f>'DATA (Real)'!BI195*BI$4/100</f>
        <v>0</v>
      </c>
      <c r="BJ199" s="324">
        <f>'DATA (Real)'!BJ195*BJ$4/100</f>
        <v>0</v>
      </c>
      <c r="BK199" s="324">
        <f>'DATA (Real)'!BK195*BK$4/100</f>
        <v>0</v>
      </c>
      <c r="BL199" s="324">
        <f>'DATA (Real)'!BL195*BL$4/100</f>
        <v>0</v>
      </c>
      <c r="BM199" s="324">
        <f>'DATA (Real)'!BM195*BM$4/100</f>
        <v>0</v>
      </c>
      <c r="BN199" s="324">
        <f>'DATA (Real)'!BN195*BN$4/100</f>
        <v>0</v>
      </c>
      <c r="BO199" s="324">
        <f>'DATA (Real)'!BO195*BO$4/100</f>
        <v>0</v>
      </c>
      <c r="BP199" s="324">
        <f>'DATA (Real)'!BP195*BP$4/100</f>
        <v>0</v>
      </c>
      <c r="BQ199" s="324">
        <f>'DATA (Real)'!BQ195*BQ$4/100</f>
        <v>0</v>
      </c>
      <c r="BR199" s="324">
        <f>'DATA (Real)'!BR195*BR$4/100</f>
        <v>0</v>
      </c>
      <c r="BS199" s="324">
        <f>'DATA (Real)'!BS195*BS$4/100</f>
        <v>0</v>
      </c>
      <c r="BT199" s="324">
        <f>'DATA (Real)'!BT195*BT$4/100</f>
        <v>0</v>
      </c>
      <c r="BU199" s="324">
        <f>'DATA (Real)'!BU195*BU$4/100</f>
        <v>0</v>
      </c>
      <c r="BV199" s="324">
        <f>'DATA (Real)'!BV195*BV$4/100</f>
        <v>0</v>
      </c>
      <c r="BW199" s="324">
        <f>'DATA (Real)'!BW195*BW$4/100</f>
        <v>0</v>
      </c>
      <c r="BX199" s="324">
        <f>'DATA (Real)'!BX195*BX$4/100</f>
        <v>0</v>
      </c>
    </row>
    <row r="200" spans="2:76" hidden="1" outlineLevel="1">
      <c r="B200" s="350" t="s">
        <v>230</v>
      </c>
      <c r="C200" s="350" t="str">
        <f>'DATA (Real)'!C196</f>
        <v>NREL Wind Speed Class 12</v>
      </c>
      <c r="D200" s="350" t="str">
        <f>'DATA (Real)'!D196</f>
        <v>Fixed Operation and Maintenance Expenses ($/kW-yr)</v>
      </c>
      <c r="E200" s="350" t="str">
        <f>'DATA (Real)'!E196</f>
        <v>Off Shore Wind (Share)</v>
      </c>
      <c r="F200" s="314">
        <f>'DATA (Real)'!F196</f>
        <v>95.264231605586971</v>
      </c>
      <c r="G200" s="324">
        <f>'DATA (Real)'!G196*G$4/100</f>
        <v>93.593935971149534</v>
      </c>
      <c r="H200" s="324">
        <f>'DATA (Real)'!H196*H$4/100</f>
        <v>96.955479869504913</v>
      </c>
      <c r="I200" s="324">
        <f>'DATA (Real)'!I196*I$4/100</f>
        <v>97.190996545795727</v>
      </c>
      <c r="J200" s="324">
        <f>'DATA (Real)'!J196*J$4/100</f>
        <v>97.019620471705963</v>
      </c>
      <c r="K200" s="324">
        <f>'DATA (Real)'!K196*K$4/100</f>
        <v>97.009984554000823</v>
      </c>
      <c r="L200" s="324">
        <f>'DATA (Real)'!L196*L$4/100</f>
        <v>97.213939547602351</v>
      </c>
      <c r="M200" s="324">
        <f>'DATA (Real)'!M196*M$4/100</f>
        <v>97.590235602248995</v>
      </c>
      <c r="N200" s="324">
        <f>'DATA (Real)'!N196*N$4/100</f>
        <v>98.07789351403926</v>
      </c>
      <c r="O200" s="324">
        <f>'DATA (Real)'!O196*O$4/100</f>
        <v>98.687433421325764</v>
      </c>
      <c r="P200" s="324">
        <f>'DATA (Real)'!P196*P$4/100</f>
        <v>99.403043164050374</v>
      </c>
      <c r="Q200" s="324">
        <f>'DATA (Real)'!Q196*Q$4/100</f>
        <v>100.21266773050286</v>
      </c>
      <c r="R200" s="324">
        <f>'DATA (Real)'!R196*R$4/100</f>
        <v>101.10695643318475</v>
      </c>
      <c r="S200" s="324">
        <f>'DATA (Real)'!S196*S$4/100</f>
        <v>102.07855416915086</v>
      </c>
      <c r="T200" s="324">
        <f>'DATA (Real)'!T196*T$4/100</f>
        <v>103.12161041819294</v>
      </c>
      <c r="U200" s="324">
        <f>'DATA (Real)'!U196*U$4/100</f>
        <v>104.23143057437267</v>
      </c>
      <c r="V200" s="324">
        <f>'DATA (Real)'!V196*V$4/100</f>
        <v>105.40422296900789</v>
      </c>
      <c r="W200" s="324">
        <f>'DATA (Real)'!W196*W$4/100</f>
        <v>106.63691182501032</v>
      </c>
      <c r="X200" s="324">
        <f>'DATA (Real)'!X196*X$4/100</f>
        <v>107.92699663073388</v>
      </c>
      <c r="Y200" s="324">
        <f>'DATA (Real)'!Y196*Y$4/100</f>
        <v>109.27244482969304</v>
      </c>
      <c r="Z200" s="324">
        <f>'DATA (Real)'!Z196*Z$4/100</f>
        <v>110.67160883593542</v>
      </c>
      <c r="AA200" s="324">
        <f>'DATA (Real)'!AA196*AA$4/100</f>
        <v>112.12316108771147</v>
      </c>
      <c r="AB200" s="324">
        <f>'DATA (Real)'!AB196*AB$4/100</f>
        <v>113.62604266575238</v>
      </c>
      <c r="AC200" s="324">
        <f>'DATA (Real)'!AC196*AC$4/100</f>
        <v>115.1794222427515</v>
      </c>
      <c r="AD200" s="324">
        <f>'DATA (Real)'!AD196*AD$4/100</f>
        <v>116.78266299353854</v>
      </c>
      <c r="AE200" s="324">
        <f>'DATA (Real)'!AE196*AE$4/100</f>
        <v>118.43529570525621</v>
      </c>
      <c r="AF200" s="324">
        <f>'DATA (Real)'!AF196*AF$4/100</f>
        <v>120.13699676405712</v>
      </c>
      <c r="AG200" s="324">
        <f>'DATA (Real)'!AG196*AG$4/100</f>
        <v>121.88757001245754</v>
      </c>
      <c r="AH200" s="324">
        <f>'DATA (Real)'!AH196*AH$4/100</f>
        <v>123.68693170505352</v>
      </c>
      <c r="AI200" s="324">
        <f>'DATA (Real)'!AI196*AI$4/100</f>
        <v>125.53509796401202</v>
      </c>
      <c r="AJ200" s="324">
        <f>'DATA (Real)'!AJ196*AJ$4/100</f>
        <v>127.43217426629838</v>
      </c>
      <c r="AK200" s="324">
        <f>'DATA (Real)'!AK196*AK$4/100</f>
        <v>0</v>
      </c>
      <c r="AL200" s="324">
        <f>'DATA (Real)'!AL196*AL$4/100</f>
        <v>0</v>
      </c>
      <c r="AM200" s="324">
        <f>'DATA (Real)'!AM196*AM$4/100</f>
        <v>0</v>
      </c>
      <c r="AN200" s="324">
        <f>'DATA (Real)'!AN196*AN$4/100</f>
        <v>0</v>
      </c>
      <c r="AO200" s="324">
        <f>'DATA (Real)'!AO196*AO$4/100</f>
        <v>0</v>
      </c>
      <c r="AP200" s="324">
        <f>'DATA (Real)'!AP196*AP$4/100</f>
        <v>0</v>
      </c>
      <c r="AQ200" s="324">
        <f>'DATA (Real)'!AQ196*AQ$4/100</f>
        <v>0</v>
      </c>
      <c r="AR200" s="324">
        <f>'DATA (Real)'!AR196*AR$4/100</f>
        <v>0</v>
      </c>
      <c r="AS200" s="324">
        <f>'DATA (Real)'!AS196*AS$4/100</f>
        <v>0</v>
      </c>
      <c r="AT200" s="324">
        <f>'DATA (Real)'!AT196*AT$4/100</f>
        <v>0</v>
      </c>
      <c r="AU200" s="324">
        <f>'DATA (Real)'!AU196*AU$4/100</f>
        <v>0</v>
      </c>
      <c r="AV200" s="324">
        <f>'DATA (Real)'!AV196*AV$4/100</f>
        <v>0</v>
      </c>
      <c r="AW200" s="324">
        <f>'DATA (Real)'!AW196*AW$4/100</f>
        <v>0</v>
      </c>
      <c r="AX200" s="324">
        <f>'DATA (Real)'!AX196*AX$4/100</f>
        <v>0</v>
      </c>
      <c r="AY200" s="324">
        <f>'DATA (Real)'!AY196*AY$4/100</f>
        <v>0</v>
      </c>
      <c r="AZ200" s="324">
        <f>'DATA (Real)'!AZ196*AZ$4/100</f>
        <v>0</v>
      </c>
      <c r="BA200" s="324">
        <f>'DATA (Real)'!BA196*BA$4/100</f>
        <v>0</v>
      </c>
      <c r="BB200" s="324">
        <f>'DATA (Real)'!BB196*BB$4/100</f>
        <v>0</v>
      </c>
      <c r="BC200" s="324">
        <f>'DATA (Real)'!BC196*BC$4/100</f>
        <v>0</v>
      </c>
      <c r="BD200" s="324">
        <f>'DATA (Real)'!BD196*BD$4/100</f>
        <v>0</v>
      </c>
      <c r="BE200" s="324">
        <f>'DATA (Real)'!BE196*BE$4/100</f>
        <v>0</v>
      </c>
      <c r="BF200" s="324">
        <f>'DATA (Real)'!BF196*BF$4/100</f>
        <v>0</v>
      </c>
      <c r="BG200" s="324">
        <f>'DATA (Real)'!BG196*BG$4/100</f>
        <v>0</v>
      </c>
      <c r="BH200" s="324">
        <f>'DATA (Real)'!BH196*BH$4/100</f>
        <v>0</v>
      </c>
      <c r="BI200" s="324">
        <f>'DATA (Real)'!BI196*BI$4/100</f>
        <v>0</v>
      </c>
      <c r="BJ200" s="324">
        <f>'DATA (Real)'!BJ196*BJ$4/100</f>
        <v>0</v>
      </c>
      <c r="BK200" s="324">
        <f>'DATA (Real)'!BK196*BK$4/100</f>
        <v>0</v>
      </c>
      <c r="BL200" s="324">
        <f>'DATA (Real)'!BL196*BL$4/100</f>
        <v>0</v>
      </c>
      <c r="BM200" s="324">
        <f>'DATA (Real)'!BM196*BM$4/100</f>
        <v>0</v>
      </c>
      <c r="BN200" s="324">
        <f>'DATA (Real)'!BN196*BN$4/100</f>
        <v>0</v>
      </c>
      <c r="BO200" s="324">
        <f>'DATA (Real)'!BO196*BO$4/100</f>
        <v>0</v>
      </c>
      <c r="BP200" s="324">
        <f>'DATA (Real)'!BP196*BP$4/100</f>
        <v>0</v>
      </c>
      <c r="BQ200" s="324">
        <f>'DATA (Real)'!BQ196*BQ$4/100</f>
        <v>0</v>
      </c>
      <c r="BR200" s="324">
        <f>'DATA (Real)'!BR196*BR$4/100</f>
        <v>0</v>
      </c>
      <c r="BS200" s="324">
        <f>'DATA (Real)'!BS196*BS$4/100</f>
        <v>0</v>
      </c>
      <c r="BT200" s="324">
        <f>'DATA (Real)'!BT196*BT$4/100</f>
        <v>0</v>
      </c>
      <c r="BU200" s="324">
        <f>'DATA (Real)'!BU196*BU$4/100</f>
        <v>0</v>
      </c>
      <c r="BV200" s="324">
        <f>'DATA (Real)'!BV196*BV$4/100</f>
        <v>0</v>
      </c>
      <c r="BW200" s="324">
        <f>'DATA (Real)'!BW196*BW$4/100</f>
        <v>0</v>
      </c>
      <c r="BX200" s="324">
        <f>'DATA (Real)'!BX196*BX$4/100</f>
        <v>0</v>
      </c>
    </row>
    <row r="201" spans="2:76" hidden="1" outlineLevel="1">
      <c r="B201" s="351" t="s">
        <v>230</v>
      </c>
      <c r="C201" s="351" t="str">
        <f>'DATA (Real)'!C197</f>
        <v>NREL Nuclear - Small Modular Reactor</v>
      </c>
      <c r="D201" s="351" t="str">
        <f>'DATA (Real)'!D197</f>
        <v>Fixed Operation and Maintenance Expenses ($/kW-yr)</v>
      </c>
      <c r="E201" s="351" t="str">
        <f>'DATA (Real)'!E197</f>
        <v>Small Modular Reactor (share)</v>
      </c>
      <c r="F201" s="314">
        <f>'DATA (Real)'!F197</f>
        <v>114</v>
      </c>
      <c r="G201" s="324">
        <f>'DATA (Real)'!G197*G$4/100</f>
        <v>116.84999999999998</v>
      </c>
      <c r="H201" s="324">
        <f>'DATA (Real)'!H197*H$4/100</f>
        <v>125.25282397540981</v>
      </c>
      <c r="I201" s="324">
        <f>'DATA (Real)'!I197*I$4/100</f>
        <v>129.22584355190983</v>
      </c>
      <c r="J201" s="324">
        <f>'DATA (Real)'!J197*J$4/100</f>
        <v>132.2656123009611</v>
      </c>
      <c r="K201" s="324">
        <f>'DATA (Real)'!K197*K$4/100</f>
        <v>135.21954430901587</v>
      </c>
      <c r="L201" s="324">
        <f>'DATA (Real)'!L197*L$4/100</f>
        <v>138.23944746525055</v>
      </c>
      <c r="M201" s="324">
        <f>'DATA (Real)'!M197*M$4/100</f>
        <v>141.32679512530783</v>
      </c>
      <c r="N201" s="324">
        <f>'DATA (Real)'!N197*N$4/100</f>
        <v>144.43598461806459</v>
      </c>
      <c r="O201" s="324">
        <f>'DATA (Real)'!O197*O$4/100</f>
        <v>147.61357627966203</v>
      </c>
      <c r="P201" s="324">
        <f>'DATA (Real)'!P197*P$4/100</f>
        <v>150.86107495781459</v>
      </c>
      <c r="Q201" s="324">
        <f>'DATA (Real)'!Q197*Q$4/100</f>
        <v>154.18001860688651</v>
      </c>
      <c r="R201" s="324">
        <f>'DATA (Real)'!R197*R$4/100</f>
        <v>157.57197901623803</v>
      </c>
      <c r="S201" s="324">
        <f>'DATA (Real)'!S197*S$4/100</f>
        <v>161.03856255459527</v>
      </c>
      <c r="T201" s="324">
        <f>'DATA (Real)'!T197*T$4/100</f>
        <v>164.58141093079632</v>
      </c>
      <c r="U201" s="324">
        <f>'DATA (Real)'!U197*U$4/100</f>
        <v>168.20220197127387</v>
      </c>
      <c r="V201" s="324">
        <f>'DATA (Real)'!V197*V$4/100</f>
        <v>171.9026504146419</v>
      </c>
      <c r="W201" s="324">
        <f>'DATA (Real)'!W197*W$4/100</f>
        <v>175.684508723764</v>
      </c>
      <c r="X201" s="324">
        <f>'DATA (Real)'!X197*X$4/100</f>
        <v>179.54956791568682</v>
      </c>
      <c r="Y201" s="324">
        <f>'DATA (Real)'!Y197*Y$4/100</f>
        <v>183.49965840983194</v>
      </c>
      <c r="Z201" s="324">
        <f>'DATA (Real)'!Z197*Z$4/100</f>
        <v>187.53665089484824</v>
      </c>
      <c r="AA201" s="324">
        <f>'DATA (Real)'!AA197*AA$4/100</f>
        <v>191.66245721453487</v>
      </c>
      <c r="AB201" s="324">
        <f>'DATA (Real)'!AB197*AB$4/100</f>
        <v>195.87903127325467</v>
      </c>
      <c r="AC201" s="324">
        <f>'DATA (Real)'!AC197*AC$4/100</f>
        <v>200.18836996126629</v>
      </c>
      <c r="AD201" s="324">
        <f>'DATA (Real)'!AD197*AD$4/100</f>
        <v>204.59251410041412</v>
      </c>
      <c r="AE201" s="324">
        <f>'DATA (Real)'!AE197*AE$4/100</f>
        <v>209.09354941062324</v>
      </c>
      <c r="AF201" s="324">
        <f>'DATA (Real)'!AF197*AF$4/100</f>
        <v>213.69360749765696</v>
      </c>
      <c r="AG201" s="324">
        <f>'DATA (Real)'!AG197*AG$4/100</f>
        <v>218.39486686260543</v>
      </c>
      <c r="AH201" s="324">
        <f>'DATA (Real)'!AH197*AH$4/100</f>
        <v>223.19955393358271</v>
      </c>
      <c r="AI201" s="324">
        <f>'DATA (Real)'!AI197*AI$4/100</f>
        <v>228.10994412012155</v>
      </c>
      <c r="AJ201" s="324">
        <f>'DATA (Real)'!AJ197*AJ$4/100</f>
        <v>233.12836289076421</v>
      </c>
      <c r="AK201" s="324">
        <f>'DATA (Real)'!AK197*AK$4/100</f>
        <v>238.25718687436103</v>
      </c>
      <c r="AL201" s="324">
        <f>'DATA (Real)'!AL197*AL$4/100</f>
        <v>243.49884498559697</v>
      </c>
      <c r="AM201" s="324">
        <f>'DATA (Real)'!AM197*AM$4/100</f>
        <v>248.85581957528015</v>
      </c>
      <c r="AN201" s="324">
        <f>'DATA (Real)'!AN197*AN$4/100</f>
        <v>254.33064760593629</v>
      </c>
      <c r="AO201" s="324">
        <f>'DATA (Real)'!AO197*AO$4/100</f>
        <v>259.92592185326686</v>
      </c>
      <c r="AP201" s="324">
        <f>'DATA (Real)'!AP197*AP$4/100</f>
        <v>265.64429213403878</v>
      </c>
      <c r="AQ201" s="324">
        <f>'DATA (Real)'!AQ197*AQ$4/100</f>
        <v>271.4884665609876</v>
      </c>
      <c r="AR201" s="324">
        <f>'DATA (Real)'!AR197*AR$4/100</f>
        <v>277.46121282532931</v>
      </c>
      <c r="AS201" s="324">
        <f>'DATA (Real)'!AS197*AS$4/100</f>
        <v>283.56535950748656</v>
      </c>
      <c r="AT201" s="324">
        <f>'DATA (Real)'!AT197*AT$4/100</f>
        <v>289.80379741665126</v>
      </c>
      <c r="AU201" s="324">
        <f>'DATA (Real)'!AU197*AU$4/100</f>
        <v>296.17948095981757</v>
      </c>
      <c r="AV201" s="324">
        <f>'DATA (Real)'!AV197*AV$4/100</f>
        <v>302.69542954093356</v>
      </c>
      <c r="AW201" s="324">
        <f>'DATA (Real)'!AW197*AW$4/100</f>
        <v>309.35472899083413</v>
      </c>
      <c r="AX201" s="324">
        <f>'DATA (Real)'!AX197*AX$4/100</f>
        <v>316.16053302863253</v>
      </c>
      <c r="AY201" s="324">
        <f>'DATA (Real)'!AY197*AY$4/100</f>
        <v>323.11606475526247</v>
      </c>
      <c r="AZ201" s="324">
        <f>'DATA (Real)'!AZ197*AZ$4/100</f>
        <v>330.22461817987823</v>
      </c>
      <c r="BA201" s="324">
        <f>'DATA (Real)'!BA197*BA$4/100</f>
        <v>337.48955977983553</v>
      </c>
      <c r="BB201" s="324">
        <f>'DATA (Real)'!BB197*BB$4/100</f>
        <v>344.91433009499195</v>
      </c>
      <c r="BC201" s="324">
        <f>'DATA (Real)'!BC197*BC$4/100</f>
        <v>352.50244535708174</v>
      </c>
      <c r="BD201" s="324">
        <f>'DATA (Real)'!BD197*BD$4/100</f>
        <v>360.25749915493753</v>
      </c>
      <c r="BE201" s="324">
        <f>'DATA (Real)'!BE197*BE$4/100</f>
        <v>368.18316413634619</v>
      </c>
      <c r="BF201" s="324">
        <f>'DATA (Real)'!BF197*BF$4/100</f>
        <v>376.28319374734582</v>
      </c>
      <c r="BG201" s="324">
        <f>'DATA (Real)'!BG197*BG$4/100</f>
        <v>384.56142400978734</v>
      </c>
      <c r="BH201" s="324">
        <f>'DATA (Real)'!BH197*BH$4/100</f>
        <v>393.02177533800273</v>
      </c>
      <c r="BI201" s="324">
        <f>'DATA (Real)'!BI197*BI$4/100</f>
        <v>401.66825439543879</v>
      </c>
      <c r="BJ201" s="324">
        <f>'DATA (Real)'!BJ197*BJ$4/100</f>
        <v>410.50495599213849</v>
      </c>
      <c r="BK201" s="324">
        <f>'DATA (Real)'!BK197*BK$4/100</f>
        <v>419.53606502396559</v>
      </c>
      <c r="BL201" s="324">
        <f>'DATA (Real)'!BL197*BL$4/100</f>
        <v>428.76585845449279</v>
      </c>
      <c r="BM201" s="324">
        <f>'DATA (Real)'!BM197*BM$4/100</f>
        <v>438.19870734049158</v>
      </c>
      <c r="BN201" s="324">
        <f>'DATA (Real)'!BN197*BN$4/100</f>
        <v>447.83907890198242</v>
      </c>
      <c r="BO201" s="324">
        <f>'DATA (Real)'!BO197*BO$4/100</f>
        <v>457.69153863782611</v>
      </c>
      <c r="BP201" s="324">
        <f>'DATA (Real)'!BP197*BP$4/100</f>
        <v>467.76075248785827</v>
      </c>
      <c r="BQ201" s="324">
        <f>'DATA (Real)'!BQ197*BQ$4/100</f>
        <v>478.05148904259113</v>
      </c>
      <c r="BR201" s="324">
        <f>'DATA (Real)'!BR197*BR$4/100</f>
        <v>488.56862180152814</v>
      </c>
      <c r="BS201" s="324">
        <f>'DATA (Real)'!BS197*BS$4/100</f>
        <v>499.31713148116177</v>
      </c>
      <c r="BT201" s="324">
        <f>'DATA (Real)'!BT197*BT$4/100</f>
        <v>510.30210837374739</v>
      </c>
      <c r="BU201" s="324">
        <f>'DATA (Real)'!BU197*BU$4/100</f>
        <v>521.52875475796986</v>
      </c>
      <c r="BV201" s="324">
        <f>'DATA (Real)'!BV197*BV$4/100</f>
        <v>533.00238736264521</v>
      </c>
      <c r="BW201" s="324">
        <f>'DATA (Real)'!BW197*BW$4/100</f>
        <v>544.72843988462341</v>
      </c>
      <c r="BX201" s="324">
        <f>'DATA (Real)'!BX197*BX$4/100</f>
        <v>556.71246556208507</v>
      </c>
    </row>
    <row r="202" spans="2:76" hidden="1" outlineLevel="1">
      <c r="B202" s="351" t="s">
        <v>230</v>
      </c>
      <c r="C202" s="351" t="str">
        <f>'DATA (Real)'!C198</f>
        <v>NREL Geothermal - Hydro / Flash</v>
      </c>
      <c r="D202" s="351" t="str">
        <f>'DATA (Real)'!D198</f>
        <v>Fixed Operation and Maintenance Expenses ($/kW-yr)</v>
      </c>
      <c r="E202" s="351" t="str">
        <f>'DATA (Real)'!E198</f>
        <v>Geothermal (Off System)</v>
      </c>
      <c r="F202" s="314">
        <f>'DATA (Real)'!F198</f>
        <v>107.38936857780548</v>
      </c>
      <c r="G202" s="324">
        <f>'DATA (Real)'!G198*G$4/100</f>
        <v>109.24742565555574</v>
      </c>
      <c r="H202" s="324">
        <f>'DATA (Real)'!H198*H$4/100</f>
        <v>116.21741488673561</v>
      </c>
      <c r="I202" s="324">
        <f>'DATA (Real)'!I198*I$4/100</f>
        <v>118.98959893491487</v>
      </c>
      <c r="J202" s="324">
        <f>'DATA (Real)'!J198*J$4/100</f>
        <v>120.85284359140222</v>
      </c>
      <c r="K202" s="324">
        <f>'DATA (Real)'!K198*K$4/100</f>
        <v>122.59525452476755</v>
      </c>
      <c r="L202" s="324">
        <f>'DATA (Real)'!L198*L$4/100</f>
        <v>124.35521443372524</v>
      </c>
      <c r="M202" s="324">
        <f>'DATA (Real)'!M198*M$4/100</f>
        <v>126.13263809666506</v>
      </c>
      <c r="N202" s="324">
        <f>'DATA (Real)'!N198*N$4/100</f>
        <v>127.88571680060457</v>
      </c>
      <c r="O202" s="324">
        <f>'DATA (Real)'!O198*O$4/100</f>
        <v>129.65488277067863</v>
      </c>
      <c r="P202" s="324">
        <f>'DATA (Real)'!P198*P$4/100</f>
        <v>131.43999535650454</v>
      </c>
      <c r="Q202" s="324">
        <f>'DATA (Real)'!Q198*Q$4/100</f>
        <v>134.3316752543476</v>
      </c>
      <c r="R202" s="324">
        <f>'DATA (Real)'!R198*R$4/100</f>
        <v>137.28697210994326</v>
      </c>
      <c r="S202" s="324">
        <f>'DATA (Real)'!S198*S$4/100</f>
        <v>140.30728549636203</v>
      </c>
      <c r="T202" s="324">
        <f>'DATA (Real)'!T198*T$4/100</f>
        <v>143.394045777282</v>
      </c>
      <c r="U202" s="324">
        <f>'DATA (Real)'!U198*U$4/100</f>
        <v>146.54871478438218</v>
      </c>
      <c r="V202" s="324">
        <f>'DATA (Real)'!V198*V$4/100</f>
        <v>149.77278650963862</v>
      </c>
      <c r="W202" s="324">
        <f>'DATA (Real)'!W198*W$4/100</f>
        <v>153.06778781285064</v>
      </c>
      <c r="X202" s="324">
        <f>'DATA (Real)'!X198*X$4/100</f>
        <v>156.43527914473339</v>
      </c>
      <c r="Y202" s="324">
        <f>'DATA (Real)'!Y198*Y$4/100</f>
        <v>159.87685528591749</v>
      </c>
      <c r="Z202" s="324">
        <f>'DATA (Real)'!Z198*Z$4/100</f>
        <v>163.39414610220771</v>
      </c>
      <c r="AA202" s="324">
        <f>'DATA (Real)'!AA198*AA$4/100</f>
        <v>166.98881731645625</v>
      </c>
      <c r="AB202" s="324">
        <f>'DATA (Real)'!AB198*AB$4/100</f>
        <v>170.66257129741828</v>
      </c>
      <c r="AC202" s="324">
        <f>'DATA (Real)'!AC198*AC$4/100</f>
        <v>174.41714786596148</v>
      </c>
      <c r="AD202" s="324">
        <f>'DATA (Real)'!AD198*AD$4/100</f>
        <v>178.25432511901263</v>
      </c>
      <c r="AE202" s="324">
        <f>'DATA (Real)'!AE198*AE$4/100</f>
        <v>182.17592027163093</v>
      </c>
      <c r="AF202" s="324">
        <f>'DATA (Real)'!AF198*AF$4/100</f>
        <v>186.18379051760678</v>
      </c>
      <c r="AG202" s="324">
        <f>'DATA (Real)'!AG198*AG$4/100</f>
        <v>190.27983390899416</v>
      </c>
      <c r="AH202" s="324">
        <f>'DATA (Real)'!AH198*AH$4/100</f>
        <v>194.46599025499202</v>
      </c>
      <c r="AI202" s="324">
        <f>'DATA (Real)'!AI198*AI$4/100</f>
        <v>198.74424204060185</v>
      </c>
      <c r="AJ202" s="324">
        <f>'DATA (Real)'!AJ198*AJ$4/100</f>
        <v>203.11661536549508</v>
      </c>
      <c r="AK202" s="324">
        <f>'DATA (Real)'!AK198*AK$4/100</f>
        <v>207.58518090353598</v>
      </c>
      <c r="AL202" s="324">
        <f>'DATA (Real)'!AL198*AL$4/100</f>
        <v>212.1520548834138</v>
      </c>
      <c r="AM202" s="324">
        <f>'DATA (Real)'!AM198*AM$4/100</f>
        <v>216.81940009084892</v>
      </c>
      <c r="AN202" s="324">
        <f>'DATA (Real)'!AN198*AN$4/100</f>
        <v>221.5894268928476</v>
      </c>
      <c r="AO202" s="324">
        <f>'DATA (Real)'!AO198*AO$4/100</f>
        <v>226.46439428449023</v>
      </c>
      <c r="AP202" s="324">
        <f>'DATA (Real)'!AP198*AP$4/100</f>
        <v>231.44661095874901</v>
      </c>
      <c r="AQ202" s="324">
        <f>'DATA (Real)'!AQ198*AQ$4/100</f>
        <v>236.53843639984149</v>
      </c>
      <c r="AR202" s="324">
        <f>'DATA (Real)'!AR198*AR$4/100</f>
        <v>241.742282000638</v>
      </c>
      <c r="AS202" s="324">
        <f>'DATA (Real)'!AS198*AS$4/100</f>
        <v>247.06061220465202</v>
      </c>
      <c r="AT202" s="324">
        <f>'DATA (Real)'!AT198*AT$4/100</f>
        <v>252.49594567315438</v>
      </c>
      <c r="AU202" s="324">
        <f>'DATA (Real)'!AU198*AU$4/100</f>
        <v>258.05085647796375</v>
      </c>
      <c r="AV202" s="324">
        <f>'DATA (Real)'!AV198*AV$4/100</f>
        <v>263.72797532047895</v>
      </c>
      <c r="AW202" s="324">
        <f>'DATA (Real)'!AW198*AW$4/100</f>
        <v>269.52999077752952</v>
      </c>
      <c r="AX202" s="324">
        <f>'DATA (Real)'!AX198*AX$4/100</f>
        <v>275.45965057463519</v>
      </c>
      <c r="AY202" s="324">
        <f>'DATA (Real)'!AY198*AY$4/100</f>
        <v>281.51976288727718</v>
      </c>
      <c r="AZ202" s="324">
        <f>'DATA (Real)'!AZ198*AZ$4/100</f>
        <v>287.71319767079729</v>
      </c>
      <c r="BA202" s="324">
        <f>'DATA (Real)'!BA198*BA$4/100</f>
        <v>294.04288801955482</v>
      </c>
      <c r="BB202" s="324">
        <f>'DATA (Real)'!BB198*BB$4/100</f>
        <v>300.51183155598505</v>
      </c>
      <c r="BC202" s="324">
        <f>'DATA (Real)'!BC198*BC$4/100</f>
        <v>307.12309185021672</v>
      </c>
      <c r="BD202" s="324">
        <f>'DATA (Real)'!BD198*BD$4/100</f>
        <v>313.87979987092143</v>
      </c>
      <c r="BE202" s="324">
        <f>'DATA (Real)'!BE198*BE$4/100</f>
        <v>320.78515546808171</v>
      </c>
      <c r="BF202" s="324">
        <f>'DATA (Real)'!BF198*BF$4/100</f>
        <v>327.84242888837952</v>
      </c>
      <c r="BG202" s="324">
        <f>'DATA (Real)'!BG198*BG$4/100</f>
        <v>335.0549623239238</v>
      </c>
      <c r="BH202" s="324">
        <f>'DATA (Real)'!BH198*BH$4/100</f>
        <v>342.4261714950502</v>
      </c>
      <c r="BI202" s="324">
        <f>'DATA (Real)'!BI198*BI$4/100</f>
        <v>349.95954726794133</v>
      </c>
      <c r="BJ202" s="324">
        <f>'DATA (Real)'!BJ198*BJ$4/100</f>
        <v>357.65865730783605</v>
      </c>
      <c r="BK202" s="324">
        <f>'DATA (Real)'!BK198*BK$4/100</f>
        <v>365.52714776860847</v>
      </c>
      <c r="BL202" s="324">
        <f>'DATA (Real)'!BL198*BL$4/100</f>
        <v>373.56874501951779</v>
      </c>
      <c r="BM202" s="324">
        <f>'DATA (Real)'!BM198*BM$4/100</f>
        <v>381.78725740994719</v>
      </c>
      <c r="BN202" s="324">
        <f>'DATA (Real)'!BN198*BN$4/100</f>
        <v>390.18657707296609</v>
      </c>
      <c r="BO202" s="324">
        <f>'DATA (Real)'!BO198*BO$4/100</f>
        <v>398.77068176857136</v>
      </c>
      <c r="BP202" s="324">
        <f>'DATA (Real)'!BP198*BP$4/100</f>
        <v>407.54363676747994</v>
      </c>
      <c r="BQ202" s="324">
        <f>'DATA (Real)'!BQ198*BQ$4/100</f>
        <v>416.5095967763645</v>
      </c>
      <c r="BR202" s="324">
        <f>'DATA (Real)'!BR198*BR$4/100</f>
        <v>425.67280790544447</v>
      </c>
      <c r="BS202" s="324">
        <f>'DATA (Real)'!BS198*BS$4/100</f>
        <v>435.03760967936432</v>
      </c>
      <c r="BT202" s="324">
        <f>'DATA (Real)'!BT198*BT$4/100</f>
        <v>444.60843709231034</v>
      </c>
      <c r="BU202" s="324">
        <f>'DATA (Real)'!BU198*BU$4/100</f>
        <v>454.38982270834123</v>
      </c>
      <c r="BV202" s="324">
        <f>'DATA (Real)'!BV198*BV$4/100</f>
        <v>464.38639880792471</v>
      </c>
      <c r="BW202" s="324">
        <f>'DATA (Real)'!BW198*BW$4/100</f>
        <v>474.60289958169909</v>
      </c>
      <c r="BX202" s="324">
        <f>'DATA (Real)'!BX198*BX$4/100</f>
        <v>485.04416337249648</v>
      </c>
    </row>
    <row r="203" spans="2:76" hidden="1" outlineLevel="1">
      <c r="B203" s="353" t="s">
        <v>230</v>
      </c>
      <c r="C203" s="353" t="str">
        <f>'DATA (Real)'!C199</f>
        <v>Internal</v>
      </c>
      <c r="D203" s="353" t="str">
        <f>'DATA (Real)'!D199</f>
        <v>Fixed Operation and Maintenance Expenses ($/kW-yr)</v>
      </c>
      <c r="E203" s="353" t="str">
        <f>'DATA (Real)'!E199</f>
        <v>7F.04 CT Frame Greenfield</v>
      </c>
      <c r="F203" s="314"/>
      <c r="G203" s="314"/>
      <c r="H203" s="314">
        <f>'DATA (Real)'!H199</f>
        <v>5.0266500000000001</v>
      </c>
      <c r="I203" s="324">
        <f>'DATA (Real)'!I199*I$4/$H$4</f>
        <v>5.1860953379999994</v>
      </c>
      <c r="J203" s="324">
        <f>'DATA (Real)'!J199*J$4/$H$4</f>
        <v>5.3080874264611619</v>
      </c>
      <c r="K203" s="324">
        <f>'DATA (Real)'!K199*K$4/$H$4</f>
        <v>5.4266347123187941</v>
      </c>
      <c r="L203" s="324">
        <f>'DATA (Real)'!L199*L$4/$H$4</f>
        <v>5.5478295542272473</v>
      </c>
      <c r="M203" s="324">
        <f>'DATA (Real)'!M199*M$4/$H$4</f>
        <v>5.671731080938323</v>
      </c>
      <c r="N203" s="324">
        <f>'DATA (Real)'!N199*N$4/$H$4</f>
        <v>5.7965091647189659</v>
      </c>
      <c r="O203" s="324">
        <f>'DATA (Real)'!O199*O$4/$H$4</f>
        <v>5.9240323663427832</v>
      </c>
      <c r="P203" s="324">
        <f>'DATA (Real)'!P199*P$4/$H$4</f>
        <v>6.0543610784023247</v>
      </c>
      <c r="Q203" s="324">
        <f>'DATA (Real)'!Q199*Q$4/$H$4</f>
        <v>6.1875570221271756</v>
      </c>
      <c r="R203" s="324">
        <f>'DATA (Real)'!R199*R$4/$H$4</f>
        <v>6.3236832766139743</v>
      </c>
      <c r="S203" s="324">
        <f>'DATA (Real)'!S199*S$4/$H$4</f>
        <v>6.4628043086994813</v>
      </c>
      <c r="T203" s="324">
        <f>'DATA (Real)'!T199*T$4/$H$4</f>
        <v>6.6049860034908701</v>
      </c>
      <c r="U203" s="324">
        <f>'DATA (Real)'!U199*U$4/$H$4</f>
        <v>6.7502956955676687</v>
      </c>
      <c r="V203" s="324">
        <f>'DATA (Real)'!V199*V$4/$H$4</f>
        <v>6.8988022008701568</v>
      </c>
      <c r="W203" s="324">
        <f>'DATA (Real)'!W199*W$4/$H$4</f>
        <v>7.0505758492893005</v>
      </c>
      <c r="X203" s="324">
        <f>'DATA (Real)'!X199*X$4/$H$4</f>
        <v>7.2056885179736661</v>
      </c>
      <c r="Y203" s="324">
        <f>'DATA (Real)'!Y199*Y$4/$H$4</f>
        <v>7.3642136653690864</v>
      </c>
      <c r="Z203" s="324">
        <f>'DATA (Real)'!Z199*Z$4/$H$4</f>
        <v>7.5262263660072062</v>
      </c>
      <c r="AA203" s="324">
        <f>'DATA (Real)'!AA199*AA$4/$H$4</f>
        <v>7.6918033460593644</v>
      </c>
      <c r="AB203" s="324">
        <f>'DATA (Real)'!AB199*AB$4/$H$4</f>
        <v>7.8610230196726709</v>
      </c>
      <c r="AC203" s="324">
        <f>'DATA (Real)'!AC199*AC$4/$H$4</f>
        <v>8.0339655261054705</v>
      </c>
      <c r="AD203" s="324">
        <f>'DATA (Real)'!AD199*AD$4/$H$4</f>
        <v>8.2107127676797891</v>
      </c>
      <c r="AE203" s="324">
        <f>'DATA (Real)'!AE199*AE$4/$H$4</f>
        <v>8.3913484485687455</v>
      </c>
      <c r="AF203" s="324">
        <f>'DATA (Real)'!AF199*AF$4/$H$4</f>
        <v>8.5759581144372579</v>
      </c>
      <c r="AG203" s="324">
        <f>'DATA (Real)'!AG199*AG$4/$H$4</f>
        <v>8.7646291929548781</v>
      </c>
      <c r="AH203" s="324">
        <f>'DATA (Real)'!AH199*AH$4/$H$4</f>
        <v>8.9574510351998846</v>
      </c>
      <c r="AI203" s="324">
        <f>'DATA (Real)'!AI199*AI$4/$H$4</f>
        <v>9.1545149579742837</v>
      </c>
      <c r="AJ203" s="324">
        <f>'DATA (Real)'!AJ199*AJ$4/$H$4</f>
        <v>9.3559142870497158</v>
      </c>
      <c r="AK203" s="324">
        <f>'DATA (Real)'!AK199*AK$4/$H$4</f>
        <v>9.5617444013648107</v>
      </c>
      <c r="AL203" s="324">
        <f>'DATA (Real)'!AL199*AL$4/$H$4</f>
        <v>9.7721027781948351</v>
      </c>
      <c r="AM203" s="324">
        <f>'DATA (Real)'!AM199*AM$4/$H$4</f>
        <v>9.9870890393151246</v>
      </c>
      <c r="AN203" s="324">
        <f>'DATA (Real)'!AN199*AN$4/$H$4</f>
        <v>10.206804998180056</v>
      </c>
      <c r="AO203" s="324">
        <f>'DATA (Real)'!AO199*AO$4/$H$4</f>
        <v>10.431354708140018</v>
      </c>
      <c r="AP203" s="324">
        <f>'DATA (Real)'!AP199*AP$4/$H$4</f>
        <v>10.660844511719096</v>
      </c>
      <c r="AQ203" s="324">
        <f>'DATA (Real)'!AQ199*AQ$4/$H$4</f>
        <v>10.895383090976917</v>
      </c>
      <c r="AR203" s="324">
        <f>'DATA (Real)'!AR199*AR$4/$H$4</f>
        <v>11.135081518978408</v>
      </c>
      <c r="AS203" s="324">
        <f>'DATA (Real)'!AS199*AS$4/$H$4</f>
        <v>11.380053312395935</v>
      </c>
      <c r="AT203" s="324">
        <f>'DATA (Real)'!AT199*AT$4/$H$4</f>
        <v>11.630414485268645</v>
      </c>
      <c r="AU203" s="324">
        <f>'DATA (Real)'!AU199*AU$4/$H$4</f>
        <v>11.886283603944554</v>
      </c>
      <c r="AV203" s="324">
        <f>'DATA (Real)'!AV199*AV$4/$H$4</f>
        <v>12.147781843231336</v>
      </c>
      <c r="AW203" s="324">
        <f>'DATA (Real)'!AW199*AW$4/$H$4</f>
        <v>12.415033043782426</v>
      </c>
      <c r="AX203" s="324">
        <f>'DATA (Real)'!AX199*AX$4/$H$4</f>
        <v>12.688163770745641</v>
      </c>
      <c r="AY203" s="324">
        <f>'DATA (Real)'!AY199*AY$4/$H$4</f>
        <v>12.967303373702045</v>
      </c>
      <c r="AZ203" s="324">
        <f>'DATA (Real)'!AZ199*AZ$4/$H$4</f>
        <v>13.252584047923488</v>
      </c>
      <c r="BA203" s="324">
        <f>'DATA (Real)'!BA199*BA$4/$H$4</f>
        <v>13.544140896977806</v>
      </c>
      <c r="BB203" s="324">
        <f>'DATA (Real)'!BB199*BB$4/$H$4</f>
        <v>13.842111996711319</v>
      </c>
      <c r="BC203" s="324">
        <f>'DATA (Real)'!BC199*BC$4/$H$4</f>
        <v>14.146638460638966</v>
      </c>
      <c r="BD203" s="324">
        <f>'DATA (Real)'!BD199*BD$4/$H$4</f>
        <v>14.457864506773022</v>
      </c>
      <c r="BE203" s="324">
        <f>'DATA (Real)'!BE199*BE$4/$H$4</f>
        <v>14.775937525922028</v>
      </c>
      <c r="BF203" s="324">
        <f>'DATA (Real)'!BF199*BF$4/$H$4</f>
        <v>15.101008151492314</v>
      </c>
      <c r="BG203" s="324">
        <f>'DATA (Real)'!BG199*BG$4/$H$4</f>
        <v>15.433230330825145</v>
      </c>
      <c r="BH203" s="324">
        <f>'DATA (Real)'!BH199*BH$4/$H$4</f>
        <v>15.772761398103299</v>
      </c>
      <c r="BI203" s="324">
        <f>'DATA (Real)'!BI199*BI$4/$H$4</f>
        <v>16.119762148861572</v>
      </c>
      <c r="BJ203" s="324">
        <f>'DATA (Real)'!BJ199*BJ$4/$H$4</f>
        <v>16.474396916136527</v>
      </c>
      <c r="BK203" s="324">
        <f>'DATA (Real)'!BK199*BK$4/$H$4</f>
        <v>16.836833648291531</v>
      </c>
      <c r="BL203" s="324">
        <f>'DATA (Real)'!BL199*BL$4/$H$4</f>
        <v>17.207243988553945</v>
      </c>
      <c r="BM203" s="324">
        <f>'DATA (Real)'!BM199*BM$4/$H$4</f>
        <v>17.585803356302133</v>
      </c>
      <c r="BN203" s="324">
        <f>'DATA (Real)'!BN199*BN$4/$H$4</f>
        <v>17.97269103014078</v>
      </c>
      <c r="BO203" s="324">
        <f>'DATA (Real)'!BO199*BO$4/$H$4</f>
        <v>18.368090232803876</v>
      </c>
      <c r="BP203" s="324">
        <f>'DATA (Real)'!BP199*BP$4/$H$4</f>
        <v>18.772188217925564</v>
      </c>
      <c r="BQ203" s="324">
        <f>'DATA (Real)'!BQ199*BQ$4/$H$4</f>
        <v>19.185176358719929</v>
      </c>
      <c r="BR203" s="324">
        <f>'DATA (Real)'!BR199*BR$4/$H$4</f>
        <v>19.607250238611766</v>
      </c>
      <c r="BS203" s="324">
        <f>'DATA (Real)'!BS199*BS$4/$H$4</f>
        <v>20.038609743861223</v>
      </c>
      <c r="BT203" s="324">
        <f>'DATA (Real)'!BT199*BT$4/$H$4</f>
        <v>20.479459158226174</v>
      </c>
      <c r="BU203" s="324">
        <f>'DATA (Real)'!BU199*BU$4/$H$4</f>
        <v>20.93000725970715</v>
      </c>
      <c r="BV203" s="324">
        <f>'DATA (Real)'!BV199*BV$4/$H$4</f>
        <v>21.390467419420709</v>
      </c>
      <c r="BW203" s="324">
        <f>'DATA (Real)'!BW199*BW$4/$H$4</f>
        <v>21.861057702647965</v>
      </c>
      <c r="BX203" s="324">
        <f>'DATA (Real)'!BX199*BX$4/$H$4</f>
        <v>22.34200097210622</v>
      </c>
    </row>
    <row r="204" spans="2:76" hidden="1" outlineLevel="1">
      <c r="B204" s="353" t="s">
        <v>230</v>
      </c>
      <c r="C204" s="353" t="str">
        <f>'DATA (Real)'!C200</f>
        <v>Internal</v>
      </c>
      <c r="D204" s="353" t="str">
        <f>'DATA (Real)'!D200</f>
        <v>Fixed Operation and Maintenance Expenses ($/kW-yr)</v>
      </c>
      <c r="E204" s="353" t="str">
        <f>'DATA (Real)'!E200</f>
        <v>Reciprocating Engine (ICE) Machine</v>
      </c>
      <c r="F204" s="314"/>
      <c r="G204" s="314"/>
      <c r="H204" s="314">
        <f>'DATA (Real)'!H200</f>
        <v>4.9909999999999997</v>
      </c>
      <c r="I204" s="324">
        <f>'DATA (Real)'!I200*I$4/$H$4</f>
        <v>5.1493145199999999</v>
      </c>
      <c r="J204" s="324">
        <f>'DATA (Real)'!J200*J$4/$H$4</f>
        <v>5.2704414163444158</v>
      </c>
      <c r="K204" s="324">
        <f>'DATA (Real)'!K200*K$4/$H$4</f>
        <v>5.3881479413094411</v>
      </c>
      <c r="L204" s="324">
        <f>'DATA (Real)'!L200*L$4/$H$4</f>
        <v>5.5084832453320178</v>
      </c>
      <c r="M204" s="324">
        <f>'DATA (Real)'!M200*M$4/$H$4</f>
        <v>5.6315060378110999</v>
      </c>
      <c r="N204" s="324">
        <f>'DATA (Real)'!N200*N$4/$H$4</f>
        <v>5.7553991706429439</v>
      </c>
      <c r="O204" s="324">
        <f>'DATA (Real)'!O200*O$4/$H$4</f>
        <v>5.8820179523970895</v>
      </c>
      <c r="P204" s="324">
        <f>'DATA (Real)'!P200*P$4/$H$4</f>
        <v>6.0114223473498258</v>
      </c>
      <c r="Q204" s="324">
        <f>'DATA (Real)'!Q200*Q$4/$H$4</f>
        <v>6.1436736389915216</v>
      </c>
      <c r="R204" s="324">
        <f>'DATA (Real)'!R200*R$4/$H$4</f>
        <v>6.2788344590493352</v>
      </c>
      <c r="S204" s="324">
        <f>'DATA (Real)'!S200*S$4/$H$4</f>
        <v>6.4169688171484207</v>
      </c>
      <c r="T204" s="324">
        <f>'DATA (Real)'!T200*T$4/$H$4</f>
        <v>6.5581421311256864</v>
      </c>
      <c r="U204" s="324">
        <f>'DATA (Real)'!U200*U$4/$H$4</f>
        <v>6.7024212580104505</v>
      </c>
      <c r="V204" s="324">
        <f>'DATA (Real)'!V200*V$4/$H$4</f>
        <v>6.8498745256866806</v>
      </c>
      <c r="W204" s="324">
        <f>'DATA (Real)'!W200*W$4/$H$4</f>
        <v>7.0005717652517871</v>
      </c>
      <c r="X204" s="324">
        <f>'DATA (Real)'!X200*X$4/$H$4</f>
        <v>7.1545843440873274</v>
      </c>
      <c r="Y204" s="324">
        <f>'DATA (Real)'!Y200*Y$4/$H$4</f>
        <v>7.3119851996572489</v>
      </c>
      <c r="Z204" s="324">
        <f>'DATA (Real)'!Z200*Z$4/$H$4</f>
        <v>7.4728488740497081</v>
      </c>
      <c r="AA204" s="324">
        <f>'DATA (Real)'!AA200*AA$4/$H$4</f>
        <v>7.6372515492788011</v>
      </c>
      <c r="AB204" s="324">
        <f>'DATA (Real)'!AB200*AB$4/$H$4</f>
        <v>7.8052710833629355</v>
      </c>
      <c r="AC204" s="324">
        <f>'DATA (Real)'!AC200*AC$4/$H$4</f>
        <v>7.9769870471969195</v>
      </c>
      <c r="AD204" s="324">
        <f>'DATA (Real)'!AD200*AD$4/$H$4</f>
        <v>8.1524807622352515</v>
      </c>
      <c r="AE204" s="324">
        <f>'DATA (Real)'!AE200*AE$4/$H$4</f>
        <v>8.331835339004428</v>
      </c>
      <c r="AF204" s="324">
        <f>'DATA (Real)'!AF200*AF$4/$H$4</f>
        <v>8.5151357164625239</v>
      </c>
      <c r="AG204" s="324">
        <f>'DATA (Real)'!AG200*AG$4/$H$4</f>
        <v>8.7024687022247011</v>
      </c>
      <c r="AH204" s="324">
        <f>'DATA (Real)'!AH200*AH$4/$H$4</f>
        <v>8.8939230136736445</v>
      </c>
      <c r="AI204" s="324">
        <f>'DATA (Real)'!AI200*AI$4/$H$4</f>
        <v>9.0895893199744648</v>
      </c>
      <c r="AJ204" s="324">
        <f>'DATA (Real)'!AJ200*AJ$4/$H$4</f>
        <v>9.2895602850139021</v>
      </c>
      <c r="AK204" s="324">
        <f>'DATA (Real)'!AK200*AK$4/$H$4</f>
        <v>9.4939306112842061</v>
      </c>
      <c r="AL204" s="324">
        <f>'DATA (Real)'!AL200*AL$4/$H$4</f>
        <v>9.7027970847324596</v>
      </c>
      <c r="AM204" s="324">
        <f>'DATA (Real)'!AM200*AM$4/$H$4</f>
        <v>9.9162586205965759</v>
      </c>
      <c r="AN204" s="324">
        <f>'DATA (Real)'!AN200*AN$4/$H$4</f>
        <v>10.1344163102497</v>
      </c>
      <c r="AO204" s="324">
        <f>'DATA (Real)'!AO200*AO$4/$H$4</f>
        <v>10.357373469075194</v>
      </c>
      <c r="AP204" s="324">
        <f>'DATA (Real)'!AP200*AP$4/$H$4</f>
        <v>10.585235685394847</v>
      </c>
      <c r="AQ204" s="324">
        <f>'DATA (Real)'!AQ200*AQ$4/$H$4</f>
        <v>10.818110870473534</v>
      </c>
      <c r="AR204" s="324">
        <f>'DATA (Real)'!AR200*AR$4/$H$4</f>
        <v>11.056109309623952</v>
      </c>
      <c r="AS204" s="324">
        <f>'DATA (Real)'!AS200*AS$4/$H$4</f>
        <v>11.299343714435679</v>
      </c>
      <c r="AT204" s="324">
        <f>'DATA (Real)'!AT200*AT$4/$H$4</f>
        <v>11.547929276153262</v>
      </c>
      <c r="AU204" s="324">
        <f>'DATA (Real)'!AU200*AU$4/$H$4</f>
        <v>11.801983720228634</v>
      </c>
      <c r="AV204" s="324">
        <f>'DATA (Real)'!AV200*AV$4/$H$4</f>
        <v>12.061627362073665</v>
      </c>
      <c r="AW204" s="324">
        <f>'DATA (Real)'!AW200*AW$4/$H$4</f>
        <v>12.326983164039287</v>
      </c>
      <c r="AX204" s="324">
        <f>'DATA (Real)'!AX200*AX$4/$H$4</f>
        <v>12.598176793648152</v>
      </c>
      <c r="AY204" s="324">
        <f>'DATA (Real)'!AY200*AY$4/$H$4</f>
        <v>12.875336683108412</v>
      </c>
      <c r="AZ204" s="324">
        <f>'DATA (Real)'!AZ200*AZ$4/$H$4</f>
        <v>13.158594090136797</v>
      </c>
      <c r="BA204" s="324">
        <f>'DATA (Real)'!BA200*BA$4/$H$4</f>
        <v>13.448083160119806</v>
      </c>
      <c r="BB204" s="324">
        <f>'DATA (Real)'!BB200*BB$4/$H$4</f>
        <v>13.743940989642443</v>
      </c>
      <c r="BC204" s="324">
        <f>'DATA (Real)'!BC200*BC$4/$H$4</f>
        <v>14.046307691414576</v>
      </c>
      <c r="BD204" s="324">
        <f>'DATA (Real)'!BD200*BD$4/$H$4</f>
        <v>14.355326460625696</v>
      </c>
      <c r="BE204" s="324">
        <f>'DATA (Real)'!BE200*BE$4/$H$4</f>
        <v>14.671143642759461</v>
      </c>
      <c r="BF204" s="324">
        <f>'DATA (Real)'!BF200*BF$4/$H$4</f>
        <v>14.993908802900169</v>
      </c>
      <c r="BG204" s="324">
        <f>'DATA (Real)'!BG200*BG$4/$H$4</f>
        <v>15.323774796563972</v>
      </c>
      <c r="BH204" s="324">
        <f>'DATA (Real)'!BH200*BH$4/$H$4</f>
        <v>15.660897842088382</v>
      </c>
      <c r="BI204" s="324">
        <f>'DATA (Real)'!BI200*BI$4/$H$4</f>
        <v>16.005437594614325</v>
      </c>
      <c r="BJ204" s="324">
        <f>'DATA (Real)'!BJ200*BJ$4/$H$4</f>
        <v>16.357557221695842</v>
      </c>
      <c r="BK204" s="324">
        <f>'DATA (Real)'!BK200*BK$4/$H$4</f>
        <v>16.717423480573153</v>
      </c>
      <c r="BL204" s="324">
        <f>'DATA (Real)'!BL200*BL$4/$H$4</f>
        <v>17.085206797145759</v>
      </c>
      <c r="BM204" s="324">
        <f>'DATA (Real)'!BM200*BM$4/$H$4</f>
        <v>17.461081346682967</v>
      </c>
      <c r="BN204" s="324">
        <f>'DATA (Real)'!BN200*BN$4/$H$4</f>
        <v>17.845225136309992</v>
      </c>
      <c r="BO204" s="324">
        <f>'DATA (Real)'!BO200*BO$4/$H$4</f>
        <v>18.237820089308816</v>
      </c>
      <c r="BP204" s="324">
        <f>'DATA (Real)'!BP200*BP$4/$H$4</f>
        <v>18.639052131273608</v>
      </c>
      <c r="BQ204" s="324">
        <f>'DATA (Real)'!BQ200*BQ$4/$H$4</f>
        <v>19.049111278161625</v>
      </c>
      <c r="BR204" s="324">
        <f>'DATA (Real)'!BR200*BR$4/$H$4</f>
        <v>19.468191726281184</v>
      </c>
      <c r="BS204" s="324">
        <f>'DATA (Real)'!BS200*BS$4/$H$4</f>
        <v>19.89649194425937</v>
      </c>
      <c r="BT204" s="324">
        <f>'DATA (Real)'!BT200*BT$4/$H$4</f>
        <v>20.334214767033078</v>
      </c>
      <c r="BU204" s="324">
        <f>'DATA (Real)'!BU200*BU$4/$H$4</f>
        <v>20.781567491907808</v>
      </c>
      <c r="BV204" s="324">
        <f>'DATA (Real)'!BV200*BV$4/$H$4</f>
        <v>21.23876197672978</v>
      </c>
      <c r="BW204" s="324">
        <f>'DATA (Real)'!BW200*BW$4/$H$4</f>
        <v>21.706014740217835</v>
      </c>
      <c r="BX204" s="324">
        <f>'DATA (Real)'!BX200*BX$4/$H$4</f>
        <v>22.18354706450263</v>
      </c>
    </row>
    <row r="205" spans="2:76" hidden="1" outlineLevel="1">
      <c r="B205" s="353" t="s">
        <v>230</v>
      </c>
      <c r="C205" s="353" t="str">
        <f>'DATA (Real)'!C201</f>
        <v>Internal</v>
      </c>
      <c r="D205" s="353" t="str">
        <f>'DATA (Real)'!D201</f>
        <v>Fixed Operation and Maintenance Expenses ($/kW-yr)</v>
      </c>
      <c r="E205" s="353" t="str">
        <f>'DATA (Real)'!E201</f>
        <v>NG CCCT (1x1 w/DF)</v>
      </c>
      <c r="F205" s="314"/>
      <c r="G205" s="314"/>
      <c r="H205" s="314">
        <f>'DATA (Real)'!H201</f>
        <v>29.554999999999996</v>
      </c>
      <c r="I205" s="324">
        <f>'DATA (Real)'!I201*I$4/$H$4</f>
        <v>30.492484599999997</v>
      </c>
      <c r="J205" s="324">
        <f>'DATA (Real)'!J201*J$4/$H$4</f>
        <v>31.20975677420541</v>
      </c>
      <c r="K205" s="324">
        <f>'DATA (Real)'!K201*K$4/$H$4</f>
        <v>31.906774675495999</v>
      </c>
      <c r="L205" s="324">
        <f>'DATA (Real)'!L201*L$4/$H$4</f>
        <v>32.619359309915403</v>
      </c>
      <c r="M205" s="324">
        <f>'DATA (Real)'!M201*M$4/$H$4</f>
        <v>33.347858334503513</v>
      </c>
      <c r="N205" s="324">
        <f>'DATA (Real)'!N201*N$4/$H$4</f>
        <v>34.081511217862598</v>
      </c>
      <c r="O205" s="324">
        <f>'DATA (Real)'!O201*O$4/$H$4</f>
        <v>34.831304464655574</v>
      </c>
      <c r="P205" s="324">
        <f>'DATA (Real)'!P201*P$4/$H$4</f>
        <v>35.597593162877992</v>
      </c>
      <c r="Q205" s="324">
        <f>'DATA (Real)'!Q201*Q$4/$H$4</f>
        <v>36.380740212461312</v>
      </c>
      <c r="R205" s="324">
        <f>'DATA (Real)'!R201*R$4/$H$4</f>
        <v>37.181116497135463</v>
      </c>
      <c r="S205" s="324">
        <f>'DATA (Real)'!S201*S$4/$H$4</f>
        <v>37.999101060072448</v>
      </c>
      <c r="T205" s="324">
        <f>'DATA (Real)'!T201*T$4/$H$4</f>
        <v>38.83508128339404</v>
      </c>
      <c r="U205" s="324">
        <f>'DATA (Real)'!U201*U$4/$H$4</f>
        <v>39.689453071628705</v>
      </c>
      <c r="V205" s="324">
        <f>'DATA (Real)'!V201*V$4/$H$4</f>
        <v>40.562621039204537</v>
      </c>
      <c r="W205" s="324">
        <f>'DATA (Real)'!W201*W$4/$H$4</f>
        <v>41.45499870206703</v>
      </c>
      <c r="X205" s="324">
        <f>'DATA (Real)'!X201*X$4/$H$4</f>
        <v>42.367008673512508</v>
      </c>
      <c r="Y205" s="324">
        <f>'DATA (Real)'!Y201*Y$4/$H$4</f>
        <v>43.29908286432979</v>
      </c>
      <c r="Z205" s="324">
        <f>'DATA (Real)'!Z201*Z$4/$H$4</f>
        <v>44.251662687345039</v>
      </c>
      <c r="AA205" s="324">
        <f>'DATA (Real)'!AA201*AA$4/$H$4</f>
        <v>45.225199266466625</v>
      </c>
      <c r="AB205" s="324">
        <f>'DATA (Real)'!AB201*AB$4/$H$4</f>
        <v>46.220153650328896</v>
      </c>
      <c r="AC205" s="324">
        <f>'DATA (Real)'!AC201*AC$4/$H$4</f>
        <v>47.236997030636132</v>
      </c>
      <c r="AD205" s="324">
        <f>'DATA (Real)'!AD201*AD$4/$H$4</f>
        <v>48.276210965310128</v>
      </c>
      <c r="AE205" s="324">
        <f>'DATA (Real)'!AE201*AE$4/$H$4</f>
        <v>49.338287606546949</v>
      </c>
      <c r="AF205" s="324">
        <f>'DATA (Real)'!AF201*AF$4/$H$4</f>
        <v>50.423729933890982</v>
      </c>
      <c r="AG205" s="324">
        <f>'DATA (Real)'!AG201*AG$4/$H$4</f>
        <v>51.533051992436583</v>
      </c>
      <c r="AH205" s="324">
        <f>'DATA (Real)'!AH201*AH$4/$H$4</f>
        <v>52.666779136270193</v>
      </c>
      <c r="AI205" s="324">
        <f>'DATA (Real)'!AI201*AI$4/$H$4</f>
        <v>53.825448277268137</v>
      </c>
      <c r="AJ205" s="324">
        <f>'DATA (Real)'!AJ201*AJ$4/$H$4</f>
        <v>55.009608139368034</v>
      </c>
      <c r="AK205" s="324">
        <f>'DATA (Real)'!AK201*AK$4/$H$4</f>
        <v>56.219819518434129</v>
      </c>
      <c r="AL205" s="324">
        <f>'DATA (Real)'!AL201*AL$4/$H$4</f>
        <v>57.456655547839681</v>
      </c>
      <c r="AM205" s="324">
        <f>'DATA (Real)'!AM201*AM$4/$H$4</f>
        <v>58.720701969892161</v>
      </c>
      <c r="AN205" s="324">
        <f>'DATA (Real)'!AN201*AN$4/$H$4</f>
        <v>60.012557413229786</v>
      </c>
      <c r="AO205" s="324">
        <f>'DATA (Real)'!AO201*AO$4/$H$4</f>
        <v>61.332833676320845</v>
      </c>
      <c r="AP205" s="324">
        <f>'DATA (Real)'!AP201*AP$4/$H$4</f>
        <v>62.682156017199901</v>
      </c>
      <c r="AQ205" s="324">
        <f>'DATA (Real)'!AQ201*AQ$4/$H$4</f>
        <v>64.061163449578302</v>
      </c>
      <c r="AR205" s="324">
        <f>'DATA (Real)'!AR201*AR$4/$H$4</f>
        <v>65.470509045469015</v>
      </c>
      <c r="AS205" s="324">
        <f>'DATA (Real)'!AS201*AS$4/$H$4</f>
        <v>66.910860244469333</v>
      </c>
      <c r="AT205" s="324">
        <f>'DATA (Real)'!AT201*AT$4/$H$4</f>
        <v>68.382899169847661</v>
      </c>
      <c r="AU205" s="324">
        <f>'DATA (Real)'!AU201*AU$4/$H$4</f>
        <v>69.887322951584309</v>
      </c>
      <c r="AV205" s="324">
        <f>'DATA (Real)'!AV201*AV$4/$H$4</f>
        <v>71.424844056519163</v>
      </c>
      <c r="AW205" s="324">
        <f>'DATA (Real)'!AW201*AW$4/$H$4</f>
        <v>72.996190625762594</v>
      </c>
      <c r="AX205" s="324">
        <f>'DATA (Real)'!AX201*AX$4/$H$4</f>
        <v>74.602106819529368</v>
      </c>
      <c r="AY205" s="324">
        <f>'DATA (Real)'!AY201*AY$4/$H$4</f>
        <v>76.243353169559015</v>
      </c>
      <c r="AZ205" s="324">
        <f>'DATA (Real)'!AZ201*AZ$4/$H$4</f>
        <v>77.920706939289317</v>
      </c>
      <c r="BA205" s="324">
        <f>'DATA (Real)'!BA201*BA$4/$H$4</f>
        <v>79.634962491953701</v>
      </c>
      <c r="BB205" s="324">
        <f>'DATA (Real)'!BB201*BB$4/$H$4</f>
        <v>81.386931666776675</v>
      </c>
      <c r="BC205" s="324">
        <f>'DATA (Real)'!BC201*BC$4/$H$4</f>
        <v>83.177444163445742</v>
      </c>
      <c r="BD205" s="324">
        <f>'DATA (Real)'!BD201*BD$4/$H$4</f>
        <v>85.007347935041565</v>
      </c>
      <c r="BE205" s="324">
        <f>'DATA (Real)'!BE201*BE$4/$H$4</f>
        <v>86.877509589612472</v>
      </c>
      <c r="BF205" s="324">
        <f>'DATA (Real)'!BF201*BF$4/$H$4</f>
        <v>88.78881480058395</v>
      </c>
      <c r="BG205" s="324">
        <f>'DATA (Real)'!BG201*BG$4/$H$4</f>
        <v>90.742168726196795</v>
      </c>
      <c r="BH205" s="324">
        <f>'DATA (Real)'!BH201*BH$4/$H$4</f>
        <v>92.738496438173129</v>
      </c>
      <c r="BI205" s="324">
        <f>'DATA (Real)'!BI201*BI$4/$H$4</f>
        <v>94.778743359812935</v>
      </c>
      <c r="BJ205" s="324">
        <f>'DATA (Real)'!BJ201*BJ$4/$H$4</f>
        <v>96.863875713728817</v>
      </c>
      <c r="BK205" s="324">
        <f>'DATA (Real)'!BK201*BK$4/$H$4</f>
        <v>98.99488097943086</v>
      </c>
      <c r="BL205" s="324">
        <f>'DATA (Real)'!BL201*BL$4/$H$4</f>
        <v>101.17276836097835</v>
      </c>
      <c r="BM205" s="324">
        <f>'DATA (Real)'!BM201*BM$4/$H$4</f>
        <v>103.39856926491987</v>
      </c>
      <c r="BN205" s="324">
        <f>'DATA (Real)'!BN201*BN$4/$H$4</f>
        <v>105.6733377887481</v>
      </c>
      <c r="BO205" s="324">
        <f>'DATA (Real)'!BO201*BO$4/$H$4</f>
        <v>107.99815122010058</v>
      </c>
      <c r="BP205" s="324">
        <f>'DATA (Real)'!BP201*BP$4/$H$4</f>
        <v>110.37411054694279</v>
      </c>
      <c r="BQ205" s="324">
        <f>'DATA (Real)'!BQ201*BQ$4/$H$4</f>
        <v>112.80234097897554</v>
      </c>
      <c r="BR205" s="324">
        <f>'DATA (Real)'!BR201*BR$4/$H$4</f>
        <v>115.28399248051299</v>
      </c>
      <c r="BS205" s="324">
        <f>'DATA (Real)'!BS201*BS$4/$H$4</f>
        <v>117.82024031508429</v>
      </c>
      <c r="BT205" s="324">
        <f>'DATA (Real)'!BT201*BT$4/$H$4</f>
        <v>120.41228560201614</v>
      </c>
      <c r="BU205" s="324">
        <f>'DATA (Real)'!BU201*BU$4/$H$4</f>
        <v>123.06135588526051</v>
      </c>
      <c r="BV205" s="324">
        <f>'DATA (Real)'!BV201*BV$4/$H$4</f>
        <v>125.76870571473624</v>
      </c>
      <c r="BW205" s="324">
        <f>'DATA (Real)'!BW201*BW$4/$H$4</f>
        <v>128.53561724046043</v>
      </c>
      <c r="BX205" s="324">
        <f>'DATA (Real)'!BX201*BX$4/$H$4</f>
        <v>131.36340081975058</v>
      </c>
    </row>
    <row r="206" spans="2:76" hidden="1" outlineLevel="1">
      <c r="B206" s="353" t="s">
        <v>230</v>
      </c>
      <c r="C206" s="353" t="str">
        <f>'DATA (Real)'!C202</f>
        <v>Internal</v>
      </c>
      <c r="D206" s="353" t="str">
        <f>'DATA (Real)'!D202</f>
        <v>Fixed Operation and Maintenance Expenses ($/kW-yr)</v>
      </c>
      <c r="E206" s="353" t="str">
        <f>'DATA (Real)'!E202</f>
        <v xml:space="preserve">Hydrogen Fuel Cell with 40 hrs Storage </v>
      </c>
      <c r="F206" s="314">
        <f>'DATA (Real)'!F202</f>
        <v>159.81843400447426</v>
      </c>
      <c r="G206" s="324">
        <f>'DATA (Real)'!G202*G$4/100</f>
        <v>163.8138948545861</v>
      </c>
      <c r="H206" s="324">
        <f>'DATA (Real)'!H202*H$4/100</f>
        <v>175.59394896831637</v>
      </c>
      <c r="I206" s="324">
        <f>'DATA (Real)'!I202*I$4/100</f>
        <v>181.16378902959136</v>
      </c>
      <c r="J206" s="324">
        <f>'DATA (Real)'!J202*J$4/100</f>
        <v>185.42528974195201</v>
      </c>
      <c r="K206" s="324">
        <f>'DATA (Real)'!K202*K$4/100</f>
        <v>189.56645454618891</v>
      </c>
      <c r="L206" s="324">
        <f>'DATA (Real)'!L202*L$4/100</f>
        <v>193.80010536438712</v>
      </c>
      <c r="M206" s="324">
        <f>'DATA (Real)'!M202*M$4/100</f>
        <v>198.1283077175251</v>
      </c>
      <c r="N206" s="324">
        <f>'DATA (Real)'!N202*N$4/100</f>
        <v>202.48713048731068</v>
      </c>
      <c r="O206" s="324">
        <f>'DATA (Real)'!O202*O$4/100</f>
        <v>206.94184735803151</v>
      </c>
      <c r="P206" s="324">
        <f>'DATA (Real)'!P202*P$4/100</f>
        <v>211.49456799990821</v>
      </c>
      <c r="Q206" s="324">
        <f>'DATA (Real)'!Q202*Q$4/100</f>
        <v>216.14744849590616</v>
      </c>
      <c r="R206" s="324">
        <f>'DATA (Real)'!R202*R$4/100</f>
        <v>220.90269236281611</v>
      </c>
      <c r="S206" s="324">
        <f>'DATA (Real)'!S202*S$4/100</f>
        <v>225.76255159479808</v>
      </c>
      <c r="T206" s="324">
        <f>'DATA (Real)'!T202*T$4/100</f>
        <v>230.72932772988364</v>
      </c>
      <c r="U206" s="324">
        <f>'DATA (Real)'!U202*U$4/100</f>
        <v>235.80537293994109</v>
      </c>
      <c r="V206" s="324">
        <f>'DATA (Real)'!V202*V$4/100</f>
        <v>240.99309114461977</v>
      </c>
      <c r="W206" s="324">
        <f>'DATA (Real)'!W202*W$4/100</f>
        <v>246.29493914980139</v>
      </c>
      <c r="X206" s="324">
        <f>'DATA (Real)'!X202*X$4/100</f>
        <v>251.71342781109703</v>
      </c>
      <c r="Y206" s="324">
        <f>'DATA (Real)'!Y202*Y$4/100</f>
        <v>257.25112322294115</v>
      </c>
      <c r="Z206" s="324">
        <f>'DATA (Real)'!Z202*Z$4/100</f>
        <v>262.91064793384589</v>
      </c>
      <c r="AA206" s="324">
        <f>'DATA (Real)'!AA202*AA$4/100</f>
        <v>268.69468218839052</v>
      </c>
      <c r="AB206" s="324">
        <f>'DATA (Real)'!AB202*AB$4/100</f>
        <v>274.60596519653512</v>
      </c>
      <c r="AC206" s="324">
        <f>'DATA (Real)'!AC202*AC$4/100</f>
        <v>280.64729643085889</v>
      </c>
      <c r="AD206" s="324">
        <f>'DATA (Real)'!AD202*AD$4/100</f>
        <v>286.82153695233774</v>
      </c>
      <c r="AE206" s="324">
        <f>'DATA (Real)'!AE202*AE$4/100</f>
        <v>293.13161076528917</v>
      </c>
      <c r="AF206" s="324">
        <f>'DATA (Real)'!AF202*AF$4/100</f>
        <v>299.58050620212555</v>
      </c>
      <c r="AG206" s="324">
        <f>'DATA (Real)'!AG202*AG$4/100</f>
        <v>306.17127733857234</v>
      </c>
      <c r="AH206" s="324">
        <f>'DATA (Real)'!AH202*AH$4/100</f>
        <v>312.90704544002091</v>
      </c>
      <c r="AI206" s="324">
        <f>'DATA (Real)'!AI202*AI$4/100</f>
        <v>319.79100043970141</v>
      </c>
      <c r="AJ206" s="324">
        <f>'DATA (Real)'!AJ202*AJ$4/100</f>
        <v>326.82640244937483</v>
      </c>
      <c r="AK206" s="324">
        <f>'DATA (Real)'!AK202*AK$4/100</f>
        <v>334.01658330326097</v>
      </c>
      <c r="AL206" s="324">
        <f>'DATA (Real)'!AL202*AL$4/100</f>
        <v>341.36494813593276</v>
      </c>
      <c r="AM206" s="324">
        <f>'DATA (Real)'!AM202*AM$4/100</f>
        <v>348.87497699492337</v>
      </c>
      <c r="AN206" s="324">
        <f>'DATA (Real)'!AN202*AN$4/100</f>
        <v>356.55022648881163</v>
      </c>
      <c r="AO206" s="324">
        <f>'DATA (Real)'!AO202*AO$4/100</f>
        <v>364.39433147156552</v>
      </c>
      <c r="AP206" s="324">
        <f>'DATA (Real)'!AP202*AP$4/100</f>
        <v>372.41100676393995</v>
      </c>
      <c r="AQ206" s="324">
        <f>'DATA (Real)'!AQ202*AQ$4/100</f>
        <v>380.60404891274658</v>
      </c>
      <c r="AR206" s="324">
        <f>'DATA (Real)'!AR202*AR$4/100</f>
        <v>388.97733798882706</v>
      </c>
      <c r="AS206" s="324">
        <f>'DATA (Real)'!AS202*AS$4/100</f>
        <v>397.53483942458121</v>
      </c>
      <c r="AT206" s="324">
        <f>'DATA (Real)'!AT202*AT$4/100</f>
        <v>406.28060589192205</v>
      </c>
      <c r="AU206" s="324">
        <f>'DATA (Real)'!AU202*AU$4/100</f>
        <v>415.21877922154425</v>
      </c>
      <c r="AV206" s="324">
        <f>'DATA (Real)'!AV202*AV$4/100</f>
        <v>424.3535923644182</v>
      </c>
      <c r="AW206" s="324">
        <f>'DATA (Real)'!AW202*AW$4/100</f>
        <v>433.68937139643543</v>
      </c>
      <c r="AX206" s="324">
        <f>'DATA (Real)'!AX202*AX$4/100</f>
        <v>443.23053756715706</v>
      </c>
      <c r="AY206" s="324">
        <f>'DATA (Real)'!AY202*AY$4/100</f>
        <v>452.98160939363459</v>
      </c>
      <c r="AZ206" s="324">
        <f>'DATA (Real)'!AZ202*AZ$4/100</f>
        <v>462.94720480029457</v>
      </c>
      <c r="BA206" s="324">
        <f>'DATA (Real)'!BA202*BA$4/100</f>
        <v>473.13204330590105</v>
      </c>
      <c r="BB206" s="324">
        <f>'DATA (Real)'!BB202*BB$4/100</f>
        <v>483.54094825863081</v>
      </c>
      <c r="BC206" s="324">
        <f>'DATA (Real)'!BC202*BC$4/100</f>
        <v>494.17884912032076</v>
      </c>
      <c r="BD206" s="324">
        <f>'DATA (Real)'!BD202*BD$4/100</f>
        <v>505.05078380096779</v>
      </c>
      <c r="BE206" s="324">
        <f>'DATA (Real)'!BE202*BE$4/100</f>
        <v>516.16190104458906</v>
      </c>
      <c r="BF206" s="324">
        <f>'DATA (Real)'!BF202*BF$4/100</f>
        <v>527.51746286756998</v>
      </c>
      <c r="BG206" s="324">
        <f>'DATA (Real)'!BG202*BG$4/100</f>
        <v>539.12284705065656</v>
      </c>
      <c r="BH206" s="324">
        <f>'DATA (Real)'!BH202*BH$4/100</f>
        <v>550.98354968577098</v>
      </c>
      <c r="BI206" s="324">
        <f>'DATA (Real)'!BI202*BI$4/100</f>
        <v>563.10518777885795</v>
      </c>
      <c r="BJ206" s="324">
        <f>'DATA (Real)'!BJ202*BJ$4/100</f>
        <v>575.49350190999291</v>
      </c>
      <c r="BK206" s="324">
        <f>'DATA (Real)'!BK202*BK$4/100</f>
        <v>588.15435895201279</v>
      </c>
      <c r="BL206" s="324">
        <f>'DATA (Real)'!BL202*BL$4/100</f>
        <v>601.09375484895702</v>
      </c>
      <c r="BM206" s="324">
        <f>'DATA (Real)'!BM202*BM$4/100</f>
        <v>614.3178174556341</v>
      </c>
      <c r="BN206" s="324">
        <f>'DATA (Real)'!BN202*BN$4/100</f>
        <v>627.83280943965804</v>
      </c>
      <c r="BO206" s="324">
        <f>'DATA (Real)'!BO202*BO$4/100</f>
        <v>641.6451312473306</v>
      </c>
      <c r="BP206" s="324">
        <f>'DATA (Real)'!BP202*BP$4/100</f>
        <v>655.76132413477183</v>
      </c>
      <c r="BQ206" s="324">
        <f>'DATA (Real)'!BQ202*BQ$4/100</f>
        <v>670.18807326573688</v>
      </c>
      <c r="BR206" s="324">
        <f>'DATA (Real)'!BR202*BR$4/100</f>
        <v>684.93221087758309</v>
      </c>
      <c r="BS206" s="324">
        <f>'DATA (Real)'!BS202*BS$4/100</f>
        <v>700.00071951688994</v>
      </c>
      <c r="BT206" s="324">
        <f>'DATA (Real)'!BT202*BT$4/100</f>
        <v>715.40073534626151</v>
      </c>
      <c r="BU206" s="324">
        <f>'DATA (Real)'!BU202*BU$4/100</f>
        <v>731.13955152387939</v>
      </c>
      <c r="BV206" s="324">
        <f>'DATA (Real)'!BV202*BV$4/100</f>
        <v>747.22462165740478</v>
      </c>
      <c r="BW206" s="324">
        <f>'DATA (Real)'!BW202*BW$4/100</f>
        <v>763.66356333386761</v>
      </c>
      <c r="BX206" s="324">
        <f>'DATA (Real)'!BX202*BX$4/100</f>
        <v>780.46416172721274</v>
      </c>
    </row>
    <row r="207" spans="2:76" hidden="1" outlineLevel="1">
      <c r="B207" s="353" t="s">
        <v>230</v>
      </c>
      <c r="C207" s="353" t="str">
        <f>'DATA (Real)'!C203</f>
        <v>Internal</v>
      </c>
      <c r="D207" s="353" t="str">
        <f>'DATA (Real)'!D203</f>
        <v>Fixed Operation and Maintenance Expenses ($/kW-yr)</v>
      </c>
      <c r="E207" s="353" t="str">
        <f>'DATA (Real)'!E203</f>
        <v>7F.04 CT Frame Greenfield + amonia + storage</v>
      </c>
      <c r="F207" s="314"/>
      <c r="G207" s="314"/>
      <c r="H207" s="314">
        <f>'DATA (Real)'!H203</f>
        <v>15</v>
      </c>
      <c r="I207" s="324">
        <f>'DATA (Real)'!I203*I$4/$H$4</f>
        <v>15.4758</v>
      </c>
      <c r="J207" s="324">
        <f>'DATA (Real)'!J203*J$4/$H$4</f>
        <v>15.839835953749999</v>
      </c>
      <c r="K207" s="324">
        <f>'DATA (Real)'!K203*K$4/$H$4</f>
        <v>16.193592290050415</v>
      </c>
      <c r="L207" s="324">
        <f>'DATA (Real)'!L203*L$4/$H$4</f>
        <v>16.555249184528208</v>
      </c>
      <c r="M207" s="324">
        <f>'DATA (Real)'!M203*M$4/$H$4</f>
        <v>16.924983082982671</v>
      </c>
      <c r="N207" s="324">
        <f>'DATA (Real)'!N203*N$4/$H$4</f>
        <v>17.297332710808288</v>
      </c>
      <c r="O207" s="324">
        <f>'DATA (Real)'!O203*O$4/$H$4</f>
        <v>17.677874030446073</v>
      </c>
      <c r="P207" s="324">
        <f>'DATA (Real)'!P203*P$4/$H$4</f>
        <v>18.066787259115888</v>
      </c>
      <c r="Q207" s="324">
        <f>'DATA (Real)'!Q203*Q$4/$H$4</f>
        <v>18.464256578816435</v>
      </c>
      <c r="R207" s="324">
        <f>'DATA (Real)'!R203*R$4/$H$4</f>
        <v>18.870470223550395</v>
      </c>
      <c r="S207" s="324">
        <f>'DATA (Real)'!S203*S$4/$H$4</f>
        <v>19.285620568468509</v>
      </c>
      <c r="T207" s="324">
        <f>'DATA (Real)'!T203*T$4/$H$4</f>
        <v>19.709904220974813</v>
      </c>
      <c r="U207" s="324">
        <f>'DATA (Real)'!U203*U$4/$H$4</f>
        <v>20.143522113836259</v>
      </c>
      <c r="V207" s="324">
        <f>'DATA (Real)'!V203*V$4/$H$4</f>
        <v>20.586679600340659</v>
      </c>
      <c r="W207" s="324">
        <f>'DATA (Real)'!W203*W$4/$H$4</f>
        <v>21.039586551548151</v>
      </c>
      <c r="X207" s="324">
        <f>'DATA (Real)'!X203*X$4/$H$4</f>
        <v>21.502457455682208</v>
      </c>
      <c r="Y207" s="324">
        <f>'DATA (Real)'!Y203*Y$4/$H$4</f>
        <v>21.975511519707219</v>
      </c>
      <c r="Z207" s="324">
        <f>'DATA (Real)'!Z203*Z$4/$H$4</f>
        <v>22.458972773140779</v>
      </c>
      <c r="AA207" s="324">
        <f>'DATA (Real)'!AA203*AA$4/$H$4</f>
        <v>22.953070174149875</v>
      </c>
      <c r="AB207" s="324">
        <f>'DATA (Real)'!AB203*AB$4/$H$4</f>
        <v>23.458037717981171</v>
      </c>
      <c r="AC207" s="324">
        <f>'DATA (Real)'!AC203*AC$4/$H$4</f>
        <v>23.974114547776761</v>
      </c>
      <c r="AD207" s="324">
        <f>'DATA (Real)'!AD203*AD$4/$H$4</f>
        <v>24.501545067827848</v>
      </c>
      <c r="AE207" s="324">
        <f>'DATA (Real)'!AE203*AE$4/$H$4</f>
        <v>25.040579059320059</v>
      </c>
      <c r="AF207" s="324">
        <f>'DATA (Real)'!AF203*AF$4/$H$4</f>
        <v>25.591471798625101</v>
      </c>
      <c r="AG207" s="324">
        <f>'DATA (Real)'!AG203*AG$4/$H$4</f>
        <v>26.154484178194853</v>
      </c>
      <c r="AH207" s="324">
        <f>'DATA (Real)'!AH203*AH$4/$H$4</f>
        <v>26.729882830115141</v>
      </c>
      <c r="AI207" s="324">
        <f>'DATA (Real)'!AI203*AI$4/$H$4</f>
        <v>27.317940252377674</v>
      </c>
      <c r="AJ207" s="324">
        <f>'DATA (Real)'!AJ203*AJ$4/$H$4</f>
        <v>27.918934937929983</v>
      </c>
      <c r="AK207" s="324">
        <f>'DATA (Real)'!AK203*AK$4/$H$4</f>
        <v>28.53315150656444</v>
      </c>
      <c r="AL207" s="324">
        <f>'DATA (Real)'!AL203*AL$4/$H$4</f>
        <v>29.160880839708859</v>
      </c>
      <c r="AM207" s="324">
        <f>'DATA (Real)'!AM203*AM$4/$H$4</f>
        <v>29.802420218182458</v>
      </c>
      <c r="AN207" s="324">
        <f>'DATA (Real)'!AN203*AN$4/$H$4</f>
        <v>30.458073462982469</v>
      </c>
      <c r="AO207" s="324">
        <f>'DATA (Real)'!AO203*AO$4/$H$4</f>
        <v>31.128151079168084</v>
      </c>
      <c r="AP207" s="324">
        <f>'DATA (Real)'!AP203*AP$4/$H$4</f>
        <v>31.812970402909784</v>
      </c>
      <c r="AQ207" s="324">
        <f>'DATA (Real)'!AQ203*AQ$4/$H$4</f>
        <v>32.512855751773799</v>
      </c>
      <c r="AR207" s="324">
        <f>'DATA (Real)'!AR203*AR$4/$H$4</f>
        <v>33.228138578312823</v>
      </c>
      <c r="AS207" s="324">
        <f>'DATA (Real)'!AS203*AS$4/$H$4</f>
        <v>33.959157627035701</v>
      </c>
      <c r="AT207" s="324">
        <f>'DATA (Real)'!AT203*AT$4/$H$4</f>
        <v>34.706259094830486</v>
      </c>
      <c r="AU207" s="324">
        <f>'DATA (Real)'!AU203*AU$4/$H$4</f>
        <v>35.469796794916753</v>
      </c>
      <c r="AV207" s="324">
        <f>'DATA (Real)'!AV203*AV$4/$H$4</f>
        <v>36.250132324404923</v>
      </c>
      <c r="AW207" s="324">
        <f>'DATA (Real)'!AW203*AW$4/$H$4</f>
        <v>37.04763523554184</v>
      </c>
      <c r="AX207" s="324">
        <f>'DATA (Real)'!AX203*AX$4/$H$4</f>
        <v>37.862683210723766</v>
      </c>
      <c r="AY207" s="324">
        <f>'DATA (Real)'!AY203*AY$4/$H$4</f>
        <v>38.695662241359685</v>
      </c>
      <c r="AZ207" s="324">
        <f>'DATA (Real)'!AZ203*AZ$4/$H$4</f>
        <v>39.546966810669595</v>
      </c>
      <c r="BA207" s="324">
        <f>'DATA (Real)'!BA203*BA$4/$H$4</f>
        <v>40.41700008050433</v>
      </c>
      <c r="BB207" s="324">
        <f>'DATA (Real)'!BB203*BB$4/$H$4</f>
        <v>41.306174082275426</v>
      </c>
      <c r="BC207" s="324">
        <f>'DATA (Real)'!BC203*BC$4/$H$4</f>
        <v>42.214909912085488</v>
      </c>
      <c r="BD207" s="324">
        <f>'DATA (Real)'!BD203*BD$4/$H$4</f>
        <v>43.143637930151364</v>
      </c>
      <c r="BE207" s="324">
        <f>'DATA (Real)'!BE203*BE$4/$H$4</f>
        <v>44.092797964614689</v>
      </c>
      <c r="BF207" s="324">
        <f>'DATA (Real)'!BF203*BF$4/$H$4</f>
        <v>45.062839519836217</v>
      </c>
      <c r="BG207" s="324">
        <f>'DATA (Real)'!BG203*BG$4/$H$4</f>
        <v>46.054221989272612</v>
      </c>
      <c r="BH207" s="324">
        <f>'DATA (Real)'!BH203*BH$4/$H$4</f>
        <v>47.067414873036618</v>
      </c>
      <c r="BI207" s="324">
        <f>'DATA (Real)'!BI203*BI$4/$H$4</f>
        <v>48.102898000243421</v>
      </c>
      <c r="BJ207" s="324">
        <f>'DATA (Real)'!BJ203*BJ$4/$H$4</f>
        <v>49.161161756248781</v>
      </c>
      <c r="BK207" s="324">
        <f>'DATA (Real)'!BK203*BK$4/$H$4</f>
        <v>50.242707314886253</v>
      </c>
      <c r="BL207" s="324">
        <f>'DATA (Real)'!BL203*BL$4/$H$4</f>
        <v>51.34804687581375</v>
      </c>
      <c r="BM207" s="324">
        <f>'DATA (Real)'!BM203*BM$4/$H$4</f>
        <v>52.477703907081647</v>
      </c>
      <c r="BN207" s="324">
        <f>'DATA (Real)'!BN203*BN$4/$H$4</f>
        <v>53.632213393037446</v>
      </c>
      <c r="BO207" s="324">
        <f>'DATA (Real)'!BO203*BO$4/$H$4</f>
        <v>54.81212208768428</v>
      </c>
      <c r="BP207" s="324">
        <f>'DATA (Real)'!BP203*BP$4/$H$4</f>
        <v>56.017988773613332</v>
      </c>
      <c r="BQ207" s="324">
        <f>'DATA (Real)'!BQ203*BQ$4/$H$4</f>
        <v>57.250384526632828</v>
      </c>
      <c r="BR207" s="324">
        <f>'DATA (Real)'!BR203*BR$4/$H$4</f>
        <v>58.509892986218752</v>
      </c>
      <c r="BS207" s="324">
        <f>'DATA (Real)'!BS203*BS$4/$H$4</f>
        <v>59.797110631915558</v>
      </c>
      <c r="BT207" s="324">
        <f>'DATA (Real)'!BT203*BT$4/$H$4</f>
        <v>61.112647065817711</v>
      </c>
      <c r="BU207" s="324">
        <f>'DATA (Real)'!BU203*BU$4/$H$4</f>
        <v>62.457125301265698</v>
      </c>
      <c r="BV207" s="324">
        <f>'DATA (Real)'!BV203*BV$4/$H$4</f>
        <v>63.831182057893557</v>
      </c>
      <c r="BW207" s="324">
        <f>'DATA (Real)'!BW203*BW$4/$H$4</f>
        <v>65.235468063167218</v>
      </c>
      <c r="BX207" s="324">
        <f>'DATA (Real)'!BX203*BX$4/$H$4</f>
        <v>66.670648360556882</v>
      </c>
    </row>
    <row r="208" spans="2:76" collapsed="1">
      <c r="F208" s="319"/>
      <c r="G208" s="319"/>
      <c r="H208" s="319"/>
      <c r="I208" s="319"/>
      <c r="J208" s="319"/>
      <c r="K208" s="319"/>
      <c r="L208" s="319"/>
      <c r="M208" s="319"/>
      <c r="N208" s="319"/>
      <c r="O208" s="319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19"/>
      <c r="AI208" s="319"/>
      <c r="AJ208" s="319"/>
      <c r="AK208" s="319"/>
      <c r="AL208" s="319"/>
      <c r="AM208" s="319"/>
      <c r="AN208" s="319"/>
      <c r="AO208" s="319"/>
      <c r="AP208" s="319"/>
      <c r="AQ208" s="319"/>
      <c r="AR208" s="319"/>
      <c r="AS208" s="319"/>
      <c r="AT208" s="319"/>
      <c r="AU208" s="319"/>
      <c r="AV208" s="319"/>
      <c r="AW208" s="319"/>
      <c r="AX208" s="319"/>
      <c r="AY208" s="319"/>
      <c r="AZ208" s="319"/>
      <c r="BA208" s="319"/>
      <c r="BB208" s="319"/>
      <c r="BC208" s="319"/>
      <c r="BD208" s="319"/>
      <c r="BE208" s="319"/>
      <c r="BF208" s="319"/>
      <c r="BG208" s="319"/>
      <c r="BH208" s="319"/>
      <c r="BI208" s="319"/>
      <c r="BJ208" s="319"/>
      <c r="BK208" s="319"/>
      <c r="BL208" s="319"/>
      <c r="BM208" s="319"/>
      <c r="BN208" s="319"/>
      <c r="BO208" s="319"/>
      <c r="BP208" s="319"/>
      <c r="BQ208" s="319"/>
      <c r="BR208" s="319"/>
      <c r="BS208" s="319"/>
      <c r="BT208" s="319"/>
      <c r="BU208" s="319"/>
      <c r="BV208" s="319"/>
      <c r="BW208" s="319"/>
      <c r="BX208" s="319"/>
    </row>
    <row r="209" spans="1:76">
      <c r="B209" s="259" t="str">
        <f>D209</f>
        <v>Round-Trip Efficiency</v>
      </c>
      <c r="D209" s="259" t="str">
        <f>'DATA (Real)'!D205</f>
        <v>Round-Trip Efficiency</v>
      </c>
      <c r="F209" s="318"/>
      <c r="G209" s="318"/>
      <c r="H209" s="318"/>
      <c r="I209" s="318"/>
      <c r="J209" s="318"/>
      <c r="K209" s="318"/>
      <c r="L209" s="318"/>
      <c r="M209" s="318"/>
      <c r="N209" s="318"/>
      <c r="O209" s="318"/>
      <c r="P209" s="318"/>
      <c r="Q209" s="318"/>
      <c r="R209" s="318"/>
      <c r="S209" s="318"/>
      <c r="T209" s="318"/>
      <c r="U209" s="318"/>
      <c r="V209" s="318"/>
      <c r="W209" s="318"/>
      <c r="X209" s="318"/>
      <c r="Y209" s="318"/>
      <c r="Z209" s="318"/>
      <c r="AA209" s="318"/>
      <c r="AB209" s="318"/>
      <c r="AC209" s="318"/>
      <c r="AD209" s="318"/>
      <c r="AE209" s="318"/>
      <c r="AF209" s="318"/>
      <c r="AG209" s="318"/>
      <c r="AH209" s="318"/>
      <c r="AI209" s="318"/>
      <c r="AJ209" s="318"/>
      <c r="AK209" s="318"/>
      <c r="AL209" s="318"/>
      <c r="AM209" s="318"/>
      <c r="AN209" s="318"/>
      <c r="AO209" s="318"/>
      <c r="AP209" s="318"/>
      <c r="AQ209" s="318"/>
      <c r="AR209" s="318"/>
      <c r="AS209" s="318"/>
      <c r="AT209" s="318"/>
      <c r="AU209" s="318"/>
      <c r="AV209" s="318"/>
      <c r="AW209" s="318"/>
      <c r="AX209" s="318"/>
      <c r="AY209" s="318"/>
      <c r="AZ209" s="318"/>
      <c r="BA209" s="318"/>
      <c r="BB209" s="318"/>
      <c r="BC209" s="318"/>
      <c r="BD209" s="318"/>
      <c r="BE209" s="318"/>
      <c r="BF209" s="318"/>
      <c r="BG209" s="318"/>
      <c r="BH209" s="318"/>
      <c r="BI209" s="318"/>
      <c r="BJ209" s="318"/>
      <c r="BK209" s="318"/>
      <c r="BL209" s="318"/>
      <c r="BM209" s="318"/>
      <c r="BN209" s="318"/>
      <c r="BO209" s="318"/>
      <c r="BP209" s="318"/>
      <c r="BQ209" s="318"/>
      <c r="BR209" s="318"/>
      <c r="BS209" s="318"/>
      <c r="BT209" s="318"/>
      <c r="BU209" s="318"/>
      <c r="BV209" s="318"/>
      <c r="BW209" s="318"/>
      <c r="BX209" s="318"/>
    </row>
    <row r="210" spans="1:76" hidden="1" outlineLevel="1">
      <c r="B210" s="348"/>
      <c r="C210" s="348" t="str">
        <f>'DATA (Real)'!C206</f>
        <v>Internal</v>
      </c>
      <c r="D210" s="348" t="str">
        <f>'DATA (Real)'!D206</f>
        <v>Round-Trip Efficiency</v>
      </c>
      <c r="E210" s="348" t="str">
        <f>'DATA (Real)'!E206</f>
        <v>Distribution Scale 4hr Lithium-Ion</v>
      </c>
      <c r="F210" s="316">
        <f>'DATA (Real)'!F206</f>
        <v>0.86</v>
      </c>
      <c r="G210" s="316">
        <f>'DATA (Real)'!G206</f>
        <v>0.86</v>
      </c>
      <c r="H210" s="316">
        <f>'DATA (Real)'!H206</f>
        <v>0.86</v>
      </c>
      <c r="I210" s="316">
        <f>'DATA (Real)'!I206</f>
        <v>0.86</v>
      </c>
      <c r="J210" s="316">
        <f>'DATA (Real)'!J206</f>
        <v>0.86</v>
      </c>
      <c r="K210" s="316">
        <f>'DATA (Real)'!K206</f>
        <v>0.86</v>
      </c>
      <c r="L210" s="316">
        <f>'DATA (Real)'!L206</f>
        <v>0.86</v>
      </c>
      <c r="M210" s="316">
        <f>'DATA (Real)'!M206</f>
        <v>0.86</v>
      </c>
      <c r="N210" s="316">
        <f>'DATA (Real)'!N206</f>
        <v>0.86</v>
      </c>
      <c r="O210" s="316">
        <f>'DATA (Real)'!O206</f>
        <v>0.86</v>
      </c>
      <c r="P210" s="316">
        <f>'DATA (Real)'!P206</f>
        <v>0.86</v>
      </c>
      <c r="Q210" s="316">
        <f>'DATA (Real)'!Q206</f>
        <v>0.86</v>
      </c>
      <c r="R210" s="316">
        <f>'DATA (Real)'!R206</f>
        <v>0.86</v>
      </c>
      <c r="S210" s="316">
        <f>'DATA (Real)'!S206</f>
        <v>0.86</v>
      </c>
      <c r="T210" s="316">
        <f>'DATA (Real)'!T206</f>
        <v>0.86</v>
      </c>
      <c r="U210" s="316">
        <f>'DATA (Real)'!U206</f>
        <v>0.86</v>
      </c>
      <c r="V210" s="316">
        <f>'DATA (Real)'!V206</f>
        <v>0.86</v>
      </c>
      <c r="W210" s="316">
        <f>'DATA (Real)'!W206</f>
        <v>0.86</v>
      </c>
      <c r="X210" s="316">
        <f>'DATA (Real)'!X206</f>
        <v>0.86</v>
      </c>
      <c r="Y210" s="316">
        <f>'DATA (Real)'!Y206</f>
        <v>0.86</v>
      </c>
      <c r="Z210" s="316">
        <f>'DATA (Real)'!Z206</f>
        <v>0.86</v>
      </c>
      <c r="AA210" s="316">
        <f>'DATA (Real)'!AA206</f>
        <v>0.86</v>
      </c>
      <c r="AB210" s="316">
        <f>'DATA (Real)'!AB206</f>
        <v>0.86</v>
      </c>
      <c r="AC210" s="316">
        <f>'DATA (Real)'!AC206</f>
        <v>0.86</v>
      </c>
      <c r="AD210" s="316">
        <f>'DATA (Real)'!AD206</f>
        <v>0.86</v>
      </c>
      <c r="AE210" s="316">
        <f>'DATA (Real)'!AE206</f>
        <v>0.86</v>
      </c>
      <c r="AF210" s="316">
        <f>'DATA (Real)'!AF206</f>
        <v>0.86</v>
      </c>
      <c r="AG210" s="316">
        <f>'DATA (Real)'!AG206</f>
        <v>0.86</v>
      </c>
      <c r="AH210" s="316">
        <f>'DATA (Real)'!AH206</f>
        <v>0.86</v>
      </c>
      <c r="AI210" s="316">
        <f>'DATA (Real)'!AI206</f>
        <v>0.86</v>
      </c>
      <c r="AJ210" s="316">
        <f>'DATA (Real)'!AJ206</f>
        <v>0.86</v>
      </c>
      <c r="AK210" s="316">
        <f>'DATA (Real)'!AK206</f>
        <v>0.86</v>
      </c>
      <c r="AL210" s="316">
        <f>'DATA (Real)'!AL206</f>
        <v>0.86</v>
      </c>
      <c r="AM210" s="316">
        <f>'DATA (Real)'!AM206</f>
        <v>0.86</v>
      </c>
      <c r="AN210" s="316">
        <f>'DATA (Real)'!AN206</f>
        <v>0.86</v>
      </c>
      <c r="AO210" s="316">
        <f>'DATA (Real)'!AO206</f>
        <v>0.86</v>
      </c>
      <c r="AP210" s="316">
        <f>'DATA (Real)'!AP206</f>
        <v>0.86</v>
      </c>
      <c r="AQ210" s="316">
        <f>'DATA (Real)'!AQ206</f>
        <v>0.86</v>
      </c>
      <c r="AR210" s="316">
        <f>'DATA (Real)'!AR206</f>
        <v>0.86</v>
      </c>
      <c r="AS210" s="316">
        <f>'DATA (Real)'!AS206</f>
        <v>0.86</v>
      </c>
      <c r="AT210" s="316">
        <f>'DATA (Real)'!AT206</f>
        <v>0.86</v>
      </c>
      <c r="AU210" s="316">
        <f>'DATA (Real)'!AU206</f>
        <v>0.86</v>
      </c>
      <c r="AV210" s="316">
        <f>'DATA (Real)'!AV206</f>
        <v>0.86</v>
      </c>
      <c r="AW210" s="316">
        <f>'DATA (Real)'!AW206</f>
        <v>0.86</v>
      </c>
      <c r="AX210" s="316">
        <f>'DATA (Real)'!AX206</f>
        <v>0.86</v>
      </c>
      <c r="AY210" s="316">
        <f>'DATA (Real)'!AY206</f>
        <v>0.86</v>
      </c>
      <c r="AZ210" s="316">
        <f>'DATA (Real)'!AZ206</f>
        <v>0.86</v>
      </c>
      <c r="BA210" s="316">
        <f>'DATA (Real)'!BA206</f>
        <v>0.86</v>
      </c>
      <c r="BB210" s="316">
        <f>'DATA (Real)'!BB206</f>
        <v>0.86</v>
      </c>
      <c r="BC210" s="316">
        <f>'DATA (Real)'!BC206</f>
        <v>0.86</v>
      </c>
      <c r="BD210" s="316">
        <f>'DATA (Real)'!BD206</f>
        <v>0.86</v>
      </c>
      <c r="BE210" s="316">
        <f>'DATA (Real)'!BE206</f>
        <v>0.86</v>
      </c>
      <c r="BF210" s="316">
        <f>'DATA (Real)'!BF206</f>
        <v>0.86</v>
      </c>
      <c r="BG210" s="316">
        <f>'DATA (Real)'!BG206</f>
        <v>0.86</v>
      </c>
      <c r="BH210" s="316">
        <f>'DATA (Real)'!BH206</f>
        <v>0.86</v>
      </c>
      <c r="BI210" s="316">
        <f>'DATA (Real)'!BI206</f>
        <v>0.86</v>
      </c>
      <c r="BJ210" s="316">
        <f>'DATA (Real)'!BJ206</f>
        <v>0.86</v>
      </c>
      <c r="BK210" s="316">
        <f>'DATA (Real)'!BK206</f>
        <v>0.86</v>
      </c>
      <c r="BL210" s="316">
        <f>'DATA (Real)'!BL206</f>
        <v>0.86</v>
      </c>
      <c r="BM210" s="316">
        <f>'DATA (Real)'!BM206</f>
        <v>0.86</v>
      </c>
      <c r="BN210" s="316">
        <f>'DATA (Real)'!BN206</f>
        <v>0.86</v>
      </c>
      <c r="BO210" s="316">
        <f>'DATA (Real)'!BO206</f>
        <v>0.86</v>
      </c>
      <c r="BP210" s="316">
        <f>'DATA (Real)'!BP206</f>
        <v>0.86</v>
      </c>
      <c r="BQ210" s="316">
        <f>'DATA (Real)'!BQ206</f>
        <v>0.86</v>
      </c>
      <c r="BR210" s="316">
        <f>'DATA (Real)'!BR206</f>
        <v>0.86</v>
      </c>
      <c r="BS210" s="316">
        <f>'DATA (Real)'!BS206</f>
        <v>0.86</v>
      </c>
      <c r="BT210" s="316">
        <f>'DATA (Real)'!BT206</f>
        <v>0.86</v>
      </c>
      <c r="BU210" s="316">
        <f>'DATA (Real)'!BU206</f>
        <v>0.86</v>
      </c>
      <c r="BV210" s="316">
        <f>'DATA (Real)'!BV206</f>
        <v>0.86</v>
      </c>
      <c r="BW210" s="316">
        <f>'DATA (Real)'!BW206</f>
        <v>0.86</v>
      </c>
      <c r="BX210" s="316">
        <f>'DATA (Real)'!BX206</f>
        <v>0.86</v>
      </c>
    </row>
    <row r="211" spans="1:76" hidden="1" outlineLevel="1">
      <c r="B211" s="348"/>
      <c r="C211" s="348" t="str">
        <f>'DATA (Real)'!C207</f>
        <v>Internal</v>
      </c>
      <c r="D211" s="348" t="str">
        <f>'DATA (Real)'!D207</f>
        <v>Round-Trip Efficiency</v>
      </c>
      <c r="E211" s="348" t="str">
        <f>'DATA (Real)'!E207</f>
        <v>Distribution Scale 8hr Lithium-Ion</v>
      </c>
      <c r="F211" s="316">
        <f>'DATA (Real)'!F207</f>
        <v>0.86</v>
      </c>
      <c r="G211" s="316">
        <f>'DATA (Real)'!G207</f>
        <v>0.86</v>
      </c>
      <c r="H211" s="316">
        <f>'DATA (Real)'!H207</f>
        <v>0.86</v>
      </c>
      <c r="I211" s="316">
        <f>'DATA (Real)'!I207</f>
        <v>0.86</v>
      </c>
      <c r="J211" s="316">
        <f>'DATA (Real)'!J207</f>
        <v>0.86</v>
      </c>
      <c r="K211" s="316">
        <f>'DATA (Real)'!K207</f>
        <v>0.86</v>
      </c>
      <c r="L211" s="316">
        <f>'DATA (Real)'!L207</f>
        <v>0.86</v>
      </c>
      <c r="M211" s="316">
        <f>'DATA (Real)'!M207</f>
        <v>0.86</v>
      </c>
      <c r="N211" s="316">
        <f>'DATA (Real)'!N207</f>
        <v>0.86</v>
      </c>
      <c r="O211" s="316">
        <f>'DATA (Real)'!O207</f>
        <v>0.86</v>
      </c>
      <c r="P211" s="316">
        <f>'DATA (Real)'!P207</f>
        <v>0.86</v>
      </c>
      <c r="Q211" s="316">
        <f>'DATA (Real)'!Q207</f>
        <v>0.86</v>
      </c>
      <c r="R211" s="316">
        <f>'DATA (Real)'!R207</f>
        <v>0.86</v>
      </c>
      <c r="S211" s="316">
        <f>'DATA (Real)'!S207</f>
        <v>0.86</v>
      </c>
      <c r="T211" s="316">
        <f>'DATA (Real)'!T207</f>
        <v>0.86</v>
      </c>
      <c r="U211" s="316">
        <f>'DATA (Real)'!U207</f>
        <v>0.86</v>
      </c>
      <c r="V211" s="316">
        <f>'DATA (Real)'!V207</f>
        <v>0.86</v>
      </c>
      <c r="W211" s="316">
        <f>'DATA (Real)'!W207</f>
        <v>0.86</v>
      </c>
      <c r="X211" s="316">
        <f>'DATA (Real)'!X207</f>
        <v>0.86</v>
      </c>
      <c r="Y211" s="316">
        <f>'DATA (Real)'!Y207</f>
        <v>0.86</v>
      </c>
      <c r="Z211" s="316">
        <f>'DATA (Real)'!Z207</f>
        <v>0.86</v>
      </c>
      <c r="AA211" s="316">
        <f>'DATA (Real)'!AA207</f>
        <v>0.86</v>
      </c>
      <c r="AB211" s="316">
        <f>'DATA (Real)'!AB207</f>
        <v>0.86</v>
      </c>
      <c r="AC211" s="316">
        <f>'DATA (Real)'!AC207</f>
        <v>0.86</v>
      </c>
      <c r="AD211" s="316">
        <f>'DATA (Real)'!AD207</f>
        <v>0.86</v>
      </c>
      <c r="AE211" s="316">
        <f>'DATA (Real)'!AE207</f>
        <v>0.86</v>
      </c>
      <c r="AF211" s="316">
        <f>'DATA (Real)'!AF207</f>
        <v>0.86</v>
      </c>
      <c r="AG211" s="316">
        <f>'DATA (Real)'!AG207</f>
        <v>0.86</v>
      </c>
      <c r="AH211" s="316">
        <f>'DATA (Real)'!AH207</f>
        <v>0.86</v>
      </c>
      <c r="AI211" s="316">
        <f>'DATA (Real)'!AI207</f>
        <v>0.86</v>
      </c>
      <c r="AJ211" s="316">
        <f>'DATA (Real)'!AJ207</f>
        <v>0.86</v>
      </c>
      <c r="AK211" s="316">
        <f>'DATA (Real)'!AK207</f>
        <v>0.86</v>
      </c>
      <c r="AL211" s="316">
        <f>'DATA (Real)'!AL207</f>
        <v>0.86</v>
      </c>
      <c r="AM211" s="316">
        <f>'DATA (Real)'!AM207</f>
        <v>0.86</v>
      </c>
      <c r="AN211" s="316">
        <f>'DATA (Real)'!AN207</f>
        <v>0.86</v>
      </c>
      <c r="AO211" s="316">
        <f>'DATA (Real)'!AO207</f>
        <v>0.86</v>
      </c>
      <c r="AP211" s="316">
        <f>'DATA (Real)'!AP207</f>
        <v>0.86</v>
      </c>
      <c r="AQ211" s="316">
        <f>'DATA (Real)'!AQ207</f>
        <v>0.86</v>
      </c>
      <c r="AR211" s="316">
        <f>'DATA (Real)'!AR207</f>
        <v>0.86</v>
      </c>
      <c r="AS211" s="316">
        <f>'DATA (Real)'!AS207</f>
        <v>0.86</v>
      </c>
      <c r="AT211" s="316">
        <f>'DATA (Real)'!AT207</f>
        <v>0.86</v>
      </c>
      <c r="AU211" s="316">
        <f>'DATA (Real)'!AU207</f>
        <v>0.86</v>
      </c>
      <c r="AV211" s="316">
        <f>'DATA (Real)'!AV207</f>
        <v>0.86</v>
      </c>
      <c r="AW211" s="316">
        <f>'DATA (Real)'!AW207</f>
        <v>0.86</v>
      </c>
      <c r="AX211" s="316">
        <f>'DATA (Real)'!AX207</f>
        <v>0.86</v>
      </c>
      <c r="AY211" s="316">
        <f>'DATA (Real)'!AY207</f>
        <v>0.86</v>
      </c>
      <c r="AZ211" s="316">
        <f>'DATA (Real)'!AZ207</f>
        <v>0.86</v>
      </c>
      <c r="BA211" s="316">
        <f>'DATA (Real)'!BA207</f>
        <v>0.86</v>
      </c>
      <c r="BB211" s="316">
        <f>'DATA (Real)'!BB207</f>
        <v>0.86</v>
      </c>
      <c r="BC211" s="316">
        <f>'DATA (Real)'!BC207</f>
        <v>0.86</v>
      </c>
      <c r="BD211" s="316">
        <f>'DATA (Real)'!BD207</f>
        <v>0.86</v>
      </c>
      <c r="BE211" s="316">
        <f>'DATA (Real)'!BE207</f>
        <v>0.86</v>
      </c>
      <c r="BF211" s="316">
        <f>'DATA (Real)'!BF207</f>
        <v>0.86</v>
      </c>
      <c r="BG211" s="316">
        <f>'DATA (Real)'!BG207</f>
        <v>0.86</v>
      </c>
      <c r="BH211" s="316">
        <f>'DATA (Real)'!BH207</f>
        <v>0.86</v>
      </c>
      <c r="BI211" s="316">
        <f>'DATA (Real)'!BI207</f>
        <v>0.86</v>
      </c>
      <c r="BJ211" s="316">
        <f>'DATA (Real)'!BJ207</f>
        <v>0.86</v>
      </c>
      <c r="BK211" s="316">
        <f>'DATA (Real)'!BK207</f>
        <v>0.86</v>
      </c>
      <c r="BL211" s="316">
        <f>'DATA (Real)'!BL207</f>
        <v>0.86</v>
      </c>
      <c r="BM211" s="316">
        <f>'DATA (Real)'!BM207</f>
        <v>0.86</v>
      </c>
      <c r="BN211" s="316">
        <f>'DATA (Real)'!BN207</f>
        <v>0.86</v>
      </c>
      <c r="BO211" s="316">
        <f>'DATA (Real)'!BO207</f>
        <v>0.86</v>
      </c>
      <c r="BP211" s="316">
        <f>'DATA (Real)'!BP207</f>
        <v>0.86</v>
      </c>
      <c r="BQ211" s="316">
        <f>'DATA (Real)'!BQ207</f>
        <v>0.86</v>
      </c>
      <c r="BR211" s="316">
        <f>'DATA (Real)'!BR207</f>
        <v>0.86</v>
      </c>
      <c r="BS211" s="316">
        <f>'DATA (Real)'!BS207</f>
        <v>0.86</v>
      </c>
      <c r="BT211" s="316">
        <f>'DATA (Real)'!BT207</f>
        <v>0.86</v>
      </c>
      <c r="BU211" s="316">
        <f>'DATA (Real)'!BU207</f>
        <v>0.86</v>
      </c>
      <c r="BV211" s="316">
        <f>'DATA (Real)'!BV207</f>
        <v>0.86</v>
      </c>
      <c r="BW211" s="316">
        <f>'DATA (Real)'!BW207</f>
        <v>0.86</v>
      </c>
      <c r="BX211" s="316">
        <f>'DATA (Real)'!BX207</f>
        <v>0.86</v>
      </c>
    </row>
    <row r="212" spans="1:76" hidden="1" outlineLevel="1">
      <c r="B212" s="348"/>
      <c r="C212" s="348" t="str">
        <f>'DATA (Real)'!C208</f>
        <v>Internal</v>
      </c>
      <c r="D212" s="348" t="str">
        <f>'DATA (Real)'!D208</f>
        <v>Round-Trip Efficiency</v>
      </c>
      <c r="E212" s="348" t="str">
        <f>'DATA (Real)'!E208</f>
        <v>4hr Lithium-Ion</v>
      </c>
      <c r="F212" s="316">
        <f>'DATA (Real)'!F208</f>
        <v>0.86</v>
      </c>
      <c r="G212" s="316">
        <f>'DATA (Real)'!G208</f>
        <v>0.86</v>
      </c>
      <c r="H212" s="316">
        <f>'DATA (Real)'!H208</f>
        <v>0.86</v>
      </c>
      <c r="I212" s="316">
        <f>'DATA (Real)'!I208</f>
        <v>0.86</v>
      </c>
      <c r="J212" s="316">
        <f>'DATA (Real)'!J208</f>
        <v>0.86</v>
      </c>
      <c r="K212" s="316">
        <f>'DATA (Real)'!K208</f>
        <v>0.86</v>
      </c>
      <c r="L212" s="316">
        <f>'DATA (Real)'!L208</f>
        <v>0.86</v>
      </c>
      <c r="M212" s="316">
        <f>'DATA (Real)'!M208</f>
        <v>0.86</v>
      </c>
      <c r="N212" s="316">
        <f>'DATA (Real)'!N208</f>
        <v>0.86</v>
      </c>
      <c r="O212" s="316">
        <f>'DATA (Real)'!O208</f>
        <v>0.86</v>
      </c>
      <c r="P212" s="316">
        <f>'DATA (Real)'!P208</f>
        <v>0.86</v>
      </c>
      <c r="Q212" s="316">
        <f>'DATA (Real)'!Q208</f>
        <v>0.86</v>
      </c>
      <c r="R212" s="316">
        <f>'DATA (Real)'!R208</f>
        <v>0.86</v>
      </c>
      <c r="S212" s="316">
        <f>'DATA (Real)'!S208</f>
        <v>0.86</v>
      </c>
      <c r="T212" s="316">
        <f>'DATA (Real)'!T208</f>
        <v>0.86</v>
      </c>
      <c r="U212" s="316">
        <f>'DATA (Real)'!U208</f>
        <v>0.86</v>
      </c>
      <c r="V212" s="316">
        <f>'DATA (Real)'!V208</f>
        <v>0.86</v>
      </c>
      <c r="W212" s="316">
        <f>'DATA (Real)'!W208</f>
        <v>0.86</v>
      </c>
      <c r="X212" s="316">
        <f>'DATA (Real)'!X208</f>
        <v>0.86</v>
      </c>
      <c r="Y212" s="316">
        <f>'DATA (Real)'!Y208</f>
        <v>0.86</v>
      </c>
      <c r="Z212" s="316">
        <f>'DATA (Real)'!Z208</f>
        <v>0.86</v>
      </c>
      <c r="AA212" s="316">
        <f>'DATA (Real)'!AA208</f>
        <v>0.86</v>
      </c>
      <c r="AB212" s="316">
        <f>'DATA (Real)'!AB208</f>
        <v>0.86</v>
      </c>
      <c r="AC212" s="316">
        <f>'DATA (Real)'!AC208</f>
        <v>0.86</v>
      </c>
      <c r="AD212" s="316">
        <f>'DATA (Real)'!AD208</f>
        <v>0.86</v>
      </c>
      <c r="AE212" s="316">
        <f>'DATA (Real)'!AE208</f>
        <v>0.86</v>
      </c>
      <c r="AF212" s="316">
        <f>'DATA (Real)'!AF208</f>
        <v>0.86</v>
      </c>
      <c r="AG212" s="316">
        <f>'DATA (Real)'!AG208</f>
        <v>0.86</v>
      </c>
      <c r="AH212" s="316">
        <f>'DATA (Real)'!AH208</f>
        <v>0.86</v>
      </c>
      <c r="AI212" s="316">
        <f>'DATA (Real)'!AI208</f>
        <v>0.86</v>
      </c>
      <c r="AJ212" s="316">
        <f>'DATA (Real)'!AJ208</f>
        <v>0.86</v>
      </c>
      <c r="AK212" s="316">
        <f>'DATA (Real)'!AK208</f>
        <v>0.86</v>
      </c>
      <c r="AL212" s="316">
        <f>'DATA (Real)'!AL208</f>
        <v>0.86</v>
      </c>
      <c r="AM212" s="316">
        <f>'DATA (Real)'!AM208</f>
        <v>0.86</v>
      </c>
      <c r="AN212" s="316">
        <f>'DATA (Real)'!AN208</f>
        <v>0.86</v>
      </c>
      <c r="AO212" s="316">
        <f>'DATA (Real)'!AO208</f>
        <v>0.86</v>
      </c>
      <c r="AP212" s="316">
        <f>'DATA (Real)'!AP208</f>
        <v>0.86</v>
      </c>
      <c r="AQ212" s="316">
        <f>'DATA (Real)'!AQ208</f>
        <v>0.86</v>
      </c>
      <c r="AR212" s="316">
        <f>'DATA (Real)'!AR208</f>
        <v>0.86</v>
      </c>
      <c r="AS212" s="316">
        <f>'DATA (Real)'!AS208</f>
        <v>0.86</v>
      </c>
      <c r="AT212" s="316">
        <f>'DATA (Real)'!AT208</f>
        <v>0.86</v>
      </c>
      <c r="AU212" s="316">
        <f>'DATA (Real)'!AU208</f>
        <v>0.86</v>
      </c>
      <c r="AV212" s="316">
        <f>'DATA (Real)'!AV208</f>
        <v>0.86</v>
      </c>
      <c r="AW212" s="316">
        <f>'DATA (Real)'!AW208</f>
        <v>0.86</v>
      </c>
      <c r="AX212" s="316">
        <f>'DATA (Real)'!AX208</f>
        <v>0.86</v>
      </c>
      <c r="AY212" s="316">
        <f>'DATA (Real)'!AY208</f>
        <v>0.86</v>
      </c>
      <c r="AZ212" s="316">
        <f>'DATA (Real)'!AZ208</f>
        <v>0.86</v>
      </c>
      <c r="BA212" s="316">
        <f>'DATA (Real)'!BA208</f>
        <v>0.86</v>
      </c>
      <c r="BB212" s="316">
        <f>'DATA (Real)'!BB208</f>
        <v>0.86</v>
      </c>
      <c r="BC212" s="316">
        <f>'DATA (Real)'!BC208</f>
        <v>0.86</v>
      </c>
      <c r="BD212" s="316">
        <f>'DATA (Real)'!BD208</f>
        <v>0.86</v>
      </c>
      <c r="BE212" s="316">
        <f>'DATA (Real)'!BE208</f>
        <v>0.86</v>
      </c>
      <c r="BF212" s="316">
        <f>'DATA (Real)'!BF208</f>
        <v>0.86</v>
      </c>
      <c r="BG212" s="316">
        <f>'DATA (Real)'!BG208</f>
        <v>0.86</v>
      </c>
      <c r="BH212" s="316">
        <f>'DATA (Real)'!BH208</f>
        <v>0.86</v>
      </c>
      <c r="BI212" s="316">
        <f>'DATA (Real)'!BI208</f>
        <v>0.86</v>
      </c>
      <c r="BJ212" s="316">
        <f>'DATA (Real)'!BJ208</f>
        <v>0.86</v>
      </c>
      <c r="BK212" s="316">
        <f>'DATA (Real)'!BK208</f>
        <v>0.86</v>
      </c>
      <c r="BL212" s="316">
        <f>'DATA (Real)'!BL208</f>
        <v>0.86</v>
      </c>
      <c r="BM212" s="316">
        <f>'DATA (Real)'!BM208</f>
        <v>0.86</v>
      </c>
      <c r="BN212" s="316">
        <f>'DATA (Real)'!BN208</f>
        <v>0.86</v>
      </c>
      <c r="BO212" s="316">
        <f>'DATA (Real)'!BO208</f>
        <v>0.86</v>
      </c>
      <c r="BP212" s="316">
        <f>'DATA (Real)'!BP208</f>
        <v>0.86</v>
      </c>
      <c r="BQ212" s="316">
        <f>'DATA (Real)'!BQ208</f>
        <v>0.86</v>
      </c>
      <c r="BR212" s="316">
        <f>'DATA (Real)'!BR208</f>
        <v>0.86</v>
      </c>
      <c r="BS212" s="316">
        <f>'DATA (Real)'!BS208</f>
        <v>0.86</v>
      </c>
      <c r="BT212" s="316">
        <f>'DATA (Real)'!BT208</f>
        <v>0.86</v>
      </c>
      <c r="BU212" s="316">
        <f>'DATA (Real)'!BU208</f>
        <v>0.86</v>
      </c>
      <c r="BV212" s="316">
        <f>'DATA (Real)'!BV208</f>
        <v>0.86</v>
      </c>
      <c r="BW212" s="316">
        <f>'DATA (Real)'!BW208</f>
        <v>0.86</v>
      </c>
      <c r="BX212" s="316">
        <f>'DATA (Real)'!BX208</f>
        <v>0.86</v>
      </c>
    </row>
    <row r="213" spans="1:76" hidden="1" outlineLevel="1">
      <c r="B213" s="348"/>
      <c r="C213" s="348" t="str">
        <f>'DATA (Real)'!C209</f>
        <v>Internal</v>
      </c>
      <c r="D213" s="348" t="str">
        <f>'DATA (Real)'!D209</f>
        <v>Round-Trip Efficiency</v>
      </c>
      <c r="E213" s="348" t="str">
        <f>'DATA (Real)'!E209</f>
        <v>8hr Lithium-Ion</v>
      </c>
      <c r="F213" s="316">
        <f>'DATA (Real)'!F209</f>
        <v>0.86</v>
      </c>
      <c r="G213" s="316">
        <f>'DATA (Real)'!G209</f>
        <v>0.86</v>
      </c>
      <c r="H213" s="316">
        <f>'DATA (Real)'!H209</f>
        <v>0.86</v>
      </c>
      <c r="I213" s="316">
        <f>'DATA (Real)'!I209</f>
        <v>0.86</v>
      </c>
      <c r="J213" s="316">
        <f>'DATA (Real)'!J209</f>
        <v>0.86</v>
      </c>
      <c r="K213" s="316">
        <f>'DATA (Real)'!K209</f>
        <v>0.86</v>
      </c>
      <c r="L213" s="316">
        <f>'DATA (Real)'!L209</f>
        <v>0.86</v>
      </c>
      <c r="M213" s="316">
        <f>'DATA (Real)'!M209</f>
        <v>0.86</v>
      </c>
      <c r="N213" s="316">
        <f>'DATA (Real)'!N209</f>
        <v>0.86</v>
      </c>
      <c r="O213" s="316">
        <f>'DATA (Real)'!O209</f>
        <v>0.86</v>
      </c>
      <c r="P213" s="316">
        <f>'DATA (Real)'!P209</f>
        <v>0.86</v>
      </c>
      <c r="Q213" s="316">
        <f>'DATA (Real)'!Q209</f>
        <v>0.86</v>
      </c>
      <c r="R213" s="316">
        <f>'DATA (Real)'!R209</f>
        <v>0.86</v>
      </c>
      <c r="S213" s="316">
        <f>'DATA (Real)'!S209</f>
        <v>0.86</v>
      </c>
      <c r="T213" s="316">
        <f>'DATA (Real)'!T209</f>
        <v>0.86</v>
      </c>
      <c r="U213" s="316">
        <f>'DATA (Real)'!U209</f>
        <v>0.86</v>
      </c>
      <c r="V213" s="316">
        <f>'DATA (Real)'!V209</f>
        <v>0.86</v>
      </c>
      <c r="W213" s="316">
        <f>'DATA (Real)'!W209</f>
        <v>0.86</v>
      </c>
      <c r="X213" s="316">
        <f>'DATA (Real)'!X209</f>
        <v>0.86</v>
      </c>
      <c r="Y213" s="316">
        <f>'DATA (Real)'!Y209</f>
        <v>0.86</v>
      </c>
      <c r="Z213" s="316">
        <f>'DATA (Real)'!Z209</f>
        <v>0.86</v>
      </c>
      <c r="AA213" s="316">
        <f>'DATA (Real)'!AA209</f>
        <v>0.86</v>
      </c>
      <c r="AB213" s="316">
        <f>'DATA (Real)'!AB209</f>
        <v>0.86</v>
      </c>
      <c r="AC213" s="316">
        <f>'DATA (Real)'!AC209</f>
        <v>0.86</v>
      </c>
      <c r="AD213" s="316">
        <f>'DATA (Real)'!AD209</f>
        <v>0.86</v>
      </c>
      <c r="AE213" s="316">
        <f>'DATA (Real)'!AE209</f>
        <v>0.86</v>
      </c>
      <c r="AF213" s="316">
        <f>'DATA (Real)'!AF209</f>
        <v>0.86</v>
      </c>
      <c r="AG213" s="316">
        <f>'DATA (Real)'!AG209</f>
        <v>0.86</v>
      </c>
      <c r="AH213" s="316">
        <f>'DATA (Real)'!AH209</f>
        <v>0.86</v>
      </c>
      <c r="AI213" s="316">
        <f>'DATA (Real)'!AI209</f>
        <v>0.86</v>
      </c>
      <c r="AJ213" s="316">
        <f>'DATA (Real)'!AJ209</f>
        <v>0.86</v>
      </c>
      <c r="AK213" s="316">
        <f>'DATA (Real)'!AK209</f>
        <v>0.86</v>
      </c>
      <c r="AL213" s="316">
        <f>'DATA (Real)'!AL209</f>
        <v>0.86</v>
      </c>
      <c r="AM213" s="316">
        <f>'DATA (Real)'!AM209</f>
        <v>0.86</v>
      </c>
      <c r="AN213" s="316">
        <f>'DATA (Real)'!AN209</f>
        <v>0.86</v>
      </c>
      <c r="AO213" s="316">
        <f>'DATA (Real)'!AO209</f>
        <v>0.86</v>
      </c>
      <c r="AP213" s="316">
        <f>'DATA (Real)'!AP209</f>
        <v>0.86</v>
      </c>
      <c r="AQ213" s="316">
        <f>'DATA (Real)'!AQ209</f>
        <v>0.86</v>
      </c>
      <c r="AR213" s="316">
        <f>'DATA (Real)'!AR209</f>
        <v>0.86</v>
      </c>
      <c r="AS213" s="316">
        <f>'DATA (Real)'!AS209</f>
        <v>0.86</v>
      </c>
      <c r="AT213" s="316">
        <f>'DATA (Real)'!AT209</f>
        <v>0.86</v>
      </c>
      <c r="AU213" s="316">
        <f>'DATA (Real)'!AU209</f>
        <v>0.86</v>
      </c>
      <c r="AV213" s="316">
        <f>'DATA (Real)'!AV209</f>
        <v>0.86</v>
      </c>
      <c r="AW213" s="316">
        <f>'DATA (Real)'!AW209</f>
        <v>0.86</v>
      </c>
      <c r="AX213" s="316">
        <f>'DATA (Real)'!AX209</f>
        <v>0.86</v>
      </c>
      <c r="AY213" s="316">
        <f>'DATA (Real)'!AY209</f>
        <v>0.86</v>
      </c>
      <c r="AZ213" s="316">
        <f>'DATA (Real)'!AZ209</f>
        <v>0.86</v>
      </c>
      <c r="BA213" s="316">
        <f>'DATA (Real)'!BA209</f>
        <v>0.86</v>
      </c>
      <c r="BB213" s="316">
        <f>'DATA (Real)'!BB209</f>
        <v>0.86</v>
      </c>
      <c r="BC213" s="316">
        <f>'DATA (Real)'!BC209</f>
        <v>0.86</v>
      </c>
      <c r="BD213" s="316">
        <f>'DATA (Real)'!BD209</f>
        <v>0.86</v>
      </c>
      <c r="BE213" s="316">
        <f>'DATA (Real)'!BE209</f>
        <v>0.86</v>
      </c>
      <c r="BF213" s="316">
        <f>'DATA (Real)'!BF209</f>
        <v>0.86</v>
      </c>
      <c r="BG213" s="316">
        <f>'DATA (Real)'!BG209</f>
        <v>0.86</v>
      </c>
      <c r="BH213" s="316">
        <f>'DATA (Real)'!BH209</f>
        <v>0.86</v>
      </c>
      <c r="BI213" s="316">
        <f>'DATA (Real)'!BI209</f>
        <v>0.86</v>
      </c>
      <c r="BJ213" s="316">
        <f>'DATA (Real)'!BJ209</f>
        <v>0.86</v>
      </c>
      <c r="BK213" s="316">
        <f>'DATA (Real)'!BK209</f>
        <v>0.86</v>
      </c>
      <c r="BL213" s="316">
        <f>'DATA (Real)'!BL209</f>
        <v>0.86</v>
      </c>
      <c r="BM213" s="316">
        <f>'DATA (Real)'!BM209</f>
        <v>0.86</v>
      </c>
      <c r="BN213" s="316">
        <f>'DATA (Real)'!BN209</f>
        <v>0.86</v>
      </c>
      <c r="BO213" s="316">
        <f>'DATA (Real)'!BO209</f>
        <v>0.86</v>
      </c>
      <c r="BP213" s="316">
        <f>'DATA (Real)'!BP209</f>
        <v>0.86</v>
      </c>
      <c r="BQ213" s="316">
        <f>'DATA (Real)'!BQ209</f>
        <v>0.86</v>
      </c>
      <c r="BR213" s="316">
        <f>'DATA (Real)'!BR209</f>
        <v>0.86</v>
      </c>
      <c r="BS213" s="316">
        <f>'DATA (Real)'!BS209</f>
        <v>0.86</v>
      </c>
      <c r="BT213" s="316">
        <f>'DATA (Real)'!BT209</f>
        <v>0.86</v>
      </c>
      <c r="BU213" s="316">
        <f>'DATA (Real)'!BU209</f>
        <v>0.86</v>
      </c>
      <c r="BV213" s="316">
        <f>'DATA (Real)'!BV209</f>
        <v>0.86</v>
      </c>
      <c r="BW213" s="316">
        <f>'DATA (Real)'!BW209</f>
        <v>0.86</v>
      </c>
      <c r="BX213" s="316">
        <f>'DATA (Real)'!BX209</f>
        <v>0.86</v>
      </c>
    </row>
    <row r="214" spans="1:76" hidden="1" outlineLevel="1">
      <c r="B214" s="348"/>
      <c r="C214" s="348" t="str">
        <f>'DATA (Real)'!C210</f>
        <v>Internal</v>
      </c>
      <c r="D214" s="348" t="str">
        <f>'DATA (Real)'!D210</f>
        <v>Round-Trip Efficiency</v>
      </c>
      <c r="E214" s="348" t="str">
        <f>'DATA (Real)'!E210</f>
        <v>16hr Lithium-Ion</v>
      </c>
      <c r="F214" s="316">
        <f>'DATA (Real)'!F210</f>
        <v>0.86</v>
      </c>
      <c r="G214" s="316">
        <f>'DATA (Real)'!G210</f>
        <v>0.86</v>
      </c>
      <c r="H214" s="316">
        <f>'DATA (Real)'!H210</f>
        <v>0.86</v>
      </c>
      <c r="I214" s="316">
        <f>'DATA (Real)'!I210</f>
        <v>0.86</v>
      </c>
      <c r="J214" s="316">
        <f>'DATA (Real)'!J210</f>
        <v>0.86</v>
      </c>
      <c r="K214" s="316">
        <f>'DATA (Real)'!K210</f>
        <v>0.86</v>
      </c>
      <c r="L214" s="316">
        <f>'DATA (Real)'!L210</f>
        <v>0.86</v>
      </c>
      <c r="M214" s="316">
        <f>'DATA (Real)'!M210</f>
        <v>0.86</v>
      </c>
      <c r="N214" s="316">
        <f>'DATA (Real)'!N210</f>
        <v>0.86</v>
      </c>
      <c r="O214" s="316">
        <f>'DATA (Real)'!O210</f>
        <v>0.86</v>
      </c>
      <c r="P214" s="316">
        <f>'DATA (Real)'!P210</f>
        <v>0.86</v>
      </c>
      <c r="Q214" s="316">
        <f>'DATA (Real)'!Q210</f>
        <v>0.86</v>
      </c>
      <c r="R214" s="316">
        <f>'DATA (Real)'!R210</f>
        <v>0.86</v>
      </c>
      <c r="S214" s="316">
        <f>'DATA (Real)'!S210</f>
        <v>0.86</v>
      </c>
      <c r="T214" s="316">
        <f>'DATA (Real)'!T210</f>
        <v>0.86</v>
      </c>
      <c r="U214" s="316">
        <f>'DATA (Real)'!U210</f>
        <v>0.86</v>
      </c>
      <c r="V214" s="316">
        <f>'DATA (Real)'!V210</f>
        <v>0.86</v>
      </c>
      <c r="W214" s="316">
        <f>'DATA (Real)'!W210</f>
        <v>0.86</v>
      </c>
      <c r="X214" s="316">
        <f>'DATA (Real)'!X210</f>
        <v>0.86</v>
      </c>
      <c r="Y214" s="316">
        <f>'DATA (Real)'!Y210</f>
        <v>0.86</v>
      </c>
      <c r="Z214" s="316">
        <f>'DATA (Real)'!Z210</f>
        <v>0.86</v>
      </c>
      <c r="AA214" s="316">
        <f>'DATA (Real)'!AA210</f>
        <v>0.86</v>
      </c>
      <c r="AB214" s="316">
        <f>'DATA (Real)'!AB210</f>
        <v>0.86</v>
      </c>
      <c r="AC214" s="316">
        <f>'DATA (Real)'!AC210</f>
        <v>0.86</v>
      </c>
      <c r="AD214" s="316">
        <f>'DATA (Real)'!AD210</f>
        <v>0.86</v>
      </c>
      <c r="AE214" s="316">
        <f>'DATA (Real)'!AE210</f>
        <v>0.86</v>
      </c>
      <c r="AF214" s="316">
        <f>'DATA (Real)'!AF210</f>
        <v>0.86</v>
      </c>
      <c r="AG214" s="316">
        <f>'DATA (Real)'!AG210</f>
        <v>0.86</v>
      </c>
      <c r="AH214" s="316">
        <f>'DATA (Real)'!AH210</f>
        <v>0.86</v>
      </c>
      <c r="AI214" s="316">
        <f>'DATA (Real)'!AI210</f>
        <v>0.86</v>
      </c>
      <c r="AJ214" s="316">
        <f>'DATA (Real)'!AJ210</f>
        <v>0.86</v>
      </c>
      <c r="AK214" s="316">
        <f>'DATA (Real)'!AK210</f>
        <v>0.86</v>
      </c>
      <c r="AL214" s="316">
        <f>'DATA (Real)'!AL210</f>
        <v>0.86</v>
      </c>
      <c r="AM214" s="316">
        <f>'DATA (Real)'!AM210</f>
        <v>0.86</v>
      </c>
      <c r="AN214" s="316">
        <f>'DATA (Real)'!AN210</f>
        <v>0.86</v>
      </c>
      <c r="AO214" s="316">
        <f>'DATA (Real)'!AO210</f>
        <v>0.86</v>
      </c>
      <c r="AP214" s="316">
        <f>'DATA (Real)'!AP210</f>
        <v>0.86</v>
      </c>
      <c r="AQ214" s="316">
        <f>'DATA (Real)'!AQ210</f>
        <v>0.86</v>
      </c>
      <c r="AR214" s="316">
        <f>'DATA (Real)'!AR210</f>
        <v>0.86</v>
      </c>
      <c r="AS214" s="316">
        <f>'DATA (Real)'!AS210</f>
        <v>0.86</v>
      </c>
      <c r="AT214" s="316">
        <f>'DATA (Real)'!AT210</f>
        <v>0.86</v>
      </c>
      <c r="AU214" s="316">
        <f>'DATA (Real)'!AU210</f>
        <v>0.86</v>
      </c>
      <c r="AV214" s="316">
        <f>'DATA (Real)'!AV210</f>
        <v>0.86</v>
      </c>
      <c r="AW214" s="316">
        <f>'DATA (Real)'!AW210</f>
        <v>0.86</v>
      </c>
      <c r="AX214" s="316">
        <f>'DATA (Real)'!AX210</f>
        <v>0.86</v>
      </c>
      <c r="AY214" s="316">
        <f>'DATA (Real)'!AY210</f>
        <v>0.86</v>
      </c>
      <c r="AZ214" s="316">
        <f>'DATA (Real)'!AZ210</f>
        <v>0.86</v>
      </c>
      <c r="BA214" s="316">
        <f>'DATA (Real)'!BA210</f>
        <v>0.86</v>
      </c>
      <c r="BB214" s="316">
        <f>'DATA (Real)'!BB210</f>
        <v>0.86</v>
      </c>
      <c r="BC214" s="316">
        <f>'DATA (Real)'!BC210</f>
        <v>0.86</v>
      </c>
      <c r="BD214" s="316">
        <f>'DATA (Real)'!BD210</f>
        <v>0.86</v>
      </c>
      <c r="BE214" s="316">
        <f>'DATA (Real)'!BE210</f>
        <v>0.86</v>
      </c>
      <c r="BF214" s="316">
        <f>'DATA (Real)'!BF210</f>
        <v>0.86</v>
      </c>
      <c r="BG214" s="316">
        <f>'DATA (Real)'!BG210</f>
        <v>0.86</v>
      </c>
      <c r="BH214" s="316">
        <f>'DATA (Real)'!BH210</f>
        <v>0.86</v>
      </c>
      <c r="BI214" s="316">
        <f>'DATA (Real)'!BI210</f>
        <v>0.86</v>
      </c>
      <c r="BJ214" s="316">
        <f>'DATA (Real)'!BJ210</f>
        <v>0.86</v>
      </c>
      <c r="BK214" s="316">
        <f>'DATA (Real)'!BK210</f>
        <v>0.86</v>
      </c>
      <c r="BL214" s="316">
        <f>'DATA (Real)'!BL210</f>
        <v>0.86</v>
      </c>
      <c r="BM214" s="316">
        <f>'DATA (Real)'!BM210</f>
        <v>0.86</v>
      </c>
      <c r="BN214" s="316">
        <f>'DATA (Real)'!BN210</f>
        <v>0.86</v>
      </c>
      <c r="BO214" s="316">
        <f>'DATA (Real)'!BO210</f>
        <v>0.86</v>
      </c>
      <c r="BP214" s="316">
        <f>'DATA (Real)'!BP210</f>
        <v>0.86</v>
      </c>
      <c r="BQ214" s="316">
        <f>'DATA (Real)'!BQ210</f>
        <v>0.86</v>
      </c>
      <c r="BR214" s="316">
        <f>'DATA (Real)'!BR210</f>
        <v>0.86</v>
      </c>
      <c r="BS214" s="316">
        <f>'DATA (Real)'!BS210</f>
        <v>0.86</v>
      </c>
      <c r="BT214" s="316">
        <f>'DATA (Real)'!BT210</f>
        <v>0.86</v>
      </c>
      <c r="BU214" s="316">
        <f>'DATA (Real)'!BU210</f>
        <v>0.86</v>
      </c>
      <c r="BV214" s="316">
        <f>'DATA (Real)'!BV210</f>
        <v>0.86</v>
      </c>
      <c r="BW214" s="316">
        <f>'DATA (Real)'!BW210</f>
        <v>0.86</v>
      </c>
      <c r="BX214" s="316">
        <f>'DATA (Real)'!BX210</f>
        <v>0.86</v>
      </c>
    </row>
    <row r="215" spans="1:76" hidden="1" outlineLevel="1">
      <c r="B215" s="348"/>
      <c r="C215" s="348" t="str">
        <f>'DATA (Real)'!C211</f>
        <v>Internal</v>
      </c>
      <c r="D215" s="348" t="str">
        <f>'DATA (Real)'!D211</f>
        <v>Round-Trip Efficiency</v>
      </c>
      <c r="E215" s="348" t="str">
        <f>'DATA (Real)'!E211</f>
        <v>4 hr Vanadium Flow Battery</v>
      </c>
      <c r="F215" s="316">
        <f>'DATA (Real)'!F211</f>
        <v>0.7</v>
      </c>
      <c r="G215" s="316">
        <f>'DATA (Real)'!G211</f>
        <v>0.7</v>
      </c>
      <c r="H215" s="316">
        <f>'DATA (Real)'!H211</f>
        <v>0.7</v>
      </c>
      <c r="I215" s="316">
        <f>'DATA (Real)'!I211</f>
        <v>0.7</v>
      </c>
      <c r="J215" s="316">
        <f>'DATA (Real)'!J211</f>
        <v>0.7</v>
      </c>
      <c r="K215" s="316">
        <f>'DATA (Real)'!K211</f>
        <v>0.7</v>
      </c>
      <c r="L215" s="316">
        <f>'DATA (Real)'!L211</f>
        <v>0.7</v>
      </c>
      <c r="M215" s="316">
        <f>'DATA (Real)'!M211</f>
        <v>0.7</v>
      </c>
      <c r="N215" s="316">
        <f>'DATA (Real)'!N211</f>
        <v>0.7</v>
      </c>
      <c r="O215" s="316">
        <f>'DATA (Real)'!O211</f>
        <v>0.7</v>
      </c>
      <c r="P215" s="316">
        <f>'DATA (Real)'!P211</f>
        <v>0.7</v>
      </c>
      <c r="Q215" s="316">
        <f>'DATA (Real)'!Q211</f>
        <v>0.7</v>
      </c>
      <c r="R215" s="316">
        <f>'DATA (Real)'!R211</f>
        <v>0.7</v>
      </c>
      <c r="S215" s="316">
        <f>'DATA (Real)'!S211</f>
        <v>0.7</v>
      </c>
      <c r="T215" s="316">
        <f>'DATA (Real)'!T211</f>
        <v>0.7</v>
      </c>
      <c r="U215" s="316">
        <f>'DATA (Real)'!U211</f>
        <v>0.7</v>
      </c>
      <c r="V215" s="316">
        <f>'DATA (Real)'!V211</f>
        <v>0.7</v>
      </c>
      <c r="W215" s="316">
        <f>'DATA (Real)'!W211</f>
        <v>0.7</v>
      </c>
      <c r="X215" s="316">
        <f>'DATA (Real)'!X211</f>
        <v>0.7</v>
      </c>
      <c r="Y215" s="316">
        <f>'DATA (Real)'!Y211</f>
        <v>0.7</v>
      </c>
      <c r="Z215" s="316">
        <f>'DATA (Real)'!Z211</f>
        <v>0.7</v>
      </c>
      <c r="AA215" s="316">
        <f>'DATA (Real)'!AA211</f>
        <v>0.7</v>
      </c>
      <c r="AB215" s="316">
        <f>'DATA (Real)'!AB211</f>
        <v>0.7</v>
      </c>
      <c r="AC215" s="316">
        <f>'DATA (Real)'!AC211</f>
        <v>0.7</v>
      </c>
      <c r="AD215" s="316">
        <f>'DATA (Real)'!AD211</f>
        <v>0.7</v>
      </c>
      <c r="AE215" s="316">
        <f>'DATA (Real)'!AE211</f>
        <v>0.7</v>
      </c>
      <c r="AF215" s="316">
        <f>'DATA (Real)'!AF211</f>
        <v>0.7</v>
      </c>
      <c r="AG215" s="316">
        <f>'DATA (Real)'!AG211</f>
        <v>0.7</v>
      </c>
      <c r="AH215" s="316">
        <f>'DATA (Real)'!AH211</f>
        <v>0.7</v>
      </c>
      <c r="AI215" s="316">
        <f>'DATA (Real)'!AI211</f>
        <v>0.7</v>
      </c>
      <c r="AJ215" s="316">
        <f>'DATA (Real)'!AJ211</f>
        <v>0.7</v>
      </c>
      <c r="AK215" s="316">
        <f>'DATA (Real)'!AK211</f>
        <v>0.7</v>
      </c>
      <c r="AL215" s="316">
        <f>'DATA (Real)'!AL211</f>
        <v>0.7</v>
      </c>
      <c r="AM215" s="316">
        <f>'DATA (Real)'!AM211</f>
        <v>0.7</v>
      </c>
      <c r="AN215" s="316">
        <f>'DATA (Real)'!AN211</f>
        <v>0.7</v>
      </c>
      <c r="AO215" s="316">
        <f>'DATA (Real)'!AO211</f>
        <v>0.7</v>
      </c>
      <c r="AP215" s="316">
        <f>'DATA (Real)'!AP211</f>
        <v>0.7</v>
      </c>
      <c r="AQ215" s="316">
        <f>'DATA (Real)'!AQ211</f>
        <v>0.7</v>
      </c>
      <c r="AR215" s="316">
        <f>'DATA (Real)'!AR211</f>
        <v>0.7</v>
      </c>
      <c r="AS215" s="316">
        <f>'DATA (Real)'!AS211</f>
        <v>0.7</v>
      </c>
      <c r="AT215" s="316">
        <f>'DATA (Real)'!AT211</f>
        <v>0.7</v>
      </c>
      <c r="AU215" s="316">
        <f>'DATA (Real)'!AU211</f>
        <v>0.7</v>
      </c>
      <c r="AV215" s="316">
        <f>'DATA (Real)'!AV211</f>
        <v>0.7</v>
      </c>
      <c r="AW215" s="316">
        <f>'DATA (Real)'!AW211</f>
        <v>0.7</v>
      </c>
      <c r="AX215" s="316">
        <f>'DATA (Real)'!AX211</f>
        <v>0.7</v>
      </c>
      <c r="AY215" s="316">
        <f>'DATA (Real)'!AY211</f>
        <v>0.7</v>
      </c>
      <c r="AZ215" s="316">
        <f>'DATA (Real)'!AZ211</f>
        <v>0.7</v>
      </c>
      <c r="BA215" s="316">
        <f>'DATA (Real)'!BA211</f>
        <v>0.7</v>
      </c>
      <c r="BB215" s="316">
        <f>'DATA (Real)'!BB211</f>
        <v>0.7</v>
      </c>
      <c r="BC215" s="316">
        <f>'DATA (Real)'!BC211</f>
        <v>0.7</v>
      </c>
      <c r="BD215" s="316">
        <f>'DATA (Real)'!BD211</f>
        <v>0.7</v>
      </c>
      <c r="BE215" s="316">
        <f>'DATA (Real)'!BE211</f>
        <v>0.7</v>
      </c>
      <c r="BF215" s="316">
        <f>'DATA (Real)'!BF211</f>
        <v>0.7</v>
      </c>
      <c r="BG215" s="316">
        <f>'DATA (Real)'!BG211</f>
        <v>0.7</v>
      </c>
      <c r="BH215" s="316">
        <f>'DATA (Real)'!BH211</f>
        <v>0.7</v>
      </c>
      <c r="BI215" s="316">
        <f>'DATA (Real)'!BI211</f>
        <v>0.7</v>
      </c>
      <c r="BJ215" s="316">
        <f>'DATA (Real)'!BJ211</f>
        <v>0.7</v>
      </c>
      <c r="BK215" s="316">
        <f>'DATA (Real)'!BK211</f>
        <v>0.7</v>
      </c>
      <c r="BL215" s="316">
        <f>'DATA (Real)'!BL211</f>
        <v>0.7</v>
      </c>
      <c r="BM215" s="316">
        <f>'DATA (Real)'!BM211</f>
        <v>0.7</v>
      </c>
      <c r="BN215" s="316">
        <f>'DATA (Real)'!BN211</f>
        <v>0.7</v>
      </c>
      <c r="BO215" s="316">
        <f>'DATA (Real)'!BO211</f>
        <v>0.7</v>
      </c>
      <c r="BP215" s="316">
        <f>'DATA (Real)'!BP211</f>
        <v>0.7</v>
      </c>
      <c r="BQ215" s="316">
        <f>'DATA (Real)'!BQ211</f>
        <v>0.7</v>
      </c>
      <c r="BR215" s="316">
        <f>'DATA (Real)'!BR211</f>
        <v>0.7</v>
      </c>
      <c r="BS215" s="316">
        <f>'DATA (Real)'!BS211</f>
        <v>0.7</v>
      </c>
      <c r="BT215" s="316">
        <f>'DATA (Real)'!BT211</f>
        <v>0.7</v>
      </c>
      <c r="BU215" s="316">
        <f>'DATA (Real)'!BU211</f>
        <v>0.7</v>
      </c>
      <c r="BV215" s="316">
        <f>'DATA (Real)'!BV211</f>
        <v>0.7</v>
      </c>
      <c r="BW215" s="316">
        <f>'DATA (Real)'!BW211</f>
        <v>0.7</v>
      </c>
      <c r="BX215" s="316">
        <f>'DATA (Real)'!BX211</f>
        <v>0.7</v>
      </c>
    </row>
    <row r="216" spans="1:76" hidden="1" outlineLevel="1">
      <c r="B216" s="348"/>
      <c r="C216" s="348" t="str">
        <f>'DATA (Real)'!C212</f>
        <v>Internal</v>
      </c>
      <c r="D216" s="348" t="str">
        <f>'DATA (Real)'!D212</f>
        <v>Round-Trip Efficiency</v>
      </c>
      <c r="E216" s="348" t="str">
        <f>'DATA (Real)'!E212</f>
        <v>4 hr Zinc Bromide Flow Battery</v>
      </c>
      <c r="F216" s="316">
        <f>'DATA (Real)'!F212</f>
        <v>0.67</v>
      </c>
      <c r="G216" s="316">
        <f>'DATA (Real)'!G212</f>
        <v>0.67</v>
      </c>
      <c r="H216" s="316">
        <f>'DATA (Real)'!H212</f>
        <v>0.67</v>
      </c>
      <c r="I216" s="316">
        <f>'DATA (Real)'!I212</f>
        <v>0.67</v>
      </c>
      <c r="J216" s="316">
        <f>'DATA (Real)'!J212</f>
        <v>0.67</v>
      </c>
      <c r="K216" s="316">
        <f>'DATA (Real)'!K212</f>
        <v>0.67</v>
      </c>
      <c r="L216" s="316">
        <f>'DATA (Real)'!L212</f>
        <v>0.67</v>
      </c>
      <c r="M216" s="316">
        <f>'DATA (Real)'!M212</f>
        <v>0.67</v>
      </c>
      <c r="N216" s="316">
        <f>'DATA (Real)'!N212</f>
        <v>0.67</v>
      </c>
      <c r="O216" s="316">
        <f>'DATA (Real)'!O212</f>
        <v>0.67</v>
      </c>
      <c r="P216" s="316">
        <f>'DATA (Real)'!P212</f>
        <v>0.67</v>
      </c>
      <c r="Q216" s="316">
        <f>'DATA (Real)'!Q212</f>
        <v>0.67</v>
      </c>
      <c r="R216" s="316">
        <f>'DATA (Real)'!R212</f>
        <v>0.67</v>
      </c>
      <c r="S216" s="316">
        <f>'DATA (Real)'!S212</f>
        <v>0.67</v>
      </c>
      <c r="T216" s="316">
        <f>'DATA (Real)'!T212</f>
        <v>0.67</v>
      </c>
      <c r="U216" s="316">
        <f>'DATA (Real)'!U212</f>
        <v>0.67</v>
      </c>
      <c r="V216" s="316">
        <f>'DATA (Real)'!V212</f>
        <v>0.67</v>
      </c>
      <c r="W216" s="316">
        <f>'DATA (Real)'!W212</f>
        <v>0.67</v>
      </c>
      <c r="X216" s="316">
        <f>'DATA (Real)'!X212</f>
        <v>0.67</v>
      </c>
      <c r="Y216" s="316">
        <f>'DATA (Real)'!Y212</f>
        <v>0.67</v>
      </c>
      <c r="Z216" s="316">
        <f>'DATA (Real)'!Z212</f>
        <v>0.67</v>
      </c>
      <c r="AA216" s="316">
        <f>'DATA (Real)'!AA212</f>
        <v>0.67</v>
      </c>
      <c r="AB216" s="316">
        <f>'DATA (Real)'!AB212</f>
        <v>0.67</v>
      </c>
      <c r="AC216" s="316">
        <f>'DATA (Real)'!AC212</f>
        <v>0.67</v>
      </c>
      <c r="AD216" s="316">
        <f>'DATA (Real)'!AD212</f>
        <v>0.67</v>
      </c>
      <c r="AE216" s="316">
        <f>'DATA (Real)'!AE212</f>
        <v>0.67</v>
      </c>
      <c r="AF216" s="316">
        <f>'DATA (Real)'!AF212</f>
        <v>0.67</v>
      </c>
      <c r="AG216" s="316">
        <f>'DATA (Real)'!AG212</f>
        <v>0.67</v>
      </c>
      <c r="AH216" s="316">
        <f>'DATA (Real)'!AH212</f>
        <v>0.67</v>
      </c>
      <c r="AI216" s="316">
        <f>'DATA (Real)'!AI212</f>
        <v>0.67</v>
      </c>
      <c r="AJ216" s="316">
        <f>'DATA (Real)'!AJ212</f>
        <v>0.67</v>
      </c>
      <c r="AK216" s="316">
        <f>'DATA (Real)'!AK212</f>
        <v>0.67</v>
      </c>
      <c r="AL216" s="316">
        <f>'DATA (Real)'!AL212</f>
        <v>0.67</v>
      </c>
      <c r="AM216" s="316">
        <f>'DATA (Real)'!AM212</f>
        <v>0.67</v>
      </c>
      <c r="AN216" s="316">
        <f>'DATA (Real)'!AN212</f>
        <v>0.67</v>
      </c>
      <c r="AO216" s="316">
        <f>'DATA (Real)'!AO212</f>
        <v>0.67</v>
      </c>
      <c r="AP216" s="316">
        <f>'DATA (Real)'!AP212</f>
        <v>0.67</v>
      </c>
      <c r="AQ216" s="316">
        <f>'DATA (Real)'!AQ212</f>
        <v>0.67</v>
      </c>
      <c r="AR216" s="316">
        <f>'DATA (Real)'!AR212</f>
        <v>0.67</v>
      </c>
      <c r="AS216" s="316">
        <f>'DATA (Real)'!AS212</f>
        <v>0.67</v>
      </c>
      <c r="AT216" s="316">
        <f>'DATA (Real)'!AT212</f>
        <v>0.67</v>
      </c>
      <c r="AU216" s="316">
        <f>'DATA (Real)'!AU212</f>
        <v>0.67</v>
      </c>
      <c r="AV216" s="316">
        <f>'DATA (Real)'!AV212</f>
        <v>0.67</v>
      </c>
      <c r="AW216" s="316">
        <f>'DATA (Real)'!AW212</f>
        <v>0.67</v>
      </c>
      <c r="AX216" s="316">
        <f>'DATA (Real)'!AX212</f>
        <v>0.67</v>
      </c>
      <c r="AY216" s="316">
        <f>'DATA (Real)'!AY212</f>
        <v>0.67</v>
      </c>
      <c r="AZ216" s="316">
        <f>'DATA (Real)'!AZ212</f>
        <v>0.67</v>
      </c>
      <c r="BA216" s="316">
        <f>'DATA (Real)'!BA212</f>
        <v>0.67</v>
      </c>
      <c r="BB216" s="316">
        <f>'DATA (Real)'!BB212</f>
        <v>0.67</v>
      </c>
      <c r="BC216" s="316">
        <f>'DATA (Real)'!BC212</f>
        <v>0.67</v>
      </c>
      <c r="BD216" s="316">
        <f>'DATA (Real)'!BD212</f>
        <v>0.67</v>
      </c>
      <c r="BE216" s="316">
        <f>'DATA (Real)'!BE212</f>
        <v>0.67</v>
      </c>
      <c r="BF216" s="316">
        <f>'DATA (Real)'!BF212</f>
        <v>0.67</v>
      </c>
      <c r="BG216" s="316">
        <f>'DATA (Real)'!BG212</f>
        <v>0.67</v>
      </c>
      <c r="BH216" s="316">
        <f>'DATA (Real)'!BH212</f>
        <v>0.67</v>
      </c>
      <c r="BI216" s="316">
        <f>'DATA (Real)'!BI212</f>
        <v>0.67</v>
      </c>
      <c r="BJ216" s="316">
        <f>'DATA (Real)'!BJ212</f>
        <v>0.67</v>
      </c>
      <c r="BK216" s="316">
        <f>'DATA (Real)'!BK212</f>
        <v>0.67</v>
      </c>
      <c r="BL216" s="316">
        <f>'DATA (Real)'!BL212</f>
        <v>0.67</v>
      </c>
      <c r="BM216" s="316">
        <f>'DATA (Real)'!BM212</f>
        <v>0.67</v>
      </c>
      <c r="BN216" s="316">
        <f>'DATA (Real)'!BN212</f>
        <v>0.67</v>
      </c>
      <c r="BO216" s="316">
        <f>'DATA (Real)'!BO212</f>
        <v>0.67</v>
      </c>
      <c r="BP216" s="316">
        <f>'DATA (Real)'!BP212</f>
        <v>0.67</v>
      </c>
      <c r="BQ216" s="316">
        <f>'DATA (Real)'!BQ212</f>
        <v>0.67</v>
      </c>
      <c r="BR216" s="316">
        <f>'DATA (Real)'!BR212</f>
        <v>0.67</v>
      </c>
      <c r="BS216" s="316">
        <f>'DATA (Real)'!BS212</f>
        <v>0.67</v>
      </c>
      <c r="BT216" s="316">
        <f>'DATA (Real)'!BT212</f>
        <v>0.67</v>
      </c>
      <c r="BU216" s="316">
        <f>'DATA (Real)'!BU212</f>
        <v>0.67</v>
      </c>
      <c r="BV216" s="316">
        <f>'DATA (Real)'!BV212</f>
        <v>0.67</v>
      </c>
      <c r="BW216" s="316">
        <f>'DATA (Real)'!BW212</f>
        <v>0.67</v>
      </c>
      <c r="BX216" s="316">
        <f>'DATA (Real)'!BX212</f>
        <v>0.67</v>
      </c>
    </row>
    <row r="217" spans="1:76" hidden="1" outlineLevel="1">
      <c r="B217" s="348"/>
      <c r="C217" s="348" t="str">
        <f>'DATA (Real)'!C213</f>
        <v>Internal</v>
      </c>
      <c r="D217" s="348" t="str">
        <f>'DATA (Real)'!D213</f>
        <v>Round-Trip Efficiency</v>
      </c>
      <c r="E217" s="348" t="str">
        <f>'DATA (Real)'!E213</f>
        <v>100hr Iron Oxide</v>
      </c>
      <c r="F217" s="316">
        <f>'DATA (Real)'!F213</f>
        <v>0.36499999999999999</v>
      </c>
      <c r="G217" s="316">
        <f>'DATA (Real)'!G213</f>
        <v>0.36499999999999999</v>
      </c>
      <c r="H217" s="316">
        <f>'DATA (Real)'!H213</f>
        <v>0.36499999999999999</v>
      </c>
      <c r="I217" s="316">
        <f>'DATA (Real)'!I213</f>
        <v>0.36499999999999999</v>
      </c>
      <c r="J217" s="316">
        <f>'DATA (Real)'!J213</f>
        <v>0.36499999999999999</v>
      </c>
      <c r="K217" s="316">
        <f>'DATA (Real)'!K213</f>
        <v>0.36499999999999999</v>
      </c>
      <c r="L217" s="316">
        <f>'DATA (Real)'!L213</f>
        <v>0.36499999999999999</v>
      </c>
      <c r="M217" s="316">
        <f>'DATA (Real)'!M213</f>
        <v>0.36499999999999999</v>
      </c>
      <c r="N217" s="316">
        <f>'DATA (Real)'!N213</f>
        <v>0.36499999999999999</v>
      </c>
      <c r="O217" s="316">
        <f>'DATA (Real)'!O213</f>
        <v>0.36499999999999999</v>
      </c>
      <c r="P217" s="316">
        <f>'DATA (Real)'!P213</f>
        <v>0.36499999999999999</v>
      </c>
      <c r="Q217" s="316">
        <f>'DATA (Real)'!Q213</f>
        <v>0.36499999999999999</v>
      </c>
      <c r="R217" s="316">
        <f>'DATA (Real)'!R213</f>
        <v>0.36499999999999999</v>
      </c>
      <c r="S217" s="316">
        <f>'DATA (Real)'!S213</f>
        <v>0.36499999999999999</v>
      </c>
      <c r="T217" s="316">
        <f>'DATA (Real)'!T213</f>
        <v>0.36499999999999999</v>
      </c>
      <c r="U217" s="316">
        <f>'DATA (Real)'!U213</f>
        <v>0.36499999999999999</v>
      </c>
      <c r="V217" s="316">
        <f>'DATA (Real)'!V213</f>
        <v>0.36499999999999999</v>
      </c>
      <c r="W217" s="316">
        <f>'DATA (Real)'!W213</f>
        <v>0.36499999999999999</v>
      </c>
      <c r="X217" s="316">
        <f>'DATA (Real)'!X213</f>
        <v>0.36499999999999999</v>
      </c>
      <c r="Y217" s="316">
        <f>'DATA (Real)'!Y213</f>
        <v>0.36499999999999999</v>
      </c>
      <c r="Z217" s="316">
        <f>'DATA (Real)'!Z213</f>
        <v>0.36499999999999999</v>
      </c>
      <c r="AA217" s="316">
        <f>'DATA (Real)'!AA213</f>
        <v>0.36499999999999999</v>
      </c>
      <c r="AB217" s="316">
        <f>'DATA (Real)'!AB213</f>
        <v>0.36499999999999999</v>
      </c>
      <c r="AC217" s="316">
        <f>'DATA (Real)'!AC213</f>
        <v>0.36499999999999999</v>
      </c>
      <c r="AD217" s="316">
        <f>'DATA (Real)'!AD213</f>
        <v>0.36499999999999999</v>
      </c>
      <c r="AE217" s="316">
        <f>'DATA (Real)'!AE213</f>
        <v>0.36499999999999999</v>
      </c>
      <c r="AF217" s="316">
        <f>'DATA (Real)'!AF213</f>
        <v>0.36499999999999999</v>
      </c>
      <c r="AG217" s="316">
        <f>'DATA (Real)'!AG213</f>
        <v>0.36499999999999999</v>
      </c>
      <c r="AH217" s="316">
        <f>'DATA (Real)'!AH213</f>
        <v>0.36499999999999999</v>
      </c>
      <c r="AI217" s="316">
        <f>'DATA (Real)'!AI213</f>
        <v>0.36499999999999999</v>
      </c>
      <c r="AJ217" s="316">
        <f>'DATA (Real)'!AJ213</f>
        <v>0.36499999999999999</v>
      </c>
      <c r="AK217" s="316">
        <f>'DATA (Real)'!AK213</f>
        <v>0.36499999999999999</v>
      </c>
      <c r="AL217" s="316">
        <f>'DATA (Real)'!AL213</f>
        <v>0.36499999999999999</v>
      </c>
      <c r="AM217" s="316">
        <f>'DATA (Real)'!AM213</f>
        <v>0.36499999999999999</v>
      </c>
      <c r="AN217" s="316">
        <f>'DATA (Real)'!AN213</f>
        <v>0.36499999999999999</v>
      </c>
      <c r="AO217" s="316">
        <f>'DATA (Real)'!AO213</f>
        <v>0.36499999999999999</v>
      </c>
      <c r="AP217" s="316">
        <f>'DATA (Real)'!AP213</f>
        <v>0.36499999999999999</v>
      </c>
      <c r="AQ217" s="316">
        <f>'DATA (Real)'!AQ213</f>
        <v>0.36499999999999999</v>
      </c>
      <c r="AR217" s="316">
        <f>'DATA (Real)'!AR213</f>
        <v>0.36499999999999999</v>
      </c>
      <c r="AS217" s="316">
        <f>'DATA (Real)'!AS213</f>
        <v>0.36499999999999999</v>
      </c>
      <c r="AT217" s="316">
        <f>'DATA (Real)'!AT213</f>
        <v>0.36499999999999999</v>
      </c>
      <c r="AU217" s="316">
        <f>'DATA (Real)'!AU213</f>
        <v>0.36499999999999999</v>
      </c>
      <c r="AV217" s="316">
        <f>'DATA (Real)'!AV213</f>
        <v>0.36499999999999999</v>
      </c>
      <c r="AW217" s="316">
        <f>'DATA (Real)'!AW213</f>
        <v>0.36499999999999999</v>
      </c>
      <c r="AX217" s="316">
        <f>'DATA (Real)'!AX213</f>
        <v>0.36499999999999999</v>
      </c>
      <c r="AY217" s="316">
        <f>'DATA (Real)'!AY213</f>
        <v>0.36499999999999999</v>
      </c>
      <c r="AZ217" s="316">
        <f>'DATA (Real)'!AZ213</f>
        <v>0.36499999999999999</v>
      </c>
      <c r="BA217" s="316">
        <f>'DATA (Real)'!BA213</f>
        <v>0.36499999999999999</v>
      </c>
      <c r="BB217" s="316">
        <f>'DATA (Real)'!BB213</f>
        <v>0.36499999999999999</v>
      </c>
      <c r="BC217" s="316">
        <f>'DATA (Real)'!BC213</f>
        <v>0.36499999999999999</v>
      </c>
      <c r="BD217" s="316">
        <f>'DATA (Real)'!BD213</f>
        <v>0.36499999999999999</v>
      </c>
      <c r="BE217" s="316">
        <f>'DATA (Real)'!BE213</f>
        <v>0.36499999999999999</v>
      </c>
      <c r="BF217" s="316">
        <f>'DATA (Real)'!BF213</f>
        <v>0.36499999999999999</v>
      </c>
      <c r="BG217" s="316">
        <f>'DATA (Real)'!BG213</f>
        <v>0.36499999999999999</v>
      </c>
      <c r="BH217" s="316">
        <f>'DATA (Real)'!BH213</f>
        <v>0.36499999999999999</v>
      </c>
      <c r="BI217" s="316">
        <f>'DATA (Real)'!BI213</f>
        <v>0.36499999999999999</v>
      </c>
      <c r="BJ217" s="316">
        <f>'DATA (Real)'!BJ213</f>
        <v>0.36499999999999999</v>
      </c>
      <c r="BK217" s="316">
        <f>'DATA (Real)'!BK213</f>
        <v>0.36499999999999999</v>
      </c>
      <c r="BL217" s="316">
        <f>'DATA (Real)'!BL213</f>
        <v>0.36499999999999999</v>
      </c>
      <c r="BM217" s="316">
        <f>'DATA (Real)'!BM213</f>
        <v>0.36499999999999999</v>
      </c>
      <c r="BN217" s="316">
        <f>'DATA (Real)'!BN213</f>
        <v>0.36499999999999999</v>
      </c>
      <c r="BO217" s="316">
        <f>'DATA (Real)'!BO213</f>
        <v>0.36499999999999999</v>
      </c>
      <c r="BP217" s="316">
        <f>'DATA (Real)'!BP213</f>
        <v>0.36499999999999999</v>
      </c>
      <c r="BQ217" s="316">
        <f>'DATA (Real)'!BQ213</f>
        <v>0.36499999999999999</v>
      </c>
      <c r="BR217" s="316">
        <f>'DATA (Real)'!BR213</f>
        <v>0.36499999999999999</v>
      </c>
      <c r="BS217" s="316">
        <f>'DATA (Real)'!BS213</f>
        <v>0.36499999999999999</v>
      </c>
      <c r="BT217" s="316">
        <f>'DATA (Real)'!BT213</f>
        <v>0.36499999999999999</v>
      </c>
      <c r="BU217" s="316">
        <f>'DATA (Real)'!BU213</f>
        <v>0.36499999999999999</v>
      </c>
      <c r="BV217" s="316">
        <f>'DATA (Real)'!BV213</f>
        <v>0.36499999999999999</v>
      </c>
      <c r="BW217" s="316">
        <f>'DATA (Real)'!BW213</f>
        <v>0.36499999999999999</v>
      </c>
      <c r="BX217" s="316">
        <f>'DATA (Real)'!BX213</f>
        <v>0.36499999999999999</v>
      </c>
    </row>
    <row r="218" spans="1:76" hidden="1" outlineLevel="1">
      <c r="B218" s="348"/>
      <c r="C218" s="348" t="str">
        <f>'DATA (Real)'!C214</f>
        <v>Internal</v>
      </c>
      <c r="D218" s="348" t="str">
        <f>'DATA (Real)'!D214</f>
        <v>Round-Trip Efficiency</v>
      </c>
      <c r="E218" s="348" t="str">
        <f>'DATA (Real)'!E214</f>
        <v>Liquid Air</v>
      </c>
      <c r="F218" s="316">
        <f>'DATA (Real)'!F214</f>
        <v>0.65</v>
      </c>
      <c r="G218" s="316">
        <f>'DATA (Real)'!G214</f>
        <v>0.65</v>
      </c>
      <c r="H218" s="316">
        <f>'DATA (Real)'!H214</f>
        <v>0.65</v>
      </c>
      <c r="I218" s="316">
        <f>'DATA (Real)'!I214</f>
        <v>0.65</v>
      </c>
      <c r="J218" s="316">
        <f>'DATA (Real)'!J214</f>
        <v>0.65</v>
      </c>
      <c r="K218" s="316">
        <f>'DATA (Real)'!K214</f>
        <v>0.65</v>
      </c>
      <c r="L218" s="316">
        <f>'DATA (Real)'!L214</f>
        <v>0.65</v>
      </c>
      <c r="M218" s="316">
        <f>'DATA (Real)'!M214</f>
        <v>0.65</v>
      </c>
      <c r="N218" s="316">
        <f>'DATA (Real)'!N214</f>
        <v>0.65</v>
      </c>
      <c r="O218" s="316">
        <f>'DATA (Real)'!O214</f>
        <v>0.65</v>
      </c>
      <c r="P218" s="316">
        <f>'DATA (Real)'!P214</f>
        <v>0.65</v>
      </c>
      <c r="Q218" s="316">
        <f>'DATA (Real)'!Q214</f>
        <v>0.65</v>
      </c>
      <c r="R218" s="316">
        <f>'DATA (Real)'!R214</f>
        <v>0.65</v>
      </c>
      <c r="S218" s="316">
        <f>'DATA (Real)'!S214</f>
        <v>0.65</v>
      </c>
      <c r="T218" s="316">
        <f>'DATA (Real)'!T214</f>
        <v>0.65</v>
      </c>
      <c r="U218" s="316">
        <f>'DATA (Real)'!U214</f>
        <v>0.65</v>
      </c>
      <c r="V218" s="316">
        <f>'DATA (Real)'!V214</f>
        <v>0.65</v>
      </c>
      <c r="W218" s="316">
        <f>'DATA (Real)'!W214</f>
        <v>0.65</v>
      </c>
      <c r="X218" s="316">
        <f>'DATA (Real)'!X214</f>
        <v>0.65</v>
      </c>
      <c r="Y218" s="316">
        <f>'DATA (Real)'!Y214</f>
        <v>0.65</v>
      </c>
      <c r="Z218" s="316">
        <f>'DATA (Real)'!Z214</f>
        <v>0.65</v>
      </c>
      <c r="AA218" s="316">
        <f>'DATA (Real)'!AA214</f>
        <v>0.65</v>
      </c>
      <c r="AB218" s="316">
        <f>'DATA (Real)'!AB214</f>
        <v>0.65</v>
      </c>
      <c r="AC218" s="316">
        <f>'DATA (Real)'!AC214</f>
        <v>0.65</v>
      </c>
      <c r="AD218" s="316">
        <f>'DATA (Real)'!AD214</f>
        <v>0.65</v>
      </c>
      <c r="AE218" s="316">
        <f>'DATA (Real)'!AE214</f>
        <v>0.65</v>
      </c>
      <c r="AF218" s="316">
        <f>'DATA (Real)'!AF214</f>
        <v>0.65</v>
      </c>
      <c r="AG218" s="316">
        <f>'DATA (Real)'!AG214</f>
        <v>0.65</v>
      </c>
      <c r="AH218" s="316">
        <f>'DATA (Real)'!AH214</f>
        <v>0.65</v>
      </c>
      <c r="AI218" s="316">
        <f>'DATA (Real)'!AI214</f>
        <v>0.65</v>
      </c>
      <c r="AJ218" s="316">
        <f>'DATA (Real)'!AJ214</f>
        <v>0.65</v>
      </c>
      <c r="AK218" s="316">
        <f>'DATA (Real)'!AK214</f>
        <v>0.65</v>
      </c>
      <c r="AL218" s="316">
        <f>'DATA (Real)'!AL214</f>
        <v>0.65</v>
      </c>
      <c r="AM218" s="316">
        <f>'DATA (Real)'!AM214</f>
        <v>0.65</v>
      </c>
      <c r="AN218" s="316">
        <f>'DATA (Real)'!AN214</f>
        <v>0.65</v>
      </c>
      <c r="AO218" s="316">
        <f>'DATA (Real)'!AO214</f>
        <v>0.65</v>
      </c>
      <c r="AP218" s="316">
        <f>'DATA (Real)'!AP214</f>
        <v>0.65</v>
      </c>
      <c r="AQ218" s="316">
        <f>'DATA (Real)'!AQ214</f>
        <v>0.65</v>
      </c>
      <c r="AR218" s="316">
        <f>'DATA (Real)'!AR214</f>
        <v>0.65</v>
      </c>
      <c r="AS218" s="316">
        <f>'DATA (Real)'!AS214</f>
        <v>0.65</v>
      </c>
      <c r="AT218" s="316">
        <f>'DATA (Real)'!AT214</f>
        <v>0.65</v>
      </c>
      <c r="AU218" s="316">
        <f>'DATA (Real)'!AU214</f>
        <v>0.65</v>
      </c>
      <c r="AV218" s="316">
        <f>'DATA (Real)'!AV214</f>
        <v>0.65</v>
      </c>
      <c r="AW218" s="316">
        <f>'DATA (Real)'!AW214</f>
        <v>0.65</v>
      </c>
      <c r="AX218" s="316">
        <f>'DATA (Real)'!AX214</f>
        <v>0.65</v>
      </c>
      <c r="AY218" s="316">
        <f>'DATA (Real)'!AY214</f>
        <v>0.65</v>
      </c>
      <c r="AZ218" s="316">
        <f>'DATA (Real)'!AZ214</f>
        <v>0.65</v>
      </c>
      <c r="BA218" s="316">
        <f>'DATA (Real)'!BA214</f>
        <v>0.65</v>
      </c>
      <c r="BB218" s="316">
        <f>'DATA (Real)'!BB214</f>
        <v>0.65</v>
      </c>
      <c r="BC218" s="316">
        <f>'DATA (Real)'!BC214</f>
        <v>0.65</v>
      </c>
      <c r="BD218" s="316">
        <f>'DATA (Real)'!BD214</f>
        <v>0.65</v>
      </c>
      <c r="BE218" s="316">
        <f>'DATA (Real)'!BE214</f>
        <v>0.65</v>
      </c>
      <c r="BF218" s="316">
        <f>'DATA (Real)'!BF214</f>
        <v>0.65</v>
      </c>
      <c r="BG218" s="316">
        <f>'DATA (Real)'!BG214</f>
        <v>0.65</v>
      </c>
      <c r="BH218" s="316">
        <f>'DATA (Real)'!BH214</f>
        <v>0.65</v>
      </c>
      <c r="BI218" s="316">
        <f>'DATA (Real)'!BI214</f>
        <v>0.65</v>
      </c>
      <c r="BJ218" s="316">
        <f>'DATA (Real)'!BJ214</f>
        <v>0.65</v>
      </c>
      <c r="BK218" s="316">
        <f>'DATA (Real)'!BK214</f>
        <v>0.65</v>
      </c>
      <c r="BL218" s="316">
        <f>'DATA (Real)'!BL214</f>
        <v>0.65</v>
      </c>
      <c r="BM218" s="316">
        <f>'DATA (Real)'!BM214</f>
        <v>0.65</v>
      </c>
      <c r="BN218" s="316">
        <f>'DATA (Real)'!BN214</f>
        <v>0.65</v>
      </c>
      <c r="BO218" s="316">
        <f>'DATA (Real)'!BO214</f>
        <v>0.65</v>
      </c>
      <c r="BP218" s="316">
        <f>'DATA (Real)'!BP214</f>
        <v>0.65</v>
      </c>
      <c r="BQ218" s="316">
        <f>'DATA (Real)'!BQ214</f>
        <v>0.65</v>
      </c>
      <c r="BR218" s="316">
        <f>'DATA (Real)'!BR214</f>
        <v>0.65</v>
      </c>
      <c r="BS218" s="316">
        <f>'DATA (Real)'!BS214</f>
        <v>0.65</v>
      </c>
      <c r="BT218" s="316">
        <f>'DATA (Real)'!BT214</f>
        <v>0.65</v>
      </c>
      <c r="BU218" s="316">
        <f>'DATA (Real)'!BU214</f>
        <v>0.65</v>
      </c>
      <c r="BV218" s="316">
        <f>'DATA (Real)'!BV214</f>
        <v>0.65</v>
      </c>
      <c r="BW218" s="316">
        <f>'DATA (Real)'!BW214</f>
        <v>0.65</v>
      </c>
      <c r="BX218" s="316">
        <f>'DATA (Real)'!BX214</f>
        <v>0.65</v>
      </c>
    </row>
    <row r="219" spans="1:76" hidden="1" outlineLevel="1">
      <c r="B219" s="348"/>
      <c r="C219" s="348" t="str">
        <f>'DATA (Real)'!C215</f>
        <v>Internal</v>
      </c>
      <c r="D219" s="348" t="str">
        <f>'DATA (Real)'!D215</f>
        <v>Round-Trip Efficiency</v>
      </c>
      <c r="E219" s="348" t="str">
        <f>'DATA (Real)'!E215</f>
        <v>Pumped Hydro (8.5 hr/ 400 MW share)</v>
      </c>
      <c r="F219" s="316">
        <f>'DATA (Real)'!F215</f>
        <v>0.8</v>
      </c>
      <c r="G219" s="316">
        <f>'DATA (Real)'!G215</f>
        <v>0.8</v>
      </c>
      <c r="H219" s="316">
        <f>'DATA (Real)'!H215</f>
        <v>0.8</v>
      </c>
      <c r="I219" s="316">
        <f>'DATA (Real)'!I215</f>
        <v>0.8</v>
      </c>
      <c r="J219" s="316">
        <f>'DATA (Real)'!J215</f>
        <v>0.8</v>
      </c>
      <c r="K219" s="316">
        <f>'DATA (Real)'!K215</f>
        <v>0.8</v>
      </c>
      <c r="L219" s="316">
        <f>'DATA (Real)'!L215</f>
        <v>0.8</v>
      </c>
      <c r="M219" s="316">
        <f>'DATA (Real)'!M215</f>
        <v>0.8</v>
      </c>
      <c r="N219" s="316">
        <f>'DATA (Real)'!N215</f>
        <v>0.8</v>
      </c>
      <c r="O219" s="316">
        <f>'DATA (Real)'!O215</f>
        <v>0.8</v>
      </c>
      <c r="P219" s="316">
        <f>'DATA (Real)'!P215</f>
        <v>0.8</v>
      </c>
      <c r="Q219" s="316">
        <f>'DATA (Real)'!Q215</f>
        <v>0.8</v>
      </c>
      <c r="R219" s="316">
        <f>'DATA (Real)'!R215</f>
        <v>0.8</v>
      </c>
      <c r="S219" s="316">
        <f>'DATA (Real)'!S215</f>
        <v>0.8</v>
      </c>
      <c r="T219" s="316">
        <f>'DATA (Real)'!T215</f>
        <v>0.8</v>
      </c>
      <c r="U219" s="316">
        <f>'DATA (Real)'!U215</f>
        <v>0.8</v>
      </c>
      <c r="V219" s="316">
        <f>'DATA (Real)'!V215</f>
        <v>0.8</v>
      </c>
      <c r="W219" s="316">
        <f>'DATA (Real)'!W215</f>
        <v>0.8</v>
      </c>
      <c r="X219" s="316">
        <f>'DATA (Real)'!X215</f>
        <v>0.8</v>
      </c>
      <c r="Y219" s="316">
        <f>'DATA (Real)'!Y215</f>
        <v>0.8</v>
      </c>
      <c r="Z219" s="316">
        <f>'DATA (Real)'!Z215</f>
        <v>0.8</v>
      </c>
      <c r="AA219" s="316">
        <f>'DATA (Real)'!AA215</f>
        <v>0.8</v>
      </c>
      <c r="AB219" s="316">
        <f>'DATA (Real)'!AB215</f>
        <v>0.8</v>
      </c>
      <c r="AC219" s="316">
        <f>'DATA (Real)'!AC215</f>
        <v>0.8</v>
      </c>
      <c r="AD219" s="316">
        <f>'DATA (Real)'!AD215</f>
        <v>0.8</v>
      </c>
      <c r="AE219" s="316">
        <f>'DATA (Real)'!AE215</f>
        <v>0.8</v>
      </c>
      <c r="AF219" s="316">
        <f>'DATA (Real)'!AF215</f>
        <v>0.8</v>
      </c>
      <c r="AG219" s="316">
        <f>'DATA (Real)'!AG215</f>
        <v>0.8</v>
      </c>
      <c r="AH219" s="316">
        <f>'DATA (Real)'!AH215</f>
        <v>0.8</v>
      </c>
      <c r="AI219" s="316">
        <f>'DATA (Real)'!AI215</f>
        <v>0.8</v>
      </c>
      <c r="AJ219" s="316">
        <f>'DATA (Real)'!AJ215</f>
        <v>0.8</v>
      </c>
      <c r="AK219" s="316">
        <f>'DATA (Real)'!AK215</f>
        <v>0.8</v>
      </c>
      <c r="AL219" s="316">
        <f>'DATA (Real)'!AL215</f>
        <v>0.8</v>
      </c>
      <c r="AM219" s="316">
        <f>'DATA (Real)'!AM215</f>
        <v>0.8</v>
      </c>
      <c r="AN219" s="316">
        <f>'DATA (Real)'!AN215</f>
        <v>0.8</v>
      </c>
      <c r="AO219" s="316">
        <f>'DATA (Real)'!AO215</f>
        <v>0.8</v>
      </c>
      <c r="AP219" s="316">
        <f>'DATA (Real)'!AP215</f>
        <v>0.8</v>
      </c>
      <c r="AQ219" s="316">
        <f>'DATA (Real)'!AQ215</f>
        <v>0.8</v>
      </c>
      <c r="AR219" s="316">
        <f>'DATA (Real)'!AR215</f>
        <v>0.8</v>
      </c>
      <c r="AS219" s="316">
        <f>'DATA (Real)'!AS215</f>
        <v>0.8</v>
      </c>
      <c r="AT219" s="316">
        <f>'DATA (Real)'!AT215</f>
        <v>0.8</v>
      </c>
      <c r="AU219" s="316">
        <f>'DATA (Real)'!AU215</f>
        <v>0.8</v>
      </c>
      <c r="AV219" s="316">
        <f>'DATA (Real)'!AV215</f>
        <v>0.8</v>
      </c>
      <c r="AW219" s="316">
        <f>'DATA (Real)'!AW215</f>
        <v>0.8</v>
      </c>
      <c r="AX219" s="316">
        <f>'DATA (Real)'!AX215</f>
        <v>0.8</v>
      </c>
      <c r="AY219" s="316">
        <f>'DATA (Real)'!AY215</f>
        <v>0.8</v>
      </c>
      <c r="AZ219" s="316">
        <f>'DATA (Real)'!AZ215</f>
        <v>0.8</v>
      </c>
      <c r="BA219" s="316">
        <f>'DATA (Real)'!BA215</f>
        <v>0.8</v>
      </c>
      <c r="BB219" s="316">
        <f>'DATA (Real)'!BB215</f>
        <v>0.8</v>
      </c>
      <c r="BC219" s="316">
        <f>'DATA (Real)'!BC215</f>
        <v>0.8</v>
      </c>
      <c r="BD219" s="316">
        <f>'DATA (Real)'!BD215</f>
        <v>0.8</v>
      </c>
      <c r="BE219" s="316">
        <f>'DATA (Real)'!BE215</f>
        <v>0.8</v>
      </c>
      <c r="BF219" s="316">
        <f>'DATA (Real)'!BF215</f>
        <v>0.8</v>
      </c>
      <c r="BG219" s="316">
        <f>'DATA (Real)'!BG215</f>
        <v>0.8</v>
      </c>
      <c r="BH219" s="316">
        <f>'DATA (Real)'!BH215</f>
        <v>0.8</v>
      </c>
      <c r="BI219" s="316">
        <f>'DATA (Real)'!BI215</f>
        <v>0.8</v>
      </c>
      <c r="BJ219" s="316">
        <f>'DATA (Real)'!BJ215</f>
        <v>0.8</v>
      </c>
      <c r="BK219" s="316">
        <f>'DATA (Real)'!BK215</f>
        <v>0.8</v>
      </c>
      <c r="BL219" s="316">
        <f>'DATA (Real)'!BL215</f>
        <v>0.8</v>
      </c>
      <c r="BM219" s="316">
        <f>'DATA (Real)'!BM215</f>
        <v>0.8</v>
      </c>
      <c r="BN219" s="316">
        <f>'DATA (Real)'!BN215</f>
        <v>0.8</v>
      </c>
      <c r="BO219" s="316">
        <f>'DATA (Real)'!BO215</f>
        <v>0.8</v>
      </c>
      <c r="BP219" s="316">
        <f>'DATA (Real)'!BP215</f>
        <v>0.8</v>
      </c>
      <c r="BQ219" s="316">
        <f>'DATA (Real)'!BQ215</f>
        <v>0.8</v>
      </c>
      <c r="BR219" s="316">
        <f>'DATA (Real)'!BR215</f>
        <v>0.8</v>
      </c>
      <c r="BS219" s="316">
        <f>'DATA (Real)'!BS215</f>
        <v>0.8</v>
      </c>
      <c r="BT219" s="316">
        <f>'DATA (Real)'!BT215</f>
        <v>0.8</v>
      </c>
      <c r="BU219" s="316">
        <f>'DATA (Real)'!BU215</f>
        <v>0.8</v>
      </c>
      <c r="BV219" s="316">
        <f>'DATA (Real)'!BV215</f>
        <v>0.8</v>
      </c>
      <c r="BW219" s="316">
        <f>'DATA (Real)'!BW215</f>
        <v>0.8</v>
      </c>
      <c r="BX219" s="316">
        <f>'DATA (Real)'!BX215</f>
        <v>0.8</v>
      </c>
    </row>
    <row r="220" spans="1:76" hidden="1" outlineLevel="1">
      <c r="B220" s="348"/>
      <c r="C220" s="348" t="str">
        <f>'DATA (Real)'!C216</f>
        <v>Internal</v>
      </c>
      <c r="D220" s="348" t="str">
        <f>'DATA (Real)'!D216</f>
        <v>Round-Trip Efficiency</v>
      </c>
      <c r="E220" s="348" t="str">
        <f>'DATA (Real)'!E216</f>
        <v>Pumped Hydro (16 hr/ 100 MW)</v>
      </c>
      <c r="F220" s="316">
        <f>'DATA (Real)'!F216</f>
        <v>0.8</v>
      </c>
      <c r="G220" s="316">
        <f>'DATA (Real)'!G216</f>
        <v>0.8</v>
      </c>
      <c r="H220" s="316">
        <f>'DATA (Real)'!H216</f>
        <v>0.8</v>
      </c>
      <c r="I220" s="316">
        <f>'DATA (Real)'!I216</f>
        <v>0.8</v>
      </c>
      <c r="J220" s="316">
        <f>'DATA (Real)'!J216</f>
        <v>0.8</v>
      </c>
      <c r="K220" s="316">
        <f>'DATA (Real)'!K216</f>
        <v>0.8</v>
      </c>
      <c r="L220" s="316">
        <f>'DATA (Real)'!L216</f>
        <v>0.8</v>
      </c>
      <c r="M220" s="316">
        <f>'DATA (Real)'!M216</f>
        <v>0.8</v>
      </c>
      <c r="N220" s="316">
        <f>'DATA (Real)'!N216</f>
        <v>0.8</v>
      </c>
      <c r="O220" s="316">
        <f>'DATA (Real)'!O216</f>
        <v>0.8</v>
      </c>
      <c r="P220" s="316">
        <f>'DATA (Real)'!P216</f>
        <v>0.8</v>
      </c>
      <c r="Q220" s="316">
        <f>'DATA (Real)'!Q216</f>
        <v>0.8</v>
      </c>
      <c r="R220" s="316">
        <f>'DATA (Real)'!R216</f>
        <v>0.8</v>
      </c>
      <c r="S220" s="316">
        <f>'DATA (Real)'!S216</f>
        <v>0.8</v>
      </c>
      <c r="T220" s="316">
        <f>'DATA (Real)'!T216</f>
        <v>0.8</v>
      </c>
      <c r="U220" s="316">
        <f>'DATA (Real)'!U216</f>
        <v>0.8</v>
      </c>
      <c r="V220" s="316">
        <f>'DATA (Real)'!V216</f>
        <v>0.8</v>
      </c>
      <c r="W220" s="316">
        <f>'DATA (Real)'!W216</f>
        <v>0.8</v>
      </c>
      <c r="X220" s="316">
        <f>'DATA (Real)'!X216</f>
        <v>0.8</v>
      </c>
      <c r="Y220" s="316">
        <f>'DATA (Real)'!Y216</f>
        <v>0.8</v>
      </c>
      <c r="Z220" s="316">
        <f>'DATA (Real)'!Z216</f>
        <v>0.8</v>
      </c>
      <c r="AA220" s="316">
        <f>'DATA (Real)'!AA216</f>
        <v>0.8</v>
      </c>
      <c r="AB220" s="316">
        <f>'DATA (Real)'!AB216</f>
        <v>0.8</v>
      </c>
      <c r="AC220" s="316">
        <f>'DATA (Real)'!AC216</f>
        <v>0.8</v>
      </c>
      <c r="AD220" s="316">
        <f>'DATA (Real)'!AD216</f>
        <v>0.8</v>
      </c>
      <c r="AE220" s="316">
        <f>'DATA (Real)'!AE216</f>
        <v>0.8</v>
      </c>
      <c r="AF220" s="316">
        <f>'DATA (Real)'!AF216</f>
        <v>0.8</v>
      </c>
      <c r="AG220" s="316">
        <f>'DATA (Real)'!AG216</f>
        <v>0.8</v>
      </c>
      <c r="AH220" s="316">
        <f>'DATA (Real)'!AH216</f>
        <v>0.8</v>
      </c>
      <c r="AI220" s="316">
        <f>'DATA (Real)'!AI216</f>
        <v>0.8</v>
      </c>
      <c r="AJ220" s="316">
        <f>'DATA (Real)'!AJ216</f>
        <v>0.8</v>
      </c>
      <c r="AK220" s="316">
        <f>'DATA (Real)'!AK216</f>
        <v>0.8</v>
      </c>
      <c r="AL220" s="316">
        <f>'DATA (Real)'!AL216</f>
        <v>0.8</v>
      </c>
      <c r="AM220" s="316">
        <f>'DATA (Real)'!AM216</f>
        <v>0.8</v>
      </c>
      <c r="AN220" s="316">
        <f>'DATA (Real)'!AN216</f>
        <v>0.8</v>
      </c>
      <c r="AO220" s="316">
        <f>'DATA (Real)'!AO216</f>
        <v>0.8</v>
      </c>
      <c r="AP220" s="316">
        <f>'DATA (Real)'!AP216</f>
        <v>0.8</v>
      </c>
      <c r="AQ220" s="316">
        <f>'DATA (Real)'!AQ216</f>
        <v>0.8</v>
      </c>
      <c r="AR220" s="316">
        <f>'DATA (Real)'!AR216</f>
        <v>0.8</v>
      </c>
      <c r="AS220" s="316">
        <f>'DATA (Real)'!AS216</f>
        <v>0.8</v>
      </c>
      <c r="AT220" s="316">
        <f>'DATA (Real)'!AT216</f>
        <v>0.8</v>
      </c>
      <c r="AU220" s="316">
        <f>'DATA (Real)'!AU216</f>
        <v>0.8</v>
      </c>
      <c r="AV220" s="316">
        <f>'DATA (Real)'!AV216</f>
        <v>0.8</v>
      </c>
      <c r="AW220" s="316">
        <f>'DATA (Real)'!AW216</f>
        <v>0.8</v>
      </c>
      <c r="AX220" s="316">
        <f>'DATA (Real)'!AX216</f>
        <v>0.8</v>
      </c>
      <c r="AY220" s="316">
        <f>'DATA (Real)'!AY216</f>
        <v>0.8</v>
      </c>
      <c r="AZ220" s="316">
        <f>'DATA (Real)'!AZ216</f>
        <v>0.8</v>
      </c>
      <c r="BA220" s="316">
        <f>'DATA (Real)'!BA216</f>
        <v>0.8</v>
      </c>
      <c r="BB220" s="316">
        <f>'DATA (Real)'!BB216</f>
        <v>0.8</v>
      </c>
      <c r="BC220" s="316">
        <f>'DATA (Real)'!BC216</f>
        <v>0.8</v>
      </c>
      <c r="BD220" s="316">
        <f>'DATA (Real)'!BD216</f>
        <v>0.8</v>
      </c>
      <c r="BE220" s="316">
        <f>'DATA (Real)'!BE216</f>
        <v>0.8</v>
      </c>
      <c r="BF220" s="316">
        <f>'DATA (Real)'!BF216</f>
        <v>0.8</v>
      </c>
      <c r="BG220" s="316">
        <f>'DATA (Real)'!BG216</f>
        <v>0.8</v>
      </c>
      <c r="BH220" s="316">
        <f>'DATA (Real)'!BH216</f>
        <v>0.8</v>
      </c>
      <c r="BI220" s="316">
        <f>'DATA (Real)'!BI216</f>
        <v>0.8</v>
      </c>
      <c r="BJ220" s="316">
        <f>'DATA (Real)'!BJ216</f>
        <v>0.8</v>
      </c>
      <c r="BK220" s="316">
        <f>'DATA (Real)'!BK216</f>
        <v>0.8</v>
      </c>
      <c r="BL220" s="316">
        <f>'DATA (Real)'!BL216</f>
        <v>0.8</v>
      </c>
      <c r="BM220" s="316">
        <f>'DATA (Real)'!BM216</f>
        <v>0.8</v>
      </c>
      <c r="BN220" s="316">
        <f>'DATA (Real)'!BN216</f>
        <v>0.8</v>
      </c>
      <c r="BO220" s="316">
        <f>'DATA (Real)'!BO216</f>
        <v>0.8</v>
      </c>
      <c r="BP220" s="316">
        <f>'DATA (Real)'!BP216</f>
        <v>0.8</v>
      </c>
      <c r="BQ220" s="316">
        <f>'DATA (Real)'!BQ216</f>
        <v>0.8</v>
      </c>
      <c r="BR220" s="316">
        <f>'DATA (Real)'!BR216</f>
        <v>0.8</v>
      </c>
      <c r="BS220" s="316">
        <f>'DATA (Real)'!BS216</f>
        <v>0.8</v>
      </c>
      <c r="BT220" s="316">
        <f>'DATA (Real)'!BT216</f>
        <v>0.8</v>
      </c>
      <c r="BU220" s="316">
        <f>'DATA (Real)'!BU216</f>
        <v>0.8</v>
      </c>
      <c r="BV220" s="316">
        <f>'DATA (Real)'!BV216</f>
        <v>0.8</v>
      </c>
      <c r="BW220" s="316">
        <f>'DATA (Real)'!BW216</f>
        <v>0.8</v>
      </c>
      <c r="BX220" s="316">
        <f>'DATA (Real)'!BX216</f>
        <v>0.8</v>
      </c>
    </row>
    <row r="221" spans="1:76" hidden="1" outlineLevel="1">
      <c r="B221" s="348"/>
      <c r="C221" s="348" t="str">
        <f>'DATA (Real)'!C217</f>
        <v>Internal</v>
      </c>
      <c r="D221" s="348" t="str">
        <f>'DATA (Real)'!D217</f>
        <v>Round-Trip Efficiency</v>
      </c>
      <c r="E221" s="348" t="str">
        <f>'DATA (Real)'!E217</f>
        <v>Pumped Hyrdo (24 hr/ 100 MW)</v>
      </c>
      <c r="F221" s="316">
        <f>'DATA (Real)'!F217</f>
        <v>0.8</v>
      </c>
      <c r="G221" s="316">
        <f>'DATA (Real)'!G217</f>
        <v>0.8</v>
      </c>
      <c r="H221" s="316">
        <f>'DATA (Real)'!H217</f>
        <v>0.8</v>
      </c>
      <c r="I221" s="316">
        <f>'DATA (Real)'!I217</f>
        <v>0.8</v>
      </c>
      <c r="J221" s="316">
        <f>'DATA (Real)'!J217</f>
        <v>0.8</v>
      </c>
      <c r="K221" s="316">
        <f>'DATA (Real)'!K217</f>
        <v>0.8</v>
      </c>
      <c r="L221" s="316">
        <f>'DATA (Real)'!L217</f>
        <v>0.8</v>
      </c>
      <c r="M221" s="316">
        <f>'DATA (Real)'!M217</f>
        <v>0.8</v>
      </c>
      <c r="N221" s="316">
        <f>'DATA (Real)'!N217</f>
        <v>0.8</v>
      </c>
      <c r="O221" s="316">
        <f>'DATA (Real)'!O217</f>
        <v>0.8</v>
      </c>
      <c r="P221" s="316">
        <f>'DATA (Real)'!P217</f>
        <v>0.8</v>
      </c>
      <c r="Q221" s="316">
        <f>'DATA (Real)'!Q217</f>
        <v>0.8</v>
      </c>
      <c r="R221" s="316">
        <f>'DATA (Real)'!R217</f>
        <v>0.8</v>
      </c>
      <c r="S221" s="316">
        <f>'DATA (Real)'!S217</f>
        <v>0.8</v>
      </c>
      <c r="T221" s="316">
        <f>'DATA (Real)'!T217</f>
        <v>0.8</v>
      </c>
      <c r="U221" s="316">
        <f>'DATA (Real)'!U217</f>
        <v>0.8</v>
      </c>
      <c r="V221" s="316">
        <f>'DATA (Real)'!V217</f>
        <v>0.8</v>
      </c>
      <c r="W221" s="316">
        <f>'DATA (Real)'!W217</f>
        <v>0.8</v>
      </c>
      <c r="X221" s="316">
        <f>'DATA (Real)'!X217</f>
        <v>0.8</v>
      </c>
      <c r="Y221" s="316">
        <f>'DATA (Real)'!Y217</f>
        <v>0.8</v>
      </c>
      <c r="Z221" s="316">
        <f>'DATA (Real)'!Z217</f>
        <v>0.8</v>
      </c>
      <c r="AA221" s="316">
        <f>'DATA (Real)'!AA217</f>
        <v>0.8</v>
      </c>
      <c r="AB221" s="316">
        <f>'DATA (Real)'!AB217</f>
        <v>0.8</v>
      </c>
      <c r="AC221" s="316">
        <f>'DATA (Real)'!AC217</f>
        <v>0.8</v>
      </c>
      <c r="AD221" s="316">
        <f>'DATA (Real)'!AD217</f>
        <v>0.8</v>
      </c>
      <c r="AE221" s="316">
        <f>'DATA (Real)'!AE217</f>
        <v>0.8</v>
      </c>
      <c r="AF221" s="316">
        <f>'DATA (Real)'!AF217</f>
        <v>0.8</v>
      </c>
      <c r="AG221" s="316">
        <f>'DATA (Real)'!AG217</f>
        <v>0.8</v>
      </c>
      <c r="AH221" s="316">
        <f>'DATA (Real)'!AH217</f>
        <v>0.8</v>
      </c>
      <c r="AI221" s="316">
        <f>'DATA (Real)'!AI217</f>
        <v>0.8</v>
      </c>
      <c r="AJ221" s="316">
        <f>'DATA (Real)'!AJ217</f>
        <v>0.8</v>
      </c>
      <c r="AK221" s="316">
        <f>'DATA (Real)'!AK217</f>
        <v>0.8</v>
      </c>
      <c r="AL221" s="316">
        <f>'DATA (Real)'!AL217</f>
        <v>0.8</v>
      </c>
      <c r="AM221" s="316">
        <f>'DATA (Real)'!AM217</f>
        <v>0.8</v>
      </c>
      <c r="AN221" s="316">
        <f>'DATA (Real)'!AN217</f>
        <v>0.8</v>
      </c>
      <c r="AO221" s="316">
        <f>'DATA (Real)'!AO217</f>
        <v>0.8</v>
      </c>
      <c r="AP221" s="316">
        <f>'DATA (Real)'!AP217</f>
        <v>0.8</v>
      </c>
      <c r="AQ221" s="316">
        <f>'DATA (Real)'!AQ217</f>
        <v>0.8</v>
      </c>
      <c r="AR221" s="316">
        <f>'DATA (Real)'!AR217</f>
        <v>0.8</v>
      </c>
      <c r="AS221" s="316">
        <f>'DATA (Real)'!AS217</f>
        <v>0.8</v>
      </c>
      <c r="AT221" s="316">
        <f>'DATA (Real)'!AT217</f>
        <v>0.8</v>
      </c>
      <c r="AU221" s="316">
        <f>'DATA (Real)'!AU217</f>
        <v>0.8</v>
      </c>
      <c r="AV221" s="316">
        <f>'DATA (Real)'!AV217</f>
        <v>0.8</v>
      </c>
      <c r="AW221" s="316">
        <f>'DATA (Real)'!AW217</f>
        <v>0.8</v>
      </c>
      <c r="AX221" s="316">
        <f>'DATA (Real)'!AX217</f>
        <v>0.8</v>
      </c>
      <c r="AY221" s="316">
        <f>'DATA (Real)'!AY217</f>
        <v>0.8</v>
      </c>
      <c r="AZ221" s="316">
        <f>'DATA (Real)'!AZ217</f>
        <v>0.8</v>
      </c>
      <c r="BA221" s="316">
        <f>'DATA (Real)'!BA217</f>
        <v>0.8</v>
      </c>
      <c r="BB221" s="316">
        <f>'DATA (Real)'!BB217</f>
        <v>0.8</v>
      </c>
      <c r="BC221" s="316">
        <f>'DATA (Real)'!BC217</f>
        <v>0.8</v>
      </c>
      <c r="BD221" s="316">
        <f>'DATA (Real)'!BD217</f>
        <v>0.8</v>
      </c>
      <c r="BE221" s="316">
        <f>'DATA (Real)'!BE217</f>
        <v>0.8</v>
      </c>
      <c r="BF221" s="316">
        <f>'DATA (Real)'!BF217</f>
        <v>0.8</v>
      </c>
      <c r="BG221" s="316">
        <f>'DATA (Real)'!BG217</f>
        <v>0.8</v>
      </c>
      <c r="BH221" s="316">
        <f>'DATA (Real)'!BH217</f>
        <v>0.8</v>
      </c>
      <c r="BI221" s="316">
        <f>'DATA (Real)'!BI217</f>
        <v>0.8</v>
      </c>
      <c r="BJ221" s="316">
        <f>'DATA (Real)'!BJ217</f>
        <v>0.8</v>
      </c>
      <c r="BK221" s="316">
        <f>'DATA (Real)'!BK217</f>
        <v>0.8</v>
      </c>
      <c r="BL221" s="316">
        <f>'DATA (Real)'!BL217</f>
        <v>0.8</v>
      </c>
      <c r="BM221" s="316">
        <f>'DATA (Real)'!BM217</f>
        <v>0.8</v>
      </c>
      <c r="BN221" s="316">
        <f>'DATA (Real)'!BN217</f>
        <v>0.8</v>
      </c>
      <c r="BO221" s="316">
        <f>'DATA (Real)'!BO217</f>
        <v>0.8</v>
      </c>
      <c r="BP221" s="316">
        <f>'DATA (Real)'!BP217</f>
        <v>0.8</v>
      </c>
      <c r="BQ221" s="316">
        <f>'DATA (Real)'!BQ217</f>
        <v>0.8</v>
      </c>
      <c r="BR221" s="316">
        <f>'DATA (Real)'!BR217</f>
        <v>0.8</v>
      </c>
      <c r="BS221" s="316">
        <f>'DATA (Real)'!BS217</f>
        <v>0.8</v>
      </c>
      <c r="BT221" s="316">
        <f>'DATA (Real)'!BT217</f>
        <v>0.8</v>
      </c>
      <c r="BU221" s="316">
        <f>'DATA (Real)'!BU217</f>
        <v>0.8</v>
      </c>
      <c r="BV221" s="316">
        <f>'DATA (Real)'!BV217</f>
        <v>0.8</v>
      </c>
      <c r="BW221" s="316">
        <f>'DATA (Real)'!BW217</f>
        <v>0.8</v>
      </c>
      <c r="BX221" s="316">
        <f>'DATA (Real)'!BX217</f>
        <v>0.8</v>
      </c>
    </row>
    <row r="222" spans="1:76" collapsed="1"/>
    <row r="223" spans="1:76">
      <c r="B223" s="259" t="str">
        <f>D223</f>
        <v>ITC/PTC Schedules</v>
      </c>
      <c r="D223" s="259" t="str">
        <f>'DATA (Real)'!D219</f>
        <v>ITC/PTC Schedules</v>
      </c>
      <c r="F223" s="318"/>
      <c r="G223" s="318"/>
      <c r="H223" s="318"/>
      <c r="I223" s="318"/>
      <c r="J223" s="318"/>
      <c r="K223" s="318"/>
      <c r="L223" s="318"/>
      <c r="M223" s="318"/>
      <c r="N223" s="318"/>
      <c r="O223" s="318"/>
      <c r="P223" s="318"/>
      <c r="Q223" s="318"/>
      <c r="R223" s="318"/>
      <c r="S223" s="318"/>
      <c r="T223" s="318"/>
      <c r="U223" s="318"/>
      <c r="V223" s="318"/>
      <c r="W223" s="318"/>
      <c r="X223" s="318"/>
      <c r="Y223" s="318"/>
      <c r="Z223" s="318"/>
      <c r="AA223" s="318"/>
      <c r="AB223" s="318"/>
      <c r="AC223" s="318"/>
      <c r="AD223" s="318"/>
      <c r="AE223" s="318"/>
      <c r="AF223" s="318"/>
      <c r="AG223" s="318"/>
      <c r="AH223" s="318"/>
      <c r="AI223" s="318"/>
      <c r="AJ223" s="318"/>
      <c r="AK223" s="318"/>
      <c r="AL223" s="318"/>
      <c r="AM223" s="318"/>
      <c r="AN223" s="318"/>
      <c r="AO223" s="318"/>
      <c r="AP223" s="318"/>
      <c r="AQ223" s="318"/>
      <c r="AR223" s="318"/>
      <c r="AS223" s="318"/>
      <c r="AT223" s="318"/>
      <c r="AU223" s="318"/>
      <c r="AV223" s="318"/>
      <c r="AW223" s="318"/>
      <c r="AX223" s="318"/>
      <c r="AY223" s="318"/>
      <c r="AZ223" s="318"/>
      <c r="BA223" s="318"/>
      <c r="BB223" s="318"/>
      <c r="BC223" s="318"/>
      <c r="BD223" s="318"/>
      <c r="BE223" s="318"/>
      <c r="BF223" s="318"/>
      <c r="BG223" s="318"/>
      <c r="BH223" s="318"/>
      <c r="BI223" s="318"/>
      <c r="BJ223" s="318"/>
      <c r="BK223" s="318"/>
      <c r="BL223" s="318"/>
      <c r="BM223" s="318"/>
      <c r="BN223" s="318"/>
      <c r="BO223" s="318"/>
      <c r="BP223" s="318"/>
      <c r="BQ223" s="318"/>
      <c r="BR223" s="318"/>
      <c r="BS223" s="318"/>
      <c r="BT223" s="318"/>
      <c r="BU223" s="318"/>
      <c r="BV223" s="318"/>
      <c r="BW223" s="318"/>
      <c r="BX223" s="318"/>
    </row>
    <row r="224" spans="1:76" hidden="1" outlineLevel="1">
      <c r="A224" s="355"/>
      <c r="B224" s="348"/>
      <c r="C224" s="348" t="str">
        <f>'DATA (Real)'!C220</f>
        <v>Inflation Reduction Act</v>
      </c>
      <c r="D224" s="348" t="str">
        <f>'DATA (Real)'!D220</f>
        <v>ITC Schedule</v>
      </c>
      <c r="E224" s="348" t="str">
        <f>'DATA (Real)'!E220</f>
        <v>Distribution Scale 4hr Lithium-Ion</v>
      </c>
      <c r="H224" s="316">
        <f>'DATA (Real)'!H220</f>
        <v>0.3</v>
      </c>
      <c r="I224" s="316">
        <f>'DATA (Real)'!I220</f>
        <v>0.3</v>
      </c>
      <c r="J224" s="316">
        <f>'DATA (Real)'!J220</f>
        <v>0.3</v>
      </c>
      <c r="K224" s="316">
        <f>'DATA (Real)'!K220</f>
        <v>0.3</v>
      </c>
      <c r="L224" s="316">
        <f>'DATA (Real)'!L220</f>
        <v>0.3</v>
      </c>
      <c r="M224" s="316">
        <f>'DATA (Real)'!M220</f>
        <v>0.3</v>
      </c>
      <c r="N224" s="316">
        <f>'DATA (Real)'!N220</f>
        <v>0.3</v>
      </c>
      <c r="O224" s="316">
        <f>'DATA (Real)'!O220</f>
        <v>0.3</v>
      </c>
      <c r="P224" s="316">
        <f>'DATA (Real)'!P220</f>
        <v>0.3</v>
      </c>
      <c r="Q224" s="316">
        <f>'DATA (Real)'!Q220</f>
        <v>0.3</v>
      </c>
      <c r="R224" s="316">
        <f>'DATA (Real)'!R220</f>
        <v>0.3</v>
      </c>
      <c r="S224" s="316">
        <f>'DATA (Real)'!S220</f>
        <v>0</v>
      </c>
      <c r="T224" s="316">
        <f>'DATA (Real)'!T220</f>
        <v>0</v>
      </c>
      <c r="U224" s="316">
        <f>'DATA (Real)'!U220</f>
        <v>0</v>
      </c>
      <c r="V224" s="316">
        <f>'DATA (Real)'!V220</f>
        <v>0</v>
      </c>
      <c r="W224" s="316">
        <f>'DATA (Real)'!W220</f>
        <v>0</v>
      </c>
      <c r="X224" s="316">
        <f>'DATA (Real)'!X220</f>
        <v>0</v>
      </c>
      <c r="Y224" s="316">
        <f>'DATA (Real)'!Y220</f>
        <v>0</v>
      </c>
      <c r="Z224" s="316">
        <f>'DATA (Real)'!Z220</f>
        <v>0</v>
      </c>
      <c r="AA224" s="316">
        <f>'DATA (Real)'!AA220</f>
        <v>0</v>
      </c>
      <c r="AB224" s="316">
        <f>'DATA (Real)'!AB220</f>
        <v>0</v>
      </c>
      <c r="AC224" s="316">
        <f>'DATA (Real)'!AC220</f>
        <v>0</v>
      </c>
      <c r="AD224" s="316">
        <f>'DATA (Real)'!AD220</f>
        <v>0</v>
      </c>
      <c r="AE224" s="316">
        <f>'DATA (Real)'!AE220</f>
        <v>0</v>
      </c>
      <c r="AF224" s="316">
        <f>'DATA (Real)'!AF220</f>
        <v>0</v>
      </c>
      <c r="AG224" s="316">
        <f>'DATA (Real)'!AG220</f>
        <v>0</v>
      </c>
      <c r="AH224" s="316">
        <f>'DATA (Real)'!AH220</f>
        <v>0</v>
      </c>
      <c r="AI224" s="316">
        <f>'DATA (Real)'!AI220</f>
        <v>0</v>
      </c>
      <c r="AJ224" s="316">
        <f>'DATA (Real)'!AJ220</f>
        <v>0</v>
      </c>
      <c r="AK224" s="316">
        <f>'DATA (Real)'!AK220</f>
        <v>0</v>
      </c>
      <c r="AL224" s="316">
        <f>'DATA (Real)'!AL220</f>
        <v>0</v>
      </c>
      <c r="AM224" s="316">
        <f>'DATA (Real)'!AM220</f>
        <v>0</v>
      </c>
      <c r="AN224" s="316">
        <f>'DATA (Real)'!AN220</f>
        <v>0</v>
      </c>
      <c r="AO224" s="316">
        <f>'DATA (Real)'!AO220</f>
        <v>0</v>
      </c>
      <c r="AP224" s="316">
        <f>'DATA (Real)'!AP220</f>
        <v>0</v>
      </c>
      <c r="AQ224" s="316">
        <f>'DATA (Real)'!AQ220</f>
        <v>0</v>
      </c>
      <c r="AR224" s="316">
        <f>'DATA (Real)'!AR220</f>
        <v>0</v>
      </c>
      <c r="AS224" s="316">
        <f>'DATA (Real)'!AS220</f>
        <v>0</v>
      </c>
      <c r="AT224" s="316">
        <f>'DATA (Real)'!AT220</f>
        <v>0</v>
      </c>
      <c r="AU224" s="316">
        <f>'DATA (Real)'!AU220</f>
        <v>0</v>
      </c>
      <c r="AV224" s="316">
        <f>'DATA (Real)'!AV220</f>
        <v>0</v>
      </c>
      <c r="AW224" s="316">
        <f>'DATA (Real)'!AW220</f>
        <v>0</v>
      </c>
      <c r="AX224" s="316">
        <f>'DATA (Real)'!AX220</f>
        <v>0</v>
      </c>
      <c r="AY224" s="316">
        <f>'DATA (Real)'!AY220</f>
        <v>0</v>
      </c>
      <c r="AZ224" s="316">
        <f>'DATA (Real)'!AZ220</f>
        <v>0</v>
      </c>
      <c r="BA224" s="316">
        <f>'DATA (Real)'!BA220</f>
        <v>0</v>
      </c>
      <c r="BB224" s="316">
        <f>'DATA (Real)'!BB220</f>
        <v>0</v>
      </c>
      <c r="BC224" s="316">
        <f>'DATA (Real)'!BC220</f>
        <v>0</v>
      </c>
      <c r="BD224" s="316">
        <f>'DATA (Real)'!BD220</f>
        <v>0</v>
      </c>
      <c r="BE224" s="316">
        <f>'DATA (Real)'!BE220</f>
        <v>0</v>
      </c>
      <c r="BF224" s="316">
        <f>'DATA (Real)'!BF220</f>
        <v>0</v>
      </c>
      <c r="BG224" s="316">
        <f>'DATA (Real)'!BG220</f>
        <v>0</v>
      </c>
      <c r="BH224" s="316">
        <f>'DATA (Real)'!BH220</f>
        <v>0</v>
      </c>
      <c r="BI224" s="316">
        <f>'DATA (Real)'!BI220</f>
        <v>0</v>
      </c>
      <c r="BJ224" s="316">
        <f>'DATA (Real)'!BJ220</f>
        <v>0</v>
      </c>
      <c r="BK224" s="316">
        <f>'DATA (Real)'!BK220</f>
        <v>0</v>
      </c>
      <c r="BL224" s="316">
        <f>'DATA (Real)'!BL220</f>
        <v>0</v>
      </c>
      <c r="BM224" s="316">
        <f>'DATA (Real)'!BM220</f>
        <v>0</v>
      </c>
      <c r="BN224" s="316">
        <f>'DATA (Real)'!BN220</f>
        <v>0</v>
      </c>
      <c r="BO224" s="316">
        <f>'DATA (Real)'!BO220</f>
        <v>0</v>
      </c>
      <c r="BP224" s="316">
        <f>'DATA (Real)'!BP220</f>
        <v>0</v>
      </c>
      <c r="BQ224" s="316">
        <f>'DATA (Real)'!BQ220</f>
        <v>0</v>
      </c>
      <c r="BR224" s="316">
        <f>'DATA (Real)'!BR220</f>
        <v>0</v>
      </c>
      <c r="BS224" s="316">
        <f>'DATA (Real)'!BS220</f>
        <v>0</v>
      </c>
      <c r="BT224" s="316">
        <f>'DATA (Real)'!BT220</f>
        <v>0</v>
      </c>
      <c r="BU224" s="316">
        <f>'DATA (Real)'!BU220</f>
        <v>0</v>
      </c>
      <c r="BV224" s="316">
        <f>'DATA (Real)'!BV220</f>
        <v>0</v>
      </c>
      <c r="BW224" s="316">
        <f>'DATA (Real)'!BW220</f>
        <v>0</v>
      </c>
      <c r="BX224" s="316">
        <f>'DATA (Real)'!BX220</f>
        <v>0</v>
      </c>
    </row>
    <row r="225" spans="1:76" hidden="1" outlineLevel="1">
      <c r="A225" s="355"/>
      <c r="B225" s="348"/>
      <c r="C225" s="348" t="str">
        <f>'DATA (Real)'!C221</f>
        <v>Inflation Reduction Act</v>
      </c>
      <c r="D225" s="348" t="str">
        <f>'DATA (Real)'!D221</f>
        <v>ITC Schedule</v>
      </c>
      <c r="E225" s="348" t="str">
        <f>'DATA (Real)'!E221</f>
        <v>Distribution Scale 8hr Lithium-Ion</v>
      </c>
      <c r="H225" s="316">
        <f>'DATA (Real)'!H221</f>
        <v>0.3</v>
      </c>
      <c r="I225" s="316">
        <f>'DATA (Real)'!I221</f>
        <v>0.3</v>
      </c>
      <c r="J225" s="316">
        <f>'DATA (Real)'!J221</f>
        <v>0.3</v>
      </c>
      <c r="K225" s="316">
        <f>'DATA (Real)'!K221</f>
        <v>0.3</v>
      </c>
      <c r="L225" s="316">
        <f>'DATA (Real)'!L221</f>
        <v>0.3</v>
      </c>
      <c r="M225" s="316">
        <f>'DATA (Real)'!M221</f>
        <v>0.3</v>
      </c>
      <c r="N225" s="316">
        <f>'DATA (Real)'!N221</f>
        <v>0.3</v>
      </c>
      <c r="O225" s="316">
        <f>'DATA (Real)'!O221</f>
        <v>0.3</v>
      </c>
      <c r="P225" s="316">
        <f>'DATA (Real)'!P221</f>
        <v>0.3</v>
      </c>
      <c r="Q225" s="316">
        <f>'DATA (Real)'!Q221</f>
        <v>0.3</v>
      </c>
      <c r="R225" s="316">
        <f>'DATA (Real)'!R221</f>
        <v>0.3</v>
      </c>
      <c r="S225" s="316">
        <f>'DATA (Real)'!S221</f>
        <v>0</v>
      </c>
      <c r="T225" s="316">
        <f>'DATA (Real)'!T221</f>
        <v>0</v>
      </c>
      <c r="U225" s="316">
        <f>'DATA (Real)'!U221</f>
        <v>0</v>
      </c>
      <c r="V225" s="316">
        <f>'DATA (Real)'!V221</f>
        <v>0</v>
      </c>
      <c r="W225" s="316">
        <f>'DATA (Real)'!W221</f>
        <v>0</v>
      </c>
      <c r="X225" s="316">
        <f>'DATA (Real)'!X221</f>
        <v>0</v>
      </c>
      <c r="Y225" s="316">
        <f>'DATA (Real)'!Y221</f>
        <v>0</v>
      </c>
      <c r="Z225" s="316">
        <f>'DATA (Real)'!Z221</f>
        <v>0</v>
      </c>
      <c r="AA225" s="316">
        <f>'DATA (Real)'!AA221</f>
        <v>0</v>
      </c>
      <c r="AB225" s="316">
        <f>'DATA (Real)'!AB221</f>
        <v>0</v>
      </c>
      <c r="AC225" s="316">
        <f>'DATA (Real)'!AC221</f>
        <v>0</v>
      </c>
      <c r="AD225" s="316">
        <f>'DATA (Real)'!AD221</f>
        <v>0</v>
      </c>
      <c r="AE225" s="316">
        <f>'DATA (Real)'!AE221</f>
        <v>0</v>
      </c>
      <c r="AF225" s="316">
        <f>'DATA (Real)'!AF221</f>
        <v>0</v>
      </c>
      <c r="AG225" s="316">
        <f>'DATA (Real)'!AG221</f>
        <v>0</v>
      </c>
      <c r="AH225" s="316">
        <f>'DATA (Real)'!AH221</f>
        <v>0</v>
      </c>
      <c r="AI225" s="316">
        <f>'DATA (Real)'!AI221</f>
        <v>0</v>
      </c>
      <c r="AJ225" s="316">
        <f>'DATA (Real)'!AJ221</f>
        <v>0</v>
      </c>
      <c r="AK225" s="316">
        <f>'DATA (Real)'!AK221</f>
        <v>0</v>
      </c>
      <c r="AL225" s="316">
        <f>'DATA (Real)'!AL221</f>
        <v>0</v>
      </c>
      <c r="AM225" s="316">
        <f>'DATA (Real)'!AM221</f>
        <v>0</v>
      </c>
      <c r="AN225" s="316">
        <f>'DATA (Real)'!AN221</f>
        <v>0</v>
      </c>
      <c r="AO225" s="316">
        <f>'DATA (Real)'!AO221</f>
        <v>0</v>
      </c>
      <c r="AP225" s="316">
        <f>'DATA (Real)'!AP221</f>
        <v>0</v>
      </c>
      <c r="AQ225" s="316">
        <f>'DATA (Real)'!AQ221</f>
        <v>0</v>
      </c>
      <c r="AR225" s="316">
        <f>'DATA (Real)'!AR221</f>
        <v>0</v>
      </c>
      <c r="AS225" s="316">
        <f>'DATA (Real)'!AS221</f>
        <v>0</v>
      </c>
      <c r="AT225" s="316">
        <f>'DATA (Real)'!AT221</f>
        <v>0</v>
      </c>
      <c r="AU225" s="316">
        <f>'DATA (Real)'!AU221</f>
        <v>0</v>
      </c>
      <c r="AV225" s="316">
        <f>'DATA (Real)'!AV221</f>
        <v>0</v>
      </c>
      <c r="AW225" s="316">
        <f>'DATA (Real)'!AW221</f>
        <v>0</v>
      </c>
      <c r="AX225" s="316">
        <f>'DATA (Real)'!AX221</f>
        <v>0</v>
      </c>
      <c r="AY225" s="316">
        <f>'DATA (Real)'!AY221</f>
        <v>0</v>
      </c>
      <c r="AZ225" s="316">
        <f>'DATA (Real)'!AZ221</f>
        <v>0</v>
      </c>
      <c r="BA225" s="316">
        <f>'DATA (Real)'!BA221</f>
        <v>0</v>
      </c>
      <c r="BB225" s="316">
        <f>'DATA (Real)'!BB221</f>
        <v>0</v>
      </c>
      <c r="BC225" s="316">
        <f>'DATA (Real)'!BC221</f>
        <v>0</v>
      </c>
      <c r="BD225" s="316">
        <f>'DATA (Real)'!BD221</f>
        <v>0</v>
      </c>
      <c r="BE225" s="316">
        <f>'DATA (Real)'!BE221</f>
        <v>0</v>
      </c>
      <c r="BF225" s="316">
        <f>'DATA (Real)'!BF221</f>
        <v>0</v>
      </c>
      <c r="BG225" s="316">
        <f>'DATA (Real)'!BG221</f>
        <v>0</v>
      </c>
      <c r="BH225" s="316">
        <f>'DATA (Real)'!BH221</f>
        <v>0</v>
      </c>
      <c r="BI225" s="316">
        <f>'DATA (Real)'!BI221</f>
        <v>0</v>
      </c>
      <c r="BJ225" s="316">
        <f>'DATA (Real)'!BJ221</f>
        <v>0</v>
      </c>
      <c r="BK225" s="316">
        <f>'DATA (Real)'!BK221</f>
        <v>0</v>
      </c>
      <c r="BL225" s="316">
        <f>'DATA (Real)'!BL221</f>
        <v>0</v>
      </c>
      <c r="BM225" s="316">
        <f>'DATA (Real)'!BM221</f>
        <v>0</v>
      </c>
      <c r="BN225" s="316">
        <f>'DATA (Real)'!BN221</f>
        <v>0</v>
      </c>
      <c r="BO225" s="316">
        <f>'DATA (Real)'!BO221</f>
        <v>0</v>
      </c>
      <c r="BP225" s="316">
        <f>'DATA (Real)'!BP221</f>
        <v>0</v>
      </c>
      <c r="BQ225" s="316">
        <f>'DATA (Real)'!BQ221</f>
        <v>0</v>
      </c>
      <c r="BR225" s="316">
        <f>'DATA (Real)'!BR221</f>
        <v>0</v>
      </c>
      <c r="BS225" s="316">
        <f>'DATA (Real)'!BS221</f>
        <v>0</v>
      </c>
      <c r="BT225" s="316">
        <f>'DATA (Real)'!BT221</f>
        <v>0</v>
      </c>
      <c r="BU225" s="316">
        <f>'DATA (Real)'!BU221</f>
        <v>0</v>
      </c>
      <c r="BV225" s="316">
        <f>'DATA (Real)'!BV221</f>
        <v>0</v>
      </c>
      <c r="BW225" s="316">
        <f>'DATA (Real)'!BW221</f>
        <v>0</v>
      </c>
      <c r="BX225" s="316">
        <f>'DATA (Real)'!BX221</f>
        <v>0</v>
      </c>
    </row>
    <row r="226" spans="1:76" hidden="1" outlineLevel="1">
      <c r="A226" s="355"/>
      <c r="B226" s="348"/>
      <c r="C226" s="348" t="str">
        <f>'DATA (Real)'!C222</f>
        <v>Inflation Reduction Act</v>
      </c>
      <c r="D226" s="348" t="str">
        <f>'DATA (Real)'!D222</f>
        <v>ITC Schedule</v>
      </c>
      <c r="E226" s="348" t="str">
        <f>'DATA (Real)'!E222</f>
        <v>4hr Lithium-Ion</v>
      </c>
      <c r="H226" s="316">
        <f>'DATA (Real)'!H222</f>
        <v>0.3</v>
      </c>
      <c r="I226" s="316">
        <f>'DATA (Real)'!I222</f>
        <v>0.3</v>
      </c>
      <c r="J226" s="316">
        <f>'DATA (Real)'!J222</f>
        <v>0.3</v>
      </c>
      <c r="K226" s="316">
        <f>'DATA (Real)'!K222</f>
        <v>0.3</v>
      </c>
      <c r="L226" s="316">
        <f>'DATA (Real)'!L222</f>
        <v>0.3</v>
      </c>
      <c r="M226" s="316">
        <f>'DATA (Real)'!M222</f>
        <v>0.3</v>
      </c>
      <c r="N226" s="316">
        <f>'DATA (Real)'!N222</f>
        <v>0.3</v>
      </c>
      <c r="O226" s="316">
        <f>'DATA (Real)'!O222</f>
        <v>0.3</v>
      </c>
      <c r="P226" s="316">
        <f>'DATA (Real)'!P222</f>
        <v>0.3</v>
      </c>
      <c r="Q226" s="316">
        <f>'DATA (Real)'!Q222</f>
        <v>0.3</v>
      </c>
      <c r="R226" s="316">
        <f>'DATA (Real)'!R222</f>
        <v>0.3</v>
      </c>
      <c r="S226" s="316">
        <f>'DATA (Real)'!S222</f>
        <v>0</v>
      </c>
      <c r="T226" s="316">
        <f>'DATA (Real)'!T222</f>
        <v>0</v>
      </c>
      <c r="U226" s="316">
        <f>'DATA (Real)'!U222</f>
        <v>0</v>
      </c>
      <c r="V226" s="316">
        <f>'DATA (Real)'!V222</f>
        <v>0</v>
      </c>
      <c r="W226" s="316">
        <f>'DATA (Real)'!W222</f>
        <v>0</v>
      </c>
      <c r="X226" s="316">
        <f>'DATA (Real)'!X222</f>
        <v>0</v>
      </c>
      <c r="Y226" s="316">
        <f>'DATA (Real)'!Y222</f>
        <v>0</v>
      </c>
      <c r="Z226" s="316">
        <f>'DATA (Real)'!Z222</f>
        <v>0</v>
      </c>
      <c r="AA226" s="316">
        <f>'DATA (Real)'!AA222</f>
        <v>0</v>
      </c>
      <c r="AB226" s="316">
        <f>'DATA (Real)'!AB222</f>
        <v>0</v>
      </c>
      <c r="AC226" s="316">
        <f>'DATA (Real)'!AC222</f>
        <v>0</v>
      </c>
      <c r="AD226" s="316">
        <f>'DATA (Real)'!AD222</f>
        <v>0</v>
      </c>
      <c r="AE226" s="316">
        <f>'DATA (Real)'!AE222</f>
        <v>0</v>
      </c>
      <c r="AF226" s="316">
        <f>'DATA (Real)'!AF222</f>
        <v>0</v>
      </c>
      <c r="AG226" s="316">
        <f>'DATA (Real)'!AG222</f>
        <v>0</v>
      </c>
      <c r="AH226" s="316">
        <f>'DATA (Real)'!AH222</f>
        <v>0</v>
      </c>
      <c r="AI226" s="316">
        <f>'DATA (Real)'!AI222</f>
        <v>0</v>
      </c>
      <c r="AJ226" s="316">
        <f>'DATA (Real)'!AJ222</f>
        <v>0</v>
      </c>
      <c r="AK226" s="316">
        <f>'DATA (Real)'!AK222</f>
        <v>0</v>
      </c>
      <c r="AL226" s="316">
        <f>'DATA (Real)'!AL222</f>
        <v>0</v>
      </c>
      <c r="AM226" s="316">
        <f>'DATA (Real)'!AM222</f>
        <v>0</v>
      </c>
      <c r="AN226" s="316">
        <f>'DATA (Real)'!AN222</f>
        <v>0</v>
      </c>
      <c r="AO226" s="316">
        <f>'DATA (Real)'!AO222</f>
        <v>0</v>
      </c>
      <c r="AP226" s="316">
        <f>'DATA (Real)'!AP222</f>
        <v>0</v>
      </c>
      <c r="AQ226" s="316">
        <f>'DATA (Real)'!AQ222</f>
        <v>0</v>
      </c>
      <c r="AR226" s="316">
        <f>'DATA (Real)'!AR222</f>
        <v>0</v>
      </c>
      <c r="AS226" s="316">
        <f>'DATA (Real)'!AS222</f>
        <v>0</v>
      </c>
      <c r="AT226" s="316">
        <f>'DATA (Real)'!AT222</f>
        <v>0</v>
      </c>
      <c r="AU226" s="316">
        <f>'DATA (Real)'!AU222</f>
        <v>0</v>
      </c>
      <c r="AV226" s="316">
        <f>'DATA (Real)'!AV222</f>
        <v>0</v>
      </c>
      <c r="AW226" s="316">
        <f>'DATA (Real)'!AW222</f>
        <v>0</v>
      </c>
      <c r="AX226" s="316">
        <f>'DATA (Real)'!AX222</f>
        <v>0</v>
      </c>
      <c r="AY226" s="316">
        <f>'DATA (Real)'!AY222</f>
        <v>0</v>
      </c>
      <c r="AZ226" s="316">
        <f>'DATA (Real)'!AZ222</f>
        <v>0</v>
      </c>
      <c r="BA226" s="316">
        <f>'DATA (Real)'!BA222</f>
        <v>0</v>
      </c>
      <c r="BB226" s="316">
        <f>'DATA (Real)'!BB222</f>
        <v>0</v>
      </c>
      <c r="BC226" s="316">
        <f>'DATA (Real)'!BC222</f>
        <v>0</v>
      </c>
      <c r="BD226" s="316">
        <f>'DATA (Real)'!BD222</f>
        <v>0</v>
      </c>
      <c r="BE226" s="316">
        <f>'DATA (Real)'!BE222</f>
        <v>0</v>
      </c>
      <c r="BF226" s="316">
        <f>'DATA (Real)'!BF222</f>
        <v>0</v>
      </c>
      <c r="BG226" s="316">
        <f>'DATA (Real)'!BG222</f>
        <v>0</v>
      </c>
      <c r="BH226" s="316">
        <f>'DATA (Real)'!BH222</f>
        <v>0</v>
      </c>
      <c r="BI226" s="316">
        <f>'DATA (Real)'!BI222</f>
        <v>0</v>
      </c>
      <c r="BJ226" s="316">
        <f>'DATA (Real)'!BJ222</f>
        <v>0</v>
      </c>
      <c r="BK226" s="316">
        <f>'DATA (Real)'!BK222</f>
        <v>0</v>
      </c>
      <c r="BL226" s="316">
        <f>'DATA (Real)'!BL222</f>
        <v>0</v>
      </c>
      <c r="BM226" s="316">
        <f>'DATA (Real)'!BM222</f>
        <v>0</v>
      </c>
      <c r="BN226" s="316">
        <f>'DATA (Real)'!BN222</f>
        <v>0</v>
      </c>
      <c r="BO226" s="316">
        <f>'DATA (Real)'!BO222</f>
        <v>0</v>
      </c>
      <c r="BP226" s="316">
        <f>'DATA (Real)'!BP222</f>
        <v>0</v>
      </c>
      <c r="BQ226" s="316">
        <f>'DATA (Real)'!BQ222</f>
        <v>0</v>
      </c>
      <c r="BR226" s="316">
        <f>'DATA (Real)'!BR222</f>
        <v>0</v>
      </c>
      <c r="BS226" s="316">
        <f>'DATA (Real)'!BS222</f>
        <v>0</v>
      </c>
      <c r="BT226" s="316">
        <f>'DATA (Real)'!BT222</f>
        <v>0</v>
      </c>
      <c r="BU226" s="316">
        <f>'DATA (Real)'!BU222</f>
        <v>0</v>
      </c>
      <c r="BV226" s="316">
        <f>'DATA (Real)'!BV222</f>
        <v>0</v>
      </c>
      <c r="BW226" s="316">
        <f>'DATA (Real)'!BW222</f>
        <v>0</v>
      </c>
      <c r="BX226" s="316">
        <f>'DATA (Real)'!BX222</f>
        <v>0</v>
      </c>
    </row>
    <row r="227" spans="1:76" hidden="1" outlineLevel="1">
      <c r="A227" s="355"/>
      <c r="B227" s="348"/>
      <c r="C227" s="348" t="str">
        <f>'DATA (Real)'!C223</f>
        <v>Inflation Reduction Act</v>
      </c>
      <c r="D227" s="348" t="str">
        <f>'DATA (Real)'!D223</f>
        <v>ITC Schedule</v>
      </c>
      <c r="E227" s="348" t="str">
        <f>'DATA (Real)'!E223</f>
        <v>8hr Lithium-Ion</v>
      </c>
      <c r="H227" s="316">
        <f>'DATA (Real)'!H223</f>
        <v>0.3</v>
      </c>
      <c r="I227" s="316">
        <f>'DATA (Real)'!I223</f>
        <v>0.3</v>
      </c>
      <c r="J227" s="316">
        <f>'DATA (Real)'!J223</f>
        <v>0.3</v>
      </c>
      <c r="K227" s="316">
        <f>'DATA (Real)'!K223</f>
        <v>0.3</v>
      </c>
      <c r="L227" s="316">
        <f>'DATA (Real)'!L223</f>
        <v>0.3</v>
      </c>
      <c r="M227" s="316">
        <f>'DATA (Real)'!M223</f>
        <v>0.3</v>
      </c>
      <c r="N227" s="316">
        <f>'DATA (Real)'!N223</f>
        <v>0.3</v>
      </c>
      <c r="O227" s="316">
        <f>'DATA (Real)'!O223</f>
        <v>0.3</v>
      </c>
      <c r="P227" s="316">
        <f>'DATA (Real)'!P223</f>
        <v>0.3</v>
      </c>
      <c r="Q227" s="316">
        <f>'DATA (Real)'!Q223</f>
        <v>0.3</v>
      </c>
      <c r="R227" s="316">
        <f>'DATA (Real)'!R223</f>
        <v>0.3</v>
      </c>
      <c r="S227" s="316">
        <f>'DATA (Real)'!S223</f>
        <v>0</v>
      </c>
      <c r="T227" s="316">
        <f>'DATA (Real)'!T223</f>
        <v>0</v>
      </c>
      <c r="U227" s="316">
        <f>'DATA (Real)'!U223</f>
        <v>0</v>
      </c>
      <c r="V227" s="316">
        <f>'DATA (Real)'!V223</f>
        <v>0</v>
      </c>
      <c r="W227" s="316">
        <f>'DATA (Real)'!W223</f>
        <v>0</v>
      </c>
      <c r="X227" s="316">
        <f>'DATA (Real)'!X223</f>
        <v>0</v>
      </c>
      <c r="Y227" s="316">
        <f>'DATA (Real)'!Y223</f>
        <v>0</v>
      </c>
      <c r="Z227" s="316">
        <f>'DATA (Real)'!Z223</f>
        <v>0</v>
      </c>
      <c r="AA227" s="316">
        <f>'DATA (Real)'!AA223</f>
        <v>0</v>
      </c>
      <c r="AB227" s="316">
        <f>'DATA (Real)'!AB223</f>
        <v>0</v>
      </c>
      <c r="AC227" s="316">
        <f>'DATA (Real)'!AC223</f>
        <v>0</v>
      </c>
      <c r="AD227" s="316">
        <f>'DATA (Real)'!AD223</f>
        <v>0</v>
      </c>
      <c r="AE227" s="316">
        <f>'DATA (Real)'!AE223</f>
        <v>0</v>
      </c>
      <c r="AF227" s="316">
        <f>'DATA (Real)'!AF223</f>
        <v>0</v>
      </c>
      <c r="AG227" s="316">
        <f>'DATA (Real)'!AG223</f>
        <v>0</v>
      </c>
      <c r="AH227" s="316">
        <f>'DATA (Real)'!AH223</f>
        <v>0</v>
      </c>
      <c r="AI227" s="316">
        <f>'DATA (Real)'!AI223</f>
        <v>0</v>
      </c>
      <c r="AJ227" s="316">
        <f>'DATA (Real)'!AJ223</f>
        <v>0</v>
      </c>
      <c r="AK227" s="316">
        <f>'DATA (Real)'!AK223</f>
        <v>0</v>
      </c>
      <c r="AL227" s="316">
        <f>'DATA (Real)'!AL223</f>
        <v>0</v>
      </c>
      <c r="AM227" s="316">
        <f>'DATA (Real)'!AM223</f>
        <v>0</v>
      </c>
      <c r="AN227" s="316">
        <f>'DATA (Real)'!AN223</f>
        <v>0</v>
      </c>
      <c r="AO227" s="316">
        <f>'DATA (Real)'!AO223</f>
        <v>0</v>
      </c>
      <c r="AP227" s="316">
        <f>'DATA (Real)'!AP223</f>
        <v>0</v>
      </c>
      <c r="AQ227" s="316">
        <f>'DATA (Real)'!AQ223</f>
        <v>0</v>
      </c>
      <c r="AR227" s="316">
        <f>'DATA (Real)'!AR223</f>
        <v>0</v>
      </c>
      <c r="AS227" s="316">
        <f>'DATA (Real)'!AS223</f>
        <v>0</v>
      </c>
      <c r="AT227" s="316">
        <f>'DATA (Real)'!AT223</f>
        <v>0</v>
      </c>
      <c r="AU227" s="316">
        <f>'DATA (Real)'!AU223</f>
        <v>0</v>
      </c>
      <c r="AV227" s="316">
        <f>'DATA (Real)'!AV223</f>
        <v>0</v>
      </c>
      <c r="AW227" s="316">
        <f>'DATA (Real)'!AW223</f>
        <v>0</v>
      </c>
      <c r="AX227" s="316">
        <f>'DATA (Real)'!AX223</f>
        <v>0</v>
      </c>
      <c r="AY227" s="316">
        <f>'DATA (Real)'!AY223</f>
        <v>0</v>
      </c>
      <c r="AZ227" s="316">
        <f>'DATA (Real)'!AZ223</f>
        <v>0</v>
      </c>
      <c r="BA227" s="316">
        <f>'DATA (Real)'!BA223</f>
        <v>0</v>
      </c>
      <c r="BB227" s="316">
        <f>'DATA (Real)'!BB223</f>
        <v>0</v>
      </c>
      <c r="BC227" s="316">
        <f>'DATA (Real)'!BC223</f>
        <v>0</v>
      </c>
      <c r="BD227" s="316">
        <f>'DATA (Real)'!BD223</f>
        <v>0</v>
      </c>
      <c r="BE227" s="316">
        <f>'DATA (Real)'!BE223</f>
        <v>0</v>
      </c>
      <c r="BF227" s="316">
        <f>'DATA (Real)'!BF223</f>
        <v>0</v>
      </c>
      <c r="BG227" s="316">
        <f>'DATA (Real)'!BG223</f>
        <v>0</v>
      </c>
      <c r="BH227" s="316">
        <f>'DATA (Real)'!BH223</f>
        <v>0</v>
      </c>
      <c r="BI227" s="316">
        <f>'DATA (Real)'!BI223</f>
        <v>0</v>
      </c>
      <c r="BJ227" s="316">
        <f>'DATA (Real)'!BJ223</f>
        <v>0</v>
      </c>
      <c r="BK227" s="316">
        <f>'DATA (Real)'!BK223</f>
        <v>0</v>
      </c>
      <c r="BL227" s="316">
        <f>'DATA (Real)'!BL223</f>
        <v>0</v>
      </c>
      <c r="BM227" s="316">
        <f>'DATA (Real)'!BM223</f>
        <v>0</v>
      </c>
      <c r="BN227" s="316">
        <f>'DATA (Real)'!BN223</f>
        <v>0</v>
      </c>
      <c r="BO227" s="316">
        <f>'DATA (Real)'!BO223</f>
        <v>0</v>
      </c>
      <c r="BP227" s="316">
        <f>'DATA (Real)'!BP223</f>
        <v>0</v>
      </c>
      <c r="BQ227" s="316">
        <f>'DATA (Real)'!BQ223</f>
        <v>0</v>
      </c>
      <c r="BR227" s="316">
        <f>'DATA (Real)'!BR223</f>
        <v>0</v>
      </c>
      <c r="BS227" s="316">
        <f>'DATA (Real)'!BS223</f>
        <v>0</v>
      </c>
      <c r="BT227" s="316">
        <f>'DATA (Real)'!BT223</f>
        <v>0</v>
      </c>
      <c r="BU227" s="316">
        <f>'DATA (Real)'!BU223</f>
        <v>0</v>
      </c>
      <c r="BV227" s="316">
        <f>'DATA (Real)'!BV223</f>
        <v>0</v>
      </c>
      <c r="BW227" s="316">
        <f>'DATA (Real)'!BW223</f>
        <v>0</v>
      </c>
      <c r="BX227" s="316">
        <f>'DATA (Real)'!BX223</f>
        <v>0</v>
      </c>
    </row>
    <row r="228" spans="1:76" hidden="1" outlineLevel="1">
      <c r="A228" s="355"/>
      <c r="B228" s="348"/>
      <c r="C228" s="348" t="str">
        <f>'DATA (Real)'!C224</f>
        <v>Inflation Reduction Act</v>
      </c>
      <c r="D228" s="348" t="str">
        <f>'DATA (Real)'!D224</f>
        <v>ITC Schedule</v>
      </c>
      <c r="E228" s="348" t="str">
        <f>'DATA (Real)'!E224</f>
        <v>16hr Lithium-Ion</v>
      </c>
      <c r="H228" s="316">
        <f>'DATA (Real)'!H224</f>
        <v>0.3</v>
      </c>
      <c r="I228" s="316">
        <f>'DATA (Real)'!I224</f>
        <v>0.3</v>
      </c>
      <c r="J228" s="316">
        <f>'DATA (Real)'!J224</f>
        <v>0.3</v>
      </c>
      <c r="K228" s="316">
        <f>'DATA (Real)'!K224</f>
        <v>0.3</v>
      </c>
      <c r="L228" s="316">
        <f>'DATA (Real)'!L224</f>
        <v>0.3</v>
      </c>
      <c r="M228" s="316">
        <f>'DATA (Real)'!M224</f>
        <v>0.3</v>
      </c>
      <c r="N228" s="316">
        <f>'DATA (Real)'!N224</f>
        <v>0.3</v>
      </c>
      <c r="O228" s="316">
        <f>'DATA (Real)'!O224</f>
        <v>0.3</v>
      </c>
      <c r="P228" s="316">
        <f>'DATA (Real)'!P224</f>
        <v>0.3</v>
      </c>
      <c r="Q228" s="316">
        <f>'DATA (Real)'!Q224</f>
        <v>0.3</v>
      </c>
      <c r="R228" s="316">
        <f>'DATA (Real)'!R224</f>
        <v>0.3</v>
      </c>
      <c r="S228" s="316">
        <f>'DATA (Real)'!S224</f>
        <v>0</v>
      </c>
      <c r="T228" s="316">
        <f>'DATA (Real)'!T224</f>
        <v>0</v>
      </c>
      <c r="U228" s="316">
        <f>'DATA (Real)'!U224</f>
        <v>0</v>
      </c>
      <c r="V228" s="316">
        <f>'DATA (Real)'!V224</f>
        <v>0</v>
      </c>
      <c r="W228" s="316">
        <f>'DATA (Real)'!W224</f>
        <v>0</v>
      </c>
      <c r="X228" s="316">
        <f>'DATA (Real)'!X224</f>
        <v>0</v>
      </c>
      <c r="Y228" s="316">
        <f>'DATA (Real)'!Y224</f>
        <v>0</v>
      </c>
      <c r="Z228" s="316">
        <f>'DATA (Real)'!Z224</f>
        <v>0</v>
      </c>
      <c r="AA228" s="316">
        <f>'DATA (Real)'!AA224</f>
        <v>0</v>
      </c>
      <c r="AB228" s="316">
        <f>'DATA (Real)'!AB224</f>
        <v>0</v>
      </c>
      <c r="AC228" s="316">
        <f>'DATA (Real)'!AC224</f>
        <v>0</v>
      </c>
      <c r="AD228" s="316">
        <f>'DATA (Real)'!AD224</f>
        <v>0</v>
      </c>
      <c r="AE228" s="316">
        <f>'DATA (Real)'!AE224</f>
        <v>0</v>
      </c>
      <c r="AF228" s="316">
        <f>'DATA (Real)'!AF224</f>
        <v>0</v>
      </c>
      <c r="AG228" s="316">
        <f>'DATA (Real)'!AG224</f>
        <v>0</v>
      </c>
      <c r="AH228" s="316">
        <f>'DATA (Real)'!AH224</f>
        <v>0</v>
      </c>
      <c r="AI228" s="316">
        <f>'DATA (Real)'!AI224</f>
        <v>0</v>
      </c>
      <c r="AJ228" s="316">
        <f>'DATA (Real)'!AJ224</f>
        <v>0</v>
      </c>
      <c r="AK228" s="316">
        <f>'DATA (Real)'!AK224</f>
        <v>0</v>
      </c>
      <c r="AL228" s="316">
        <f>'DATA (Real)'!AL224</f>
        <v>0</v>
      </c>
      <c r="AM228" s="316">
        <f>'DATA (Real)'!AM224</f>
        <v>0</v>
      </c>
      <c r="AN228" s="316">
        <f>'DATA (Real)'!AN224</f>
        <v>0</v>
      </c>
      <c r="AO228" s="316">
        <f>'DATA (Real)'!AO224</f>
        <v>0</v>
      </c>
      <c r="AP228" s="316">
        <f>'DATA (Real)'!AP224</f>
        <v>0</v>
      </c>
      <c r="AQ228" s="316">
        <f>'DATA (Real)'!AQ224</f>
        <v>0</v>
      </c>
      <c r="AR228" s="316">
        <f>'DATA (Real)'!AR224</f>
        <v>0</v>
      </c>
      <c r="AS228" s="316">
        <f>'DATA (Real)'!AS224</f>
        <v>0</v>
      </c>
      <c r="AT228" s="316">
        <f>'DATA (Real)'!AT224</f>
        <v>0</v>
      </c>
      <c r="AU228" s="316">
        <f>'DATA (Real)'!AU224</f>
        <v>0</v>
      </c>
      <c r="AV228" s="316">
        <f>'DATA (Real)'!AV224</f>
        <v>0</v>
      </c>
      <c r="AW228" s="316">
        <f>'DATA (Real)'!AW224</f>
        <v>0</v>
      </c>
      <c r="AX228" s="316">
        <f>'DATA (Real)'!AX224</f>
        <v>0</v>
      </c>
      <c r="AY228" s="316">
        <f>'DATA (Real)'!AY224</f>
        <v>0</v>
      </c>
      <c r="AZ228" s="316">
        <f>'DATA (Real)'!AZ224</f>
        <v>0</v>
      </c>
      <c r="BA228" s="316">
        <f>'DATA (Real)'!BA224</f>
        <v>0</v>
      </c>
      <c r="BB228" s="316">
        <f>'DATA (Real)'!BB224</f>
        <v>0</v>
      </c>
      <c r="BC228" s="316">
        <f>'DATA (Real)'!BC224</f>
        <v>0</v>
      </c>
      <c r="BD228" s="316">
        <f>'DATA (Real)'!BD224</f>
        <v>0</v>
      </c>
      <c r="BE228" s="316">
        <f>'DATA (Real)'!BE224</f>
        <v>0</v>
      </c>
      <c r="BF228" s="316">
        <f>'DATA (Real)'!BF224</f>
        <v>0</v>
      </c>
      <c r="BG228" s="316">
        <f>'DATA (Real)'!BG224</f>
        <v>0</v>
      </c>
      <c r="BH228" s="316">
        <f>'DATA (Real)'!BH224</f>
        <v>0</v>
      </c>
      <c r="BI228" s="316">
        <f>'DATA (Real)'!BI224</f>
        <v>0</v>
      </c>
      <c r="BJ228" s="316">
        <f>'DATA (Real)'!BJ224</f>
        <v>0</v>
      </c>
      <c r="BK228" s="316">
        <f>'DATA (Real)'!BK224</f>
        <v>0</v>
      </c>
      <c r="BL228" s="316">
        <f>'DATA (Real)'!BL224</f>
        <v>0</v>
      </c>
      <c r="BM228" s="316">
        <f>'DATA (Real)'!BM224</f>
        <v>0</v>
      </c>
      <c r="BN228" s="316">
        <f>'DATA (Real)'!BN224</f>
        <v>0</v>
      </c>
      <c r="BO228" s="316">
        <f>'DATA (Real)'!BO224</f>
        <v>0</v>
      </c>
      <c r="BP228" s="316">
        <f>'DATA (Real)'!BP224</f>
        <v>0</v>
      </c>
      <c r="BQ228" s="316">
        <f>'DATA (Real)'!BQ224</f>
        <v>0</v>
      </c>
      <c r="BR228" s="316">
        <f>'DATA (Real)'!BR224</f>
        <v>0</v>
      </c>
      <c r="BS228" s="316">
        <f>'DATA (Real)'!BS224</f>
        <v>0</v>
      </c>
      <c r="BT228" s="316">
        <f>'DATA (Real)'!BT224</f>
        <v>0</v>
      </c>
      <c r="BU228" s="316">
        <f>'DATA (Real)'!BU224</f>
        <v>0</v>
      </c>
      <c r="BV228" s="316">
        <f>'DATA (Real)'!BV224</f>
        <v>0</v>
      </c>
      <c r="BW228" s="316">
        <f>'DATA (Real)'!BW224</f>
        <v>0</v>
      </c>
      <c r="BX228" s="316">
        <f>'DATA (Real)'!BX224</f>
        <v>0</v>
      </c>
    </row>
    <row r="229" spans="1:76" hidden="1" outlineLevel="1">
      <c r="A229" s="355"/>
      <c r="B229" s="348"/>
      <c r="C229" s="348" t="str">
        <f>'DATA (Real)'!C225</f>
        <v>Inflation Reduction Act</v>
      </c>
      <c r="D229" s="348" t="str">
        <f>'DATA (Real)'!D225</f>
        <v>ITC Schedule</v>
      </c>
      <c r="E229" s="348" t="str">
        <f>'DATA (Real)'!E225</f>
        <v>4 hr Vanadium Flow Battery</v>
      </c>
      <c r="H229" s="316">
        <f>'DATA (Real)'!H225</f>
        <v>0.3</v>
      </c>
      <c r="I229" s="316">
        <f>'DATA (Real)'!I225</f>
        <v>0.3</v>
      </c>
      <c r="J229" s="316">
        <f>'DATA (Real)'!J225</f>
        <v>0.3</v>
      </c>
      <c r="K229" s="316">
        <f>'DATA (Real)'!K225</f>
        <v>0.3</v>
      </c>
      <c r="L229" s="316">
        <f>'DATA (Real)'!L225</f>
        <v>0.3</v>
      </c>
      <c r="M229" s="316">
        <f>'DATA (Real)'!M225</f>
        <v>0.3</v>
      </c>
      <c r="N229" s="316">
        <f>'DATA (Real)'!N225</f>
        <v>0.3</v>
      </c>
      <c r="O229" s="316">
        <f>'DATA (Real)'!O225</f>
        <v>0.3</v>
      </c>
      <c r="P229" s="316">
        <f>'DATA (Real)'!P225</f>
        <v>0.3</v>
      </c>
      <c r="Q229" s="316">
        <f>'DATA (Real)'!Q225</f>
        <v>0.3</v>
      </c>
      <c r="R229" s="316">
        <f>'DATA (Real)'!R225</f>
        <v>0.3</v>
      </c>
      <c r="S229" s="316">
        <f>'DATA (Real)'!S225</f>
        <v>0</v>
      </c>
      <c r="T229" s="316">
        <f>'DATA (Real)'!T225</f>
        <v>0</v>
      </c>
      <c r="U229" s="316">
        <f>'DATA (Real)'!U225</f>
        <v>0</v>
      </c>
      <c r="V229" s="316">
        <f>'DATA (Real)'!V225</f>
        <v>0</v>
      </c>
      <c r="W229" s="316">
        <f>'DATA (Real)'!W225</f>
        <v>0</v>
      </c>
      <c r="X229" s="316">
        <f>'DATA (Real)'!X225</f>
        <v>0</v>
      </c>
      <c r="Y229" s="316">
        <f>'DATA (Real)'!Y225</f>
        <v>0</v>
      </c>
      <c r="Z229" s="316">
        <f>'DATA (Real)'!Z225</f>
        <v>0</v>
      </c>
      <c r="AA229" s="316">
        <f>'DATA (Real)'!AA225</f>
        <v>0</v>
      </c>
      <c r="AB229" s="316">
        <f>'DATA (Real)'!AB225</f>
        <v>0</v>
      </c>
      <c r="AC229" s="316">
        <f>'DATA (Real)'!AC225</f>
        <v>0</v>
      </c>
      <c r="AD229" s="316">
        <f>'DATA (Real)'!AD225</f>
        <v>0</v>
      </c>
      <c r="AE229" s="316">
        <f>'DATA (Real)'!AE225</f>
        <v>0</v>
      </c>
      <c r="AF229" s="316">
        <f>'DATA (Real)'!AF225</f>
        <v>0</v>
      </c>
      <c r="AG229" s="316">
        <f>'DATA (Real)'!AG225</f>
        <v>0</v>
      </c>
      <c r="AH229" s="316">
        <f>'DATA (Real)'!AH225</f>
        <v>0</v>
      </c>
      <c r="AI229" s="316">
        <f>'DATA (Real)'!AI225</f>
        <v>0</v>
      </c>
      <c r="AJ229" s="316">
        <f>'DATA (Real)'!AJ225</f>
        <v>0</v>
      </c>
      <c r="AK229" s="316">
        <f>'DATA (Real)'!AK225</f>
        <v>0</v>
      </c>
      <c r="AL229" s="316">
        <f>'DATA (Real)'!AL225</f>
        <v>0</v>
      </c>
      <c r="AM229" s="316">
        <f>'DATA (Real)'!AM225</f>
        <v>0</v>
      </c>
      <c r="AN229" s="316">
        <f>'DATA (Real)'!AN225</f>
        <v>0</v>
      </c>
      <c r="AO229" s="316">
        <f>'DATA (Real)'!AO225</f>
        <v>0</v>
      </c>
      <c r="AP229" s="316">
        <f>'DATA (Real)'!AP225</f>
        <v>0</v>
      </c>
      <c r="AQ229" s="316">
        <f>'DATA (Real)'!AQ225</f>
        <v>0</v>
      </c>
      <c r="AR229" s="316">
        <f>'DATA (Real)'!AR225</f>
        <v>0</v>
      </c>
      <c r="AS229" s="316">
        <f>'DATA (Real)'!AS225</f>
        <v>0</v>
      </c>
      <c r="AT229" s="316">
        <f>'DATA (Real)'!AT225</f>
        <v>0</v>
      </c>
      <c r="AU229" s="316">
        <f>'DATA (Real)'!AU225</f>
        <v>0</v>
      </c>
      <c r="AV229" s="316">
        <f>'DATA (Real)'!AV225</f>
        <v>0</v>
      </c>
      <c r="AW229" s="316">
        <f>'DATA (Real)'!AW225</f>
        <v>0</v>
      </c>
      <c r="AX229" s="316">
        <f>'DATA (Real)'!AX225</f>
        <v>0</v>
      </c>
      <c r="AY229" s="316">
        <f>'DATA (Real)'!AY225</f>
        <v>0</v>
      </c>
      <c r="AZ229" s="316">
        <f>'DATA (Real)'!AZ225</f>
        <v>0</v>
      </c>
      <c r="BA229" s="316">
        <f>'DATA (Real)'!BA225</f>
        <v>0</v>
      </c>
      <c r="BB229" s="316">
        <f>'DATA (Real)'!BB225</f>
        <v>0</v>
      </c>
      <c r="BC229" s="316">
        <f>'DATA (Real)'!BC225</f>
        <v>0</v>
      </c>
      <c r="BD229" s="316">
        <f>'DATA (Real)'!BD225</f>
        <v>0</v>
      </c>
      <c r="BE229" s="316">
        <f>'DATA (Real)'!BE225</f>
        <v>0</v>
      </c>
      <c r="BF229" s="316">
        <f>'DATA (Real)'!BF225</f>
        <v>0</v>
      </c>
      <c r="BG229" s="316">
        <f>'DATA (Real)'!BG225</f>
        <v>0</v>
      </c>
      <c r="BH229" s="316">
        <f>'DATA (Real)'!BH225</f>
        <v>0</v>
      </c>
      <c r="BI229" s="316">
        <f>'DATA (Real)'!BI225</f>
        <v>0</v>
      </c>
      <c r="BJ229" s="316">
        <f>'DATA (Real)'!BJ225</f>
        <v>0</v>
      </c>
      <c r="BK229" s="316">
        <f>'DATA (Real)'!BK225</f>
        <v>0</v>
      </c>
      <c r="BL229" s="316">
        <f>'DATA (Real)'!BL225</f>
        <v>0</v>
      </c>
      <c r="BM229" s="316">
        <f>'DATA (Real)'!BM225</f>
        <v>0</v>
      </c>
      <c r="BN229" s="316">
        <f>'DATA (Real)'!BN225</f>
        <v>0</v>
      </c>
      <c r="BO229" s="316">
        <f>'DATA (Real)'!BO225</f>
        <v>0</v>
      </c>
      <c r="BP229" s="316">
        <f>'DATA (Real)'!BP225</f>
        <v>0</v>
      </c>
      <c r="BQ229" s="316">
        <f>'DATA (Real)'!BQ225</f>
        <v>0</v>
      </c>
      <c r="BR229" s="316">
        <f>'DATA (Real)'!BR225</f>
        <v>0</v>
      </c>
      <c r="BS229" s="316">
        <f>'DATA (Real)'!BS225</f>
        <v>0</v>
      </c>
      <c r="BT229" s="316">
        <f>'DATA (Real)'!BT225</f>
        <v>0</v>
      </c>
      <c r="BU229" s="316">
        <f>'DATA (Real)'!BU225</f>
        <v>0</v>
      </c>
      <c r="BV229" s="316">
        <f>'DATA (Real)'!BV225</f>
        <v>0</v>
      </c>
      <c r="BW229" s="316">
        <f>'DATA (Real)'!BW225</f>
        <v>0</v>
      </c>
      <c r="BX229" s="316">
        <f>'DATA (Real)'!BX225</f>
        <v>0</v>
      </c>
    </row>
    <row r="230" spans="1:76" hidden="1" outlineLevel="1">
      <c r="A230" s="355"/>
      <c r="B230" s="348"/>
      <c r="C230" s="348" t="str">
        <f>'DATA (Real)'!C226</f>
        <v>Inflation Reduction Act</v>
      </c>
      <c r="D230" s="348" t="str">
        <f>'DATA (Real)'!D226</f>
        <v>ITC Schedule</v>
      </c>
      <c r="E230" s="348" t="str">
        <f>'DATA (Real)'!E226</f>
        <v>4 hr Zinc Bromide Flow Battery</v>
      </c>
      <c r="H230" s="316">
        <f>'DATA (Real)'!H226</f>
        <v>0.3</v>
      </c>
      <c r="I230" s="316">
        <f>'DATA (Real)'!I226</f>
        <v>0.3</v>
      </c>
      <c r="J230" s="316">
        <f>'DATA (Real)'!J226</f>
        <v>0.3</v>
      </c>
      <c r="K230" s="316">
        <f>'DATA (Real)'!K226</f>
        <v>0.3</v>
      </c>
      <c r="L230" s="316">
        <f>'DATA (Real)'!L226</f>
        <v>0.3</v>
      </c>
      <c r="M230" s="316">
        <f>'DATA (Real)'!M226</f>
        <v>0.3</v>
      </c>
      <c r="N230" s="316">
        <f>'DATA (Real)'!N226</f>
        <v>0.3</v>
      </c>
      <c r="O230" s="316">
        <f>'DATA (Real)'!O226</f>
        <v>0.3</v>
      </c>
      <c r="P230" s="316">
        <f>'DATA (Real)'!P226</f>
        <v>0.3</v>
      </c>
      <c r="Q230" s="316">
        <f>'DATA (Real)'!Q226</f>
        <v>0.3</v>
      </c>
      <c r="R230" s="316">
        <f>'DATA (Real)'!R226</f>
        <v>0.3</v>
      </c>
      <c r="S230" s="316">
        <f>'DATA (Real)'!S226</f>
        <v>0</v>
      </c>
      <c r="T230" s="316">
        <f>'DATA (Real)'!T226</f>
        <v>0</v>
      </c>
      <c r="U230" s="316">
        <f>'DATA (Real)'!U226</f>
        <v>0</v>
      </c>
      <c r="V230" s="316">
        <f>'DATA (Real)'!V226</f>
        <v>0</v>
      </c>
      <c r="W230" s="316">
        <f>'DATA (Real)'!W226</f>
        <v>0</v>
      </c>
      <c r="X230" s="316">
        <f>'DATA (Real)'!X226</f>
        <v>0</v>
      </c>
      <c r="Y230" s="316">
        <f>'DATA (Real)'!Y226</f>
        <v>0</v>
      </c>
      <c r="Z230" s="316">
        <f>'DATA (Real)'!Z226</f>
        <v>0</v>
      </c>
      <c r="AA230" s="316">
        <f>'DATA (Real)'!AA226</f>
        <v>0</v>
      </c>
      <c r="AB230" s="316">
        <f>'DATA (Real)'!AB226</f>
        <v>0</v>
      </c>
      <c r="AC230" s="316">
        <f>'DATA (Real)'!AC226</f>
        <v>0</v>
      </c>
      <c r="AD230" s="316">
        <f>'DATA (Real)'!AD226</f>
        <v>0</v>
      </c>
      <c r="AE230" s="316">
        <f>'DATA (Real)'!AE226</f>
        <v>0</v>
      </c>
      <c r="AF230" s="316">
        <f>'DATA (Real)'!AF226</f>
        <v>0</v>
      </c>
      <c r="AG230" s="316">
        <f>'DATA (Real)'!AG226</f>
        <v>0</v>
      </c>
      <c r="AH230" s="316">
        <f>'DATA (Real)'!AH226</f>
        <v>0</v>
      </c>
      <c r="AI230" s="316">
        <f>'DATA (Real)'!AI226</f>
        <v>0</v>
      </c>
      <c r="AJ230" s="316">
        <f>'DATA (Real)'!AJ226</f>
        <v>0</v>
      </c>
      <c r="AK230" s="316">
        <f>'DATA (Real)'!AK226</f>
        <v>0</v>
      </c>
      <c r="AL230" s="316">
        <f>'DATA (Real)'!AL226</f>
        <v>0</v>
      </c>
      <c r="AM230" s="316">
        <f>'DATA (Real)'!AM226</f>
        <v>0</v>
      </c>
      <c r="AN230" s="316">
        <f>'DATA (Real)'!AN226</f>
        <v>0</v>
      </c>
      <c r="AO230" s="316">
        <f>'DATA (Real)'!AO226</f>
        <v>0</v>
      </c>
      <c r="AP230" s="316">
        <f>'DATA (Real)'!AP226</f>
        <v>0</v>
      </c>
      <c r="AQ230" s="316">
        <f>'DATA (Real)'!AQ226</f>
        <v>0</v>
      </c>
      <c r="AR230" s="316">
        <f>'DATA (Real)'!AR226</f>
        <v>0</v>
      </c>
      <c r="AS230" s="316">
        <f>'DATA (Real)'!AS226</f>
        <v>0</v>
      </c>
      <c r="AT230" s="316">
        <f>'DATA (Real)'!AT226</f>
        <v>0</v>
      </c>
      <c r="AU230" s="316">
        <f>'DATA (Real)'!AU226</f>
        <v>0</v>
      </c>
      <c r="AV230" s="316">
        <f>'DATA (Real)'!AV226</f>
        <v>0</v>
      </c>
      <c r="AW230" s="316">
        <f>'DATA (Real)'!AW226</f>
        <v>0</v>
      </c>
      <c r="AX230" s="316">
        <f>'DATA (Real)'!AX226</f>
        <v>0</v>
      </c>
      <c r="AY230" s="316">
        <f>'DATA (Real)'!AY226</f>
        <v>0</v>
      </c>
      <c r="AZ230" s="316">
        <f>'DATA (Real)'!AZ226</f>
        <v>0</v>
      </c>
      <c r="BA230" s="316">
        <f>'DATA (Real)'!BA226</f>
        <v>0</v>
      </c>
      <c r="BB230" s="316">
        <f>'DATA (Real)'!BB226</f>
        <v>0</v>
      </c>
      <c r="BC230" s="316">
        <f>'DATA (Real)'!BC226</f>
        <v>0</v>
      </c>
      <c r="BD230" s="316">
        <f>'DATA (Real)'!BD226</f>
        <v>0</v>
      </c>
      <c r="BE230" s="316">
        <f>'DATA (Real)'!BE226</f>
        <v>0</v>
      </c>
      <c r="BF230" s="316">
        <f>'DATA (Real)'!BF226</f>
        <v>0</v>
      </c>
      <c r="BG230" s="316">
        <f>'DATA (Real)'!BG226</f>
        <v>0</v>
      </c>
      <c r="BH230" s="316">
        <f>'DATA (Real)'!BH226</f>
        <v>0</v>
      </c>
      <c r="BI230" s="316">
        <f>'DATA (Real)'!BI226</f>
        <v>0</v>
      </c>
      <c r="BJ230" s="316">
        <f>'DATA (Real)'!BJ226</f>
        <v>0</v>
      </c>
      <c r="BK230" s="316">
        <f>'DATA (Real)'!BK226</f>
        <v>0</v>
      </c>
      <c r="BL230" s="316">
        <f>'DATA (Real)'!BL226</f>
        <v>0</v>
      </c>
      <c r="BM230" s="316">
        <f>'DATA (Real)'!BM226</f>
        <v>0</v>
      </c>
      <c r="BN230" s="316">
        <f>'DATA (Real)'!BN226</f>
        <v>0</v>
      </c>
      <c r="BO230" s="316">
        <f>'DATA (Real)'!BO226</f>
        <v>0</v>
      </c>
      <c r="BP230" s="316">
        <f>'DATA (Real)'!BP226</f>
        <v>0</v>
      </c>
      <c r="BQ230" s="316">
        <f>'DATA (Real)'!BQ226</f>
        <v>0</v>
      </c>
      <c r="BR230" s="316">
        <f>'DATA (Real)'!BR226</f>
        <v>0</v>
      </c>
      <c r="BS230" s="316">
        <f>'DATA (Real)'!BS226</f>
        <v>0</v>
      </c>
      <c r="BT230" s="316">
        <f>'DATA (Real)'!BT226</f>
        <v>0</v>
      </c>
      <c r="BU230" s="316">
        <f>'DATA (Real)'!BU226</f>
        <v>0</v>
      </c>
      <c r="BV230" s="316">
        <f>'DATA (Real)'!BV226</f>
        <v>0</v>
      </c>
      <c r="BW230" s="316">
        <f>'DATA (Real)'!BW226</f>
        <v>0</v>
      </c>
      <c r="BX230" s="316">
        <f>'DATA (Real)'!BX226</f>
        <v>0</v>
      </c>
    </row>
    <row r="231" spans="1:76" hidden="1" outlineLevel="1">
      <c r="A231" s="355"/>
      <c r="B231" s="348"/>
      <c r="C231" s="348" t="str">
        <f>'DATA (Real)'!C227</f>
        <v>Inflation Reduction Act</v>
      </c>
      <c r="D231" s="348" t="str">
        <f>'DATA (Real)'!D227</f>
        <v>ITC Schedule</v>
      </c>
      <c r="E231" s="348" t="str">
        <f>'DATA (Real)'!E227</f>
        <v>100hr Iron Oxide</v>
      </c>
      <c r="H231" s="316">
        <f>'DATA (Real)'!H227</f>
        <v>0.3</v>
      </c>
      <c r="I231" s="316">
        <f>'DATA (Real)'!I227</f>
        <v>0.3</v>
      </c>
      <c r="J231" s="316">
        <f>'DATA (Real)'!J227</f>
        <v>0.3</v>
      </c>
      <c r="K231" s="316">
        <f>'DATA (Real)'!K227</f>
        <v>0.3</v>
      </c>
      <c r="L231" s="316">
        <f>'DATA (Real)'!L227</f>
        <v>0.3</v>
      </c>
      <c r="M231" s="316">
        <f>'DATA (Real)'!M227</f>
        <v>0.3</v>
      </c>
      <c r="N231" s="316">
        <f>'DATA (Real)'!N227</f>
        <v>0.3</v>
      </c>
      <c r="O231" s="316">
        <f>'DATA (Real)'!O227</f>
        <v>0.3</v>
      </c>
      <c r="P231" s="316">
        <f>'DATA (Real)'!P227</f>
        <v>0.3</v>
      </c>
      <c r="Q231" s="316">
        <f>'DATA (Real)'!Q227</f>
        <v>0.3</v>
      </c>
      <c r="R231" s="316">
        <f>'DATA (Real)'!R227</f>
        <v>0.3</v>
      </c>
      <c r="S231" s="316">
        <f>'DATA (Real)'!S227</f>
        <v>0</v>
      </c>
      <c r="T231" s="316">
        <f>'DATA (Real)'!T227</f>
        <v>0</v>
      </c>
      <c r="U231" s="316">
        <f>'DATA (Real)'!U227</f>
        <v>0</v>
      </c>
      <c r="V231" s="316">
        <f>'DATA (Real)'!V227</f>
        <v>0</v>
      </c>
      <c r="W231" s="316">
        <f>'DATA (Real)'!W227</f>
        <v>0</v>
      </c>
      <c r="X231" s="316">
        <f>'DATA (Real)'!X227</f>
        <v>0</v>
      </c>
      <c r="Y231" s="316">
        <f>'DATA (Real)'!Y227</f>
        <v>0</v>
      </c>
      <c r="Z231" s="316">
        <f>'DATA (Real)'!Z227</f>
        <v>0</v>
      </c>
      <c r="AA231" s="316">
        <f>'DATA (Real)'!AA227</f>
        <v>0</v>
      </c>
      <c r="AB231" s="316">
        <f>'DATA (Real)'!AB227</f>
        <v>0</v>
      </c>
      <c r="AC231" s="316">
        <f>'DATA (Real)'!AC227</f>
        <v>0</v>
      </c>
      <c r="AD231" s="316">
        <f>'DATA (Real)'!AD227</f>
        <v>0</v>
      </c>
      <c r="AE231" s="316">
        <f>'DATA (Real)'!AE227</f>
        <v>0</v>
      </c>
      <c r="AF231" s="316">
        <f>'DATA (Real)'!AF227</f>
        <v>0</v>
      </c>
      <c r="AG231" s="316">
        <f>'DATA (Real)'!AG227</f>
        <v>0</v>
      </c>
      <c r="AH231" s="316">
        <f>'DATA (Real)'!AH227</f>
        <v>0</v>
      </c>
      <c r="AI231" s="316">
        <f>'DATA (Real)'!AI227</f>
        <v>0</v>
      </c>
      <c r="AJ231" s="316">
        <f>'DATA (Real)'!AJ227</f>
        <v>0</v>
      </c>
      <c r="AK231" s="316">
        <f>'DATA (Real)'!AK227</f>
        <v>0</v>
      </c>
      <c r="AL231" s="316">
        <f>'DATA (Real)'!AL227</f>
        <v>0</v>
      </c>
      <c r="AM231" s="316">
        <f>'DATA (Real)'!AM227</f>
        <v>0</v>
      </c>
      <c r="AN231" s="316">
        <f>'DATA (Real)'!AN227</f>
        <v>0</v>
      </c>
      <c r="AO231" s="316">
        <f>'DATA (Real)'!AO227</f>
        <v>0</v>
      </c>
      <c r="AP231" s="316">
        <f>'DATA (Real)'!AP227</f>
        <v>0</v>
      </c>
      <c r="AQ231" s="316">
        <f>'DATA (Real)'!AQ227</f>
        <v>0</v>
      </c>
      <c r="AR231" s="316">
        <f>'DATA (Real)'!AR227</f>
        <v>0</v>
      </c>
      <c r="AS231" s="316">
        <f>'DATA (Real)'!AS227</f>
        <v>0</v>
      </c>
      <c r="AT231" s="316">
        <f>'DATA (Real)'!AT227</f>
        <v>0</v>
      </c>
      <c r="AU231" s="316">
        <f>'DATA (Real)'!AU227</f>
        <v>0</v>
      </c>
      <c r="AV231" s="316">
        <f>'DATA (Real)'!AV227</f>
        <v>0</v>
      </c>
      <c r="AW231" s="316">
        <f>'DATA (Real)'!AW227</f>
        <v>0</v>
      </c>
      <c r="AX231" s="316">
        <f>'DATA (Real)'!AX227</f>
        <v>0</v>
      </c>
      <c r="AY231" s="316">
        <f>'DATA (Real)'!AY227</f>
        <v>0</v>
      </c>
      <c r="AZ231" s="316">
        <f>'DATA (Real)'!AZ227</f>
        <v>0</v>
      </c>
      <c r="BA231" s="316">
        <f>'DATA (Real)'!BA227</f>
        <v>0</v>
      </c>
      <c r="BB231" s="316">
        <f>'DATA (Real)'!BB227</f>
        <v>0</v>
      </c>
      <c r="BC231" s="316">
        <f>'DATA (Real)'!BC227</f>
        <v>0</v>
      </c>
      <c r="BD231" s="316">
        <f>'DATA (Real)'!BD227</f>
        <v>0</v>
      </c>
      <c r="BE231" s="316">
        <f>'DATA (Real)'!BE227</f>
        <v>0</v>
      </c>
      <c r="BF231" s="316">
        <f>'DATA (Real)'!BF227</f>
        <v>0</v>
      </c>
      <c r="BG231" s="316">
        <f>'DATA (Real)'!BG227</f>
        <v>0</v>
      </c>
      <c r="BH231" s="316">
        <f>'DATA (Real)'!BH227</f>
        <v>0</v>
      </c>
      <c r="BI231" s="316">
        <f>'DATA (Real)'!BI227</f>
        <v>0</v>
      </c>
      <c r="BJ231" s="316">
        <f>'DATA (Real)'!BJ227</f>
        <v>0</v>
      </c>
      <c r="BK231" s="316">
        <f>'DATA (Real)'!BK227</f>
        <v>0</v>
      </c>
      <c r="BL231" s="316">
        <f>'DATA (Real)'!BL227</f>
        <v>0</v>
      </c>
      <c r="BM231" s="316">
        <f>'DATA (Real)'!BM227</f>
        <v>0</v>
      </c>
      <c r="BN231" s="316">
        <f>'DATA (Real)'!BN227</f>
        <v>0</v>
      </c>
      <c r="BO231" s="316">
        <f>'DATA (Real)'!BO227</f>
        <v>0</v>
      </c>
      <c r="BP231" s="316">
        <f>'DATA (Real)'!BP227</f>
        <v>0</v>
      </c>
      <c r="BQ231" s="316">
        <f>'DATA (Real)'!BQ227</f>
        <v>0</v>
      </c>
      <c r="BR231" s="316">
        <f>'DATA (Real)'!BR227</f>
        <v>0</v>
      </c>
      <c r="BS231" s="316">
        <f>'DATA (Real)'!BS227</f>
        <v>0</v>
      </c>
      <c r="BT231" s="316">
        <f>'DATA (Real)'!BT227</f>
        <v>0</v>
      </c>
      <c r="BU231" s="316">
        <f>'DATA (Real)'!BU227</f>
        <v>0</v>
      </c>
      <c r="BV231" s="316">
        <f>'DATA (Real)'!BV227</f>
        <v>0</v>
      </c>
      <c r="BW231" s="316">
        <f>'DATA (Real)'!BW227</f>
        <v>0</v>
      </c>
      <c r="BX231" s="316">
        <f>'DATA (Real)'!BX227</f>
        <v>0</v>
      </c>
    </row>
    <row r="232" spans="1:76" hidden="1" outlineLevel="1">
      <c r="A232" s="355"/>
      <c r="B232" s="348"/>
      <c r="C232" s="348" t="str">
        <f>'DATA (Real)'!C228</f>
        <v>Inflation Reduction Act</v>
      </c>
      <c r="D232" s="348" t="str">
        <f>'DATA (Real)'!D228</f>
        <v>ITC Schedule</v>
      </c>
      <c r="E232" s="348" t="str">
        <f>'DATA (Real)'!E228</f>
        <v>Liquid Air</v>
      </c>
      <c r="H232" s="316">
        <f>'DATA (Real)'!H228</f>
        <v>0.3</v>
      </c>
      <c r="I232" s="316">
        <f>'DATA (Real)'!I228</f>
        <v>0.3</v>
      </c>
      <c r="J232" s="316">
        <f>'DATA (Real)'!J228</f>
        <v>0.3</v>
      </c>
      <c r="K232" s="316">
        <f>'DATA (Real)'!K228</f>
        <v>0.3</v>
      </c>
      <c r="L232" s="316">
        <f>'DATA (Real)'!L228</f>
        <v>0.3</v>
      </c>
      <c r="M232" s="316">
        <f>'DATA (Real)'!M228</f>
        <v>0.3</v>
      </c>
      <c r="N232" s="316">
        <f>'DATA (Real)'!N228</f>
        <v>0.3</v>
      </c>
      <c r="O232" s="316">
        <f>'DATA (Real)'!O228</f>
        <v>0.3</v>
      </c>
      <c r="P232" s="316">
        <f>'DATA (Real)'!P228</f>
        <v>0.3</v>
      </c>
      <c r="Q232" s="316">
        <f>'DATA (Real)'!Q228</f>
        <v>0.3</v>
      </c>
      <c r="R232" s="316">
        <f>'DATA (Real)'!R228</f>
        <v>0.3</v>
      </c>
      <c r="S232" s="316">
        <f>'DATA (Real)'!S228</f>
        <v>0</v>
      </c>
      <c r="T232" s="316">
        <f>'DATA (Real)'!T228</f>
        <v>0</v>
      </c>
      <c r="U232" s="316">
        <f>'DATA (Real)'!U228</f>
        <v>0</v>
      </c>
      <c r="V232" s="316">
        <f>'DATA (Real)'!V228</f>
        <v>0</v>
      </c>
      <c r="W232" s="316">
        <f>'DATA (Real)'!W228</f>
        <v>0</v>
      </c>
      <c r="X232" s="316">
        <f>'DATA (Real)'!X228</f>
        <v>0</v>
      </c>
      <c r="Y232" s="316">
        <f>'DATA (Real)'!Y228</f>
        <v>0</v>
      </c>
      <c r="Z232" s="316">
        <f>'DATA (Real)'!Z228</f>
        <v>0</v>
      </c>
      <c r="AA232" s="316">
        <f>'DATA (Real)'!AA228</f>
        <v>0</v>
      </c>
      <c r="AB232" s="316">
        <f>'DATA (Real)'!AB228</f>
        <v>0</v>
      </c>
      <c r="AC232" s="316">
        <f>'DATA (Real)'!AC228</f>
        <v>0</v>
      </c>
      <c r="AD232" s="316">
        <f>'DATA (Real)'!AD228</f>
        <v>0</v>
      </c>
      <c r="AE232" s="316">
        <f>'DATA (Real)'!AE228</f>
        <v>0</v>
      </c>
      <c r="AF232" s="316">
        <f>'DATA (Real)'!AF228</f>
        <v>0</v>
      </c>
      <c r="AG232" s="316">
        <f>'DATA (Real)'!AG228</f>
        <v>0</v>
      </c>
      <c r="AH232" s="316">
        <f>'DATA (Real)'!AH228</f>
        <v>0</v>
      </c>
      <c r="AI232" s="316">
        <f>'DATA (Real)'!AI228</f>
        <v>0</v>
      </c>
      <c r="AJ232" s="316">
        <f>'DATA (Real)'!AJ228</f>
        <v>0</v>
      </c>
      <c r="AK232" s="316">
        <f>'DATA (Real)'!AK228</f>
        <v>0</v>
      </c>
      <c r="AL232" s="316">
        <f>'DATA (Real)'!AL228</f>
        <v>0</v>
      </c>
      <c r="AM232" s="316">
        <f>'DATA (Real)'!AM228</f>
        <v>0</v>
      </c>
      <c r="AN232" s="316">
        <f>'DATA (Real)'!AN228</f>
        <v>0</v>
      </c>
      <c r="AO232" s="316">
        <f>'DATA (Real)'!AO228</f>
        <v>0</v>
      </c>
      <c r="AP232" s="316">
        <f>'DATA (Real)'!AP228</f>
        <v>0</v>
      </c>
      <c r="AQ232" s="316">
        <f>'DATA (Real)'!AQ228</f>
        <v>0</v>
      </c>
      <c r="AR232" s="316">
        <f>'DATA (Real)'!AR228</f>
        <v>0</v>
      </c>
      <c r="AS232" s="316">
        <f>'DATA (Real)'!AS228</f>
        <v>0</v>
      </c>
      <c r="AT232" s="316">
        <f>'DATA (Real)'!AT228</f>
        <v>0</v>
      </c>
      <c r="AU232" s="316">
        <f>'DATA (Real)'!AU228</f>
        <v>0</v>
      </c>
      <c r="AV232" s="316">
        <f>'DATA (Real)'!AV228</f>
        <v>0</v>
      </c>
      <c r="AW232" s="316">
        <f>'DATA (Real)'!AW228</f>
        <v>0</v>
      </c>
      <c r="AX232" s="316">
        <f>'DATA (Real)'!AX228</f>
        <v>0</v>
      </c>
      <c r="AY232" s="316">
        <f>'DATA (Real)'!AY228</f>
        <v>0</v>
      </c>
      <c r="AZ232" s="316">
        <f>'DATA (Real)'!AZ228</f>
        <v>0</v>
      </c>
      <c r="BA232" s="316">
        <f>'DATA (Real)'!BA228</f>
        <v>0</v>
      </c>
      <c r="BB232" s="316">
        <f>'DATA (Real)'!BB228</f>
        <v>0</v>
      </c>
      <c r="BC232" s="316">
        <f>'DATA (Real)'!BC228</f>
        <v>0</v>
      </c>
      <c r="BD232" s="316">
        <f>'DATA (Real)'!BD228</f>
        <v>0</v>
      </c>
      <c r="BE232" s="316">
        <f>'DATA (Real)'!BE228</f>
        <v>0</v>
      </c>
      <c r="BF232" s="316">
        <f>'DATA (Real)'!BF228</f>
        <v>0</v>
      </c>
      <c r="BG232" s="316">
        <f>'DATA (Real)'!BG228</f>
        <v>0</v>
      </c>
      <c r="BH232" s="316">
        <f>'DATA (Real)'!BH228</f>
        <v>0</v>
      </c>
      <c r="BI232" s="316">
        <f>'DATA (Real)'!BI228</f>
        <v>0</v>
      </c>
      <c r="BJ232" s="316">
        <f>'DATA (Real)'!BJ228</f>
        <v>0</v>
      </c>
      <c r="BK232" s="316">
        <f>'DATA (Real)'!BK228</f>
        <v>0</v>
      </c>
      <c r="BL232" s="316">
        <f>'DATA (Real)'!BL228</f>
        <v>0</v>
      </c>
      <c r="BM232" s="316">
        <f>'DATA (Real)'!BM228</f>
        <v>0</v>
      </c>
      <c r="BN232" s="316">
        <f>'DATA (Real)'!BN228</f>
        <v>0</v>
      </c>
      <c r="BO232" s="316">
        <f>'DATA (Real)'!BO228</f>
        <v>0</v>
      </c>
      <c r="BP232" s="316">
        <f>'DATA (Real)'!BP228</f>
        <v>0</v>
      </c>
      <c r="BQ232" s="316">
        <f>'DATA (Real)'!BQ228</f>
        <v>0</v>
      </c>
      <c r="BR232" s="316">
        <f>'DATA (Real)'!BR228</f>
        <v>0</v>
      </c>
      <c r="BS232" s="316">
        <f>'DATA (Real)'!BS228</f>
        <v>0</v>
      </c>
      <c r="BT232" s="316">
        <f>'DATA (Real)'!BT228</f>
        <v>0</v>
      </c>
      <c r="BU232" s="316">
        <f>'DATA (Real)'!BU228</f>
        <v>0</v>
      </c>
      <c r="BV232" s="316">
        <f>'DATA (Real)'!BV228</f>
        <v>0</v>
      </c>
      <c r="BW232" s="316">
        <f>'DATA (Real)'!BW228</f>
        <v>0</v>
      </c>
      <c r="BX232" s="316">
        <f>'DATA (Real)'!BX228</f>
        <v>0</v>
      </c>
    </row>
    <row r="233" spans="1:76" hidden="1" outlineLevel="1">
      <c r="A233" s="355"/>
      <c r="B233" s="348"/>
      <c r="C233" s="348" t="str">
        <f>'DATA (Real)'!C229</f>
        <v>Inflation Reduction Act</v>
      </c>
      <c r="D233" s="348" t="str">
        <f>'DATA (Real)'!D229</f>
        <v>ITC Schedule</v>
      </c>
      <c r="E233" s="348" t="str">
        <f>'DATA (Real)'!E229</f>
        <v>Pumped Hydro (8.5 hr/ 400 MW share)</v>
      </c>
      <c r="H233" s="316">
        <f>'DATA (Real)'!H229</f>
        <v>0.3</v>
      </c>
      <c r="I233" s="316">
        <f>'DATA (Real)'!I229</f>
        <v>0.3</v>
      </c>
      <c r="J233" s="316">
        <f>'DATA (Real)'!J229</f>
        <v>0.3</v>
      </c>
      <c r="K233" s="316">
        <f>'DATA (Real)'!K229</f>
        <v>0.3</v>
      </c>
      <c r="L233" s="316">
        <f>'DATA (Real)'!L229</f>
        <v>0.3</v>
      </c>
      <c r="M233" s="316">
        <f>'DATA (Real)'!M229</f>
        <v>0.3</v>
      </c>
      <c r="N233" s="316">
        <f>'DATA (Real)'!N229</f>
        <v>0.3</v>
      </c>
      <c r="O233" s="316">
        <f>'DATA (Real)'!O229</f>
        <v>0.3</v>
      </c>
      <c r="P233" s="316">
        <f>'DATA (Real)'!P229</f>
        <v>0.3</v>
      </c>
      <c r="Q233" s="316">
        <f>'DATA (Real)'!Q229</f>
        <v>0.3</v>
      </c>
      <c r="R233" s="316">
        <f>'DATA (Real)'!R229</f>
        <v>0.3</v>
      </c>
      <c r="S233" s="316">
        <f>'DATA (Real)'!S229</f>
        <v>0</v>
      </c>
      <c r="T233" s="316">
        <f>'DATA (Real)'!T229</f>
        <v>0</v>
      </c>
      <c r="U233" s="316">
        <f>'DATA (Real)'!U229</f>
        <v>0</v>
      </c>
      <c r="V233" s="316">
        <f>'DATA (Real)'!V229</f>
        <v>0</v>
      </c>
      <c r="W233" s="316">
        <f>'DATA (Real)'!W229</f>
        <v>0</v>
      </c>
      <c r="X233" s="316">
        <f>'DATA (Real)'!X229</f>
        <v>0</v>
      </c>
      <c r="Y233" s="316">
        <f>'DATA (Real)'!Y229</f>
        <v>0</v>
      </c>
      <c r="Z233" s="316">
        <f>'DATA (Real)'!Z229</f>
        <v>0</v>
      </c>
      <c r="AA233" s="316">
        <f>'DATA (Real)'!AA229</f>
        <v>0</v>
      </c>
      <c r="AB233" s="316">
        <f>'DATA (Real)'!AB229</f>
        <v>0</v>
      </c>
      <c r="AC233" s="316">
        <f>'DATA (Real)'!AC229</f>
        <v>0</v>
      </c>
      <c r="AD233" s="316">
        <f>'DATA (Real)'!AD229</f>
        <v>0</v>
      </c>
      <c r="AE233" s="316">
        <f>'DATA (Real)'!AE229</f>
        <v>0</v>
      </c>
      <c r="AF233" s="316">
        <f>'DATA (Real)'!AF229</f>
        <v>0</v>
      </c>
      <c r="AG233" s="316">
        <f>'DATA (Real)'!AG229</f>
        <v>0</v>
      </c>
      <c r="AH233" s="316">
        <f>'DATA (Real)'!AH229</f>
        <v>0</v>
      </c>
      <c r="AI233" s="316">
        <f>'DATA (Real)'!AI229</f>
        <v>0</v>
      </c>
      <c r="AJ233" s="316">
        <f>'DATA (Real)'!AJ229</f>
        <v>0</v>
      </c>
      <c r="AK233" s="316">
        <f>'DATA (Real)'!AK229</f>
        <v>0</v>
      </c>
      <c r="AL233" s="316">
        <f>'DATA (Real)'!AL229</f>
        <v>0</v>
      </c>
      <c r="AM233" s="316">
        <f>'DATA (Real)'!AM229</f>
        <v>0</v>
      </c>
      <c r="AN233" s="316">
        <f>'DATA (Real)'!AN229</f>
        <v>0</v>
      </c>
      <c r="AO233" s="316">
        <f>'DATA (Real)'!AO229</f>
        <v>0</v>
      </c>
      <c r="AP233" s="316">
        <f>'DATA (Real)'!AP229</f>
        <v>0</v>
      </c>
      <c r="AQ233" s="316">
        <f>'DATA (Real)'!AQ229</f>
        <v>0</v>
      </c>
      <c r="AR233" s="316">
        <f>'DATA (Real)'!AR229</f>
        <v>0</v>
      </c>
      <c r="AS233" s="316">
        <f>'DATA (Real)'!AS229</f>
        <v>0</v>
      </c>
      <c r="AT233" s="316">
        <f>'DATA (Real)'!AT229</f>
        <v>0</v>
      </c>
      <c r="AU233" s="316">
        <f>'DATA (Real)'!AU229</f>
        <v>0</v>
      </c>
      <c r="AV233" s="316">
        <f>'DATA (Real)'!AV229</f>
        <v>0</v>
      </c>
      <c r="AW233" s="316">
        <f>'DATA (Real)'!AW229</f>
        <v>0</v>
      </c>
      <c r="AX233" s="316">
        <f>'DATA (Real)'!AX229</f>
        <v>0</v>
      </c>
      <c r="AY233" s="316">
        <f>'DATA (Real)'!AY229</f>
        <v>0</v>
      </c>
      <c r="AZ233" s="316">
        <f>'DATA (Real)'!AZ229</f>
        <v>0</v>
      </c>
      <c r="BA233" s="316">
        <f>'DATA (Real)'!BA229</f>
        <v>0</v>
      </c>
      <c r="BB233" s="316">
        <f>'DATA (Real)'!BB229</f>
        <v>0</v>
      </c>
      <c r="BC233" s="316">
        <f>'DATA (Real)'!BC229</f>
        <v>0</v>
      </c>
      <c r="BD233" s="316">
        <f>'DATA (Real)'!BD229</f>
        <v>0</v>
      </c>
      <c r="BE233" s="316">
        <f>'DATA (Real)'!BE229</f>
        <v>0</v>
      </c>
      <c r="BF233" s="316">
        <f>'DATA (Real)'!BF229</f>
        <v>0</v>
      </c>
      <c r="BG233" s="316">
        <f>'DATA (Real)'!BG229</f>
        <v>0</v>
      </c>
      <c r="BH233" s="316">
        <f>'DATA (Real)'!BH229</f>
        <v>0</v>
      </c>
      <c r="BI233" s="316">
        <f>'DATA (Real)'!BI229</f>
        <v>0</v>
      </c>
      <c r="BJ233" s="316">
        <f>'DATA (Real)'!BJ229</f>
        <v>0</v>
      </c>
      <c r="BK233" s="316">
        <f>'DATA (Real)'!BK229</f>
        <v>0</v>
      </c>
      <c r="BL233" s="316">
        <f>'DATA (Real)'!BL229</f>
        <v>0</v>
      </c>
      <c r="BM233" s="316">
        <f>'DATA (Real)'!BM229</f>
        <v>0</v>
      </c>
      <c r="BN233" s="316">
        <f>'DATA (Real)'!BN229</f>
        <v>0</v>
      </c>
      <c r="BO233" s="316">
        <f>'DATA (Real)'!BO229</f>
        <v>0</v>
      </c>
      <c r="BP233" s="316">
        <f>'DATA (Real)'!BP229</f>
        <v>0</v>
      </c>
      <c r="BQ233" s="316">
        <f>'DATA (Real)'!BQ229</f>
        <v>0</v>
      </c>
      <c r="BR233" s="316">
        <f>'DATA (Real)'!BR229</f>
        <v>0</v>
      </c>
      <c r="BS233" s="316">
        <f>'DATA (Real)'!BS229</f>
        <v>0</v>
      </c>
      <c r="BT233" s="316">
        <f>'DATA (Real)'!BT229</f>
        <v>0</v>
      </c>
      <c r="BU233" s="316">
        <f>'DATA (Real)'!BU229</f>
        <v>0</v>
      </c>
      <c r="BV233" s="316">
        <f>'DATA (Real)'!BV229</f>
        <v>0</v>
      </c>
      <c r="BW233" s="316">
        <f>'DATA (Real)'!BW229</f>
        <v>0</v>
      </c>
      <c r="BX233" s="316">
        <f>'DATA (Real)'!BX229</f>
        <v>0</v>
      </c>
    </row>
    <row r="234" spans="1:76" hidden="1" outlineLevel="1">
      <c r="A234" s="355"/>
      <c r="B234" s="348"/>
      <c r="C234" s="348" t="str">
        <f>'DATA (Real)'!C230</f>
        <v>Inflation Reduction Act</v>
      </c>
      <c r="D234" s="348" t="str">
        <f>'DATA (Real)'!D230</f>
        <v>ITC Schedule</v>
      </c>
      <c r="E234" s="348" t="str">
        <f>'DATA (Real)'!E230</f>
        <v>Pumped Hydro (16 hr/ 100 MW)</v>
      </c>
      <c r="H234" s="316">
        <f>'DATA (Real)'!H230</f>
        <v>0.3</v>
      </c>
      <c r="I234" s="316">
        <f>'DATA (Real)'!I230</f>
        <v>0.3</v>
      </c>
      <c r="J234" s="316">
        <f>'DATA (Real)'!J230</f>
        <v>0.3</v>
      </c>
      <c r="K234" s="316">
        <f>'DATA (Real)'!K230</f>
        <v>0.3</v>
      </c>
      <c r="L234" s="316">
        <f>'DATA (Real)'!L230</f>
        <v>0.3</v>
      </c>
      <c r="M234" s="316">
        <f>'DATA (Real)'!M230</f>
        <v>0.3</v>
      </c>
      <c r="N234" s="316">
        <f>'DATA (Real)'!N230</f>
        <v>0.3</v>
      </c>
      <c r="O234" s="316">
        <f>'DATA (Real)'!O230</f>
        <v>0.3</v>
      </c>
      <c r="P234" s="316">
        <f>'DATA (Real)'!P230</f>
        <v>0.3</v>
      </c>
      <c r="Q234" s="316">
        <f>'DATA (Real)'!Q230</f>
        <v>0.3</v>
      </c>
      <c r="R234" s="316">
        <f>'DATA (Real)'!R230</f>
        <v>0.3</v>
      </c>
      <c r="S234" s="316">
        <f>'DATA (Real)'!S230</f>
        <v>0</v>
      </c>
      <c r="T234" s="316">
        <f>'DATA (Real)'!T230</f>
        <v>0</v>
      </c>
      <c r="U234" s="316">
        <f>'DATA (Real)'!U230</f>
        <v>0</v>
      </c>
      <c r="V234" s="316">
        <f>'DATA (Real)'!V230</f>
        <v>0</v>
      </c>
      <c r="W234" s="316">
        <f>'DATA (Real)'!W230</f>
        <v>0</v>
      </c>
      <c r="X234" s="316">
        <f>'DATA (Real)'!X230</f>
        <v>0</v>
      </c>
      <c r="Y234" s="316">
        <f>'DATA (Real)'!Y230</f>
        <v>0</v>
      </c>
      <c r="Z234" s="316">
        <f>'DATA (Real)'!Z230</f>
        <v>0</v>
      </c>
      <c r="AA234" s="316">
        <f>'DATA (Real)'!AA230</f>
        <v>0</v>
      </c>
      <c r="AB234" s="316">
        <f>'DATA (Real)'!AB230</f>
        <v>0</v>
      </c>
      <c r="AC234" s="316">
        <f>'DATA (Real)'!AC230</f>
        <v>0</v>
      </c>
      <c r="AD234" s="316">
        <f>'DATA (Real)'!AD230</f>
        <v>0</v>
      </c>
      <c r="AE234" s="316">
        <f>'DATA (Real)'!AE230</f>
        <v>0</v>
      </c>
      <c r="AF234" s="316">
        <f>'DATA (Real)'!AF230</f>
        <v>0</v>
      </c>
      <c r="AG234" s="316">
        <f>'DATA (Real)'!AG230</f>
        <v>0</v>
      </c>
      <c r="AH234" s="316">
        <f>'DATA (Real)'!AH230</f>
        <v>0</v>
      </c>
      <c r="AI234" s="316">
        <f>'DATA (Real)'!AI230</f>
        <v>0</v>
      </c>
      <c r="AJ234" s="316">
        <f>'DATA (Real)'!AJ230</f>
        <v>0</v>
      </c>
      <c r="AK234" s="316">
        <f>'DATA (Real)'!AK230</f>
        <v>0</v>
      </c>
      <c r="AL234" s="316">
        <f>'DATA (Real)'!AL230</f>
        <v>0</v>
      </c>
      <c r="AM234" s="316">
        <f>'DATA (Real)'!AM230</f>
        <v>0</v>
      </c>
      <c r="AN234" s="316">
        <f>'DATA (Real)'!AN230</f>
        <v>0</v>
      </c>
      <c r="AO234" s="316">
        <f>'DATA (Real)'!AO230</f>
        <v>0</v>
      </c>
      <c r="AP234" s="316">
        <f>'DATA (Real)'!AP230</f>
        <v>0</v>
      </c>
      <c r="AQ234" s="316">
        <f>'DATA (Real)'!AQ230</f>
        <v>0</v>
      </c>
      <c r="AR234" s="316">
        <f>'DATA (Real)'!AR230</f>
        <v>0</v>
      </c>
      <c r="AS234" s="316">
        <f>'DATA (Real)'!AS230</f>
        <v>0</v>
      </c>
      <c r="AT234" s="316">
        <f>'DATA (Real)'!AT230</f>
        <v>0</v>
      </c>
      <c r="AU234" s="316">
        <f>'DATA (Real)'!AU230</f>
        <v>0</v>
      </c>
      <c r="AV234" s="316">
        <f>'DATA (Real)'!AV230</f>
        <v>0</v>
      </c>
      <c r="AW234" s="316">
        <f>'DATA (Real)'!AW230</f>
        <v>0</v>
      </c>
      <c r="AX234" s="316">
        <f>'DATA (Real)'!AX230</f>
        <v>0</v>
      </c>
      <c r="AY234" s="316">
        <f>'DATA (Real)'!AY230</f>
        <v>0</v>
      </c>
      <c r="AZ234" s="316">
        <f>'DATA (Real)'!AZ230</f>
        <v>0</v>
      </c>
      <c r="BA234" s="316">
        <f>'DATA (Real)'!BA230</f>
        <v>0</v>
      </c>
      <c r="BB234" s="316">
        <f>'DATA (Real)'!BB230</f>
        <v>0</v>
      </c>
      <c r="BC234" s="316">
        <f>'DATA (Real)'!BC230</f>
        <v>0</v>
      </c>
      <c r="BD234" s="316">
        <f>'DATA (Real)'!BD230</f>
        <v>0</v>
      </c>
      <c r="BE234" s="316">
        <f>'DATA (Real)'!BE230</f>
        <v>0</v>
      </c>
      <c r="BF234" s="316">
        <f>'DATA (Real)'!BF230</f>
        <v>0</v>
      </c>
      <c r="BG234" s="316">
        <f>'DATA (Real)'!BG230</f>
        <v>0</v>
      </c>
      <c r="BH234" s="316">
        <f>'DATA (Real)'!BH230</f>
        <v>0</v>
      </c>
      <c r="BI234" s="316">
        <f>'DATA (Real)'!BI230</f>
        <v>0</v>
      </c>
      <c r="BJ234" s="316">
        <f>'DATA (Real)'!BJ230</f>
        <v>0</v>
      </c>
      <c r="BK234" s="316">
        <f>'DATA (Real)'!BK230</f>
        <v>0</v>
      </c>
      <c r="BL234" s="316">
        <f>'DATA (Real)'!BL230</f>
        <v>0</v>
      </c>
      <c r="BM234" s="316">
        <f>'DATA (Real)'!BM230</f>
        <v>0</v>
      </c>
      <c r="BN234" s="316">
        <f>'DATA (Real)'!BN230</f>
        <v>0</v>
      </c>
      <c r="BO234" s="316">
        <f>'DATA (Real)'!BO230</f>
        <v>0</v>
      </c>
      <c r="BP234" s="316">
        <f>'DATA (Real)'!BP230</f>
        <v>0</v>
      </c>
      <c r="BQ234" s="316">
        <f>'DATA (Real)'!BQ230</f>
        <v>0</v>
      </c>
      <c r="BR234" s="316">
        <f>'DATA (Real)'!BR230</f>
        <v>0</v>
      </c>
      <c r="BS234" s="316">
        <f>'DATA (Real)'!BS230</f>
        <v>0</v>
      </c>
      <c r="BT234" s="316">
        <f>'DATA (Real)'!BT230</f>
        <v>0</v>
      </c>
      <c r="BU234" s="316">
        <f>'DATA (Real)'!BU230</f>
        <v>0</v>
      </c>
      <c r="BV234" s="316">
        <f>'DATA (Real)'!BV230</f>
        <v>0</v>
      </c>
      <c r="BW234" s="316">
        <f>'DATA (Real)'!BW230</f>
        <v>0</v>
      </c>
      <c r="BX234" s="316">
        <f>'DATA (Real)'!BX230</f>
        <v>0</v>
      </c>
    </row>
    <row r="235" spans="1:76" hidden="1" outlineLevel="1">
      <c r="A235" s="355"/>
      <c r="B235" s="348"/>
      <c r="C235" s="348" t="str">
        <f>'DATA (Real)'!C231</f>
        <v>Inflation Reduction Act</v>
      </c>
      <c r="D235" s="348" t="str">
        <f>'DATA (Real)'!D231</f>
        <v>ITC Schedule</v>
      </c>
      <c r="E235" s="348" t="str">
        <f>'DATA (Real)'!E231</f>
        <v>Pumped Hyrdo (24 hr/ 100 MW)</v>
      </c>
      <c r="H235" s="316">
        <f>'DATA (Real)'!H231</f>
        <v>0.3</v>
      </c>
      <c r="I235" s="316">
        <f>'DATA (Real)'!I231</f>
        <v>0.3</v>
      </c>
      <c r="J235" s="316">
        <f>'DATA (Real)'!J231</f>
        <v>0.3</v>
      </c>
      <c r="K235" s="316">
        <f>'DATA (Real)'!K231</f>
        <v>0.3</v>
      </c>
      <c r="L235" s="316">
        <f>'DATA (Real)'!L231</f>
        <v>0.3</v>
      </c>
      <c r="M235" s="316">
        <f>'DATA (Real)'!M231</f>
        <v>0.3</v>
      </c>
      <c r="N235" s="316">
        <f>'DATA (Real)'!N231</f>
        <v>0.3</v>
      </c>
      <c r="O235" s="316">
        <f>'DATA (Real)'!O231</f>
        <v>0.3</v>
      </c>
      <c r="P235" s="316">
        <f>'DATA (Real)'!P231</f>
        <v>0.3</v>
      </c>
      <c r="Q235" s="316">
        <f>'DATA (Real)'!Q231</f>
        <v>0.3</v>
      </c>
      <c r="R235" s="316">
        <f>'DATA (Real)'!R231</f>
        <v>0.3</v>
      </c>
      <c r="S235" s="316">
        <f>'DATA (Real)'!S231</f>
        <v>0</v>
      </c>
      <c r="T235" s="316">
        <f>'DATA (Real)'!T231</f>
        <v>0</v>
      </c>
      <c r="U235" s="316">
        <f>'DATA (Real)'!U231</f>
        <v>0</v>
      </c>
      <c r="V235" s="316">
        <f>'DATA (Real)'!V231</f>
        <v>0</v>
      </c>
      <c r="W235" s="316">
        <f>'DATA (Real)'!W231</f>
        <v>0</v>
      </c>
      <c r="X235" s="316">
        <f>'DATA (Real)'!X231</f>
        <v>0</v>
      </c>
      <c r="Y235" s="316">
        <f>'DATA (Real)'!Y231</f>
        <v>0</v>
      </c>
      <c r="Z235" s="316">
        <f>'DATA (Real)'!Z231</f>
        <v>0</v>
      </c>
      <c r="AA235" s="316">
        <f>'DATA (Real)'!AA231</f>
        <v>0</v>
      </c>
      <c r="AB235" s="316">
        <f>'DATA (Real)'!AB231</f>
        <v>0</v>
      </c>
      <c r="AC235" s="316">
        <f>'DATA (Real)'!AC231</f>
        <v>0</v>
      </c>
      <c r="AD235" s="316">
        <f>'DATA (Real)'!AD231</f>
        <v>0</v>
      </c>
      <c r="AE235" s="316">
        <f>'DATA (Real)'!AE231</f>
        <v>0</v>
      </c>
      <c r="AF235" s="316">
        <f>'DATA (Real)'!AF231</f>
        <v>0</v>
      </c>
      <c r="AG235" s="316">
        <f>'DATA (Real)'!AG231</f>
        <v>0</v>
      </c>
      <c r="AH235" s="316">
        <f>'DATA (Real)'!AH231</f>
        <v>0</v>
      </c>
      <c r="AI235" s="316">
        <f>'DATA (Real)'!AI231</f>
        <v>0</v>
      </c>
      <c r="AJ235" s="316">
        <f>'DATA (Real)'!AJ231</f>
        <v>0</v>
      </c>
      <c r="AK235" s="316">
        <f>'DATA (Real)'!AK231</f>
        <v>0</v>
      </c>
      <c r="AL235" s="316">
        <f>'DATA (Real)'!AL231</f>
        <v>0</v>
      </c>
      <c r="AM235" s="316">
        <f>'DATA (Real)'!AM231</f>
        <v>0</v>
      </c>
      <c r="AN235" s="316">
        <f>'DATA (Real)'!AN231</f>
        <v>0</v>
      </c>
      <c r="AO235" s="316">
        <f>'DATA (Real)'!AO231</f>
        <v>0</v>
      </c>
      <c r="AP235" s="316">
        <f>'DATA (Real)'!AP231</f>
        <v>0</v>
      </c>
      <c r="AQ235" s="316">
        <f>'DATA (Real)'!AQ231</f>
        <v>0</v>
      </c>
      <c r="AR235" s="316">
        <f>'DATA (Real)'!AR231</f>
        <v>0</v>
      </c>
      <c r="AS235" s="316">
        <f>'DATA (Real)'!AS231</f>
        <v>0</v>
      </c>
      <c r="AT235" s="316">
        <f>'DATA (Real)'!AT231</f>
        <v>0</v>
      </c>
      <c r="AU235" s="316">
        <f>'DATA (Real)'!AU231</f>
        <v>0</v>
      </c>
      <c r="AV235" s="316">
        <f>'DATA (Real)'!AV231</f>
        <v>0</v>
      </c>
      <c r="AW235" s="316">
        <f>'DATA (Real)'!AW231</f>
        <v>0</v>
      </c>
      <c r="AX235" s="316">
        <f>'DATA (Real)'!AX231</f>
        <v>0</v>
      </c>
      <c r="AY235" s="316">
        <f>'DATA (Real)'!AY231</f>
        <v>0</v>
      </c>
      <c r="AZ235" s="316">
        <f>'DATA (Real)'!AZ231</f>
        <v>0</v>
      </c>
      <c r="BA235" s="316">
        <f>'DATA (Real)'!BA231</f>
        <v>0</v>
      </c>
      <c r="BB235" s="316">
        <f>'DATA (Real)'!BB231</f>
        <v>0</v>
      </c>
      <c r="BC235" s="316">
        <f>'DATA (Real)'!BC231</f>
        <v>0</v>
      </c>
      <c r="BD235" s="316">
        <f>'DATA (Real)'!BD231</f>
        <v>0</v>
      </c>
      <c r="BE235" s="316">
        <f>'DATA (Real)'!BE231</f>
        <v>0</v>
      </c>
      <c r="BF235" s="316">
        <f>'DATA (Real)'!BF231</f>
        <v>0</v>
      </c>
      <c r="BG235" s="316">
        <f>'DATA (Real)'!BG231</f>
        <v>0</v>
      </c>
      <c r="BH235" s="316">
        <f>'DATA (Real)'!BH231</f>
        <v>0</v>
      </c>
      <c r="BI235" s="316">
        <f>'DATA (Real)'!BI231</f>
        <v>0</v>
      </c>
      <c r="BJ235" s="316">
        <f>'DATA (Real)'!BJ231</f>
        <v>0</v>
      </c>
      <c r="BK235" s="316">
        <f>'DATA (Real)'!BK231</f>
        <v>0</v>
      </c>
      <c r="BL235" s="316">
        <f>'DATA (Real)'!BL231</f>
        <v>0</v>
      </c>
      <c r="BM235" s="316">
        <f>'DATA (Real)'!BM231</f>
        <v>0</v>
      </c>
      <c r="BN235" s="316">
        <f>'DATA (Real)'!BN231</f>
        <v>0</v>
      </c>
      <c r="BO235" s="316">
        <f>'DATA (Real)'!BO231</f>
        <v>0</v>
      </c>
      <c r="BP235" s="316">
        <f>'DATA (Real)'!BP231</f>
        <v>0</v>
      </c>
      <c r="BQ235" s="316">
        <f>'DATA (Real)'!BQ231</f>
        <v>0</v>
      </c>
      <c r="BR235" s="316">
        <f>'DATA (Real)'!BR231</f>
        <v>0</v>
      </c>
      <c r="BS235" s="316">
        <f>'DATA (Real)'!BS231</f>
        <v>0</v>
      </c>
      <c r="BT235" s="316">
        <f>'DATA (Real)'!BT231</f>
        <v>0</v>
      </c>
      <c r="BU235" s="316">
        <f>'DATA (Real)'!BU231</f>
        <v>0</v>
      </c>
      <c r="BV235" s="316">
        <f>'DATA (Real)'!BV231</f>
        <v>0</v>
      </c>
      <c r="BW235" s="316">
        <f>'DATA (Real)'!BW231</f>
        <v>0</v>
      </c>
      <c r="BX235" s="316">
        <f>'DATA (Real)'!BX231</f>
        <v>0</v>
      </c>
    </row>
    <row r="236" spans="1:76" hidden="1" outlineLevel="1">
      <c r="A236" s="355"/>
      <c r="B236" s="349"/>
      <c r="C236" s="349" t="str">
        <f>'DATA (Real)'!C232</f>
        <v>Inflation Reduction Act</v>
      </c>
      <c r="D236" s="349" t="str">
        <f>'DATA (Real)'!D232</f>
        <v>PTC Schedule</v>
      </c>
      <c r="E236" s="349" t="str">
        <f>'DATA (Real)'!E232</f>
        <v>Wood Biomass</v>
      </c>
      <c r="H236" s="316">
        <f>'DATA (Real)'!H232</f>
        <v>1</v>
      </c>
      <c r="I236" s="316">
        <f>'DATA (Real)'!I232</f>
        <v>1</v>
      </c>
      <c r="J236" s="316">
        <f>'DATA (Real)'!J232</f>
        <v>1</v>
      </c>
      <c r="K236" s="316">
        <f>'DATA (Real)'!K232</f>
        <v>1</v>
      </c>
      <c r="L236" s="316">
        <f>'DATA (Real)'!L232</f>
        <v>1</v>
      </c>
      <c r="M236" s="316">
        <f>'DATA (Real)'!M232</f>
        <v>1</v>
      </c>
      <c r="N236" s="316">
        <f>'DATA (Real)'!N232</f>
        <v>1</v>
      </c>
      <c r="O236" s="316">
        <f>'DATA (Real)'!O232</f>
        <v>1</v>
      </c>
      <c r="P236" s="316">
        <f>'DATA (Real)'!P232</f>
        <v>1</v>
      </c>
      <c r="Q236" s="316">
        <f>'DATA (Real)'!Q232</f>
        <v>1</v>
      </c>
      <c r="R236" s="316">
        <f>'DATA (Real)'!R232</f>
        <v>1</v>
      </c>
      <c r="S236" s="316">
        <f>'DATA (Real)'!S232</f>
        <v>0.6</v>
      </c>
      <c r="T236" s="316">
        <f>'DATA (Real)'!T232</f>
        <v>0.4</v>
      </c>
      <c r="U236" s="316">
        <f>'DATA (Real)'!U232</f>
        <v>0</v>
      </c>
      <c r="V236" s="316">
        <f>'DATA (Real)'!V232</f>
        <v>0</v>
      </c>
      <c r="W236" s="316">
        <f>'DATA (Real)'!W232</f>
        <v>0</v>
      </c>
      <c r="X236" s="316">
        <f>'DATA (Real)'!X232</f>
        <v>0</v>
      </c>
      <c r="Y236" s="316">
        <f>'DATA (Real)'!Y232</f>
        <v>0</v>
      </c>
      <c r="Z236" s="316">
        <f>'DATA (Real)'!Z232</f>
        <v>0</v>
      </c>
      <c r="AA236" s="316">
        <f>'DATA (Real)'!AA232</f>
        <v>0</v>
      </c>
      <c r="AB236" s="316">
        <f>'DATA (Real)'!AB232</f>
        <v>0</v>
      </c>
      <c r="AC236" s="316">
        <f>'DATA (Real)'!AC232</f>
        <v>0</v>
      </c>
      <c r="AD236" s="316">
        <f>'DATA (Real)'!AD232</f>
        <v>0</v>
      </c>
      <c r="AE236" s="316">
        <f>'DATA (Real)'!AE232</f>
        <v>0</v>
      </c>
      <c r="AF236" s="316">
        <f>'DATA (Real)'!AF232</f>
        <v>0</v>
      </c>
      <c r="AG236" s="316">
        <f>'DATA (Real)'!AG232</f>
        <v>0</v>
      </c>
      <c r="AH236" s="316">
        <f>'DATA (Real)'!AH232</f>
        <v>0</v>
      </c>
      <c r="AI236" s="316">
        <f>'DATA (Real)'!AI232</f>
        <v>0</v>
      </c>
      <c r="AJ236" s="316">
        <f>'DATA (Real)'!AJ232</f>
        <v>0</v>
      </c>
      <c r="AK236" s="316">
        <f>'DATA (Real)'!AK232</f>
        <v>0</v>
      </c>
      <c r="AL236" s="316">
        <f>'DATA (Real)'!AL232</f>
        <v>0</v>
      </c>
      <c r="AM236" s="316">
        <f>'DATA (Real)'!AM232</f>
        <v>0</v>
      </c>
      <c r="AN236" s="316">
        <f>'DATA (Real)'!AN232</f>
        <v>0</v>
      </c>
      <c r="AO236" s="316">
        <f>'DATA (Real)'!AO232</f>
        <v>0</v>
      </c>
      <c r="AP236" s="316">
        <f>'DATA (Real)'!AP232</f>
        <v>0</v>
      </c>
      <c r="AQ236" s="316">
        <f>'DATA (Real)'!AQ232</f>
        <v>0</v>
      </c>
      <c r="AR236" s="316">
        <f>'DATA (Real)'!AR232</f>
        <v>0</v>
      </c>
      <c r="AS236" s="316">
        <f>'DATA (Real)'!AS232</f>
        <v>0</v>
      </c>
      <c r="AT236" s="316">
        <f>'DATA (Real)'!AT232</f>
        <v>0</v>
      </c>
      <c r="AU236" s="316">
        <f>'DATA (Real)'!AU232</f>
        <v>0</v>
      </c>
      <c r="AV236" s="316">
        <f>'DATA (Real)'!AV232</f>
        <v>0</v>
      </c>
      <c r="AW236" s="316">
        <f>'DATA (Real)'!AW232</f>
        <v>0</v>
      </c>
      <c r="AX236" s="316">
        <f>'DATA (Real)'!AX232</f>
        <v>0</v>
      </c>
      <c r="AY236" s="316">
        <f>'DATA (Real)'!AY232</f>
        <v>0</v>
      </c>
      <c r="AZ236" s="316">
        <f>'DATA (Real)'!AZ232</f>
        <v>0</v>
      </c>
      <c r="BA236" s="316">
        <f>'DATA (Real)'!BA232</f>
        <v>0</v>
      </c>
      <c r="BB236" s="316">
        <f>'DATA (Real)'!BB232</f>
        <v>0</v>
      </c>
      <c r="BC236" s="316">
        <f>'DATA (Real)'!BC232</f>
        <v>0</v>
      </c>
      <c r="BD236" s="316">
        <f>'DATA (Real)'!BD232</f>
        <v>0</v>
      </c>
      <c r="BE236" s="316">
        <f>'DATA (Real)'!BE232</f>
        <v>0</v>
      </c>
      <c r="BF236" s="316">
        <f>'DATA (Real)'!BF232</f>
        <v>0</v>
      </c>
      <c r="BG236" s="316">
        <f>'DATA (Real)'!BG232</f>
        <v>0</v>
      </c>
      <c r="BH236" s="316">
        <f>'DATA (Real)'!BH232</f>
        <v>0</v>
      </c>
      <c r="BI236" s="316">
        <f>'DATA (Real)'!BI232</f>
        <v>0</v>
      </c>
      <c r="BJ236" s="316">
        <f>'DATA (Real)'!BJ232</f>
        <v>0</v>
      </c>
      <c r="BK236" s="316">
        <f>'DATA (Real)'!BK232</f>
        <v>0</v>
      </c>
      <c r="BL236" s="316">
        <f>'DATA (Real)'!BL232</f>
        <v>0</v>
      </c>
      <c r="BM236" s="316">
        <f>'DATA (Real)'!BM232</f>
        <v>0</v>
      </c>
      <c r="BN236" s="316">
        <f>'DATA (Real)'!BN232</f>
        <v>0</v>
      </c>
      <c r="BO236" s="316">
        <f>'DATA (Real)'!BO232</f>
        <v>0</v>
      </c>
      <c r="BP236" s="316">
        <f>'DATA (Real)'!BP232</f>
        <v>0</v>
      </c>
      <c r="BQ236" s="316">
        <f>'DATA (Real)'!BQ232</f>
        <v>0</v>
      </c>
      <c r="BR236" s="316">
        <f>'DATA (Real)'!BR232</f>
        <v>0</v>
      </c>
      <c r="BS236" s="316">
        <f>'DATA (Real)'!BS232</f>
        <v>0</v>
      </c>
      <c r="BT236" s="316">
        <f>'DATA (Real)'!BT232</f>
        <v>0</v>
      </c>
      <c r="BU236" s="316">
        <f>'DATA (Real)'!BU232</f>
        <v>0</v>
      </c>
      <c r="BV236" s="316">
        <f>'DATA (Real)'!BV232</f>
        <v>0</v>
      </c>
      <c r="BW236" s="316">
        <f>'DATA (Real)'!BW232</f>
        <v>0</v>
      </c>
      <c r="BX236" s="316">
        <f>'DATA (Real)'!BX232</f>
        <v>0</v>
      </c>
    </row>
    <row r="237" spans="1:76" hidden="1" outlineLevel="1">
      <c r="A237" s="355"/>
      <c r="B237" s="349"/>
      <c r="C237" s="349" t="str">
        <f>'DATA (Real)'!C233</f>
        <v>Inflation Reduction Act</v>
      </c>
      <c r="D237" s="349">
        <f>'DATA (Real)'!D233</f>
        <v>0</v>
      </c>
      <c r="E237" s="349" t="str">
        <f>'DATA (Real)'!E233</f>
        <v>Rathdrum CT 2055 Uprates two unit operation</v>
      </c>
      <c r="H237" s="316">
        <f>'DATA (Real)'!H233</f>
        <v>0</v>
      </c>
      <c r="I237" s="316">
        <f>'DATA (Real)'!I233</f>
        <v>0</v>
      </c>
      <c r="J237" s="316">
        <f>'DATA (Real)'!J233</f>
        <v>0</v>
      </c>
      <c r="K237" s="316">
        <f>'DATA (Real)'!K233</f>
        <v>0</v>
      </c>
      <c r="L237" s="316">
        <f>'DATA (Real)'!L233</f>
        <v>0</v>
      </c>
      <c r="M237" s="316">
        <f>'DATA (Real)'!M233</f>
        <v>0</v>
      </c>
      <c r="N237" s="316">
        <f>'DATA (Real)'!N233</f>
        <v>0</v>
      </c>
      <c r="O237" s="316">
        <f>'DATA (Real)'!O233</f>
        <v>0</v>
      </c>
      <c r="P237" s="316">
        <f>'DATA (Real)'!P233</f>
        <v>0</v>
      </c>
      <c r="Q237" s="316">
        <f>'DATA (Real)'!Q233</f>
        <v>0</v>
      </c>
      <c r="R237" s="316">
        <f>'DATA (Real)'!R233</f>
        <v>0</v>
      </c>
      <c r="S237" s="316">
        <f>'DATA (Real)'!S233</f>
        <v>0</v>
      </c>
      <c r="T237" s="316">
        <f>'DATA (Real)'!T233</f>
        <v>0</v>
      </c>
      <c r="U237" s="316">
        <f>'DATA (Real)'!U233</f>
        <v>0</v>
      </c>
      <c r="V237" s="316">
        <f>'DATA (Real)'!V233</f>
        <v>0</v>
      </c>
      <c r="W237" s="316">
        <f>'DATA (Real)'!W233</f>
        <v>0</v>
      </c>
      <c r="X237" s="316">
        <f>'DATA (Real)'!X233</f>
        <v>0</v>
      </c>
      <c r="Y237" s="316">
        <f>'DATA (Real)'!Y233</f>
        <v>0</v>
      </c>
      <c r="Z237" s="316">
        <f>'DATA (Real)'!Z233</f>
        <v>0</v>
      </c>
      <c r="AA237" s="316">
        <f>'DATA (Real)'!AA233</f>
        <v>0</v>
      </c>
      <c r="AB237" s="316">
        <f>'DATA (Real)'!AB233</f>
        <v>0</v>
      </c>
      <c r="AC237" s="316">
        <f>'DATA (Real)'!AC233</f>
        <v>0</v>
      </c>
      <c r="AD237" s="316">
        <f>'DATA (Real)'!AD233</f>
        <v>0</v>
      </c>
      <c r="AE237" s="316">
        <f>'DATA (Real)'!AE233</f>
        <v>0</v>
      </c>
      <c r="AF237" s="316">
        <f>'DATA (Real)'!AF233</f>
        <v>0</v>
      </c>
      <c r="AG237" s="316">
        <f>'DATA (Real)'!AG233</f>
        <v>0</v>
      </c>
      <c r="AH237" s="316">
        <f>'DATA (Real)'!AH233</f>
        <v>0</v>
      </c>
      <c r="AI237" s="316">
        <f>'DATA (Real)'!AI233</f>
        <v>0</v>
      </c>
      <c r="AJ237" s="316">
        <f>'DATA (Real)'!AJ233</f>
        <v>0</v>
      </c>
      <c r="AK237" s="316">
        <f>'DATA (Real)'!AK233</f>
        <v>0</v>
      </c>
      <c r="AL237" s="316">
        <f>'DATA (Real)'!AL233</f>
        <v>0</v>
      </c>
      <c r="AM237" s="316">
        <f>'DATA (Real)'!AM233</f>
        <v>0</v>
      </c>
      <c r="AN237" s="316">
        <f>'DATA (Real)'!AN233</f>
        <v>0</v>
      </c>
      <c r="AO237" s="316">
        <f>'DATA (Real)'!AO233</f>
        <v>0</v>
      </c>
      <c r="AP237" s="316">
        <f>'DATA (Real)'!AP233</f>
        <v>0</v>
      </c>
      <c r="AQ237" s="316">
        <f>'DATA (Real)'!AQ233</f>
        <v>0</v>
      </c>
      <c r="AR237" s="316">
        <f>'DATA (Real)'!AR233</f>
        <v>0</v>
      </c>
      <c r="AS237" s="316">
        <f>'DATA (Real)'!AS233</f>
        <v>0</v>
      </c>
      <c r="AT237" s="316">
        <f>'DATA (Real)'!AT233</f>
        <v>0</v>
      </c>
      <c r="AU237" s="316">
        <f>'DATA (Real)'!AU233</f>
        <v>0</v>
      </c>
      <c r="AV237" s="316">
        <f>'DATA (Real)'!AV233</f>
        <v>0</v>
      </c>
      <c r="AW237" s="316">
        <f>'DATA (Real)'!AW233</f>
        <v>0</v>
      </c>
      <c r="AX237" s="316">
        <f>'DATA (Real)'!AX233</f>
        <v>0</v>
      </c>
      <c r="AY237" s="316">
        <f>'DATA (Real)'!AY233</f>
        <v>0</v>
      </c>
      <c r="AZ237" s="316">
        <f>'DATA (Real)'!AZ233</f>
        <v>0</v>
      </c>
      <c r="BA237" s="316">
        <f>'DATA (Real)'!BA233</f>
        <v>0</v>
      </c>
      <c r="BB237" s="316">
        <f>'DATA (Real)'!BB233</f>
        <v>0</v>
      </c>
      <c r="BC237" s="316">
        <f>'DATA (Real)'!BC233</f>
        <v>0</v>
      </c>
      <c r="BD237" s="316">
        <f>'DATA (Real)'!BD233</f>
        <v>0</v>
      </c>
      <c r="BE237" s="316">
        <f>'DATA (Real)'!BE233</f>
        <v>0</v>
      </c>
      <c r="BF237" s="316">
        <f>'DATA (Real)'!BF233</f>
        <v>0</v>
      </c>
      <c r="BG237" s="316">
        <f>'DATA (Real)'!BG233</f>
        <v>0</v>
      </c>
      <c r="BH237" s="316">
        <f>'DATA (Real)'!BH233</f>
        <v>0</v>
      </c>
      <c r="BI237" s="316">
        <f>'DATA (Real)'!BI233</f>
        <v>0</v>
      </c>
      <c r="BJ237" s="316">
        <f>'DATA (Real)'!BJ233</f>
        <v>0</v>
      </c>
      <c r="BK237" s="316">
        <f>'DATA (Real)'!BK233</f>
        <v>0</v>
      </c>
      <c r="BL237" s="316">
        <f>'DATA (Real)'!BL233</f>
        <v>0</v>
      </c>
      <c r="BM237" s="316">
        <f>'DATA (Real)'!BM233</f>
        <v>0</v>
      </c>
      <c r="BN237" s="316">
        <f>'DATA (Real)'!BN233</f>
        <v>0</v>
      </c>
      <c r="BO237" s="316">
        <f>'DATA (Real)'!BO233</f>
        <v>0</v>
      </c>
      <c r="BP237" s="316">
        <f>'DATA (Real)'!BP233</f>
        <v>0</v>
      </c>
      <c r="BQ237" s="316">
        <f>'DATA (Real)'!BQ233</f>
        <v>0</v>
      </c>
      <c r="BR237" s="316">
        <f>'DATA (Real)'!BR233</f>
        <v>0</v>
      </c>
      <c r="BS237" s="316">
        <f>'DATA (Real)'!BS233</f>
        <v>0</v>
      </c>
      <c r="BT237" s="316">
        <f>'DATA (Real)'!BT233</f>
        <v>0</v>
      </c>
      <c r="BU237" s="316">
        <f>'DATA (Real)'!BU233</f>
        <v>0</v>
      </c>
      <c r="BV237" s="316">
        <f>'DATA (Real)'!BV233</f>
        <v>0</v>
      </c>
      <c r="BW237" s="316">
        <f>'DATA (Real)'!BW233</f>
        <v>0</v>
      </c>
      <c r="BX237" s="316">
        <f>'DATA (Real)'!BX233</f>
        <v>0</v>
      </c>
    </row>
    <row r="238" spans="1:76" hidden="1" outlineLevel="1">
      <c r="A238" s="355"/>
      <c r="B238" s="349"/>
      <c r="C238" s="349" t="str">
        <f>'DATA (Real)'!C234</f>
        <v>Inflation Reduction Act</v>
      </c>
      <c r="D238" s="349">
        <f>'DATA (Real)'!D234</f>
        <v>0</v>
      </c>
      <c r="E238" s="349" t="str">
        <f>'DATA (Real)'!E234</f>
        <v>Rathdrum CT: Inlet Evaporation 2 unit operation</v>
      </c>
      <c r="H238" s="316">
        <f>'DATA (Real)'!H234</f>
        <v>0</v>
      </c>
      <c r="I238" s="316">
        <f>'DATA (Real)'!I234</f>
        <v>0</v>
      </c>
      <c r="J238" s="316">
        <f>'DATA (Real)'!J234</f>
        <v>0</v>
      </c>
      <c r="K238" s="316">
        <f>'DATA (Real)'!K234</f>
        <v>0</v>
      </c>
      <c r="L238" s="316">
        <f>'DATA (Real)'!L234</f>
        <v>0</v>
      </c>
      <c r="M238" s="316">
        <f>'DATA (Real)'!M234</f>
        <v>0</v>
      </c>
      <c r="N238" s="316">
        <f>'DATA (Real)'!N234</f>
        <v>0</v>
      </c>
      <c r="O238" s="316">
        <f>'DATA (Real)'!O234</f>
        <v>0</v>
      </c>
      <c r="P238" s="316">
        <f>'DATA (Real)'!P234</f>
        <v>0</v>
      </c>
      <c r="Q238" s="316">
        <f>'DATA (Real)'!Q234</f>
        <v>0</v>
      </c>
      <c r="R238" s="316">
        <f>'DATA (Real)'!R234</f>
        <v>0</v>
      </c>
      <c r="S238" s="316">
        <f>'DATA (Real)'!S234</f>
        <v>0</v>
      </c>
      <c r="T238" s="316">
        <f>'DATA (Real)'!T234</f>
        <v>0</v>
      </c>
      <c r="U238" s="316">
        <f>'DATA (Real)'!U234</f>
        <v>0</v>
      </c>
      <c r="V238" s="316">
        <f>'DATA (Real)'!V234</f>
        <v>0</v>
      </c>
      <c r="W238" s="316">
        <f>'DATA (Real)'!W234</f>
        <v>0</v>
      </c>
      <c r="X238" s="316">
        <f>'DATA (Real)'!X234</f>
        <v>0</v>
      </c>
      <c r="Y238" s="316">
        <f>'DATA (Real)'!Y234</f>
        <v>0</v>
      </c>
      <c r="Z238" s="316">
        <f>'DATA (Real)'!Z234</f>
        <v>0</v>
      </c>
      <c r="AA238" s="316">
        <f>'DATA (Real)'!AA234</f>
        <v>0</v>
      </c>
      <c r="AB238" s="316">
        <f>'DATA (Real)'!AB234</f>
        <v>0</v>
      </c>
      <c r="AC238" s="316">
        <f>'DATA (Real)'!AC234</f>
        <v>0</v>
      </c>
      <c r="AD238" s="316">
        <f>'DATA (Real)'!AD234</f>
        <v>0</v>
      </c>
      <c r="AE238" s="316">
        <f>'DATA (Real)'!AE234</f>
        <v>0</v>
      </c>
      <c r="AF238" s="316">
        <f>'DATA (Real)'!AF234</f>
        <v>0</v>
      </c>
      <c r="AG238" s="316">
        <f>'DATA (Real)'!AG234</f>
        <v>0</v>
      </c>
      <c r="AH238" s="316">
        <f>'DATA (Real)'!AH234</f>
        <v>0</v>
      </c>
      <c r="AI238" s="316">
        <f>'DATA (Real)'!AI234</f>
        <v>0</v>
      </c>
      <c r="AJ238" s="316">
        <f>'DATA (Real)'!AJ234</f>
        <v>0</v>
      </c>
      <c r="AK238" s="316">
        <f>'DATA (Real)'!AK234</f>
        <v>0</v>
      </c>
      <c r="AL238" s="316">
        <f>'DATA (Real)'!AL234</f>
        <v>0</v>
      </c>
      <c r="AM238" s="316">
        <f>'DATA (Real)'!AM234</f>
        <v>0</v>
      </c>
      <c r="AN238" s="316">
        <f>'DATA (Real)'!AN234</f>
        <v>0</v>
      </c>
      <c r="AO238" s="316">
        <f>'DATA (Real)'!AO234</f>
        <v>0</v>
      </c>
      <c r="AP238" s="316">
        <f>'DATA (Real)'!AP234</f>
        <v>0</v>
      </c>
      <c r="AQ238" s="316">
        <f>'DATA (Real)'!AQ234</f>
        <v>0</v>
      </c>
      <c r="AR238" s="316">
        <f>'DATA (Real)'!AR234</f>
        <v>0</v>
      </c>
      <c r="AS238" s="316">
        <f>'DATA (Real)'!AS234</f>
        <v>0</v>
      </c>
      <c r="AT238" s="316">
        <f>'DATA (Real)'!AT234</f>
        <v>0</v>
      </c>
      <c r="AU238" s="316">
        <f>'DATA (Real)'!AU234</f>
        <v>0</v>
      </c>
      <c r="AV238" s="316">
        <f>'DATA (Real)'!AV234</f>
        <v>0</v>
      </c>
      <c r="AW238" s="316">
        <f>'DATA (Real)'!AW234</f>
        <v>0</v>
      </c>
      <c r="AX238" s="316">
        <f>'DATA (Real)'!AX234</f>
        <v>0</v>
      </c>
      <c r="AY238" s="316">
        <f>'DATA (Real)'!AY234</f>
        <v>0</v>
      </c>
      <c r="AZ238" s="316">
        <f>'DATA (Real)'!AZ234</f>
        <v>0</v>
      </c>
      <c r="BA238" s="316">
        <f>'DATA (Real)'!BA234</f>
        <v>0</v>
      </c>
      <c r="BB238" s="316">
        <f>'DATA (Real)'!BB234</f>
        <v>0</v>
      </c>
      <c r="BC238" s="316">
        <f>'DATA (Real)'!BC234</f>
        <v>0</v>
      </c>
      <c r="BD238" s="316">
        <f>'DATA (Real)'!BD234</f>
        <v>0</v>
      </c>
      <c r="BE238" s="316">
        <f>'DATA (Real)'!BE234</f>
        <v>0</v>
      </c>
      <c r="BF238" s="316">
        <f>'DATA (Real)'!BF234</f>
        <v>0</v>
      </c>
      <c r="BG238" s="316">
        <f>'DATA (Real)'!BG234</f>
        <v>0</v>
      </c>
      <c r="BH238" s="316">
        <f>'DATA (Real)'!BH234</f>
        <v>0</v>
      </c>
      <c r="BI238" s="316">
        <f>'DATA (Real)'!BI234</f>
        <v>0</v>
      </c>
      <c r="BJ238" s="316">
        <f>'DATA (Real)'!BJ234</f>
        <v>0</v>
      </c>
      <c r="BK238" s="316">
        <f>'DATA (Real)'!BK234</f>
        <v>0</v>
      </c>
      <c r="BL238" s="316">
        <f>'DATA (Real)'!BL234</f>
        <v>0</v>
      </c>
      <c r="BM238" s="316">
        <f>'DATA (Real)'!BM234</f>
        <v>0</v>
      </c>
      <c r="BN238" s="316">
        <f>'DATA (Real)'!BN234</f>
        <v>0</v>
      </c>
      <c r="BO238" s="316">
        <f>'DATA (Real)'!BO234</f>
        <v>0</v>
      </c>
      <c r="BP238" s="316">
        <f>'DATA (Real)'!BP234</f>
        <v>0</v>
      </c>
      <c r="BQ238" s="316">
        <f>'DATA (Real)'!BQ234</f>
        <v>0</v>
      </c>
      <c r="BR238" s="316">
        <f>'DATA (Real)'!BR234</f>
        <v>0</v>
      </c>
      <c r="BS238" s="316">
        <f>'DATA (Real)'!BS234</f>
        <v>0</v>
      </c>
      <c r="BT238" s="316">
        <f>'DATA (Real)'!BT234</f>
        <v>0</v>
      </c>
      <c r="BU238" s="316">
        <f>'DATA (Real)'!BU234</f>
        <v>0</v>
      </c>
      <c r="BV238" s="316">
        <f>'DATA (Real)'!BV234</f>
        <v>0</v>
      </c>
      <c r="BW238" s="316">
        <f>'DATA (Real)'!BW234</f>
        <v>0</v>
      </c>
      <c r="BX238" s="316">
        <f>'DATA (Real)'!BX234</f>
        <v>0</v>
      </c>
    </row>
    <row r="239" spans="1:76" hidden="1" outlineLevel="1">
      <c r="B239" s="352"/>
      <c r="C239" s="352" t="str">
        <f>'DATA (Real)'!C235</f>
        <v>Inflation Reduction Act</v>
      </c>
      <c r="D239" s="352" t="str">
        <f>'DATA (Real)'!D235</f>
        <v>ITC Schedule</v>
      </c>
      <c r="E239" s="352" t="str">
        <f>'DATA (Real)'!E235</f>
        <v>New Residential Solar</v>
      </c>
      <c r="H239" s="316">
        <f>'DATA (Real)'!H235</f>
        <v>0.4</v>
      </c>
      <c r="I239" s="316">
        <f>'DATA (Real)'!I235</f>
        <v>0.4</v>
      </c>
      <c r="J239" s="316">
        <f>'DATA (Real)'!J235</f>
        <v>0.4</v>
      </c>
      <c r="K239" s="316">
        <f>'DATA (Real)'!K235</f>
        <v>0.4</v>
      </c>
      <c r="L239" s="316">
        <f>'DATA (Real)'!L235</f>
        <v>0.4</v>
      </c>
      <c r="M239" s="316">
        <f>'DATA (Real)'!M235</f>
        <v>0.4</v>
      </c>
      <c r="N239" s="316">
        <f>'DATA (Real)'!N235</f>
        <v>0.4</v>
      </c>
      <c r="O239" s="316">
        <f>'DATA (Real)'!O235</f>
        <v>0.4</v>
      </c>
      <c r="P239" s="316">
        <f>'DATA (Real)'!P235</f>
        <v>0.4</v>
      </c>
      <c r="Q239" s="316">
        <f>'DATA (Real)'!Q235</f>
        <v>0.4</v>
      </c>
      <c r="R239" s="316">
        <f>'DATA (Real)'!R235</f>
        <v>0.4</v>
      </c>
      <c r="S239" s="316">
        <f>'DATA (Real)'!S235</f>
        <v>0.36</v>
      </c>
      <c r="T239" s="316">
        <f>'DATA (Real)'!T235</f>
        <v>0.32</v>
      </c>
      <c r="U239" s="316">
        <f>'DATA (Real)'!U235</f>
        <v>0</v>
      </c>
      <c r="V239" s="316">
        <f>'DATA (Real)'!V235</f>
        <v>0</v>
      </c>
      <c r="W239" s="316">
        <f>'DATA (Real)'!W235</f>
        <v>0</v>
      </c>
      <c r="X239" s="316">
        <f>'DATA (Real)'!X235</f>
        <v>0</v>
      </c>
      <c r="Y239" s="316">
        <f>'DATA (Real)'!Y235</f>
        <v>0</v>
      </c>
      <c r="Z239" s="316">
        <f>'DATA (Real)'!Z235</f>
        <v>0</v>
      </c>
      <c r="AA239" s="316">
        <f>'DATA (Real)'!AA235</f>
        <v>0</v>
      </c>
      <c r="AB239" s="316">
        <f>'DATA (Real)'!AB235</f>
        <v>0</v>
      </c>
      <c r="AC239" s="316">
        <f>'DATA (Real)'!AC235</f>
        <v>0</v>
      </c>
      <c r="AD239" s="316">
        <f>'DATA (Real)'!AD235</f>
        <v>0</v>
      </c>
      <c r="AE239" s="316">
        <f>'DATA (Real)'!AE235</f>
        <v>0</v>
      </c>
      <c r="AF239" s="316">
        <f>'DATA (Real)'!AF235</f>
        <v>0</v>
      </c>
      <c r="AG239" s="316">
        <f>'DATA (Real)'!AG235</f>
        <v>0</v>
      </c>
      <c r="AH239" s="316">
        <f>'DATA (Real)'!AH235</f>
        <v>0</v>
      </c>
      <c r="AI239" s="316">
        <f>'DATA (Real)'!AI235</f>
        <v>0</v>
      </c>
      <c r="AJ239" s="316">
        <f>'DATA (Real)'!AJ235</f>
        <v>0</v>
      </c>
      <c r="AK239" s="316">
        <f>'DATA (Real)'!AK235</f>
        <v>0</v>
      </c>
      <c r="AL239" s="316">
        <f>'DATA (Real)'!AL235</f>
        <v>0</v>
      </c>
      <c r="AM239" s="316">
        <f>'DATA (Real)'!AM235</f>
        <v>0</v>
      </c>
      <c r="AN239" s="316">
        <f>'DATA (Real)'!AN235</f>
        <v>0</v>
      </c>
      <c r="AO239" s="316">
        <f>'DATA (Real)'!AO235</f>
        <v>0</v>
      </c>
      <c r="AP239" s="316">
        <f>'DATA (Real)'!AP235</f>
        <v>0</v>
      </c>
      <c r="AQ239" s="316">
        <f>'DATA (Real)'!AQ235</f>
        <v>0</v>
      </c>
      <c r="AR239" s="316">
        <f>'DATA (Real)'!AR235</f>
        <v>0</v>
      </c>
      <c r="AS239" s="316">
        <f>'DATA (Real)'!AS235</f>
        <v>0</v>
      </c>
      <c r="AT239" s="316">
        <f>'DATA (Real)'!AT235</f>
        <v>0</v>
      </c>
      <c r="AU239" s="316">
        <f>'DATA (Real)'!AU235</f>
        <v>0</v>
      </c>
      <c r="AV239" s="316">
        <f>'DATA (Real)'!AV235</f>
        <v>0</v>
      </c>
      <c r="AW239" s="316">
        <f>'DATA (Real)'!AW235</f>
        <v>0</v>
      </c>
      <c r="AX239" s="316">
        <f>'DATA (Real)'!AX235</f>
        <v>0</v>
      </c>
      <c r="AY239" s="316">
        <f>'DATA (Real)'!AY235</f>
        <v>0</v>
      </c>
      <c r="AZ239" s="316">
        <f>'DATA (Real)'!AZ235</f>
        <v>0</v>
      </c>
      <c r="BA239" s="316">
        <f>'DATA (Real)'!BA235</f>
        <v>0</v>
      </c>
      <c r="BB239" s="316">
        <f>'DATA (Real)'!BB235</f>
        <v>0</v>
      </c>
      <c r="BC239" s="316">
        <f>'DATA (Real)'!BC235</f>
        <v>0</v>
      </c>
      <c r="BD239" s="316">
        <f>'DATA (Real)'!BD235</f>
        <v>0</v>
      </c>
      <c r="BE239" s="316">
        <f>'DATA (Real)'!BE235</f>
        <v>0</v>
      </c>
      <c r="BF239" s="316">
        <f>'DATA (Real)'!BF235</f>
        <v>0</v>
      </c>
      <c r="BG239" s="316">
        <f>'DATA (Real)'!BG235</f>
        <v>0</v>
      </c>
      <c r="BH239" s="316">
        <f>'DATA (Real)'!BH235</f>
        <v>0</v>
      </c>
      <c r="BI239" s="316">
        <f>'DATA (Real)'!BI235</f>
        <v>0</v>
      </c>
      <c r="BJ239" s="316">
        <f>'DATA (Real)'!BJ235</f>
        <v>0</v>
      </c>
      <c r="BK239" s="316">
        <f>'DATA (Real)'!BK235</f>
        <v>0</v>
      </c>
      <c r="BL239" s="316">
        <f>'DATA (Real)'!BL235</f>
        <v>0</v>
      </c>
      <c r="BM239" s="316">
        <f>'DATA (Real)'!BM235</f>
        <v>0</v>
      </c>
      <c r="BN239" s="316">
        <f>'DATA (Real)'!BN235</f>
        <v>0</v>
      </c>
      <c r="BO239" s="316">
        <f>'DATA (Real)'!BO235</f>
        <v>0</v>
      </c>
      <c r="BP239" s="316">
        <f>'DATA (Real)'!BP235</f>
        <v>0</v>
      </c>
      <c r="BQ239" s="316">
        <f>'DATA (Real)'!BQ235</f>
        <v>0</v>
      </c>
      <c r="BR239" s="316">
        <f>'DATA (Real)'!BR235</f>
        <v>0</v>
      </c>
      <c r="BS239" s="316">
        <f>'DATA (Real)'!BS235</f>
        <v>0</v>
      </c>
      <c r="BT239" s="316">
        <f>'DATA (Real)'!BT235</f>
        <v>0</v>
      </c>
      <c r="BU239" s="316">
        <f>'DATA (Real)'!BU235</f>
        <v>0</v>
      </c>
      <c r="BV239" s="316">
        <f>'DATA (Real)'!BV235</f>
        <v>0</v>
      </c>
      <c r="BW239" s="316">
        <f>'DATA (Real)'!BW235</f>
        <v>0</v>
      </c>
      <c r="BX239" s="316">
        <f>'DATA (Real)'!BX235</f>
        <v>0</v>
      </c>
    </row>
    <row r="240" spans="1:76" hidden="1" outlineLevel="1">
      <c r="B240" s="352"/>
      <c r="C240" s="352" t="str">
        <f>'DATA (Real)'!C236</f>
        <v>Inflation Reduction Act</v>
      </c>
      <c r="D240" s="352" t="str">
        <f>'DATA (Real)'!D236</f>
        <v>ITC Schedule</v>
      </c>
      <c r="E240" s="352" t="str">
        <f>'DATA (Real)'!E236</f>
        <v>New Residential Solar + Storage</v>
      </c>
      <c r="H240" s="316">
        <f>'DATA (Real)'!H236</f>
        <v>0.4</v>
      </c>
      <c r="I240" s="316">
        <f>'DATA (Real)'!I236</f>
        <v>0.4</v>
      </c>
      <c r="J240" s="316">
        <f>'DATA (Real)'!J236</f>
        <v>0.4</v>
      </c>
      <c r="K240" s="316">
        <f>'DATA (Real)'!K236</f>
        <v>0.4</v>
      </c>
      <c r="L240" s="316">
        <f>'DATA (Real)'!L236</f>
        <v>0.4</v>
      </c>
      <c r="M240" s="316">
        <f>'DATA (Real)'!M236</f>
        <v>0.4</v>
      </c>
      <c r="N240" s="316">
        <f>'DATA (Real)'!N236</f>
        <v>0.4</v>
      </c>
      <c r="O240" s="316">
        <f>'DATA (Real)'!O236</f>
        <v>0.4</v>
      </c>
      <c r="P240" s="316">
        <f>'DATA (Real)'!P236</f>
        <v>0.4</v>
      </c>
      <c r="Q240" s="316">
        <f>'DATA (Real)'!Q236</f>
        <v>0.4</v>
      </c>
      <c r="R240" s="316">
        <f>'DATA (Real)'!R236</f>
        <v>0.4</v>
      </c>
      <c r="S240" s="316">
        <f>'DATA (Real)'!S236</f>
        <v>0.36</v>
      </c>
      <c r="T240" s="316">
        <f>'DATA (Real)'!T236</f>
        <v>0.32</v>
      </c>
      <c r="U240" s="316">
        <f>'DATA (Real)'!U236</f>
        <v>0</v>
      </c>
      <c r="V240" s="316">
        <f>'DATA (Real)'!V236</f>
        <v>0</v>
      </c>
      <c r="W240" s="316">
        <f>'DATA (Real)'!W236</f>
        <v>0</v>
      </c>
      <c r="X240" s="316">
        <f>'DATA (Real)'!X236</f>
        <v>0</v>
      </c>
      <c r="Y240" s="316">
        <f>'DATA (Real)'!Y236</f>
        <v>0</v>
      </c>
      <c r="Z240" s="316">
        <f>'DATA (Real)'!Z236</f>
        <v>0</v>
      </c>
      <c r="AA240" s="316">
        <f>'DATA (Real)'!AA236</f>
        <v>0</v>
      </c>
      <c r="AB240" s="316">
        <f>'DATA (Real)'!AB236</f>
        <v>0</v>
      </c>
      <c r="AC240" s="316">
        <f>'DATA (Real)'!AC236</f>
        <v>0</v>
      </c>
      <c r="AD240" s="316">
        <f>'DATA (Real)'!AD236</f>
        <v>0</v>
      </c>
      <c r="AE240" s="316">
        <f>'DATA (Real)'!AE236</f>
        <v>0</v>
      </c>
      <c r="AF240" s="316">
        <f>'DATA (Real)'!AF236</f>
        <v>0</v>
      </c>
      <c r="AG240" s="316">
        <f>'DATA (Real)'!AG236</f>
        <v>0</v>
      </c>
      <c r="AH240" s="316">
        <f>'DATA (Real)'!AH236</f>
        <v>0</v>
      </c>
      <c r="AI240" s="316">
        <f>'DATA (Real)'!AI236</f>
        <v>0</v>
      </c>
      <c r="AJ240" s="316">
        <f>'DATA (Real)'!AJ236</f>
        <v>0</v>
      </c>
      <c r="AK240" s="316">
        <f>'DATA (Real)'!AK236</f>
        <v>0</v>
      </c>
      <c r="AL240" s="316">
        <f>'DATA (Real)'!AL236</f>
        <v>0</v>
      </c>
      <c r="AM240" s="316">
        <f>'DATA (Real)'!AM236</f>
        <v>0</v>
      </c>
      <c r="AN240" s="316">
        <f>'DATA (Real)'!AN236</f>
        <v>0</v>
      </c>
      <c r="AO240" s="316">
        <f>'DATA (Real)'!AO236</f>
        <v>0</v>
      </c>
      <c r="AP240" s="316">
        <f>'DATA (Real)'!AP236</f>
        <v>0</v>
      </c>
      <c r="AQ240" s="316">
        <f>'DATA (Real)'!AQ236</f>
        <v>0</v>
      </c>
      <c r="AR240" s="316">
        <f>'DATA (Real)'!AR236</f>
        <v>0</v>
      </c>
      <c r="AS240" s="316">
        <f>'DATA (Real)'!AS236</f>
        <v>0</v>
      </c>
      <c r="AT240" s="316">
        <f>'DATA (Real)'!AT236</f>
        <v>0</v>
      </c>
      <c r="AU240" s="316">
        <f>'DATA (Real)'!AU236</f>
        <v>0</v>
      </c>
      <c r="AV240" s="316">
        <f>'DATA (Real)'!AV236</f>
        <v>0</v>
      </c>
      <c r="AW240" s="316">
        <f>'DATA (Real)'!AW236</f>
        <v>0</v>
      </c>
      <c r="AX240" s="316">
        <f>'DATA (Real)'!AX236</f>
        <v>0</v>
      </c>
      <c r="AY240" s="316">
        <f>'DATA (Real)'!AY236</f>
        <v>0</v>
      </c>
      <c r="AZ240" s="316">
        <f>'DATA (Real)'!AZ236</f>
        <v>0</v>
      </c>
      <c r="BA240" s="316">
        <f>'DATA (Real)'!BA236</f>
        <v>0</v>
      </c>
      <c r="BB240" s="316">
        <f>'DATA (Real)'!BB236</f>
        <v>0</v>
      </c>
      <c r="BC240" s="316">
        <f>'DATA (Real)'!BC236</f>
        <v>0</v>
      </c>
      <c r="BD240" s="316">
        <f>'DATA (Real)'!BD236</f>
        <v>0</v>
      </c>
      <c r="BE240" s="316">
        <f>'DATA (Real)'!BE236</f>
        <v>0</v>
      </c>
      <c r="BF240" s="316">
        <f>'DATA (Real)'!BF236</f>
        <v>0</v>
      </c>
      <c r="BG240" s="316">
        <f>'DATA (Real)'!BG236</f>
        <v>0</v>
      </c>
      <c r="BH240" s="316">
        <f>'DATA (Real)'!BH236</f>
        <v>0</v>
      </c>
      <c r="BI240" s="316">
        <f>'DATA (Real)'!BI236</f>
        <v>0</v>
      </c>
      <c r="BJ240" s="316">
        <f>'DATA (Real)'!BJ236</f>
        <v>0</v>
      </c>
      <c r="BK240" s="316">
        <f>'DATA (Real)'!BK236</f>
        <v>0</v>
      </c>
      <c r="BL240" s="316">
        <f>'DATA (Real)'!BL236</f>
        <v>0</v>
      </c>
      <c r="BM240" s="316">
        <f>'DATA (Real)'!BM236</f>
        <v>0</v>
      </c>
      <c r="BN240" s="316">
        <f>'DATA (Real)'!BN236</f>
        <v>0</v>
      </c>
      <c r="BO240" s="316">
        <f>'DATA (Real)'!BO236</f>
        <v>0</v>
      </c>
      <c r="BP240" s="316">
        <f>'DATA (Real)'!BP236</f>
        <v>0</v>
      </c>
      <c r="BQ240" s="316">
        <f>'DATA (Real)'!BQ236</f>
        <v>0</v>
      </c>
      <c r="BR240" s="316">
        <f>'DATA (Real)'!BR236</f>
        <v>0</v>
      </c>
      <c r="BS240" s="316">
        <f>'DATA (Real)'!BS236</f>
        <v>0</v>
      </c>
      <c r="BT240" s="316">
        <f>'DATA (Real)'!BT236</f>
        <v>0</v>
      </c>
      <c r="BU240" s="316">
        <f>'DATA (Real)'!BU236</f>
        <v>0</v>
      </c>
      <c r="BV240" s="316">
        <f>'DATA (Real)'!BV236</f>
        <v>0</v>
      </c>
      <c r="BW240" s="316">
        <f>'DATA (Real)'!BW236</f>
        <v>0</v>
      </c>
      <c r="BX240" s="316">
        <f>'DATA (Real)'!BX236</f>
        <v>0</v>
      </c>
    </row>
    <row r="241" spans="2:76" hidden="1" outlineLevel="1">
      <c r="B241" s="352"/>
      <c r="C241" s="352" t="str">
        <f>'DATA (Real)'!C237</f>
        <v>Inflation Reduction Act</v>
      </c>
      <c r="D241" s="352" t="str">
        <f>'DATA (Real)'!D237</f>
        <v>ITC Schedule</v>
      </c>
      <c r="E241" s="352" t="str">
        <f>'DATA (Real)'!E237</f>
        <v>Existing Residential Solar</v>
      </c>
      <c r="H241" s="316">
        <f>'DATA (Real)'!H237</f>
        <v>0.4</v>
      </c>
      <c r="I241" s="316">
        <f>'DATA (Real)'!I237</f>
        <v>0.4</v>
      </c>
      <c r="J241" s="316">
        <f>'DATA (Real)'!J237</f>
        <v>0.4</v>
      </c>
      <c r="K241" s="316">
        <f>'DATA (Real)'!K237</f>
        <v>0.4</v>
      </c>
      <c r="L241" s="316">
        <f>'DATA (Real)'!L237</f>
        <v>0.4</v>
      </c>
      <c r="M241" s="316">
        <f>'DATA (Real)'!M237</f>
        <v>0.4</v>
      </c>
      <c r="N241" s="316">
        <f>'DATA (Real)'!N237</f>
        <v>0.4</v>
      </c>
      <c r="O241" s="316">
        <f>'DATA (Real)'!O237</f>
        <v>0.4</v>
      </c>
      <c r="P241" s="316">
        <f>'DATA (Real)'!P237</f>
        <v>0.4</v>
      </c>
      <c r="Q241" s="316">
        <f>'DATA (Real)'!Q237</f>
        <v>0.4</v>
      </c>
      <c r="R241" s="316">
        <f>'DATA (Real)'!R237</f>
        <v>0.4</v>
      </c>
      <c r="S241" s="316">
        <f>'DATA (Real)'!S237</f>
        <v>0.36</v>
      </c>
      <c r="T241" s="316">
        <f>'DATA (Real)'!T237</f>
        <v>0.32</v>
      </c>
      <c r="U241" s="316">
        <f>'DATA (Real)'!U237</f>
        <v>0</v>
      </c>
      <c r="V241" s="316">
        <f>'DATA (Real)'!V237</f>
        <v>0</v>
      </c>
      <c r="W241" s="316">
        <f>'DATA (Real)'!W237</f>
        <v>0</v>
      </c>
      <c r="X241" s="316">
        <f>'DATA (Real)'!X237</f>
        <v>0</v>
      </c>
      <c r="Y241" s="316">
        <f>'DATA (Real)'!Y237</f>
        <v>0</v>
      </c>
      <c r="Z241" s="316">
        <f>'DATA (Real)'!Z237</f>
        <v>0</v>
      </c>
      <c r="AA241" s="316">
        <f>'DATA (Real)'!AA237</f>
        <v>0</v>
      </c>
      <c r="AB241" s="316">
        <f>'DATA (Real)'!AB237</f>
        <v>0</v>
      </c>
      <c r="AC241" s="316">
        <f>'DATA (Real)'!AC237</f>
        <v>0</v>
      </c>
      <c r="AD241" s="316">
        <f>'DATA (Real)'!AD237</f>
        <v>0</v>
      </c>
      <c r="AE241" s="316">
        <f>'DATA (Real)'!AE237</f>
        <v>0</v>
      </c>
      <c r="AF241" s="316">
        <f>'DATA (Real)'!AF237</f>
        <v>0</v>
      </c>
      <c r="AG241" s="316">
        <f>'DATA (Real)'!AG237</f>
        <v>0</v>
      </c>
      <c r="AH241" s="316">
        <f>'DATA (Real)'!AH237</f>
        <v>0</v>
      </c>
      <c r="AI241" s="316">
        <f>'DATA (Real)'!AI237</f>
        <v>0</v>
      </c>
      <c r="AJ241" s="316">
        <f>'DATA (Real)'!AJ237</f>
        <v>0</v>
      </c>
      <c r="AK241" s="316">
        <f>'DATA (Real)'!AK237</f>
        <v>0</v>
      </c>
      <c r="AL241" s="316">
        <f>'DATA (Real)'!AL237</f>
        <v>0</v>
      </c>
      <c r="AM241" s="316">
        <f>'DATA (Real)'!AM237</f>
        <v>0</v>
      </c>
      <c r="AN241" s="316">
        <f>'DATA (Real)'!AN237</f>
        <v>0</v>
      </c>
      <c r="AO241" s="316">
        <f>'DATA (Real)'!AO237</f>
        <v>0</v>
      </c>
      <c r="AP241" s="316">
        <f>'DATA (Real)'!AP237</f>
        <v>0</v>
      </c>
      <c r="AQ241" s="316">
        <f>'DATA (Real)'!AQ237</f>
        <v>0</v>
      </c>
      <c r="AR241" s="316">
        <f>'DATA (Real)'!AR237</f>
        <v>0</v>
      </c>
      <c r="AS241" s="316">
        <f>'DATA (Real)'!AS237</f>
        <v>0</v>
      </c>
      <c r="AT241" s="316">
        <f>'DATA (Real)'!AT237</f>
        <v>0</v>
      </c>
      <c r="AU241" s="316">
        <f>'DATA (Real)'!AU237</f>
        <v>0</v>
      </c>
      <c r="AV241" s="316">
        <f>'DATA (Real)'!AV237</f>
        <v>0</v>
      </c>
      <c r="AW241" s="316">
        <f>'DATA (Real)'!AW237</f>
        <v>0</v>
      </c>
      <c r="AX241" s="316">
        <f>'DATA (Real)'!AX237</f>
        <v>0</v>
      </c>
      <c r="AY241" s="316">
        <f>'DATA (Real)'!AY237</f>
        <v>0</v>
      </c>
      <c r="AZ241" s="316">
        <f>'DATA (Real)'!AZ237</f>
        <v>0</v>
      </c>
      <c r="BA241" s="316">
        <f>'DATA (Real)'!BA237</f>
        <v>0</v>
      </c>
      <c r="BB241" s="316">
        <f>'DATA (Real)'!BB237</f>
        <v>0</v>
      </c>
      <c r="BC241" s="316">
        <f>'DATA (Real)'!BC237</f>
        <v>0</v>
      </c>
      <c r="BD241" s="316">
        <f>'DATA (Real)'!BD237</f>
        <v>0</v>
      </c>
      <c r="BE241" s="316">
        <f>'DATA (Real)'!BE237</f>
        <v>0</v>
      </c>
      <c r="BF241" s="316">
        <f>'DATA (Real)'!BF237</f>
        <v>0</v>
      </c>
      <c r="BG241" s="316">
        <f>'DATA (Real)'!BG237</f>
        <v>0</v>
      </c>
      <c r="BH241" s="316">
        <f>'DATA (Real)'!BH237</f>
        <v>0</v>
      </c>
      <c r="BI241" s="316">
        <f>'DATA (Real)'!BI237</f>
        <v>0</v>
      </c>
      <c r="BJ241" s="316">
        <f>'DATA (Real)'!BJ237</f>
        <v>0</v>
      </c>
      <c r="BK241" s="316">
        <f>'DATA (Real)'!BK237</f>
        <v>0</v>
      </c>
      <c r="BL241" s="316">
        <f>'DATA (Real)'!BL237</f>
        <v>0</v>
      </c>
      <c r="BM241" s="316">
        <f>'DATA (Real)'!BM237</f>
        <v>0</v>
      </c>
      <c r="BN241" s="316">
        <f>'DATA (Real)'!BN237</f>
        <v>0</v>
      </c>
      <c r="BO241" s="316">
        <f>'DATA (Real)'!BO237</f>
        <v>0</v>
      </c>
      <c r="BP241" s="316">
        <f>'DATA (Real)'!BP237</f>
        <v>0</v>
      </c>
      <c r="BQ241" s="316">
        <f>'DATA (Real)'!BQ237</f>
        <v>0</v>
      </c>
      <c r="BR241" s="316">
        <f>'DATA (Real)'!BR237</f>
        <v>0</v>
      </c>
      <c r="BS241" s="316">
        <f>'DATA (Real)'!BS237</f>
        <v>0</v>
      </c>
      <c r="BT241" s="316">
        <f>'DATA (Real)'!BT237</f>
        <v>0</v>
      </c>
      <c r="BU241" s="316">
        <f>'DATA (Real)'!BU237</f>
        <v>0</v>
      </c>
      <c r="BV241" s="316">
        <f>'DATA (Real)'!BV237</f>
        <v>0</v>
      </c>
      <c r="BW241" s="316">
        <f>'DATA (Real)'!BW237</f>
        <v>0</v>
      </c>
      <c r="BX241" s="316">
        <f>'DATA (Real)'!BX237</f>
        <v>0</v>
      </c>
    </row>
    <row r="242" spans="2:76" hidden="1" outlineLevel="1">
      <c r="B242" s="352"/>
      <c r="C242" s="352" t="str">
        <f>'DATA (Real)'!C238</f>
        <v>Inflation Reduction Act</v>
      </c>
      <c r="D242" s="352" t="str">
        <f>'DATA (Real)'!D238</f>
        <v>ITC Schedule</v>
      </c>
      <c r="E242" s="352" t="str">
        <f>'DATA (Real)'!E238</f>
        <v>Existing Residential Solar + Storage</v>
      </c>
      <c r="H242" s="316">
        <f>'DATA (Real)'!H238</f>
        <v>0.4</v>
      </c>
      <c r="I242" s="316">
        <f>'DATA (Real)'!I238</f>
        <v>0.4</v>
      </c>
      <c r="J242" s="316">
        <f>'DATA (Real)'!J238</f>
        <v>0.4</v>
      </c>
      <c r="K242" s="316">
        <f>'DATA (Real)'!K238</f>
        <v>0.4</v>
      </c>
      <c r="L242" s="316">
        <f>'DATA (Real)'!L238</f>
        <v>0.4</v>
      </c>
      <c r="M242" s="316">
        <f>'DATA (Real)'!M238</f>
        <v>0.4</v>
      </c>
      <c r="N242" s="316">
        <f>'DATA (Real)'!N238</f>
        <v>0.4</v>
      </c>
      <c r="O242" s="316">
        <f>'DATA (Real)'!O238</f>
        <v>0.4</v>
      </c>
      <c r="P242" s="316">
        <f>'DATA (Real)'!P238</f>
        <v>0.4</v>
      </c>
      <c r="Q242" s="316">
        <f>'DATA (Real)'!Q238</f>
        <v>0.4</v>
      </c>
      <c r="R242" s="316">
        <f>'DATA (Real)'!R238</f>
        <v>0.4</v>
      </c>
      <c r="S242" s="316">
        <f>'DATA (Real)'!S238</f>
        <v>0.36</v>
      </c>
      <c r="T242" s="316">
        <f>'DATA (Real)'!T238</f>
        <v>0.32</v>
      </c>
      <c r="U242" s="316">
        <f>'DATA (Real)'!U238</f>
        <v>0</v>
      </c>
      <c r="V242" s="316">
        <f>'DATA (Real)'!V238</f>
        <v>0</v>
      </c>
      <c r="W242" s="316">
        <f>'DATA (Real)'!W238</f>
        <v>0</v>
      </c>
      <c r="X242" s="316">
        <f>'DATA (Real)'!X238</f>
        <v>0</v>
      </c>
      <c r="Y242" s="316">
        <f>'DATA (Real)'!Y238</f>
        <v>0</v>
      </c>
      <c r="Z242" s="316">
        <f>'DATA (Real)'!Z238</f>
        <v>0</v>
      </c>
      <c r="AA242" s="316">
        <f>'DATA (Real)'!AA238</f>
        <v>0</v>
      </c>
      <c r="AB242" s="316">
        <f>'DATA (Real)'!AB238</f>
        <v>0</v>
      </c>
      <c r="AC242" s="316">
        <f>'DATA (Real)'!AC238</f>
        <v>0</v>
      </c>
      <c r="AD242" s="316">
        <f>'DATA (Real)'!AD238</f>
        <v>0</v>
      </c>
      <c r="AE242" s="316">
        <f>'DATA (Real)'!AE238</f>
        <v>0</v>
      </c>
      <c r="AF242" s="316">
        <f>'DATA (Real)'!AF238</f>
        <v>0</v>
      </c>
      <c r="AG242" s="316">
        <f>'DATA (Real)'!AG238</f>
        <v>0</v>
      </c>
      <c r="AH242" s="316">
        <f>'DATA (Real)'!AH238</f>
        <v>0</v>
      </c>
      <c r="AI242" s="316">
        <f>'DATA (Real)'!AI238</f>
        <v>0</v>
      </c>
      <c r="AJ242" s="316">
        <f>'DATA (Real)'!AJ238</f>
        <v>0</v>
      </c>
      <c r="AK242" s="316">
        <f>'DATA (Real)'!AK238</f>
        <v>0</v>
      </c>
      <c r="AL242" s="316">
        <f>'DATA (Real)'!AL238</f>
        <v>0</v>
      </c>
      <c r="AM242" s="316">
        <f>'DATA (Real)'!AM238</f>
        <v>0</v>
      </c>
      <c r="AN242" s="316">
        <f>'DATA (Real)'!AN238</f>
        <v>0</v>
      </c>
      <c r="AO242" s="316">
        <f>'DATA (Real)'!AO238</f>
        <v>0</v>
      </c>
      <c r="AP242" s="316">
        <f>'DATA (Real)'!AP238</f>
        <v>0</v>
      </c>
      <c r="AQ242" s="316">
        <f>'DATA (Real)'!AQ238</f>
        <v>0</v>
      </c>
      <c r="AR242" s="316">
        <f>'DATA (Real)'!AR238</f>
        <v>0</v>
      </c>
      <c r="AS242" s="316">
        <f>'DATA (Real)'!AS238</f>
        <v>0</v>
      </c>
      <c r="AT242" s="316">
        <f>'DATA (Real)'!AT238</f>
        <v>0</v>
      </c>
      <c r="AU242" s="316">
        <f>'DATA (Real)'!AU238</f>
        <v>0</v>
      </c>
      <c r="AV242" s="316">
        <f>'DATA (Real)'!AV238</f>
        <v>0</v>
      </c>
      <c r="AW242" s="316">
        <f>'DATA (Real)'!AW238</f>
        <v>0</v>
      </c>
      <c r="AX242" s="316">
        <f>'DATA (Real)'!AX238</f>
        <v>0</v>
      </c>
      <c r="AY242" s="316">
        <f>'DATA (Real)'!AY238</f>
        <v>0</v>
      </c>
      <c r="AZ242" s="316">
        <f>'DATA (Real)'!AZ238</f>
        <v>0</v>
      </c>
      <c r="BA242" s="316">
        <f>'DATA (Real)'!BA238</f>
        <v>0</v>
      </c>
      <c r="BB242" s="316">
        <f>'DATA (Real)'!BB238</f>
        <v>0</v>
      </c>
      <c r="BC242" s="316">
        <f>'DATA (Real)'!BC238</f>
        <v>0</v>
      </c>
      <c r="BD242" s="316">
        <f>'DATA (Real)'!BD238</f>
        <v>0</v>
      </c>
      <c r="BE242" s="316">
        <f>'DATA (Real)'!BE238</f>
        <v>0</v>
      </c>
      <c r="BF242" s="316">
        <f>'DATA (Real)'!BF238</f>
        <v>0</v>
      </c>
      <c r="BG242" s="316">
        <f>'DATA (Real)'!BG238</f>
        <v>0</v>
      </c>
      <c r="BH242" s="316">
        <f>'DATA (Real)'!BH238</f>
        <v>0</v>
      </c>
      <c r="BI242" s="316">
        <f>'DATA (Real)'!BI238</f>
        <v>0</v>
      </c>
      <c r="BJ242" s="316">
        <f>'DATA (Real)'!BJ238</f>
        <v>0</v>
      </c>
      <c r="BK242" s="316">
        <f>'DATA (Real)'!BK238</f>
        <v>0</v>
      </c>
      <c r="BL242" s="316">
        <f>'DATA (Real)'!BL238</f>
        <v>0</v>
      </c>
      <c r="BM242" s="316">
        <f>'DATA (Real)'!BM238</f>
        <v>0</v>
      </c>
      <c r="BN242" s="316">
        <f>'DATA (Real)'!BN238</f>
        <v>0</v>
      </c>
      <c r="BO242" s="316">
        <f>'DATA (Real)'!BO238</f>
        <v>0</v>
      </c>
      <c r="BP242" s="316">
        <f>'DATA (Real)'!BP238</f>
        <v>0</v>
      </c>
      <c r="BQ242" s="316">
        <f>'DATA (Real)'!BQ238</f>
        <v>0</v>
      </c>
      <c r="BR242" s="316">
        <f>'DATA (Real)'!BR238</f>
        <v>0</v>
      </c>
      <c r="BS242" s="316">
        <f>'DATA (Real)'!BS238</f>
        <v>0</v>
      </c>
      <c r="BT242" s="316">
        <f>'DATA (Real)'!BT238</f>
        <v>0</v>
      </c>
      <c r="BU242" s="316">
        <f>'DATA (Real)'!BU238</f>
        <v>0</v>
      </c>
      <c r="BV242" s="316">
        <f>'DATA (Real)'!BV238</f>
        <v>0</v>
      </c>
      <c r="BW242" s="316">
        <f>'DATA (Real)'!BW238</f>
        <v>0</v>
      </c>
      <c r="BX242" s="316">
        <f>'DATA (Real)'!BX238</f>
        <v>0</v>
      </c>
    </row>
    <row r="243" spans="2:76" hidden="1" outlineLevel="1">
      <c r="B243" s="352"/>
      <c r="C243" s="352" t="str">
        <f>'DATA (Real)'!C239</f>
        <v>Inflation Reduction Act</v>
      </c>
      <c r="D243" s="352" t="str">
        <f>'DATA (Real)'!D239</f>
        <v>ITC Schedule</v>
      </c>
      <c r="E243" s="352" t="str">
        <f>'DATA (Real)'!E239</f>
        <v>Commercial Solar</v>
      </c>
      <c r="H243" s="316">
        <f>'DATA (Real)'!H239</f>
        <v>0.3</v>
      </c>
      <c r="I243" s="316">
        <f>'DATA (Real)'!I239</f>
        <v>0.3</v>
      </c>
      <c r="J243" s="316">
        <f>'DATA (Real)'!J239</f>
        <v>0.3</v>
      </c>
      <c r="K243" s="316">
        <f>'DATA (Real)'!K239</f>
        <v>0.3</v>
      </c>
      <c r="L243" s="316">
        <f>'DATA (Real)'!L239</f>
        <v>0.3</v>
      </c>
      <c r="M243" s="316">
        <f>'DATA (Real)'!M239</f>
        <v>0.3</v>
      </c>
      <c r="N243" s="316">
        <f>'DATA (Real)'!N239</f>
        <v>0.3</v>
      </c>
      <c r="O243" s="316">
        <f>'DATA (Real)'!O239</f>
        <v>0.3</v>
      </c>
      <c r="P243" s="316">
        <f>'DATA (Real)'!P239</f>
        <v>0.3</v>
      </c>
      <c r="Q243" s="316">
        <f>'DATA (Real)'!Q239</f>
        <v>0.3</v>
      </c>
      <c r="R243" s="316">
        <f>'DATA (Real)'!R239</f>
        <v>0.3</v>
      </c>
      <c r="S243" s="316">
        <f>'DATA (Real)'!S239</f>
        <v>0.26</v>
      </c>
      <c r="T243" s="316">
        <f>'DATA (Real)'!T239</f>
        <v>0.22</v>
      </c>
      <c r="U243" s="316">
        <f>'DATA (Real)'!U239</f>
        <v>0.1</v>
      </c>
      <c r="V243" s="316">
        <f>'DATA (Real)'!V239</f>
        <v>0.1</v>
      </c>
      <c r="W243" s="316">
        <f>'DATA (Real)'!W239</f>
        <v>0.1</v>
      </c>
      <c r="X243" s="316">
        <f>'DATA (Real)'!X239</f>
        <v>0.1</v>
      </c>
      <c r="Y243" s="316">
        <f>'DATA (Real)'!Y239</f>
        <v>0.1</v>
      </c>
      <c r="Z243" s="316">
        <f>'DATA (Real)'!Z239</f>
        <v>0.1</v>
      </c>
      <c r="AA243" s="316">
        <f>'DATA (Real)'!AA239</f>
        <v>0.1</v>
      </c>
      <c r="AB243" s="316">
        <f>'DATA (Real)'!AB239</f>
        <v>0.1</v>
      </c>
      <c r="AC243" s="316">
        <f>'DATA (Real)'!AC239</f>
        <v>0.1</v>
      </c>
      <c r="AD243" s="316">
        <f>'DATA (Real)'!AD239</f>
        <v>0.1</v>
      </c>
      <c r="AE243" s="316">
        <f>'DATA (Real)'!AE239</f>
        <v>0.1</v>
      </c>
      <c r="AF243" s="316">
        <f>'DATA (Real)'!AF239</f>
        <v>0.1</v>
      </c>
      <c r="AG243" s="316">
        <f>'DATA (Real)'!AG239</f>
        <v>0.1</v>
      </c>
      <c r="AH243" s="316">
        <f>'DATA (Real)'!AH239</f>
        <v>0.1</v>
      </c>
      <c r="AI243" s="316">
        <f>'DATA (Real)'!AI239</f>
        <v>0.1</v>
      </c>
      <c r="AJ243" s="316">
        <f>'DATA (Real)'!AJ239</f>
        <v>0.1</v>
      </c>
      <c r="AK243" s="316">
        <f>'DATA (Real)'!AK239</f>
        <v>0.1</v>
      </c>
      <c r="AL243" s="316">
        <f>'DATA (Real)'!AL239</f>
        <v>0.1</v>
      </c>
      <c r="AM243" s="316">
        <f>'DATA (Real)'!AM239</f>
        <v>0.1</v>
      </c>
      <c r="AN243" s="316">
        <f>'DATA (Real)'!AN239</f>
        <v>0.1</v>
      </c>
      <c r="AO243" s="316">
        <f>'DATA (Real)'!AO239</f>
        <v>0.1</v>
      </c>
      <c r="AP243" s="316">
        <f>'DATA (Real)'!AP239</f>
        <v>0.1</v>
      </c>
      <c r="AQ243" s="316">
        <f>'DATA (Real)'!AQ239</f>
        <v>0.1</v>
      </c>
      <c r="AR243" s="316">
        <f>'DATA (Real)'!AR239</f>
        <v>0.1</v>
      </c>
      <c r="AS243" s="316">
        <f>'DATA (Real)'!AS239</f>
        <v>0.1</v>
      </c>
      <c r="AT243" s="316">
        <f>'DATA (Real)'!AT239</f>
        <v>0.1</v>
      </c>
      <c r="AU243" s="316">
        <f>'DATA (Real)'!AU239</f>
        <v>0.1</v>
      </c>
      <c r="AV243" s="316">
        <f>'DATA (Real)'!AV239</f>
        <v>0.1</v>
      </c>
      <c r="AW243" s="316">
        <f>'DATA (Real)'!AW239</f>
        <v>0.1</v>
      </c>
      <c r="AX243" s="316">
        <f>'DATA (Real)'!AX239</f>
        <v>0.1</v>
      </c>
      <c r="AY243" s="316">
        <f>'DATA (Real)'!AY239</f>
        <v>0.1</v>
      </c>
      <c r="AZ243" s="316">
        <f>'DATA (Real)'!AZ239</f>
        <v>0.1</v>
      </c>
      <c r="BA243" s="316">
        <f>'DATA (Real)'!BA239</f>
        <v>0.1</v>
      </c>
      <c r="BB243" s="316">
        <f>'DATA (Real)'!BB239</f>
        <v>0.1</v>
      </c>
      <c r="BC243" s="316">
        <f>'DATA (Real)'!BC239</f>
        <v>0.1</v>
      </c>
      <c r="BD243" s="316">
        <f>'DATA (Real)'!BD239</f>
        <v>0.1</v>
      </c>
      <c r="BE243" s="316">
        <f>'DATA (Real)'!BE239</f>
        <v>0.1</v>
      </c>
      <c r="BF243" s="316">
        <f>'DATA (Real)'!BF239</f>
        <v>0.1</v>
      </c>
      <c r="BG243" s="316">
        <f>'DATA (Real)'!BG239</f>
        <v>0.1</v>
      </c>
      <c r="BH243" s="316">
        <f>'DATA (Real)'!BH239</f>
        <v>0.1</v>
      </c>
      <c r="BI243" s="316">
        <f>'DATA (Real)'!BI239</f>
        <v>0.1</v>
      </c>
      <c r="BJ243" s="316">
        <f>'DATA (Real)'!BJ239</f>
        <v>0.1</v>
      </c>
      <c r="BK243" s="316">
        <f>'DATA (Real)'!BK239</f>
        <v>0.1</v>
      </c>
      <c r="BL243" s="316">
        <f>'DATA (Real)'!BL239</f>
        <v>0.1</v>
      </c>
      <c r="BM243" s="316">
        <f>'DATA (Real)'!BM239</f>
        <v>0.1</v>
      </c>
      <c r="BN243" s="316">
        <f>'DATA (Real)'!BN239</f>
        <v>0.1</v>
      </c>
      <c r="BO243" s="316">
        <f>'DATA (Real)'!BO239</f>
        <v>0.1</v>
      </c>
      <c r="BP243" s="316">
        <f>'DATA (Real)'!BP239</f>
        <v>0.1</v>
      </c>
      <c r="BQ243" s="316">
        <f>'DATA (Real)'!BQ239</f>
        <v>0.1</v>
      </c>
      <c r="BR243" s="316">
        <f>'DATA (Real)'!BR239</f>
        <v>0.1</v>
      </c>
      <c r="BS243" s="316">
        <f>'DATA (Real)'!BS239</f>
        <v>0.1</v>
      </c>
      <c r="BT243" s="316">
        <f>'DATA (Real)'!BT239</f>
        <v>0.1</v>
      </c>
      <c r="BU243" s="316">
        <f>'DATA (Real)'!BU239</f>
        <v>0.1</v>
      </c>
      <c r="BV243" s="316">
        <f>'DATA (Real)'!BV239</f>
        <v>0.1</v>
      </c>
      <c r="BW243" s="316">
        <f>'DATA (Real)'!BW239</f>
        <v>0.1</v>
      </c>
      <c r="BX243" s="316">
        <f>'DATA (Real)'!BX239</f>
        <v>0.1</v>
      </c>
    </row>
    <row r="244" spans="2:76" hidden="1" outlineLevel="1">
      <c r="B244" s="352"/>
      <c r="C244" s="352" t="str">
        <f>'DATA (Real)'!C240</f>
        <v>Inflation Reduction Act</v>
      </c>
      <c r="D244" s="352" t="str">
        <f>'DATA (Real)'!D240</f>
        <v>ITC Schedule</v>
      </c>
      <c r="E244" s="352" t="str">
        <f>'DATA (Real)'!E240</f>
        <v>Commercial Solar + Storage</v>
      </c>
      <c r="H244" s="316">
        <f>'DATA (Real)'!H240</f>
        <v>0.3</v>
      </c>
      <c r="I244" s="316">
        <f>'DATA (Real)'!I240</f>
        <v>0.3</v>
      </c>
      <c r="J244" s="316">
        <f>'DATA (Real)'!J240</f>
        <v>0.3</v>
      </c>
      <c r="K244" s="316">
        <f>'DATA (Real)'!K240</f>
        <v>0.3</v>
      </c>
      <c r="L244" s="316">
        <f>'DATA (Real)'!L240</f>
        <v>0.3</v>
      </c>
      <c r="M244" s="316">
        <f>'DATA (Real)'!M240</f>
        <v>0.3</v>
      </c>
      <c r="N244" s="316">
        <f>'DATA (Real)'!N240</f>
        <v>0.3</v>
      </c>
      <c r="O244" s="316">
        <f>'DATA (Real)'!O240</f>
        <v>0.3</v>
      </c>
      <c r="P244" s="316">
        <f>'DATA (Real)'!P240</f>
        <v>0.3</v>
      </c>
      <c r="Q244" s="316">
        <f>'DATA (Real)'!Q240</f>
        <v>0.3</v>
      </c>
      <c r="R244" s="316">
        <f>'DATA (Real)'!R240</f>
        <v>0.3</v>
      </c>
      <c r="S244" s="316">
        <f>'DATA (Real)'!S240</f>
        <v>0.26</v>
      </c>
      <c r="T244" s="316">
        <f>'DATA (Real)'!T240</f>
        <v>0.22</v>
      </c>
      <c r="U244" s="316">
        <f>'DATA (Real)'!U240</f>
        <v>0.1</v>
      </c>
      <c r="V244" s="316">
        <f>'DATA (Real)'!V240</f>
        <v>0.1</v>
      </c>
      <c r="W244" s="316">
        <f>'DATA (Real)'!W240</f>
        <v>0.1</v>
      </c>
      <c r="X244" s="316">
        <f>'DATA (Real)'!X240</f>
        <v>0.1</v>
      </c>
      <c r="Y244" s="316">
        <f>'DATA (Real)'!Y240</f>
        <v>0.1</v>
      </c>
      <c r="Z244" s="316">
        <f>'DATA (Real)'!Z240</f>
        <v>0.1</v>
      </c>
      <c r="AA244" s="316">
        <f>'DATA (Real)'!AA240</f>
        <v>0.1</v>
      </c>
      <c r="AB244" s="316">
        <f>'DATA (Real)'!AB240</f>
        <v>0.1</v>
      </c>
      <c r="AC244" s="316">
        <f>'DATA (Real)'!AC240</f>
        <v>0.1</v>
      </c>
      <c r="AD244" s="316">
        <f>'DATA (Real)'!AD240</f>
        <v>0.1</v>
      </c>
      <c r="AE244" s="316">
        <f>'DATA (Real)'!AE240</f>
        <v>0.1</v>
      </c>
      <c r="AF244" s="316">
        <f>'DATA (Real)'!AF240</f>
        <v>0.1</v>
      </c>
      <c r="AG244" s="316">
        <f>'DATA (Real)'!AG240</f>
        <v>0.1</v>
      </c>
      <c r="AH244" s="316">
        <f>'DATA (Real)'!AH240</f>
        <v>0.1</v>
      </c>
      <c r="AI244" s="316">
        <f>'DATA (Real)'!AI240</f>
        <v>0.1</v>
      </c>
      <c r="AJ244" s="316">
        <f>'DATA (Real)'!AJ240</f>
        <v>0.1</v>
      </c>
      <c r="AK244" s="316">
        <f>'DATA (Real)'!AK240</f>
        <v>0.1</v>
      </c>
      <c r="AL244" s="316">
        <f>'DATA (Real)'!AL240</f>
        <v>0.1</v>
      </c>
      <c r="AM244" s="316">
        <f>'DATA (Real)'!AM240</f>
        <v>0.1</v>
      </c>
      <c r="AN244" s="316">
        <f>'DATA (Real)'!AN240</f>
        <v>0.1</v>
      </c>
      <c r="AO244" s="316">
        <f>'DATA (Real)'!AO240</f>
        <v>0.1</v>
      </c>
      <c r="AP244" s="316">
        <f>'DATA (Real)'!AP240</f>
        <v>0.1</v>
      </c>
      <c r="AQ244" s="316">
        <f>'DATA (Real)'!AQ240</f>
        <v>0.1</v>
      </c>
      <c r="AR244" s="316">
        <f>'DATA (Real)'!AR240</f>
        <v>0.1</v>
      </c>
      <c r="AS244" s="316">
        <f>'DATA (Real)'!AS240</f>
        <v>0.1</v>
      </c>
      <c r="AT244" s="316">
        <f>'DATA (Real)'!AT240</f>
        <v>0.1</v>
      </c>
      <c r="AU244" s="316">
        <f>'DATA (Real)'!AU240</f>
        <v>0.1</v>
      </c>
      <c r="AV244" s="316">
        <f>'DATA (Real)'!AV240</f>
        <v>0.1</v>
      </c>
      <c r="AW244" s="316">
        <f>'DATA (Real)'!AW240</f>
        <v>0.1</v>
      </c>
      <c r="AX244" s="316">
        <f>'DATA (Real)'!AX240</f>
        <v>0.1</v>
      </c>
      <c r="AY244" s="316">
        <f>'DATA (Real)'!AY240</f>
        <v>0.1</v>
      </c>
      <c r="AZ244" s="316">
        <f>'DATA (Real)'!AZ240</f>
        <v>0.1</v>
      </c>
      <c r="BA244" s="316">
        <f>'DATA (Real)'!BA240</f>
        <v>0.1</v>
      </c>
      <c r="BB244" s="316">
        <f>'DATA (Real)'!BB240</f>
        <v>0.1</v>
      </c>
      <c r="BC244" s="316">
        <f>'DATA (Real)'!BC240</f>
        <v>0.1</v>
      </c>
      <c r="BD244" s="316">
        <f>'DATA (Real)'!BD240</f>
        <v>0.1</v>
      </c>
      <c r="BE244" s="316">
        <f>'DATA (Real)'!BE240</f>
        <v>0.1</v>
      </c>
      <c r="BF244" s="316">
        <f>'DATA (Real)'!BF240</f>
        <v>0.1</v>
      </c>
      <c r="BG244" s="316">
        <f>'DATA (Real)'!BG240</f>
        <v>0.1</v>
      </c>
      <c r="BH244" s="316">
        <f>'DATA (Real)'!BH240</f>
        <v>0.1</v>
      </c>
      <c r="BI244" s="316">
        <f>'DATA (Real)'!BI240</f>
        <v>0.1</v>
      </c>
      <c r="BJ244" s="316">
        <f>'DATA (Real)'!BJ240</f>
        <v>0.1</v>
      </c>
      <c r="BK244" s="316">
        <f>'DATA (Real)'!BK240</f>
        <v>0.1</v>
      </c>
      <c r="BL244" s="316">
        <f>'DATA (Real)'!BL240</f>
        <v>0.1</v>
      </c>
      <c r="BM244" s="316">
        <f>'DATA (Real)'!BM240</f>
        <v>0.1</v>
      </c>
      <c r="BN244" s="316">
        <f>'DATA (Real)'!BN240</f>
        <v>0.1</v>
      </c>
      <c r="BO244" s="316">
        <f>'DATA (Real)'!BO240</f>
        <v>0.1</v>
      </c>
      <c r="BP244" s="316">
        <f>'DATA (Real)'!BP240</f>
        <v>0.1</v>
      </c>
      <c r="BQ244" s="316">
        <f>'DATA (Real)'!BQ240</f>
        <v>0.1</v>
      </c>
      <c r="BR244" s="316">
        <f>'DATA (Real)'!BR240</f>
        <v>0.1</v>
      </c>
      <c r="BS244" s="316">
        <f>'DATA (Real)'!BS240</f>
        <v>0.1</v>
      </c>
      <c r="BT244" s="316">
        <f>'DATA (Real)'!BT240</f>
        <v>0.1</v>
      </c>
      <c r="BU244" s="316">
        <f>'DATA (Real)'!BU240</f>
        <v>0.1</v>
      </c>
      <c r="BV244" s="316">
        <f>'DATA (Real)'!BV240</f>
        <v>0.1</v>
      </c>
      <c r="BW244" s="316">
        <f>'DATA (Real)'!BW240</f>
        <v>0.1</v>
      </c>
      <c r="BX244" s="316">
        <f>'DATA (Real)'!BX240</f>
        <v>0.1</v>
      </c>
    </row>
    <row r="245" spans="2:76" hidden="1" outlineLevel="1">
      <c r="B245" s="352"/>
      <c r="C245" s="352" t="str">
        <f>'DATA (Real)'!C241</f>
        <v>Inflation Reduction Act</v>
      </c>
      <c r="D245" s="352" t="str">
        <f>'DATA (Real)'!D241</f>
        <v>ITC Schedule</v>
      </c>
      <c r="E245" s="352" t="str">
        <f>'DATA (Real)'!E241</f>
        <v>Solar Photovoltaic Fixed Array (5 MW AC)</v>
      </c>
      <c r="H245" s="316">
        <f>'DATA (Real)'!H241</f>
        <v>0.3</v>
      </c>
      <c r="I245" s="316">
        <f>'DATA (Real)'!I241</f>
        <v>0.3</v>
      </c>
      <c r="J245" s="316">
        <f>'DATA (Real)'!J241</f>
        <v>0.3</v>
      </c>
      <c r="K245" s="316">
        <f>'DATA (Real)'!K241</f>
        <v>0.3</v>
      </c>
      <c r="L245" s="316">
        <f>'DATA (Real)'!L241</f>
        <v>0.3</v>
      </c>
      <c r="M245" s="316">
        <f>'DATA (Real)'!M241</f>
        <v>0.3</v>
      </c>
      <c r="N245" s="316">
        <f>'DATA (Real)'!N241</f>
        <v>0.3</v>
      </c>
      <c r="O245" s="316">
        <f>'DATA (Real)'!O241</f>
        <v>0.3</v>
      </c>
      <c r="P245" s="316">
        <f>'DATA (Real)'!P241</f>
        <v>0.3</v>
      </c>
      <c r="Q245" s="316">
        <f>'DATA (Real)'!Q241</f>
        <v>0.3</v>
      </c>
      <c r="R245" s="316">
        <f>'DATA (Real)'!R241</f>
        <v>0.3</v>
      </c>
      <c r="S245" s="316">
        <f>'DATA (Real)'!S241</f>
        <v>0.26</v>
      </c>
      <c r="T245" s="316">
        <f>'DATA (Real)'!T241</f>
        <v>0.22</v>
      </c>
      <c r="U245" s="316">
        <f>'DATA (Real)'!U241</f>
        <v>0.1</v>
      </c>
      <c r="V245" s="316">
        <f>'DATA (Real)'!V241</f>
        <v>0.1</v>
      </c>
      <c r="W245" s="316">
        <f>'DATA (Real)'!W241</f>
        <v>0.1</v>
      </c>
      <c r="X245" s="316">
        <f>'DATA (Real)'!X241</f>
        <v>0.1</v>
      </c>
      <c r="Y245" s="316">
        <f>'DATA (Real)'!Y241</f>
        <v>0.1</v>
      </c>
      <c r="Z245" s="316">
        <f>'DATA (Real)'!Z241</f>
        <v>0.1</v>
      </c>
      <c r="AA245" s="316">
        <f>'DATA (Real)'!AA241</f>
        <v>0.1</v>
      </c>
      <c r="AB245" s="316">
        <f>'DATA (Real)'!AB241</f>
        <v>0.1</v>
      </c>
      <c r="AC245" s="316">
        <f>'DATA (Real)'!AC241</f>
        <v>0.1</v>
      </c>
      <c r="AD245" s="316">
        <f>'DATA (Real)'!AD241</f>
        <v>0.1</v>
      </c>
      <c r="AE245" s="316">
        <f>'DATA (Real)'!AE241</f>
        <v>0.1</v>
      </c>
      <c r="AF245" s="316">
        <f>'DATA (Real)'!AF241</f>
        <v>0.1</v>
      </c>
      <c r="AG245" s="316">
        <f>'DATA (Real)'!AG241</f>
        <v>0.1</v>
      </c>
      <c r="AH245" s="316">
        <f>'DATA (Real)'!AH241</f>
        <v>0.1</v>
      </c>
      <c r="AI245" s="316">
        <f>'DATA (Real)'!AI241</f>
        <v>0.1</v>
      </c>
      <c r="AJ245" s="316">
        <f>'DATA (Real)'!AJ241</f>
        <v>0.1</v>
      </c>
      <c r="AK245" s="316">
        <f>'DATA (Real)'!AK241</f>
        <v>0.1</v>
      </c>
      <c r="AL245" s="316">
        <f>'DATA (Real)'!AL241</f>
        <v>0.1</v>
      </c>
      <c r="AM245" s="316">
        <f>'DATA (Real)'!AM241</f>
        <v>0.1</v>
      </c>
      <c r="AN245" s="316">
        <f>'DATA (Real)'!AN241</f>
        <v>0.1</v>
      </c>
      <c r="AO245" s="316">
        <f>'DATA (Real)'!AO241</f>
        <v>0.1</v>
      </c>
      <c r="AP245" s="316">
        <f>'DATA (Real)'!AP241</f>
        <v>0.1</v>
      </c>
      <c r="AQ245" s="316">
        <f>'DATA (Real)'!AQ241</f>
        <v>0.1</v>
      </c>
      <c r="AR245" s="316">
        <f>'DATA (Real)'!AR241</f>
        <v>0.1</v>
      </c>
      <c r="AS245" s="316">
        <f>'DATA (Real)'!AS241</f>
        <v>0.1</v>
      </c>
      <c r="AT245" s="316">
        <f>'DATA (Real)'!AT241</f>
        <v>0.1</v>
      </c>
      <c r="AU245" s="316">
        <f>'DATA (Real)'!AU241</f>
        <v>0.1</v>
      </c>
      <c r="AV245" s="316">
        <f>'DATA (Real)'!AV241</f>
        <v>0.1</v>
      </c>
      <c r="AW245" s="316">
        <f>'DATA (Real)'!AW241</f>
        <v>0.1</v>
      </c>
      <c r="AX245" s="316">
        <f>'DATA (Real)'!AX241</f>
        <v>0.1</v>
      </c>
      <c r="AY245" s="316">
        <f>'DATA (Real)'!AY241</f>
        <v>0.1</v>
      </c>
      <c r="AZ245" s="316">
        <f>'DATA (Real)'!AZ241</f>
        <v>0.1</v>
      </c>
      <c r="BA245" s="316">
        <f>'DATA (Real)'!BA241</f>
        <v>0.1</v>
      </c>
      <c r="BB245" s="316">
        <f>'DATA (Real)'!BB241</f>
        <v>0.1</v>
      </c>
      <c r="BC245" s="316">
        <f>'DATA (Real)'!BC241</f>
        <v>0.1</v>
      </c>
      <c r="BD245" s="316">
        <f>'DATA (Real)'!BD241</f>
        <v>0.1</v>
      </c>
      <c r="BE245" s="316">
        <f>'DATA (Real)'!BE241</f>
        <v>0.1</v>
      </c>
      <c r="BF245" s="316">
        <f>'DATA (Real)'!BF241</f>
        <v>0.1</v>
      </c>
      <c r="BG245" s="316">
        <f>'DATA (Real)'!BG241</f>
        <v>0.1</v>
      </c>
      <c r="BH245" s="316">
        <f>'DATA (Real)'!BH241</f>
        <v>0.1</v>
      </c>
      <c r="BI245" s="316">
        <f>'DATA (Real)'!BI241</f>
        <v>0.1</v>
      </c>
      <c r="BJ245" s="316">
        <f>'DATA (Real)'!BJ241</f>
        <v>0.1</v>
      </c>
      <c r="BK245" s="316">
        <f>'DATA (Real)'!BK241</f>
        <v>0.1</v>
      </c>
      <c r="BL245" s="316">
        <f>'DATA (Real)'!BL241</f>
        <v>0.1</v>
      </c>
      <c r="BM245" s="316">
        <f>'DATA (Real)'!BM241</f>
        <v>0.1</v>
      </c>
      <c r="BN245" s="316">
        <f>'DATA (Real)'!BN241</f>
        <v>0.1</v>
      </c>
      <c r="BO245" s="316">
        <f>'DATA (Real)'!BO241</f>
        <v>0.1</v>
      </c>
      <c r="BP245" s="316">
        <f>'DATA (Real)'!BP241</f>
        <v>0.1</v>
      </c>
      <c r="BQ245" s="316">
        <f>'DATA (Real)'!BQ241</f>
        <v>0.1</v>
      </c>
      <c r="BR245" s="316">
        <f>'DATA (Real)'!BR241</f>
        <v>0.1</v>
      </c>
      <c r="BS245" s="316">
        <f>'DATA (Real)'!BS241</f>
        <v>0.1</v>
      </c>
      <c r="BT245" s="316">
        <f>'DATA (Real)'!BT241</f>
        <v>0.1</v>
      </c>
      <c r="BU245" s="316">
        <f>'DATA (Real)'!BU241</f>
        <v>0.1</v>
      </c>
      <c r="BV245" s="316">
        <f>'DATA (Real)'!BV241</f>
        <v>0.1</v>
      </c>
      <c r="BW245" s="316">
        <f>'DATA (Real)'!BW241</f>
        <v>0.1</v>
      </c>
      <c r="BX245" s="316">
        <f>'DATA (Real)'!BX241</f>
        <v>0.1</v>
      </c>
    </row>
    <row r="246" spans="2:76" hidden="1" outlineLevel="1">
      <c r="B246" s="352"/>
      <c r="C246" s="352" t="str">
        <f>'DATA (Real)'!C242</f>
        <v>Inflation Reduction Act</v>
      </c>
      <c r="D246" s="352" t="str">
        <f>'DATA (Real)'!D242</f>
        <v>ITC Schedule</v>
      </c>
      <c r="E246" s="352" t="str">
        <f>'DATA (Real)'!E242</f>
        <v>Solar Photovoltaic Fixed Array (5 MW AC) + Storage</v>
      </c>
      <c r="H246" s="316">
        <f>'DATA (Real)'!H242</f>
        <v>0.3</v>
      </c>
      <c r="I246" s="316">
        <f>'DATA (Real)'!I242</f>
        <v>0.3</v>
      </c>
      <c r="J246" s="316">
        <f>'DATA (Real)'!J242</f>
        <v>0.3</v>
      </c>
      <c r="K246" s="316">
        <f>'DATA (Real)'!K242</f>
        <v>0.3</v>
      </c>
      <c r="L246" s="316">
        <f>'DATA (Real)'!L242</f>
        <v>0.3</v>
      </c>
      <c r="M246" s="316">
        <f>'DATA (Real)'!M242</f>
        <v>0.3</v>
      </c>
      <c r="N246" s="316">
        <f>'DATA (Real)'!N242</f>
        <v>0.3</v>
      </c>
      <c r="O246" s="316">
        <f>'DATA (Real)'!O242</f>
        <v>0.3</v>
      </c>
      <c r="P246" s="316">
        <f>'DATA (Real)'!P242</f>
        <v>0.3</v>
      </c>
      <c r="Q246" s="316">
        <f>'DATA (Real)'!Q242</f>
        <v>0.3</v>
      </c>
      <c r="R246" s="316">
        <f>'DATA (Real)'!R242</f>
        <v>0.3</v>
      </c>
      <c r="S246" s="316">
        <f>'DATA (Real)'!S242</f>
        <v>0.26</v>
      </c>
      <c r="T246" s="316">
        <f>'DATA (Real)'!T242</f>
        <v>0.22</v>
      </c>
      <c r="U246" s="316">
        <f>'DATA (Real)'!U242</f>
        <v>0.1</v>
      </c>
      <c r="V246" s="316">
        <f>'DATA (Real)'!V242</f>
        <v>0.1</v>
      </c>
      <c r="W246" s="316">
        <f>'DATA (Real)'!W242</f>
        <v>0.1</v>
      </c>
      <c r="X246" s="316">
        <f>'DATA (Real)'!X242</f>
        <v>0.1</v>
      </c>
      <c r="Y246" s="316">
        <f>'DATA (Real)'!Y242</f>
        <v>0.1</v>
      </c>
      <c r="Z246" s="316">
        <f>'DATA (Real)'!Z242</f>
        <v>0.1</v>
      </c>
      <c r="AA246" s="316">
        <f>'DATA (Real)'!AA242</f>
        <v>0.1</v>
      </c>
      <c r="AB246" s="316">
        <f>'DATA (Real)'!AB242</f>
        <v>0.1</v>
      </c>
      <c r="AC246" s="316">
        <f>'DATA (Real)'!AC242</f>
        <v>0.1</v>
      </c>
      <c r="AD246" s="316">
        <f>'DATA (Real)'!AD242</f>
        <v>0.1</v>
      </c>
      <c r="AE246" s="316">
        <f>'DATA (Real)'!AE242</f>
        <v>0.1</v>
      </c>
      <c r="AF246" s="316">
        <f>'DATA (Real)'!AF242</f>
        <v>0.1</v>
      </c>
      <c r="AG246" s="316">
        <f>'DATA (Real)'!AG242</f>
        <v>0.1</v>
      </c>
      <c r="AH246" s="316">
        <f>'DATA (Real)'!AH242</f>
        <v>0.1</v>
      </c>
      <c r="AI246" s="316">
        <f>'DATA (Real)'!AI242</f>
        <v>0.1</v>
      </c>
      <c r="AJ246" s="316">
        <f>'DATA (Real)'!AJ242</f>
        <v>0.1</v>
      </c>
      <c r="AK246" s="316">
        <f>'DATA (Real)'!AK242</f>
        <v>0.1</v>
      </c>
      <c r="AL246" s="316">
        <f>'DATA (Real)'!AL242</f>
        <v>0.1</v>
      </c>
      <c r="AM246" s="316">
        <f>'DATA (Real)'!AM242</f>
        <v>0.1</v>
      </c>
      <c r="AN246" s="316">
        <f>'DATA (Real)'!AN242</f>
        <v>0.1</v>
      </c>
      <c r="AO246" s="316">
        <f>'DATA (Real)'!AO242</f>
        <v>0.1</v>
      </c>
      <c r="AP246" s="316">
        <f>'DATA (Real)'!AP242</f>
        <v>0.1</v>
      </c>
      <c r="AQ246" s="316">
        <f>'DATA (Real)'!AQ242</f>
        <v>0.1</v>
      </c>
      <c r="AR246" s="316">
        <f>'DATA (Real)'!AR242</f>
        <v>0.1</v>
      </c>
      <c r="AS246" s="316">
        <f>'DATA (Real)'!AS242</f>
        <v>0.1</v>
      </c>
      <c r="AT246" s="316">
        <f>'DATA (Real)'!AT242</f>
        <v>0.1</v>
      </c>
      <c r="AU246" s="316">
        <f>'DATA (Real)'!AU242</f>
        <v>0.1</v>
      </c>
      <c r="AV246" s="316">
        <f>'DATA (Real)'!AV242</f>
        <v>0.1</v>
      </c>
      <c r="AW246" s="316">
        <f>'DATA (Real)'!AW242</f>
        <v>0.1</v>
      </c>
      <c r="AX246" s="316">
        <f>'DATA (Real)'!AX242</f>
        <v>0.1</v>
      </c>
      <c r="AY246" s="316">
        <f>'DATA (Real)'!AY242</f>
        <v>0.1</v>
      </c>
      <c r="AZ246" s="316">
        <f>'DATA (Real)'!AZ242</f>
        <v>0.1</v>
      </c>
      <c r="BA246" s="316">
        <f>'DATA (Real)'!BA242</f>
        <v>0.1</v>
      </c>
      <c r="BB246" s="316">
        <f>'DATA (Real)'!BB242</f>
        <v>0.1</v>
      </c>
      <c r="BC246" s="316">
        <f>'DATA (Real)'!BC242</f>
        <v>0.1</v>
      </c>
      <c r="BD246" s="316">
        <f>'DATA (Real)'!BD242</f>
        <v>0.1</v>
      </c>
      <c r="BE246" s="316">
        <f>'DATA (Real)'!BE242</f>
        <v>0.1</v>
      </c>
      <c r="BF246" s="316">
        <f>'DATA (Real)'!BF242</f>
        <v>0.1</v>
      </c>
      <c r="BG246" s="316">
        <f>'DATA (Real)'!BG242</f>
        <v>0.1</v>
      </c>
      <c r="BH246" s="316">
        <f>'DATA (Real)'!BH242</f>
        <v>0.1</v>
      </c>
      <c r="BI246" s="316">
        <f>'DATA (Real)'!BI242</f>
        <v>0.1</v>
      </c>
      <c r="BJ246" s="316">
        <f>'DATA (Real)'!BJ242</f>
        <v>0.1</v>
      </c>
      <c r="BK246" s="316">
        <f>'DATA (Real)'!BK242</f>
        <v>0.1</v>
      </c>
      <c r="BL246" s="316">
        <f>'DATA (Real)'!BL242</f>
        <v>0.1</v>
      </c>
      <c r="BM246" s="316">
        <f>'DATA (Real)'!BM242</f>
        <v>0.1</v>
      </c>
      <c r="BN246" s="316">
        <f>'DATA (Real)'!BN242</f>
        <v>0.1</v>
      </c>
      <c r="BO246" s="316">
        <f>'DATA (Real)'!BO242</f>
        <v>0.1</v>
      </c>
      <c r="BP246" s="316">
        <f>'DATA (Real)'!BP242</f>
        <v>0.1</v>
      </c>
      <c r="BQ246" s="316">
        <f>'DATA (Real)'!BQ242</f>
        <v>0.1</v>
      </c>
      <c r="BR246" s="316">
        <f>'DATA (Real)'!BR242</f>
        <v>0.1</v>
      </c>
      <c r="BS246" s="316">
        <f>'DATA (Real)'!BS242</f>
        <v>0.1</v>
      </c>
      <c r="BT246" s="316">
        <f>'DATA (Real)'!BT242</f>
        <v>0.1</v>
      </c>
      <c r="BU246" s="316">
        <f>'DATA (Real)'!BU242</f>
        <v>0.1</v>
      </c>
      <c r="BV246" s="316">
        <f>'DATA (Real)'!BV242</f>
        <v>0.1</v>
      </c>
      <c r="BW246" s="316">
        <f>'DATA (Real)'!BW242</f>
        <v>0.1</v>
      </c>
      <c r="BX246" s="316">
        <f>'DATA (Real)'!BX242</f>
        <v>0.1</v>
      </c>
    </row>
    <row r="247" spans="2:76" hidden="1" outlineLevel="1">
      <c r="B247" s="352"/>
      <c r="C247" s="352" t="str">
        <f>'DATA (Real)'!C243</f>
        <v>Inflation Reduction Act</v>
      </c>
      <c r="D247" s="352" t="str">
        <f>'DATA (Real)'!D243</f>
        <v>ITC Schedule</v>
      </c>
      <c r="E247" s="352" t="str">
        <f>'DATA (Real)'!E243</f>
        <v>Solar Photovoltaic w/Single Axis Tracking (100 MW AC)</v>
      </c>
      <c r="H247" s="316">
        <f>'DATA (Real)'!H243</f>
        <v>0.3</v>
      </c>
      <c r="I247" s="316">
        <f>'DATA (Real)'!I243</f>
        <v>0.3</v>
      </c>
      <c r="J247" s="316">
        <f>'DATA (Real)'!J243</f>
        <v>0.3</v>
      </c>
      <c r="K247" s="316">
        <f>'DATA (Real)'!K243</f>
        <v>0.3</v>
      </c>
      <c r="L247" s="316">
        <f>'DATA (Real)'!L243</f>
        <v>0.3</v>
      </c>
      <c r="M247" s="316">
        <f>'DATA (Real)'!M243</f>
        <v>0.3</v>
      </c>
      <c r="N247" s="316">
        <f>'DATA (Real)'!N243</f>
        <v>0.3</v>
      </c>
      <c r="O247" s="316">
        <f>'DATA (Real)'!O243</f>
        <v>0.3</v>
      </c>
      <c r="P247" s="316">
        <f>'DATA (Real)'!P243</f>
        <v>0.3</v>
      </c>
      <c r="Q247" s="316">
        <f>'DATA (Real)'!Q243</f>
        <v>0.3</v>
      </c>
      <c r="R247" s="316">
        <f>'DATA (Real)'!R243</f>
        <v>0.3</v>
      </c>
      <c r="S247" s="316">
        <f>'DATA (Real)'!S243</f>
        <v>0.26</v>
      </c>
      <c r="T247" s="316">
        <f>'DATA (Real)'!T243</f>
        <v>0.22</v>
      </c>
      <c r="U247" s="316">
        <f>'DATA (Real)'!U243</f>
        <v>0.1</v>
      </c>
      <c r="V247" s="316">
        <f>'DATA (Real)'!V243</f>
        <v>0.1</v>
      </c>
      <c r="W247" s="316">
        <f>'DATA (Real)'!W243</f>
        <v>0.1</v>
      </c>
      <c r="X247" s="316">
        <f>'DATA (Real)'!X243</f>
        <v>0.1</v>
      </c>
      <c r="Y247" s="316">
        <f>'DATA (Real)'!Y243</f>
        <v>0.1</v>
      </c>
      <c r="Z247" s="316">
        <f>'DATA (Real)'!Z243</f>
        <v>0.1</v>
      </c>
      <c r="AA247" s="316">
        <f>'DATA (Real)'!AA243</f>
        <v>0.1</v>
      </c>
      <c r="AB247" s="316">
        <f>'DATA (Real)'!AB243</f>
        <v>0.1</v>
      </c>
      <c r="AC247" s="316">
        <f>'DATA (Real)'!AC243</f>
        <v>0.1</v>
      </c>
      <c r="AD247" s="316">
        <f>'DATA (Real)'!AD243</f>
        <v>0.1</v>
      </c>
      <c r="AE247" s="316">
        <f>'DATA (Real)'!AE243</f>
        <v>0.1</v>
      </c>
      <c r="AF247" s="316">
        <f>'DATA (Real)'!AF243</f>
        <v>0.1</v>
      </c>
      <c r="AG247" s="316">
        <f>'DATA (Real)'!AG243</f>
        <v>0.1</v>
      </c>
      <c r="AH247" s="316">
        <f>'DATA (Real)'!AH243</f>
        <v>0.1</v>
      </c>
      <c r="AI247" s="316">
        <f>'DATA (Real)'!AI243</f>
        <v>0.1</v>
      </c>
      <c r="AJ247" s="316">
        <f>'DATA (Real)'!AJ243</f>
        <v>0.1</v>
      </c>
      <c r="AK247" s="316">
        <f>'DATA (Real)'!AK243</f>
        <v>0.1</v>
      </c>
      <c r="AL247" s="316">
        <f>'DATA (Real)'!AL243</f>
        <v>0.1</v>
      </c>
      <c r="AM247" s="316">
        <f>'DATA (Real)'!AM243</f>
        <v>0.1</v>
      </c>
      <c r="AN247" s="316">
        <f>'DATA (Real)'!AN243</f>
        <v>0.1</v>
      </c>
      <c r="AO247" s="316">
        <f>'DATA (Real)'!AO243</f>
        <v>0.1</v>
      </c>
      <c r="AP247" s="316">
        <f>'DATA (Real)'!AP243</f>
        <v>0.1</v>
      </c>
      <c r="AQ247" s="316">
        <f>'DATA (Real)'!AQ243</f>
        <v>0.1</v>
      </c>
      <c r="AR247" s="316">
        <f>'DATA (Real)'!AR243</f>
        <v>0.1</v>
      </c>
      <c r="AS247" s="316">
        <f>'DATA (Real)'!AS243</f>
        <v>0.1</v>
      </c>
      <c r="AT247" s="316">
        <f>'DATA (Real)'!AT243</f>
        <v>0.1</v>
      </c>
      <c r="AU247" s="316">
        <f>'DATA (Real)'!AU243</f>
        <v>0.1</v>
      </c>
      <c r="AV247" s="316">
        <f>'DATA (Real)'!AV243</f>
        <v>0.1</v>
      </c>
      <c r="AW247" s="316">
        <f>'DATA (Real)'!AW243</f>
        <v>0.1</v>
      </c>
      <c r="AX247" s="316">
        <f>'DATA (Real)'!AX243</f>
        <v>0.1</v>
      </c>
      <c r="AY247" s="316">
        <f>'DATA (Real)'!AY243</f>
        <v>0.1</v>
      </c>
      <c r="AZ247" s="316">
        <f>'DATA (Real)'!AZ243</f>
        <v>0.1</v>
      </c>
      <c r="BA247" s="316">
        <f>'DATA (Real)'!BA243</f>
        <v>0.1</v>
      </c>
      <c r="BB247" s="316">
        <f>'DATA (Real)'!BB243</f>
        <v>0.1</v>
      </c>
      <c r="BC247" s="316">
        <f>'DATA (Real)'!BC243</f>
        <v>0.1</v>
      </c>
      <c r="BD247" s="316">
        <f>'DATA (Real)'!BD243</f>
        <v>0.1</v>
      </c>
      <c r="BE247" s="316">
        <f>'DATA (Real)'!BE243</f>
        <v>0.1</v>
      </c>
      <c r="BF247" s="316">
        <f>'DATA (Real)'!BF243</f>
        <v>0.1</v>
      </c>
      <c r="BG247" s="316">
        <f>'DATA (Real)'!BG243</f>
        <v>0.1</v>
      </c>
      <c r="BH247" s="316">
        <f>'DATA (Real)'!BH243</f>
        <v>0.1</v>
      </c>
      <c r="BI247" s="316">
        <f>'DATA (Real)'!BI243</f>
        <v>0.1</v>
      </c>
      <c r="BJ247" s="316">
        <f>'DATA (Real)'!BJ243</f>
        <v>0.1</v>
      </c>
      <c r="BK247" s="316">
        <f>'DATA (Real)'!BK243</f>
        <v>0.1</v>
      </c>
      <c r="BL247" s="316">
        <f>'DATA (Real)'!BL243</f>
        <v>0.1</v>
      </c>
      <c r="BM247" s="316">
        <f>'DATA (Real)'!BM243</f>
        <v>0.1</v>
      </c>
      <c r="BN247" s="316">
        <f>'DATA (Real)'!BN243</f>
        <v>0.1</v>
      </c>
      <c r="BO247" s="316">
        <f>'DATA (Real)'!BO243</f>
        <v>0.1</v>
      </c>
      <c r="BP247" s="316">
        <f>'DATA (Real)'!BP243</f>
        <v>0.1</v>
      </c>
      <c r="BQ247" s="316">
        <f>'DATA (Real)'!BQ243</f>
        <v>0.1</v>
      </c>
      <c r="BR247" s="316">
        <f>'DATA (Real)'!BR243</f>
        <v>0.1</v>
      </c>
      <c r="BS247" s="316">
        <f>'DATA (Real)'!BS243</f>
        <v>0.1</v>
      </c>
      <c r="BT247" s="316">
        <f>'DATA (Real)'!BT243</f>
        <v>0.1</v>
      </c>
      <c r="BU247" s="316">
        <f>'DATA (Real)'!BU243</f>
        <v>0.1</v>
      </c>
      <c r="BV247" s="316">
        <f>'DATA (Real)'!BV243</f>
        <v>0.1</v>
      </c>
      <c r="BW247" s="316">
        <f>'DATA (Real)'!BW243</f>
        <v>0.1</v>
      </c>
      <c r="BX247" s="316">
        <f>'DATA (Real)'!BX243</f>
        <v>0.1</v>
      </c>
    </row>
    <row r="248" spans="2:76" hidden="1" outlineLevel="1">
      <c r="B248" s="352"/>
      <c r="C248" s="352" t="str">
        <f>'DATA (Real)'!C244</f>
        <v>Inflation Reduction Act</v>
      </c>
      <c r="D248" s="352" t="str">
        <f>'DATA (Real)'!D244</f>
        <v>ITC Schedule</v>
      </c>
      <c r="E248" s="352" t="str">
        <f>'DATA (Real)'!E244</f>
        <v>Southern NW Solar Photovoltaic w/ Single Axis Tracking (100 MW AC)</v>
      </c>
      <c r="H248" s="316">
        <f>'DATA (Real)'!H244</f>
        <v>0.3</v>
      </c>
      <c r="I248" s="316">
        <f>'DATA (Real)'!I244</f>
        <v>0.3</v>
      </c>
      <c r="J248" s="316">
        <f>'DATA (Real)'!J244</f>
        <v>0.3</v>
      </c>
      <c r="K248" s="316">
        <f>'DATA (Real)'!K244</f>
        <v>0.3</v>
      </c>
      <c r="L248" s="316">
        <f>'DATA (Real)'!L244</f>
        <v>0.3</v>
      </c>
      <c r="M248" s="316">
        <f>'DATA (Real)'!M244</f>
        <v>0.3</v>
      </c>
      <c r="N248" s="316">
        <f>'DATA (Real)'!N244</f>
        <v>0.3</v>
      </c>
      <c r="O248" s="316">
        <f>'DATA (Real)'!O244</f>
        <v>0.3</v>
      </c>
      <c r="P248" s="316">
        <f>'DATA (Real)'!P244</f>
        <v>0.3</v>
      </c>
      <c r="Q248" s="316">
        <f>'DATA (Real)'!Q244</f>
        <v>0.3</v>
      </c>
      <c r="R248" s="316">
        <f>'DATA (Real)'!R244</f>
        <v>0.3</v>
      </c>
      <c r="S248" s="316">
        <f>'DATA (Real)'!S244</f>
        <v>0.26</v>
      </c>
      <c r="T248" s="316">
        <f>'DATA (Real)'!T244</f>
        <v>0.22</v>
      </c>
      <c r="U248" s="316">
        <f>'DATA (Real)'!U244</f>
        <v>0.1</v>
      </c>
      <c r="V248" s="316">
        <f>'DATA (Real)'!V244</f>
        <v>0.1</v>
      </c>
      <c r="W248" s="316">
        <f>'DATA (Real)'!W244</f>
        <v>0.1</v>
      </c>
      <c r="X248" s="316">
        <f>'DATA (Real)'!X244</f>
        <v>0.1</v>
      </c>
      <c r="Y248" s="316">
        <f>'DATA (Real)'!Y244</f>
        <v>0.1</v>
      </c>
      <c r="Z248" s="316">
        <f>'DATA (Real)'!Z244</f>
        <v>0.1</v>
      </c>
      <c r="AA248" s="316">
        <f>'DATA (Real)'!AA244</f>
        <v>0.1</v>
      </c>
      <c r="AB248" s="316">
        <f>'DATA (Real)'!AB244</f>
        <v>0.1</v>
      </c>
      <c r="AC248" s="316">
        <f>'DATA (Real)'!AC244</f>
        <v>0.1</v>
      </c>
      <c r="AD248" s="316">
        <f>'DATA (Real)'!AD244</f>
        <v>0.1</v>
      </c>
      <c r="AE248" s="316">
        <f>'DATA (Real)'!AE244</f>
        <v>0.1</v>
      </c>
      <c r="AF248" s="316">
        <f>'DATA (Real)'!AF244</f>
        <v>0.1</v>
      </c>
      <c r="AG248" s="316">
        <f>'DATA (Real)'!AG244</f>
        <v>0.1</v>
      </c>
      <c r="AH248" s="316">
        <f>'DATA (Real)'!AH244</f>
        <v>0.1</v>
      </c>
      <c r="AI248" s="316">
        <f>'DATA (Real)'!AI244</f>
        <v>0.1</v>
      </c>
      <c r="AJ248" s="316">
        <f>'DATA (Real)'!AJ244</f>
        <v>0.1</v>
      </c>
      <c r="AK248" s="316">
        <f>'DATA (Real)'!AK244</f>
        <v>0.1</v>
      </c>
      <c r="AL248" s="316">
        <f>'DATA (Real)'!AL244</f>
        <v>0.1</v>
      </c>
      <c r="AM248" s="316">
        <f>'DATA (Real)'!AM244</f>
        <v>0.1</v>
      </c>
      <c r="AN248" s="316">
        <f>'DATA (Real)'!AN244</f>
        <v>0.1</v>
      </c>
      <c r="AO248" s="316">
        <f>'DATA (Real)'!AO244</f>
        <v>0.1</v>
      </c>
      <c r="AP248" s="316">
        <f>'DATA (Real)'!AP244</f>
        <v>0.1</v>
      </c>
      <c r="AQ248" s="316">
        <f>'DATA (Real)'!AQ244</f>
        <v>0.1</v>
      </c>
      <c r="AR248" s="316">
        <f>'DATA (Real)'!AR244</f>
        <v>0.1</v>
      </c>
      <c r="AS248" s="316">
        <f>'DATA (Real)'!AS244</f>
        <v>0.1</v>
      </c>
      <c r="AT248" s="316">
        <f>'DATA (Real)'!AT244</f>
        <v>0.1</v>
      </c>
      <c r="AU248" s="316">
        <f>'DATA (Real)'!AU244</f>
        <v>0.1</v>
      </c>
      <c r="AV248" s="316">
        <f>'DATA (Real)'!AV244</f>
        <v>0.1</v>
      </c>
      <c r="AW248" s="316">
        <f>'DATA (Real)'!AW244</f>
        <v>0.1</v>
      </c>
      <c r="AX248" s="316">
        <f>'DATA (Real)'!AX244</f>
        <v>0.1</v>
      </c>
      <c r="AY248" s="316">
        <f>'DATA (Real)'!AY244</f>
        <v>0.1</v>
      </c>
      <c r="AZ248" s="316">
        <f>'DATA (Real)'!AZ244</f>
        <v>0.1</v>
      </c>
      <c r="BA248" s="316">
        <f>'DATA (Real)'!BA244</f>
        <v>0.1</v>
      </c>
      <c r="BB248" s="316">
        <f>'DATA (Real)'!BB244</f>
        <v>0.1</v>
      </c>
      <c r="BC248" s="316">
        <f>'DATA (Real)'!BC244</f>
        <v>0.1</v>
      </c>
      <c r="BD248" s="316">
        <f>'DATA (Real)'!BD244</f>
        <v>0.1</v>
      </c>
      <c r="BE248" s="316">
        <f>'DATA (Real)'!BE244</f>
        <v>0.1</v>
      </c>
      <c r="BF248" s="316">
        <f>'DATA (Real)'!BF244</f>
        <v>0.1</v>
      </c>
      <c r="BG248" s="316">
        <f>'DATA (Real)'!BG244</f>
        <v>0.1</v>
      </c>
      <c r="BH248" s="316">
        <f>'DATA (Real)'!BH244</f>
        <v>0.1</v>
      </c>
      <c r="BI248" s="316">
        <f>'DATA (Real)'!BI244</f>
        <v>0.1</v>
      </c>
      <c r="BJ248" s="316">
        <f>'DATA (Real)'!BJ244</f>
        <v>0.1</v>
      </c>
      <c r="BK248" s="316">
        <f>'DATA (Real)'!BK244</f>
        <v>0.1</v>
      </c>
      <c r="BL248" s="316">
        <f>'DATA (Real)'!BL244</f>
        <v>0.1</v>
      </c>
      <c r="BM248" s="316">
        <f>'DATA (Real)'!BM244</f>
        <v>0.1</v>
      </c>
      <c r="BN248" s="316">
        <f>'DATA (Real)'!BN244</f>
        <v>0.1</v>
      </c>
      <c r="BO248" s="316">
        <f>'DATA (Real)'!BO244</f>
        <v>0.1</v>
      </c>
      <c r="BP248" s="316">
        <f>'DATA (Real)'!BP244</f>
        <v>0.1</v>
      </c>
      <c r="BQ248" s="316">
        <f>'DATA (Real)'!BQ244</f>
        <v>0.1</v>
      </c>
      <c r="BR248" s="316">
        <f>'DATA (Real)'!BR244</f>
        <v>0.1</v>
      </c>
      <c r="BS248" s="316">
        <f>'DATA (Real)'!BS244</f>
        <v>0.1</v>
      </c>
      <c r="BT248" s="316">
        <f>'DATA (Real)'!BT244</f>
        <v>0.1</v>
      </c>
      <c r="BU248" s="316">
        <f>'DATA (Real)'!BU244</f>
        <v>0.1</v>
      </c>
      <c r="BV248" s="316">
        <f>'DATA (Real)'!BV244</f>
        <v>0.1</v>
      </c>
      <c r="BW248" s="316">
        <f>'DATA (Real)'!BW244</f>
        <v>0.1</v>
      </c>
      <c r="BX248" s="316">
        <f>'DATA (Real)'!BX244</f>
        <v>0.1</v>
      </c>
    </row>
    <row r="249" spans="2:76" hidden="1" outlineLevel="1">
      <c r="B249" s="352"/>
      <c r="C249" s="352" t="str">
        <f>'DATA (Real)'!C245</f>
        <v>Inflation Reduction Act</v>
      </c>
      <c r="D249" s="352" t="str">
        <f>'DATA (Real)'!D245</f>
        <v>ITC Schedule</v>
      </c>
      <c r="E249" s="352" t="str">
        <f>'DATA (Real)'!E245</f>
        <v>100 MW/400 MWh Lithium-ion w/Solar</v>
      </c>
      <c r="H249" s="316">
        <f>'DATA (Real)'!H245</f>
        <v>0.3</v>
      </c>
      <c r="I249" s="316">
        <f>'DATA (Real)'!I245</f>
        <v>0.3</v>
      </c>
      <c r="J249" s="316">
        <f>'DATA (Real)'!J245</f>
        <v>0.3</v>
      </c>
      <c r="K249" s="316">
        <f>'DATA (Real)'!K245</f>
        <v>0.3</v>
      </c>
      <c r="L249" s="316">
        <f>'DATA (Real)'!L245</f>
        <v>0.3</v>
      </c>
      <c r="M249" s="316">
        <f>'DATA (Real)'!M245</f>
        <v>0.3</v>
      </c>
      <c r="N249" s="316">
        <f>'DATA (Real)'!N245</f>
        <v>0.3</v>
      </c>
      <c r="O249" s="316">
        <f>'DATA (Real)'!O245</f>
        <v>0.3</v>
      </c>
      <c r="P249" s="316">
        <f>'DATA (Real)'!P245</f>
        <v>0.3</v>
      </c>
      <c r="Q249" s="316">
        <f>'DATA (Real)'!Q245</f>
        <v>0.3</v>
      </c>
      <c r="R249" s="316">
        <f>'DATA (Real)'!R245</f>
        <v>0.3</v>
      </c>
      <c r="S249" s="316">
        <f>'DATA (Real)'!S245</f>
        <v>0.26</v>
      </c>
      <c r="T249" s="316">
        <f>'DATA (Real)'!T245</f>
        <v>0.22</v>
      </c>
      <c r="U249" s="316">
        <f>'DATA (Real)'!U245</f>
        <v>0.1</v>
      </c>
      <c r="V249" s="316">
        <f>'DATA (Real)'!V245</f>
        <v>0.1</v>
      </c>
      <c r="W249" s="316">
        <f>'DATA (Real)'!W245</f>
        <v>0.1</v>
      </c>
      <c r="X249" s="316">
        <f>'DATA (Real)'!X245</f>
        <v>0.1</v>
      </c>
      <c r="Y249" s="316">
        <f>'DATA (Real)'!Y245</f>
        <v>0.1</v>
      </c>
      <c r="Z249" s="316">
        <f>'DATA (Real)'!Z245</f>
        <v>0.1</v>
      </c>
      <c r="AA249" s="316">
        <f>'DATA (Real)'!AA245</f>
        <v>0.1</v>
      </c>
      <c r="AB249" s="316">
        <f>'DATA (Real)'!AB245</f>
        <v>0.1</v>
      </c>
      <c r="AC249" s="316">
        <f>'DATA (Real)'!AC245</f>
        <v>0.1</v>
      </c>
      <c r="AD249" s="316">
        <f>'DATA (Real)'!AD245</f>
        <v>0.1</v>
      </c>
      <c r="AE249" s="316">
        <f>'DATA (Real)'!AE245</f>
        <v>0.1</v>
      </c>
      <c r="AF249" s="316">
        <f>'DATA (Real)'!AF245</f>
        <v>0.1</v>
      </c>
      <c r="AG249" s="316">
        <f>'DATA (Real)'!AG245</f>
        <v>0.1</v>
      </c>
      <c r="AH249" s="316">
        <f>'DATA (Real)'!AH245</f>
        <v>0.1</v>
      </c>
      <c r="AI249" s="316">
        <f>'DATA (Real)'!AI245</f>
        <v>0.1</v>
      </c>
      <c r="AJ249" s="316">
        <f>'DATA (Real)'!AJ245</f>
        <v>0.1</v>
      </c>
      <c r="AK249" s="316">
        <f>'DATA (Real)'!AK245</f>
        <v>0.1</v>
      </c>
      <c r="AL249" s="316">
        <f>'DATA (Real)'!AL245</f>
        <v>0.1</v>
      </c>
      <c r="AM249" s="316">
        <f>'DATA (Real)'!AM245</f>
        <v>0.1</v>
      </c>
      <c r="AN249" s="316">
        <f>'DATA (Real)'!AN245</f>
        <v>0.1</v>
      </c>
      <c r="AO249" s="316">
        <f>'DATA (Real)'!AO245</f>
        <v>0.1</v>
      </c>
      <c r="AP249" s="316">
        <f>'DATA (Real)'!AP245</f>
        <v>0.1</v>
      </c>
      <c r="AQ249" s="316">
        <f>'DATA (Real)'!AQ245</f>
        <v>0.1</v>
      </c>
      <c r="AR249" s="316">
        <f>'DATA (Real)'!AR245</f>
        <v>0.1</v>
      </c>
      <c r="AS249" s="316">
        <f>'DATA (Real)'!AS245</f>
        <v>0.1</v>
      </c>
      <c r="AT249" s="316">
        <f>'DATA (Real)'!AT245</f>
        <v>0.1</v>
      </c>
      <c r="AU249" s="316">
        <f>'DATA (Real)'!AU245</f>
        <v>0.1</v>
      </c>
      <c r="AV249" s="316">
        <f>'DATA (Real)'!AV245</f>
        <v>0.1</v>
      </c>
      <c r="AW249" s="316">
        <f>'DATA (Real)'!AW245</f>
        <v>0.1</v>
      </c>
      <c r="AX249" s="316">
        <f>'DATA (Real)'!AX245</f>
        <v>0.1</v>
      </c>
      <c r="AY249" s="316">
        <f>'DATA (Real)'!AY245</f>
        <v>0.1</v>
      </c>
      <c r="AZ249" s="316">
        <f>'DATA (Real)'!AZ245</f>
        <v>0.1</v>
      </c>
      <c r="BA249" s="316">
        <f>'DATA (Real)'!BA245</f>
        <v>0.1</v>
      </c>
      <c r="BB249" s="316">
        <f>'DATA (Real)'!BB245</f>
        <v>0.1</v>
      </c>
      <c r="BC249" s="316">
        <f>'DATA (Real)'!BC245</f>
        <v>0.1</v>
      </c>
      <c r="BD249" s="316">
        <f>'DATA (Real)'!BD245</f>
        <v>0.1</v>
      </c>
      <c r="BE249" s="316">
        <f>'DATA (Real)'!BE245</f>
        <v>0.1</v>
      </c>
      <c r="BF249" s="316">
        <f>'DATA (Real)'!BF245</f>
        <v>0.1</v>
      </c>
      <c r="BG249" s="316">
        <f>'DATA (Real)'!BG245</f>
        <v>0.1</v>
      </c>
      <c r="BH249" s="316">
        <f>'DATA (Real)'!BH245</f>
        <v>0.1</v>
      </c>
      <c r="BI249" s="316">
        <f>'DATA (Real)'!BI245</f>
        <v>0.1</v>
      </c>
      <c r="BJ249" s="316">
        <f>'DATA (Real)'!BJ245</f>
        <v>0.1</v>
      </c>
      <c r="BK249" s="316">
        <f>'DATA (Real)'!BK245</f>
        <v>0.1</v>
      </c>
      <c r="BL249" s="316">
        <f>'DATA (Real)'!BL245</f>
        <v>0.1</v>
      </c>
      <c r="BM249" s="316">
        <f>'DATA (Real)'!BM245</f>
        <v>0.1</v>
      </c>
      <c r="BN249" s="316">
        <f>'DATA (Real)'!BN245</f>
        <v>0.1</v>
      </c>
      <c r="BO249" s="316">
        <f>'DATA (Real)'!BO245</f>
        <v>0.1</v>
      </c>
      <c r="BP249" s="316">
        <f>'DATA (Real)'!BP245</f>
        <v>0.1</v>
      </c>
      <c r="BQ249" s="316">
        <f>'DATA (Real)'!BQ245</f>
        <v>0.1</v>
      </c>
      <c r="BR249" s="316">
        <f>'DATA (Real)'!BR245</f>
        <v>0.1</v>
      </c>
      <c r="BS249" s="316">
        <f>'DATA (Real)'!BS245</f>
        <v>0.1</v>
      </c>
      <c r="BT249" s="316">
        <f>'DATA (Real)'!BT245</f>
        <v>0.1</v>
      </c>
      <c r="BU249" s="316">
        <f>'DATA (Real)'!BU245</f>
        <v>0.1</v>
      </c>
      <c r="BV249" s="316">
        <f>'DATA (Real)'!BV245</f>
        <v>0.1</v>
      </c>
      <c r="BW249" s="316">
        <f>'DATA (Real)'!BW245</f>
        <v>0.1</v>
      </c>
      <c r="BX249" s="316">
        <f>'DATA (Real)'!BX245</f>
        <v>0.1</v>
      </c>
    </row>
    <row r="250" spans="2:76" hidden="1" outlineLevel="1">
      <c r="B250" s="352"/>
      <c r="C250" s="352" t="str">
        <f>'DATA (Real)'!C246</f>
        <v>Inflation Reduction Act</v>
      </c>
      <c r="D250" s="352" t="str">
        <f>'DATA (Real)'!D246</f>
        <v>ITC Schedule</v>
      </c>
      <c r="E250" s="352" t="str">
        <f>'DATA (Real)'!E246</f>
        <v>100 MW/200 MWh Lithium-ion w/Solar</v>
      </c>
      <c r="H250" s="316">
        <f>'DATA (Real)'!H246</f>
        <v>0.3</v>
      </c>
      <c r="I250" s="316">
        <f>'DATA (Real)'!I246</f>
        <v>0.3</v>
      </c>
      <c r="J250" s="316">
        <f>'DATA (Real)'!J246</f>
        <v>0.3</v>
      </c>
      <c r="K250" s="316">
        <f>'DATA (Real)'!K246</f>
        <v>0.3</v>
      </c>
      <c r="L250" s="316">
        <f>'DATA (Real)'!L246</f>
        <v>0.3</v>
      </c>
      <c r="M250" s="316">
        <f>'DATA (Real)'!M246</f>
        <v>0.3</v>
      </c>
      <c r="N250" s="316">
        <f>'DATA (Real)'!N246</f>
        <v>0.3</v>
      </c>
      <c r="O250" s="316">
        <f>'DATA (Real)'!O246</f>
        <v>0.3</v>
      </c>
      <c r="P250" s="316">
        <f>'DATA (Real)'!P246</f>
        <v>0.3</v>
      </c>
      <c r="Q250" s="316">
        <f>'DATA (Real)'!Q246</f>
        <v>0.3</v>
      </c>
      <c r="R250" s="316">
        <f>'DATA (Real)'!R246</f>
        <v>0.3</v>
      </c>
      <c r="S250" s="316">
        <f>'DATA (Real)'!S246</f>
        <v>0.26</v>
      </c>
      <c r="T250" s="316">
        <f>'DATA (Real)'!T246</f>
        <v>0.22</v>
      </c>
      <c r="U250" s="316">
        <f>'DATA (Real)'!U246</f>
        <v>0.1</v>
      </c>
      <c r="V250" s="316">
        <f>'DATA (Real)'!V246</f>
        <v>0.1</v>
      </c>
      <c r="W250" s="316">
        <f>'DATA (Real)'!W246</f>
        <v>0.1</v>
      </c>
      <c r="X250" s="316">
        <f>'DATA (Real)'!X246</f>
        <v>0.1</v>
      </c>
      <c r="Y250" s="316">
        <f>'DATA (Real)'!Y246</f>
        <v>0.1</v>
      </c>
      <c r="Z250" s="316">
        <f>'DATA (Real)'!Z246</f>
        <v>0.1</v>
      </c>
      <c r="AA250" s="316">
        <f>'DATA (Real)'!AA246</f>
        <v>0.1</v>
      </c>
      <c r="AB250" s="316">
        <f>'DATA (Real)'!AB246</f>
        <v>0.1</v>
      </c>
      <c r="AC250" s="316">
        <f>'DATA (Real)'!AC246</f>
        <v>0.1</v>
      </c>
      <c r="AD250" s="316">
        <f>'DATA (Real)'!AD246</f>
        <v>0.1</v>
      </c>
      <c r="AE250" s="316">
        <f>'DATA (Real)'!AE246</f>
        <v>0.1</v>
      </c>
      <c r="AF250" s="316">
        <f>'DATA (Real)'!AF246</f>
        <v>0.1</v>
      </c>
      <c r="AG250" s="316">
        <f>'DATA (Real)'!AG246</f>
        <v>0.1</v>
      </c>
      <c r="AH250" s="316">
        <f>'DATA (Real)'!AH246</f>
        <v>0.1</v>
      </c>
      <c r="AI250" s="316">
        <f>'DATA (Real)'!AI246</f>
        <v>0.1</v>
      </c>
      <c r="AJ250" s="316">
        <f>'DATA (Real)'!AJ246</f>
        <v>0.1</v>
      </c>
      <c r="AK250" s="316">
        <f>'DATA (Real)'!AK246</f>
        <v>0.1</v>
      </c>
      <c r="AL250" s="316">
        <f>'DATA (Real)'!AL246</f>
        <v>0.1</v>
      </c>
      <c r="AM250" s="316">
        <f>'DATA (Real)'!AM246</f>
        <v>0.1</v>
      </c>
      <c r="AN250" s="316">
        <f>'DATA (Real)'!AN246</f>
        <v>0.1</v>
      </c>
      <c r="AO250" s="316">
        <f>'DATA (Real)'!AO246</f>
        <v>0.1</v>
      </c>
      <c r="AP250" s="316">
        <f>'DATA (Real)'!AP246</f>
        <v>0.1</v>
      </c>
      <c r="AQ250" s="316">
        <f>'DATA (Real)'!AQ246</f>
        <v>0.1</v>
      </c>
      <c r="AR250" s="316">
        <f>'DATA (Real)'!AR246</f>
        <v>0.1</v>
      </c>
      <c r="AS250" s="316">
        <f>'DATA (Real)'!AS246</f>
        <v>0.1</v>
      </c>
      <c r="AT250" s="316">
        <f>'DATA (Real)'!AT246</f>
        <v>0.1</v>
      </c>
      <c r="AU250" s="316">
        <f>'DATA (Real)'!AU246</f>
        <v>0.1</v>
      </c>
      <c r="AV250" s="316">
        <f>'DATA (Real)'!AV246</f>
        <v>0.1</v>
      </c>
      <c r="AW250" s="316">
        <f>'DATA (Real)'!AW246</f>
        <v>0.1</v>
      </c>
      <c r="AX250" s="316">
        <f>'DATA (Real)'!AX246</f>
        <v>0.1</v>
      </c>
      <c r="AY250" s="316">
        <f>'DATA (Real)'!AY246</f>
        <v>0.1</v>
      </c>
      <c r="AZ250" s="316">
        <f>'DATA (Real)'!AZ246</f>
        <v>0.1</v>
      </c>
      <c r="BA250" s="316">
        <f>'DATA (Real)'!BA246</f>
        <v>0.1</v>
      </c>
      <c r="BB250" s="316">
        <f>'DATA (Real)'!BB246</f>
        <v>0.1</v>
      </c>
      <c r="BC250" s="316">
        <f>'DATA (Real)'!BC246</f>
        <v>0.1</v>
      </c>
      <c r="BD250" s="316">
        <f>'DATA (Real)'!BD246</f>
        <v>0.1</v>
      </c>
      <c r="BE250" s="316">
        <f>'DATA (Real)'!BE246</f>
        <v>0.1</v>
      </c>
      <c r="BF250" s="316">
        <f>'DATA (Real)'!BF246</f>
        <v>0.1</v>
      </c>
      <c r="BG250" s="316">
        <f>'DATA (Real)'!BG246</f>
        <v>0.1</v>
      </c>
      <c r="BH250" s="316">
        <f>'DATA (Real)'!BH246</f>
        <v>0.1</v>
      </c>
      <c r="BI250" s="316">
        <f>'DATA (Real)'!BI246</f>
        <v>0.1</v>
      </c>
      <c r="BJ250" s="316">
        <f>'DATA (Real)'!BJ246</f>
        <v>0.1</v>
      </c>
      <c r="BK250" s="316">
        <f>'DATA (Real)'!BK246</f>
        <v>0.1</v>
      </c>
      <c r="BL250" s="316">
        <f>'DATA (Real)'!BL246</f>
        <v>0.1</v>
      </c>
      <c r="BM250" s="316">
        <f>'DATA (Real)'!BM246</f>
        <v>0.1</v>
      </c>
      <c r="BN250" s="316">
        <f>'DATA (Real)'!BN246</f>
        <v>0.1</v>
      </c>
      <c r="BO250" s="316">
        <f>'DATA (Real)'!BO246</f>
        <v>0.1</v>
      </c>
      <c r="BP250" s="316">
        <f>'DATA (Real)'!BP246</f>
        <v>0.1</v>
      </c>
      <c r="BQ250" s="316">
        <f>'DATA (Real)'!BQ246</f>
        <v>0.1</v>
      </c>
      <c r="BR250" s="316">
        <f>'DATA (Real)'!BR246</f>
        <v>0.1</v>
      </c>
      <c r="BS250" s="316">
        <f>'DATA (Real)'!BS246</f>
        <v>0.1</v>
      </c>
      <c r="BT250" s="316">
        <f>'DATA (Real)'!BT246</f>
        <v>0.1</v>
      </c>
      <c r="BU250" s="316">
        <f>'DATA (Real)'!BU246</f>
        <v>0.1</v>
      </c>
      <c r="BV250" s="316">
        <f>'DATA (Real)'!BV246</f>
        <v>0.1</v>
      </c>
      <c r="BW250" s="316">
        <f>'DATA (Real)'!BW246</f>
        <v>0.1</v>
      </c>
      <c r="BX250" s="316">
        <f>'DATA (Real)'!BX246</f>
        <v>0.1</v>
      </c>
    </row>
    <row r="251" spans="2:76" hidden="1" outlineLevel="1">
      <c r="B251" s="352"/>
      <c r="C251" s="352" t="str">
        <f>'DATA (Real)'!C247</f>
        <v>Inflation Reduction Act</v>
      </c>
      <c r="D251" s="352" t="str">
        <f>'DATA (Real)'!D247</f>
        <v>ITC Schedule</v>
      </c>
      <c r="E251" s="352" t="str">
        <f>'DATA (Real)'!E247</f>
        <v>50 MW/200 MWh Lithium-ion w/Solar</v>
      </c>
      <c r="H251" s="316">
        <f>'DATA (Real)'!H247</f>
        <v>0.3</v>
      </c>
      <c r="I251" s="316">
        <f>'DATA (Real)'!I247</f>
        <v>0.3</v>
      </c>
      <c r="J251" s="316">
        <f>'DATA (Real)'!J247</f>
        <v>0.3</v>
      </c>
      <c r="K251" s="316">
        <f>'DATA (Real)'!K247</f>
        <v>0.3</v>
      </c>
      <c r="L251" s="316">
        <f>'DATA (Real)'!L247</f>
        <v>0.3</v>
      </c>
      <c r="M251" s="316">
        <f>'DATA (Real)'!M247</f>
        <v>0.3</v>
      </c>
      <c r="N251" s="316">
        <f>'DATA (Real)'!N247</f>
        <v>0.3</v>
      </c>
      <c r="O251" s="316">
        <f>'DATA (Real)'!O247</f>
        <v>0.3</v>
      </c>
      <c r="P251" s="316">
        <f>'DATA (Real)'!P247</f>
        <v>0.3</v>
      </c>
      <c r="Q251" s="316">
        <f>'DATA (Real)'!Q247</f>
        <v>0.3</v>
      </c>
      <c r="R251" s="316">
        <f>'DATA (Real)'!R247</f>
        <v>0.3</v>
      </c>
      <c r="S251" s="316">
        <f>'DATA (Real)'!S247</f>
        <v>0.26</v>
      </c>
      <c r="T251" s="316">
        <f>'DATA (Real)'!T247</f>
        <v>0.22</v>
      </c>
      <c r="U251" s="316">
        <f>'DATA (Real)'!U247</f>
        <v>0.1</v>
      </c>
      <c r="V251" s="316">
        <f>'DATA (Real)'!V247</f>
        <v>0.1</v>
      </c>
      <c r="W251" s="316">
        <f>'DATA (Real)'!W247</f>
        <v>0.1</v>
      </c>
      <c r="X251" s="316">
        <f>'DATA (Real)'!X247</f>
        <v>0.1</v>
      </c>
      <c r="Y251" s="316">
        <f>'DATA (Real)'!Y247</f>
        <v>0.1</v>
      </c>
      <c r="Z251" s="316">
        <f>'DATA (Real)'!Z247</f>
        <v>0.1</v>
      </c>
      <c r="AA251" s="316">
        <f>'DATA (Real)'!AA247</f>
        <v>0.1</v>
      </c>
      <c r="AB251" s="316">
        <f>'DATA (Real)'!AB247</f>
        <v>0.1</v>
      </c>
      <c r="AC251" s="316">
        <f>'DATA (Real)'!AC247</f>
        <v>0.1</v>
      </c>
      <c r="AD251" s="316">
        <f>'DATA (Real)'!AD247</f>
        <v>0.1</v>
      </c>
      <c r="AE251" s="316">
        <f>'DATA (Real)'!AE247</f>
        <v>0.1</v>
      </c>
      <c r="AF251" s="316">
        <f>'DATA (Real)'!AF247</f>
        <v>0.1</v>
      </c>
      <c r="AG251" s="316">
        <f>'DATA (Real)'!AG247</f>
        <v>0.1</v>
      </c>
      <c r="AH251" s="316">
        <f>'DATA (Real)'!AH247</f>
        <v>0.1</v>
      </c>
      <c r="AI251" s="316">
        <f>'DATA (Real)'!AI247</f>
        <v>0.1</v>
      </c>
      <c r="AJ251" s="316">
        <f>'DATA (Real)'!AJ247</f>
        <v>0.1</v>
      </c>
      <c r="AK251" s="316">
        <f>'DATA (Real)'!AK247</f>
        <v>0.1</v>
      </c>
      <c r="AL251" s="316">
        <f>'DATA (Real)'!AL247</f>
        <v>0.1</v>
      </c>
      <c r="AM251" s="316">
        <f>'DATA (Real)'!AM247</f>
        <v>0.1</v>
      </c>
      <c r="AN251" s="316">
        <f>'DATA (Real)'!AN247</f>
        <v>0.1</v>
      </c>
      <c r="AO251" s="316">
        <f>'DATA (Real)'!AO247</f>
        <v>0.1</v>
      </c>
      <c r="AP251" s="316">
        <f>'DATA (Real)'!AP247</f>
        <v>0.1</v>
      </c>
      <c r="AQ251" s="316">
        <f>'DATA (Real)'!AQ247</f>
        <v>0.1</v>
      </c>
      <c r="AR251" s="316">
        <f>'DATA (Real)'!AR247</f>
        <v>0.1</v>
      </c>
      <c r="AS251" s="316">
        <f>'DATA (Real)'!AS247</f>
        <v>0.1</v>
      </c>
      <c r="AT251" s="316">
        <f>'DATA (Real)'!AT247</f>
        <v>0.1</v>
      </c>
      <c r="AU251" s="316">
        <f>'DATA (Real)'!AU247</f>
        <v>0.1</v>
      </c>
      <c r="AV251" s="316">
        <f>'DATA (Real)'!AV247</f>
        <v>0.1</v>
      </c>
      <c r="AW251" s="316">
        <f>'DATA (Real)'!AW247</f>
        <v>0.1</v>
      </c>
      <c r="AX251" s="316">
        <f>'DATA (Real)'!AX247</f>
        <v>0.1</v>
      </c>
      <c r="AY251" s="316">
        <f>'DATA (Real)'!AY247</f>
        <v>0.1</v>
      </c>
      <c r="AZ251" s="316">
        <f>'DATA (Real)'!AZ247</f>
        <v>0.1</v>
      </c>
      <c r="BA251" s="316">
        <f>'DATA (Real)'!BA247</f>
        <v>0.1</v>
      </c>
      <c r="BB251" s="316">
        <f>'DATA (Real)'!BB247</f>
        <v>0.1</v>
      </c>
      <c r="BC251" s="316">
        <f>'DATA (Real)'!BC247</f>
        <v>0.1</v>
      </c>
      <c r="BD251" s="316">
        <f>'DATA (Real)'!BD247</f>
        <v>0.1</v>
      </c>
      <c r="BE251" s="316">
        <f>'DATA (Real)'!BE247</f>
        <v>0.1</v>
      </c>
      <c r="BF251" s="316">
        <f>'DATA (Real)'!BF247</f>
        <v>0.1</v>
      </c>
      <c r="BG251" s="316">
        <f>'DATA (Real)'!BG247</f>
        <v>0.1</v>
      </c>
      <c r="BH251" s="316">
        <f>'DATA (Real)'!BH247</f>
        <v>0.1</v>
      </c>
      <c r="BI251" s="316">
        <f>'DATA (Real)'!BI247</f>
        <v>0.1</v>
      </c>
      <c r="BJ251" s="316">
        <f>'DATA (Real)'!BJ247</f>
        <v>0.1</v>
      </c>
      <c r="BK251" s="316">
        <f>'DATA (Real)'!BK247</f>
        <v>0.1</v>
      </c>
      <c r="BL251" s="316">
        <f>'DATA (Real)'!BL247</f>
        <v>0.1</v>
      </c>
      <c r="BM251" s="316">
        <f>'DATA (Real)'!BM247</f>
        <v>0.1</v>
      </c>
      <c r="BN251" s="316">
        <f>'DATA (Real)'!BN247</f>
        <v>0.1</v>
      </c>
      <c r="BO251" s="316">
        <f>'DATA (Real)'!BO247</f>
        <v>0.1</v>
      </c>
      <c r="BP251" s="316">
        <f>'DATA (Real)'!BP247</f>
        <v>0.1</v>
      </c>
      <c r="BQ251" s="316">
        <f>'DATA (Real)'!BQ247</f>
        <v>0.1</v>
      </c>
      <c r="BR251" s="316">
        <f>'DATA (Real)'!BR247</f>
        <v>0.1</v>
      </c>
      <c r="BS251" s="316">
        <f>'DATA (Real)'!BS247</f>
        <v>0.1</v>
      </c>
      <c r="BT251" s="316">
        <f>'DATA (Real)'!BT247</f>
        <v>0.1</v>
      </c>
      <c r="BU251" s="316">
        <f>'DATA (Real)'!BU247</f>
        <v>0.1</v>
      </c>
      <c r="BV251" s="316">
        <f>'DATA (Real)'!BV247</f>
        <v>0.1</v>
      </c>
      <c r="BW251" s="316">
        <f>'DATA (Real)'!BW247</f>
        <v>0.1</v>
      </c>
      <c r="BX251" s="316">
        <f>'DATA (Real)'!BX247</f>
        <v>0.1</v>
      </c>
    </row>
    <row r="252" spans="2:76" hidden="1" outlineLevel="1">
      <c r="B252" s="352"/>
      <c r="C252" s="352" t="str">
        <f>'DATA (Real)'!C248</f>
        <v>Inflation Reduction Act</v>
      </c>
      <c r="D252" s="352" t="str">
        <f>'DATA (Real)'!D248</f>
        <v>PTC Schedule</v>
      </c>
      <c r="E252" s="352" t="str">
        <f>'DATA (Real)'!E248</f>
        <v>New Residential Solar</v>
      </c>
      <c r="H252" s="316">
        <f>'DATA (Real)'!H248</f>
        <v>1</v>
      </c>
      <c r="I252" s="316">
        <f>'DATA (Real)'!I248</f>
        <v>1</v>
      </c>
      <c r="J252" s="316">
        <f>'DATA (Real)'!J248</f>
        <v>1</v>
      </c>
      <c r="K252" s="316">
        <f>'DATA (Real)'!K248</f>
        <v>1</v>
      </c>
      <c r="L252" s="316">
        <f>'DATA (Real)'!L248</f>
        <v>1</v>
      </c>
      <c r="M252" s="316">
        <f>'DATA (Real)'!M248</f>
        <v>1</v>
      </c>
      <c r="N252" s="316">
        <f>'DATA (Real)'!N248</f>
        <v>1</v>
      </c>
      <c r="O252" s="316">
        <f>'DATA (Real)'!O248</f>
        <v>1</v>
      </c>
      <c r="P252" s="316">
        <f>'DATA (Real)'!P248</f>
        <v>1</v>
      </c>
      <c r="Q252" s="316">
        <f>'DATA (Real)'!Q248</f>
        <v>1</v>
      </c>
      <c r="R252" s="316">
        <f>'DATA (Real)'!R248</f>
        <v>1</v>
      </c>
      <c r="S252" s="316">
        <f>'DATA (Real)'!S248</f>
        <v>0.6</v>
      </c>
      <c r="T252" s="316">
        <f>'DATA (Real)'!T248</f>
        <v>0.4</v>
      </c>
      <c r="U252" s="316">
        <f>'DATA (Real)'!U248</f>
        <v>0</v>
      </c>
      <c r="V252" s="316">
        <f>'DATA (Real)'!V248</f>
        <v>0</v>
      </c>
      <c r="W252" s="316">
        <f>'DATA (Real)'!W248</f>
        <v>0</v>
      </c>
      <c r="X252" s="316">
        <f>'DATA (Real)'!X248</f>
        <v>0</v>
      </c>
      <c r="Y252" s="316">
        <f>'DATA (Real)'!Y248</f>
        <v>0</v>
      </c>
      <c r="Z252" s="316">
        <f>'DATA (Real)'!Z248</f>
        <v>0</v>
      </c>
      <c r="AA252" s="316">
        <f>'DATA (Real)'!AA248</f>
        <v>0</v>
      </c>
      <c r="AB252" s="316">
        <f>'DATA (Real)'!AB248</f>
        <v>0</v>
      </c>
      <c r="AC252" s="316">
        <f>'DATA (Real)'!AC248</f>
        <v>0</v>
      </c>
      <c r="AD252" s="316">
        <f>'DATA (Real)'!AD248</f>
        <v>0</v>
      </c>
      <c r="AE252" s="316">
        <f>'DATA (Real)'!AE248</f>
        <v>0</v>
      </c>
      <c r="AF252" s="316">
        <f>'DATA (Real)'!AF248</f>
        <v>0</v>
      </c>
      <c r="AG252" s="316">
        <f>'DATA (Real)'!AG248</f>
        <v>0</v>
      </c>
      <c r="AH252" s="316">
        <f>'DATA (Real)'!AH248</f>
        <v>0</v>
      </c>
      <c r="AI252" s="316">
        <f>'DATA (Real)'!AI248</f>
        <v>0</v>
      </c>
      <c r="AJ252" s="316">
        <f>'DATA (Real)'!AJ248</f>
        <v>0</v>
      </c>
      <c r="AK252" s="316">
        <f>'DATA (Real)'!AK248</f>
        <v>0</v>
      </c>
      <c r="AL252" s="316">
        <f>'DATA (Real)'!AL248</f>
        <v>0</v>
      </c>
      <c r="AM252" s="316">
        <f>'DATA (Real)'!AM248</f>
        <v>0</v>
      </c>
      <c r="AN252" s="316">
        <f>'DATA (Real)'!AN248</f>
        <v>0</v>
      </c>
      <c r="AO252" s="316">
        <f>'DATA (Real)'!AO248</f>
        <v>0</v>
      </c>
      <c r="AP252" s="316">
        <f>'DATA (Real)'!AP248</f>
        <v>0</v>
      </c>
      <c r="AQ252" s="316">
        <f>'DATA (Real)'!AQ248</f>
        <v>0</v>
      </c>
      <c r="AR252" s="316">
        <f>'DATA (Real)'!AR248</f>
        <v>0</v>
      </c>
      <c r="AS252" s="316">
        <f>'DATA (Real)'!AS248</f>
        <v>0</v>
      </c>
      <c r="AT252" s="316">
        <f>'DATA (Real)'!AT248</f>
        <v>0</v>
      </c>
      <c r="AU252" s="316">
        <f>'DATA (Real)'!AU248</f>
        <v>0</v>
      </c>
      <c r="AV252" s="316">
        <f>'DATA (Real)'!AV248</f>
        <v>0</v>
      </c>
      <c r="AW252" s="316">
        <f>'DATA (Real)'!AW248</f>
        <v>0</v>
      </c>
      <c r="AX252" s="316">
        <f>'DATA (Real)'!AX248</f>
        <v>0</v>
      </c>
      <c r="AY252" s="316">
        <f>'DATA (Real)'!AY248</f>
        <v>0</v>
      </c>
      <c r="AZ252" s="316">
        <f>'DATA (Real)'!AZ248</f>
        <v>0</v>
      </c>
      <c r="BA252" s="316">
        <f>'DATA (Real)'!BA248</f>
        <v>0</v>
      </c>
      <c r="BB252" s="316">
        <f>'DATA (Real)'!BB248</f>
        <v>0</v>
      </c>
      <c r="BC252" s="316">
        <f>'DATA (Real)'!BC248</f>
        <v>0</v>
      </c>
      <c r="BD252" s="316">
        <f>'DATA (Real)'!BD248</f>
        <v>0</v>
      </c>
      <c r="BE252" s="316">
        <f>'DATA (Real)'!BE248</f>
        <v>0</v>
      </c>
      <c r="BF252" s="316">
        <f>'DATA (Real)'!BF248</f>
        <v>0</v>
      </c>
      <c r="BG252" s="316">
        <f>'DATA (Real)'!BG248</f>
        <v>0</v>
      </c>
      <c r="BH252" s="316">
        <f>'DATA (Real)'!BH248</f>
        <v>0</v>
      </c>
      <c r="BI252" s="316">
        <f>'DATA (Real)'!BI248</f>
        <v>0</v>
      </c>
      <c r="BJ252" s="316">
        <f>'DATA (Real)'!BJ248</f>
        <v>0</v>
      </c>
      <c r="BK252" s="316">
        <f>'DATA (Real)'!BK248</f>
        <v>0</v>
      </c>
      <c r="BL252" s="316">
        <f>'DATA (Real)'!BL248</f>
        <v>0</v>
      </c>
      <c r="BM252" s="316">
        <f>'DATA (Real)'!BM248</f>
        <v>0</v>
      </c>
      <c r="BN252" s="316">
        <f>'DATA (Real)'!BN248</f>
        <v>0</v>
      </c>
      <c r="BO252" s="316">
        <f>'DATA (Real)'!BO248</f>
        <v>0</v>
      </c>
      <c r="BP252" s="316">
        <f>'DATA (Real)'!BP248</f>
        <v>0</v>
      </c>
      <c r="BQ252" s="316">
        <f>'DATA (Real)'!BQ248</f>
        <v>0</v>
      </c>
      <c r="BR252" s="316">
        <f>'DATA (Real)'!BR248</f>
        <v>0</v>
      </c>
      <c r="BS252" s="316">
        <f>'DATA (Real)'!BS248</f>
        <v>0</v>
      </c>
      <c r="BT252" s="316">
        <f>'DATA (Real)'!BT248</f>
        <v>0</v>
      </c>
      <c r="BU252" s="316">
        <f>'DATA (Real)'!BU248</f>
        <v>0</v>
      </c>
      <c r="BV252" s="316">
        <f>'DATA (Real)'!BV248</f>
        <v>0</v>
      </c>
      <c r="BW252" s="316">
        <f>'DATA (Real)'!BW248</f>
        <v>0</v>
      </c>
      <c r="BX252" s="316">
        <f>'DATA (Real)'!BX248</f>
        <v>0</v>
      </c>
    </row>
    <row r="253" spans="2:76" hidden="1" outlineLevel="1">
      <c r="B253" s="352"/>
      <c r="C253" s="352" t="str">
        <f>'DATA (Real)'!C249</f>
        <v>Inflation Reduction Act</v>
      </c>
      <c r="D253" s="352" t="str">
        <f>'DATA (Real)'!D249</f>
        <v>PTC Schedule</v>
      </c>
      <c r="E253" s="352" t="str">
        <f>'DATA (Real)'!E249</f>
        <v>New Residential Solar + Storage</v>
      </c>
      <c r="H253" s="316">
        <f>'DATA (Real)'!H249</f>
        <v>1</v>
      </c>
      <c r="I253" s="316">
        <f>'DATA (Real)'!I249</f>
        <v>1</v>
      </c>
      <c r="J253" s="316">
        <f>'DATA (Real)'!J249</f>
        <v>1</v>
      </c>
      <c r="K253" s="316">
        <f>'DATA (Real)'!K249</f>
        <v>1</v>
      </c>
      <c r="L253" s="316">
        <f>'DATA (Real)'!L249</f>
        <v>1</v>
      </c>
      <c r="M253" s="316">
        <f>'DATA (Real)'!M249</f>
        <v>1</v>
      </c>
      <c r="N253" s="316">
        <f>'DATA (Real)'!N249</f>
        <v>1</v>
      </c>
      <c r="O253" s="316">
        <f>'DATA (Real)'!O249</f>
        <v>1</v>
      </c>
      <c r="P253" s="316">
        <f>'DATA (Real)'!P249</f>
        <v>1</v>
      </c>
      <c r="Q253" s="316">
        <f>'DATA (Real)'!Q249</f>
        <v>1</v>
      </c>
      <c r="R253" s="316">
        <f>'DATA (Real)'!R249</f>
        <v>1</v>
      </c>
      <c r="S253" s="316">
        <f>'DATA (Real)'!S249</f>
        <v>0.6</v>
      </c>
      <c r="T253" s="316">
        <f>'DATA (Real)'!T249</f>
        <v>0.4</v>
      </c>
      <c r="U253" s="316">
        <f>'DATA (Real)'!U249</f>
        <v>0</v>
      </c>
      <c r="V253" s="316">
        <f>'DATA (Real)'!V249</f>
        <v>0</v>
      </c>
      <c r="W253" s="316">
        <f>'DATA (Real)'!W249</f>
        <v>0</v>
      </c>
      <c r="X253" s="316">
        <f>'DATA (Real)'!X249</f>
        <v>0</v>
      </c>
      <c r="Y253" s="316">
        <f>'DATA (Real)'!Y249</f>
        <v>0</v>
      </c>
      <c r="Z253" s="316">
        <f>'DATA (Real)'!Z249</f>
        <v>0</v>
      </c>
      <c r="AA253" s="316">
        <f>'DATA (Real)'!AA249</f>
        <v>0</v>
      </c>
      <c r="AB253" s="316">
        <f>'DATA (Real)'!AB249</f>
        <v>0</v>
      </c>
      <c r="AC253" s="316">
        <f>'DATA (Real)'!AC249</f>
        <v>0</v>
      </c>
      <c r="AD253" s="316">
        <f>'DATA (Real)'!AD249</f>
        <v>0</v>
      </c>
      <c r="AE253" s="316">
        <f>'DATA (Real)'!AE249</f>
        <v>0</v>
      </c>
      <c r="AF253" s="316">
        <f>'DATA (Real)'!AF249</f>
        <v>0</v>
      </c>
      <c r="AG253" s="316">
        <f>'DATA (Real)'!AG249</f>
        <v>0</v>
      </c>
      <c r="AH253" s="316">
        <f>'DATA (Real)'!AH249</f>
        <v>0</v>
      </c>
      <c r="AI253" s="316">
        <f>'DATA (Real)'!AI249</f>
        <v>0</v>
      </c>
      <c r="AJ253" s="316">
        <f>'DATA (Real)'!AJ249</f>
        <v>0</v>
      </c>
      <c r="AK253" s="316">
        <f>'DATA (Real)'!AK249</f>
        <v>0</v>
      </c>
      <c r="AL253" s="316">
        <f>'DATA (Real)'!AL249</f>
        <v>0</v>
      </c>
      <c r="AM253" s="316">
        <f>'DATA (Real)'!AM249</f>
        <v>0</v>
      </c>
      <c r="AN253" s="316">
        <f>'DATA (Real)'!AN249</f>
        <v>0</v>
      </c>
      <c r="AO253" s="316">
        <f>'DATA (Real)'!AO249</f>
        <v>0</v>
      </c>
      <c r="AP253" s="316">
        <f>'DATA (Real)'!AP249</f>
        <v>0</v>
      </c>
      <c r="AQ253" s="316">
        <f>'DATA (Real)'!AQ249</f>
        <v>0</v>
      </c>
      <c r="AR253" s="316">
        <f>'DATA (Real)'!AR249</f>
        <v>0</v>
      </c>
      <c r="AS253" s="316">
        <f>'DATA (Real)'!AS249</f>
        <v>0</v>
      </c>
      <c r="AT253" s="316">
        <f>'DATA (Real)'!AT249</f>
        <v>0</v>
      </c>
      <c r="AU253" s="316">
        <f>'DATA (Real)'!AU249</f>
        <v>0</v>
      </c>
      <c r="AV253" s="316">
        <f>'DATA (Real)'!AV249</f>
        <v>0</v>
      </c>
      <c r="AW253" s="316">
        <f>'DATA (Real)'!AW249</f>
        <v>0</v>
      </c>
      <c r="AX253" s="316">
        <f>'DATA (Real)'!AX249</f>
        <v>0</v>
      </c>
      <c r="AY253" s="316">
        <f>'DATA (Real)'!AY249</f>
        <v>0</v>
      </c>
      <c r="AZ253" s="316">
        <f>'DATA (Real)'!AZ249</f>
        <v>0</v>
      </c>
      <c r="BA253" s="316">
        <f>'DATA (Real)'!BA249</f>
        <v>0</v>
      </c>
      <c r="BB253" s="316">
        <f>'DATA (Real)'!BB249</f>
        <v>0</v>
      </c>
      <c r="BC253" s="316">
        <f>'DATA (Real)'!BC249</f>
        <v>0</v>
      </c>
      <c r="BD253" s="316">
        <f>'DATA (Real)'!BD249</f>
        <v>0</v>
      </c>
      <c r="BE253" s="316">
        <f>'DATA (Real)'!BE249</f>
        <v>0</v>
      </c>
      <c r="BF253" s="316">
        <f>'DATA (Real)'!BF249</f>
        <v>0</v>
      </c>
      <c r="BG253" s="316">
        <f>'DATA (Real)'!BG249</f>
        <v>0</v>
      </c>
      <c r="BH253" s="316">
        <f>'DATA (Real)'!BH249</f>
        <v>0</v>
      </c>
      <c r="BI253" s="316">
        <f>'DATA (Real)'!BI249</f>
        <v>0</v>
      </c>
      <c r="BJ253" s="316">
        <f>'DATA (Real)'!BJ249</f>
        <v>0</v>
      </c>
      <c r="BK253" s="316">
        <f>'DATA (Real)'!BK249</f>
        <v>0</v>
      </c>
      <c r="BL253" s="316">
        <f>'DATA (Real)'!BL249</f>
        <v>0</v>
      </c>
      <c r="BM253" s="316">
        <f>'DATA (Real)'!BM249</f>
        <v>0</v>
      </c>
      <c r="BN253" s="316">
        <f>'DATA (Real)'!BN249</f>
        <v>0</v>
      </c>
      <c r="BO253" s="316">
        <f>'DATA (Real)'!BO249</f>
        <v>0</v>
      </c>
      <c r="BP253" s="316">
        <f>'DATA (Real)'!BP249</f>
        <v>0</v>
      </c>
      <c r="BQ253" s="316">
        <f>'DATA (Real)'!BQ249</f>
        <v>0</v>
      </c>
      <c r="BR253" s="316">
        <f>'DATA (Real)'!BR249</f>
        <v>0</v>
      </c>
      <c r="BS253" s="316">
        <f>'DATA (Real)'!BS249</f>
        <v>0</v>
      </c>
      <c r="BT253" s="316">
        <f>'DATA (Real)'!BT249</f>
        <v>0</v>
      </c>
      <c r="BU253" s="316">
        <f>'DATA (Real)'!BU249</f>
        <v>0</v>
      </c>
      <c r="BV253" s="316">
        <f>'DATA (Real)'!BV249</f>
        <v>0</v>
      </c>
      <c r="BW253" s="316">
        <f>'DATA (Real)'!BW249</f>
        <v>0</v>
      </c>
      <c r="BX253" s="316">
        <f>'DATA (Real)'!BX249</f>
        <v>0</v>
      </c>
    </row>
    <row r="254" spans="2:76" hidden="1" outlineLevel="1">
      <c r="B254" s="352"/>
      <c r="C254" s="352" t="str">
        <f>'DATA (Real)'!C250</f>
        <v>Inflation Reduction Act</v>
      </c>
      <c r="D254" s="352" t="str">
        <f>'DATA (Real)'!D250</f>
        <v>PTC Schedule</v>
      </c>
      <c r="E254" s="352" t="str">
        <f>'DATA (Real)'!E250</f>
        <v>Existing Residential Solar</v>
      </c>
      <c r="H254" s="316">
        <f>'DATA (Real)'!H250</f>
        <v>1</v>
      </c>
      <c r="I254" s="316">
        <f>'DATA (Real)'!I250</f>
        <v>1</v>
      </c>
      <c r="J254" s="316">
        <f>'DATA (Real)'!J250</f>
        <v>1</v>
      </c>
      <c r="K254" s="316">
        <f>'DATA (Real)'!K250</f>
        <v>1</v>
      </c>
      <c r="L254" s="316">
        <f>'DATA (Real)'!L250</f>
        <v>1</v>
      </c>
      <c r="M254" s="316">
        <f>'DATA (Real)'!M250</f>
        <v>1</v>
      </c>
      <c r="N254" s="316">
        <f>'DATA (Real)'!N250</f>
        <v>1</v>
      </c>
      <c r="O254" s="316">
        <f>'DATA (Real)'!O250</f>
        <v>1</v>
      </c>
      <c r="P254" s="316">
        <f>'DATA (Real)'!P250</f>
        <v>1</v>
      </c>
      <c r="Q254" s="316">
        <f>'DATA (Real)'!Q250</f>
        <v>1</v>
      </c>
      <c r="R254" s="316">
        <f>'DATA (Real)'!R250</f>
        <v>1</v>
      </c>
      <c r="S254" s="316">
        <f>'DATA (Real)'!S250</f>
        <v>0.6</v>
      </c>
      <c r="T254" s="316">
        <f>'DATA (Real)'!T250</f>
        <v>0.4</v>
      </c>
      <c r="U254" s="316">
        <f>'DATA (Real)'!U250</f>
        <v>0</v>
      </c>
      <c r="V254" s="316">
        <f>'DATA (Real)'!V250</f>
        <v>0</v>
      </c>
      <c r="W254" s="316">
        <f>'DATA (Real)'!W250</f>
        <v>0</v>
      </c>
      <c r="X254" s="316">
        <f>'DATA (Real)'!X250</f>
        <v>0</v>
      </c>
      <c r="Y254" s="316">
        <f>'DATA (Real)'!Y250</f>
        <v>0</v>
      </c>
      <c r="Z254" s="316">
        <f>'DATA (Real)'!Z250</f>
        <v>0</v>
      </c>
      <c r="AA254" s="316">
        <f>'DATA (Real)'!AA250</f>
        <v>0</v>
      </c>
      <c r="AB254" s="316">
        <f>'DATA (Real)'!AB250</f>
        <v>0</v>
      </c>
      <c r="AC254" s="316">
        <f>'DATA (Real)'!AC250</f>
        <v>0</v>
      </c>
      <c r="AD254" s="316">
        <f>'DATA (Real)'!AD250</f>
        <v>0</v>
      </c>
      <c r="AE254" s="316">
        <f>'DATA (Real)'!AE250</f>
        <v>0</v>
      </c>
      <c r="AF254" s="316">
        <f>'DATA (Real)'!AF250</f>
        <v>0</v>
      </c>
      <c r="AG254" s="316">
        <f>'DATA (Real)'!AG250</f>
        <v>0</v>
      </c>
      <c r="AH254" s="316">
        <f>'DATA (Real)'!AH250</f>
        <v>0</v>
      </c>
      <c r="AI254" s="316">
        <f>'DATA (Real)'!AI250</f>
        <v>0</v>
      </c>
      <c r="AJ254" s="316">
        <f>'DATA (Real)'!AJ250</f>
        <v>0</v>
      </c>
      <c r="AK254" s="316">
        <f>'DATA (Real)'!AK250</f>
        <v>0</v>
      </c>
      <c r="AL254" s="316">
        <f>'DATA (Real)'!AL250</f>
        <v>0</v>
      </c>
      <c r="AM254" s="316">
        <f>'DATA (Real)'!AM250</f>
        <v>0</v>
      </c>
      <c r="AN254" s="316">
        <f>'DATA (Real)'!AN250</f>
        <v>0</v>
      </c>
      <c r="AO254" s="316">
        <f>'DATA (Real)'!AO250</f>
        <v>0</v>
      </c>
      <c r="AP254" s="316">
        <f>'DATA (Real)'!AP250</f>
        <v>0</v>
      </c>
      <c r="AQ254" s="316">
        <f>'DATA (Real)'!AQ250</f>
        <v>0</v>
      </c>
      <c r="AR254" s="316">
        <f>'DATA (Real)'!AR250</f>
        <v>0</v>
      </c>
      <c r="AS254" s="316">
        <f>'DATA (Real)'!AS250</f>
        <v>0</v>
      </c>
      <c r="AT254" s="316">
        <f>'DATA (Real)'!AT250</f>
        <v>0</v>
      </c>
      <c r="AU254" s="316">
        <f>'DATA (Real)'!AU250</f>
        <v>0</v>
      </c>
      <c r="AV254" s="316">
        <f>'DATA (Real)'!AV250</f>
        <v>0</v>
      </c>
      <c r="AW254" s="316">
        <f>'DATA (Real)'!AW250</f>
        <v>0</v>
      </c>
      <c r="AX254" s="316">
        <f>'DATA (Real)'!AX250</f>
        <v>0</v>
      </c>
      <c r="AY254" s="316">
        <f>'DATA (Real)'!AY250</f>
        <v>0</v>
      </c>
      <c r="AZ254" s="316">
        <f>'DATA (Real)'!AZ250</f>
        <v>0</v>
      </c>
      <c r="BA254" s="316">
        <f>'DATA (Real)'!BA250</f>
        <v>0</v>
      </c>
      <c r="BB254" s="316">
        <f>'DATA (Real)'!BB250</f>
        <v>0</v>
      </c>
      <c r="BC254" s="316">
        <f>'DATA (Real)'!BC250</f>
        <v>0</v>
      </c>
      <c r="BD254" s="316">
        <f>'DATA (Real)'!BD250</f>
        <v>0</v>
      </c>
      <c r="BE254" s="316">
        <f>'DATA (Real)'!BE250</f>
        <v>0</v>
      </c>
      <c r="BF254" s="316">
        <f>'DATA (Real)'!BF250</f>
        <v>0</v>
      </c>
      <c r="BG254" s="316">
        <f>'DATA (Real)'!BG250</f>
        <v>0</v>
      </c>
      <c r="BH254" s="316">
        <f>'DATA (Real)'!BH250</f>
        <v>0</v>
      </c>
      <c r="BI254" s="316">
        <f>'DATA (Real)'!BI250</f>
        <v>0</v>
      </c>
      <c r="BJ254" s="316">
        <f>'DATA (Real)'!BJ250</f>
        <v>0</v>
      </c>
      <c r="BK254" s="316">
        <f>'DATA (Real)'!BK250</f>
        <v>0</v>
      </c>
      <c r="BL254" s="316">
        <f>'DATA (Real)'!BL250</f>
        <v>0</v>
      </c>
      <c r="BM254" s="316">
        <f>'DATA (Real)'!BM250</f>
        <v>0</v>
      </c>
      <c r="BN254" s="316">
        <f>'DATA (Real)'!BN250</f>
        <v>0</v>
      </c>
      <c r="BO254" s="316">
        <f>'DATA (Real)'!BO250</f>
        <v>0</v>
      </c>
      <c r="BP254" s="316">
        <f>'DATA (Real)'!BP250</f>
        <v>0</v>
      </c>
      <c r="BQ254" s="316">
        <f>'DATA (Real)'!BQ250</f>
        <v>0</v>
      </c>
      <c r="BR254" s="316">
        <f>'DATA (Real)'!BR250</f>
        <v>0</v>
      </c>
      <c r="BS254" s="316">
        <f>'DATA (Real)'!BS250</f>
        <v>0</v>
      </c>
      <c r="BT254" s="316">
        <f>'DATA (Real)'!BT250</f>
        <v>0</v>
      </c>
      <c r="BU254" s="316">
        <f>'DATA (Real)'!BU250</f>
        <v>0</v>
      </c>
      <c r="BV254" s="316">
        <f>'DATA (Real)'!BV250</f>
        <v>0</v>
      </c>
      <c r="BW254" s="316">
        <f>'DATA (Real)'!BW250</f>
        <v>0</v>
      </c>
      <c r="BX254" s="316">
        <f>'DATA (Real)'!BX250</f>
        <v>0</v>
      </c>
    </row>
    <row r="255" spans="2:76" hidden="1" outlineLevel="1">
      <c r="B255" s="352"/>
      <c r="C255" s="352" t="str">
        <f>'DATA (Real)'!C251</f>
        <v>Inflation Reduction Act</v>
      </c>
      <c r="D255" s="352" t="str">
        <f>'DATA (Real)'!D251</f>
        <v>PTC Schedule</v>
      </c>
      <c r="E255" s="352" t="str">
        <f>'DATA (Real)'!E251</f>
        <v>Existing Residential Solar + Storage</v>
      </c>
      <c r="H255" s="316">
        <f>'DATA (Real)'!H251</f>
        <v>1</v>
      </c>
      <c r="I255" s="316">
        <f>'DATA (Real)'!I251</f>
        <v>1</v>
      </c>
      <c r="J255" s="316">
        <f>'DATA (Real)'!J251</f>
        <v>1</v>
      </c>
      <c r="K255" s="316">
        <f>'DATA (Real)'!K251</f>
        <v>1</v>
      </c>
      <c r="L255" s="316">
        <f>'DATA (Real)'!L251</f>
        <v>1</v>
      </c>
      <c r="M255" s="316">
        <f>'DATA (Real)'!M251</f>
        <v>1</v>
      </c>
      <c r="N255" s="316">
        <f>'DATA (Real)'!N251</f>
        <v>1</v>
      </c>
      <c r="O255" s="316">
        <f>'DATA (Real)'!O251</f>
        <v>1</v>
      </c>
      <c r="P255" s="316">
        <f>'DATA (Real)'!P251</f>
        <v>1</v>
      </c>
      <c r="Q255" s="316">
        <f>'DATA (Real)'!Q251</f>
        <v>1</v>
      </c>
      <c r="R255" s="316">
        <f>'DATA (Real)'!R251</f>
        <v>1</v>
      </c>
      <c r="S255" s="316">
        <f>'DATA (Real)'!S251</f>
        <v>0.6</v>
      </c>
      <c r="T255" s="316">
        <f>'DATA (Real)'!T251</f>
        <v>0.4</v>
      </c>
      <c r="U255" s="316">
        <f>'DATA (Real)'!U251</f>
        <v>0</v>
      </c>
      <c r="V255" s="316">
        <f>'DATA (Real)'!V251</f>
        <v>0</v>
      </c>
      <c r="W255" s="316">
        <f>'DATA (Real)'!W251</f>
        <v>0</v>
      </c>
      <c r="X255" s="316">
        <f>'DATA (Real)'!X251</f>
        <v>0</v>
      </c>
      <c r="Y255" s="316">
        <f>'DATA (Real)'!Y251</f>
        <v>0</v>
      </c>
      <c r="Z255" s="316">
        <f>'DATA (Real)'!Z251</f>
        <v>0</v>
      </c>
      <c r="AA255" s="316">
        <f>'DATA (Real)'!AA251</f>
        <v>0</v>
      </c>
      <c r="AB255" s="316">
        <f>'DATA (Real)'!AB251</f>
        <v>0</v>
      </c>
      <c r="AC255" s="316">
        <f>'DATA (Real)'!AC251</f>
        <v>0</v>
      </c>
      <c r="AD255" s="316">
        <f>'DATA (Real)'!AD251</f>
        <v>0</v>
      </c>
      <c r="AE255" s="316">
        <f>'DATA (Real)'!AE251</f>
        <v>0</v>
      </c>
      <c r="AF255" s="316">
        <f>'DATA (Real)'!AF251</f>
        <v>0</v>
      </c>
      <c r="AG255" s="316">
        <f>'DATA (Real)'!AG251</f>
        <v>0</v>
      </c>
      <c r="AH255" s="316">
        <f>'DATA (Real)'!AH251</f>
        <v>0</v>
      </c>
      <c r="AI255" s="316">
        <f>'DATA (Real)'!AI251</f>
        <v>0</v>
      </c>
      <c r="AJ255" s="316">
        <f>'DATA (Real)'!AJ251</f>
        <v>0</v>
      </c>
      <c r="AK255" s="316">
        <f>'DATA (Real)'!AK251</f>
        <v>0</v>
      </c>
      <c r="AL255" s="316">
        <f>'DATA (Real)'!AL251</f>
        <v>0</v>
      </c>
      <c r="AM255" s="316">
        <f>'DATA (Real)'!AM251</f>
        <v>0</v>
      </c>
      <c r="AN255" s="316">
        <f>'DATA (Real)'!AN251</f>
        <v>0</v>
      </c>
      <c r="AO255" s="316">
        <f>'DATA (Real)'!AO251</f>
        <v>0</v>
      </c>
      <c r="AP255" s="316">
        <f>'DATA (Real)'!AP251</f>
        <v>0</v>
      </c>
      <c r="AQ255" s="316">
        <f>'DATA (Real)'!AQ251</f>
        <v>0</v>
      </c>
      <c r="AR255" s="316">
        <f>'DATA (Real)'!AR251</f>
        <v>0</v>
      </c>
      <c r="AS255" s="316">
        <f>'DATA (Real)'!AS251</f>
        <v>0</v>
      </c>
      <c r="AT255" s="316">
        <f>'DATA (Real)'!AT251</f>
        <v>0</v>
      </c>
      <c r="AU255" s="316">
        <f>'DATA (Real)'!AU251</f>
        <v>0</v>
      </c>
      <c r="AV255" s="316">
        <f>'DATA (Real)'!AV251</f>
        <v>0</v>
      </c>
      <c r="AW255" s="316">
        <f>'DATA (Real)'!AW251</f>
        <v>0</v>
      </c>
      <c r="AX255" s="316">
        <f>'DATA (Real)'!AX251</f>
        <v>0</v>
      </c>
      <c r="AY255" s="316">
        <f>'DATA (Real)'!AY251</f>
        <v>0</v>
      </c>
      <c r="AZ255" s="316">
        <f>'DATA (Real)'!AZ251</f>
        <v>0</v>
      </c>
      <c r="BA255" s="316">
        <f>'DATA (Real)'!BA251</f>
        <v>0</v>
      </c>
      <c r="BB255" s="316">
        <f>'DATA (Real)'!BB251</f>
        <v>0</v>
      </c>
      <c r="BC255" s="316">
        <f>'DATA (Real)'!BC251</f>
        <v>0</v>
      </c>
      <c r="BD255" s="316">
        <f>'DATA (Real)'!BD251</f>
        <v>0</v>
      </c>
      <c r="BE255" s="316">
        <f>'DATA (Real)'!BE251</f>
        <v>0</v>
      </c>
      <c r="BF255" s="316">
        <f>'DATA (Real)'!BF251</f>
        <v>0</v>
      </c>
      <c r="BG255" s="316">
        <f>'DATA (Real)'!BG251</f>
        <v>0</v>
      </c>
      <c r="BH255" s="316">
        <f>'DATA (Real)'!BH251</f>
        <v>0</v>
      </c>
      <c r="BI255" s="316">
        <f>'DATA (Real)'!BI251</f>
        <v>0</v>
      </c>
      <c r="BJ255" s="316">
        <f>'DATA (Real)'!BJ251</f>
        <v>0</v>
      </c>
      <c r="BK255" s="316">
        <f>'DATA (Real)'!BK251</f>
        <v>0</v>
      </c>
      <c r="BL255" s="316">
        <f>'DATA (Real)'!BL251</f>
        <v>0</v>
      </c>
      <c r="BM255" s="316">
        <f>'DATA (Real)'!BM251</f>
        <v>0</v>
      </c>
      <c r="BN255" s="316">
        <f>'DATA (Real)'!BN251</f>
        <v>0</v>
      </c>
      <c r="BO255" s="316">
        <f>'DATA (Real)'!BO251</f>
        <v>0</v>
      </c>
      <c r="BP255" s="316">
        <f>'DATA (Real)'!BP251</f>
        <v>0</v>
      </c>
      <c r="BQ255" s="316">
        <f>'DATA (Real)'!BQ251</f>
        <v>0</v>
      </c>
      <c r="BR255" s="316">
        <f>'DATA (Real)'!BR251</f>
        <v>0</v>
      </c>
      <c r="BS255" s="316">
        <f>'DATA (Real)'!BS251</f>
        <v>0</v>
      </c>
      <c r="BT255" s="316">
        <f>'DATA (Real)'!BT251</f>
        <v>0</v>
      </c>
      <c r="BU255" s="316">
        <f>'DATA (Real)'!BU251</f>
        <v>0</v>
      </c>
      <c r="BV255" s="316">
        <f>'DATA (Real)'!BV251</f>
        <v>0</v>
      </c>
      <c r="BW255" s="316">
        <f>'DATA (Real)'!BW251</f>
        <v>0</v>
      </c>
      <c r="BX255" s="316">
        <f>'DATA (Real)'!BX251</f>
        <v>0</v>
      </c>
    </row>
    <row r="256" spans="2:76" hidden="1" outlineLevel="1">
      <c r="B256" s="352"/>
      <c r="C256" s="352" t="str">
        <f>'DATA (Real)'!C252</f>
        <v>Inflation Reduction Act</v>
      </c>
      <c r="D256" s="352" t="str">
        <f>'DATA (Real)'!D252</f>
        <v>PTC Schedule</v>
      </c>
      <c r="E256" s="352" t="str">
        <f>'DATA (Real)'!E252</f>
        <v>Commercial Solar</v>
      </c>
      <c r="H256" s="316">
        <f>'DATA (Real)'!H252</f>
        <v>1</v>
      </c>
      <c r="I256" s="316">
        <f>'DATA (Real)'!I252</f>
        <v>1</v>
      </c>
      <c r="J256" s="316">
        <f>'DATA (Real)'!J252</f>
        <v>1</v>
      </c>
      <c r="K256" s="316">
        <f>'DATA (Real)'!K252</f>
        <v>1</v>
      </c>
      <c r="L256" s="316">
        <f>'DATA (Real)'!L252</f>
        <v>1</v>
      </c>
      <c r="M256" s="316">
        <f>'DATA (Real)'!M252</f>
        <v>1</v>
      </c>
      <c r="N256" s="316">
        <f>'DATA (Real)'!N252</f>
        <v>1</v>
      </c>
      <c r="O256" s="316">
        <f>'DATA (Real)'!O252</f>
        <v>1</v>
      </c>
      <c r="P256" s="316">
        <f>'DATA (Real)'!P252</f>
        <v>1</v>
      </c>
      <c r="Q256" s="316">
        <f>'DATA (Real)'!Q252</f>
        <v>1</v>
      </c>
      <c r="R256" s="316">
        <f>'DATA (Real)'!R252</f>
        <v>1</v>
      </c>
      <c r="S256" s="316">
        <f>'DATA (Real)'!S252</f>
        <v>0.6</v>
      </c>
      <c r="T256" s="316">
        <f>'DATA (Real)'!T252</f>
        <v>0.4</v>
      </c>
      <c r="U256" s="316">
        <f>'DATA (Real)'!U252</f>
        <v>0</v>
      </c>
      <c r="V256" s="316">
        <f>'DATA (Real)'!V252</f>
        <v>0</v>
      </c>
      <c r="W256" s="316">
        <f>'DATA (Real)'!W252</f>
        <v>0</v>
      </c>
      <c r="X256" s="316">
        <f>'DATA (Real)'!X252</f>
        <v>0</v>
      </c>
      <c r="Y256" s="316">
        <f>'DATA (Real)'!Y252</f>
        <v>0</v>
      </c>
      <c r="Z256" s="316">
        <f>'DATA (Real)'!Z252</f>
        <v>0</v>
      </c>
      <c r="AA256" s="316">
        <f>'DATA (Real)'!AA252</f>
        <v>0</v>
      </c>
      <c r="AB256" s="316">
        <f>'DATA (Real)'!AB252</f>
        <v>0</v>
      </c>
      <c r="AC256" s="316">
        <f>'DATA (Real)'!AC252</f>
        <v>0</v>
      </c>
      <c r="AD256" s="316">
        <f>'DATA (Real)'!AD252</f>
        <v>0</v>
      </c>
      <c r="AE256" s="316">
        <f>'DATA (Real)'!AE252</f>
        <v>0</v>
      </c>
      <c r="AF256" s="316">
        <f>'DATA (Real)'!AF252</f>
        <v>0</v>
      </c>
      <c r="AG256" s="316">
        <f>'DATA (Real)'!AG252</f>
        <v>0</v>
      </c>
      <c r="AH256" s="316">
        <f>'DATA (Real)'!AH252</f>
        <v>0</v>
      </c>
      <c r="AI256" s="316">
        <f>'DATA (Real)'!AI252</f>
        <v>0</v>
      </c>
      <c r="AJ256" s="316">
        <f>'DATA (Real)'!AJ252</f>
        <v>0</v>
      </c>
      <c r="AK256" s="316">
        <f>'DATA (Real)'!AK252</f>
        <v>0</v>
      </c>
      <c r="AL256" s="316">
        <f>'DATA (Real)'!AL252</f>
        <v>0</v>
      </c>
      <c r="AM256" s="316">
        <f>'DATA (Real)'!AM252</f>
        <v>0</v>
      </c>
      <c r="AN256" s="316">
        <f>'DATA (Real)'!AN252</f>
        <v>0</v>
      </c>
      <c r="AO256" s="316">
        <f>'DATA (Real)'!AO252</f>
        <v>0</v>
      </c>
      <c r="AP256" s="316">
        <f>'DATA (Real)'!AP252</f>
        <v>0</v>
      </c>
      <c r="AQ256" s="316">
        <f>'DATA (Real)'!AQ252</f>
        <v>0</v>
      </c>
      <c r="AR256" s="316">
        <f>'DATA (Real)'!AR252</f>
        <v>0</v>
      </c>
      <c r="AS256" s="316">
        <f>'DATA (Real)'!AS252</f>
        <v>0</v>
      </c>
      <c r="AT256" s="316">
        <f>'DATA (Real)'!AT252</f>
        <v>0</v>
      </c>
      <c r="AU256" s="316">
        <f>'DATA (Real)'!AU252</f>
        <v>0</v>
      </c>
      <c r="AV256" s="316">
        <f>'DATA (Real)'!AV252</f>
        <v>0</v>
      </c>
      <c r="AW256" s="316">
        <f>'DATA (Real)'!AW252</f>
        <v>0</v>
      </c>
      <c r="AX256" s="316">
        <f>'DATA (Real)'!AX252</f>
        <v>0</v>
      </c>
      <c r="AY256" s="316">
        <f>'DATA (Real)'!AY252</f>
        <v>0</v>
      </c>
      <c r="AZ256" s="316">
        <f>'DATA (Real)'!AZ252</f>
        <v>0</v>
      </c>
      <c r="BA256" s="316">
        <f>'DATA (Real)'!BA252</f>
        <v>0</v>
      </c>
      <c r="BB256" s="316">
        <f>'DATA (Real)'!BB252</f>
        <v>0</v>
      </c>
      <c r="BC256" s="316">
        <f>'DATA (Real)'!BC252</f>
        <v>0</v>
      </c>
      <c r="BD256" s="316">
        <f>'DATA (Real)'!BD252</f>
        <v>0</v>
      </c>
      <c r="BE256" s="316">
        <f>'DATA (Real)'!BE252</f>
        <v>0</v>
      </c>
      <c r="BF256" s="316">
        <f>'DATA (Real)'!BF252</f>
        <v>0</v>
      </c>
      <c r="BG256" s="316">
        <f>'DATA (Real)'!BG252</f>
        <v>0</v>
      </c>
      <c r="BH256" s="316">
        <f>'DATA (Real)'!BH252</f>
        <v>0</v>
      </c>
      <c r="BI256" s="316">
        <f>'DATA (Real)'!BI252</f>
        <v>0</v>
      </c>
      <c r="BJ256" s="316">
        <f>'DATA (Real)'!BJ252</f>
        <v>0</v>
      </c>
      <c r="BK256" s="316">
        <f>'DATA (Real)'!BK252</f>
        <v>0</v>
      </c>
      <c r="BL256" s="316">
        <f>'DATA (Real)'!BL252</f>
        <v>0</v>
      </c>
      <c r="BM256" s="316">
        <f>'DATA (Real)'!BM252</f>
        <v>0</v>
      </c>
      <c r="BN256" s="316">
        <f>'DATA (Real)'!BN252</f>
        <v>0</v>
      </c>
      <c r="BO256" s="316">
        <f>'DATA (Real)'!BO252</f>
        <v>0</v>
      </c>
      <c r="BP256" s="316">
        <f>'DATA (Real)'!BP252</f>
        <v>0</v>
      </c>
      <c r="BQ256" s="316">
        <f>'DATA (Real)'!BQ252</f>
        <v>0</v>
      </c>
      <c r="BR256" s="316">
        <f>'DATA (Real)'!BR252</f>
        <v>0</v>
      </c>
      <c r="BS256" s="316">
        <f>'DATA (Real)'!BS252</f>
        <v>0</v>
      </c>
      <c r="BT256" s="316">
        <f>'DATA (Real)'!BT252</f>
        <v>0</v>
      </c>
      <c r="BU256" s="316">
        <f>'DATA (Real)'!BU252</f>
        <v>0</v>
      </c>
      <c r="BV256" s="316">
        <f>'DATA (Real)'!BV252</f>
        <v>0</v>
      </c>
      <c r="BW256" s="316">
        <f>'DATA (Real)'!BW252</f>
        <v>0</v>
      </c>
      <c r="BX256" s="316">
        <f>'DATA (Real)'!BX252</f>
        <v>0</v>
      </c>
    </row>
    <row r="257" spans="2:76" hidden="1" outlineLevel="1">
      <c r="B257" s="352"/>
      <c r="C257" s="352" t="str">
        <f>'DATA (Real)'!C253</f>
        <v>Inflation Reduction Act</v>
      </c>
      <c r="D257" s="352" t="str">
        <f>'DATA (Real)'!D253</f>
        <v>PTC Schedule</v>
      </c>
      <c r="E257" s="352" t="str">
        <f>'DATA (Real)'!E253</f>
        <v>Commercial Solar + Storage</v>
      </c>
      <c r="H257" s="316">
        <f>'DATA (Real)'!H253</f>
        <v>1</v>
      </c>
      <c r="I257" s="316">
        <f>'DATA (Real)'!I253</f>
        <v>1</v>
      </c>
      <c r="J257" s="316">
        <f>'DATA (Real)'!J253</f>
        <v>1</v>
      </c>
      <c r="K257" s="316">
        <f>'DATA (Real)'!K253</f>
        <v>1</v>
      </c>
      <c r="L257" s="316">
        <f>'DATA (Real)'!L253</f>
        <v>1</v>
      </c>
      <c r="M257" s="316">
        <f>'DATA (Real)'!M253</f>
        <v>1</v>
      </c>
      <c r="N257" s="316">
        <f>'DATA (Real)'!N253</f>
        <v>1</v>
      </c>
      <c r="O257" s="316">
        <f>'DATA (Real)'!O253</f>
        <v>1</v>
      </c>
      <c r="P257" s="316">
        <f>'DATA (Real)'!P253</f>
        <v>1</v>
      </c>
      <c r="Q257" s="316">
        <f>'DATA (Real)'!Q253</f>
        <v>1</v>
      </c>
      <c r="R257" s="316">
        <f>'DATA (Real)'!R253</f>
        <v>1</v>
      </c>
      <c r="S257" s="316">
        <f>'DATA (Real)'!S253</f>
        <v>0.6</v>
      </c>
      <c r="T257" s="316">
        <f>'DATA (Real)'!T253</f>
        <v>0.4</v>
      </c>
      <c r="U257" s="316">
        <f>'DATA (Real)'!U253</f>
        <v>0</v>
      </c>
      <c r="V257" s="316">
        <f>'DATA (Real)'!V253</f>
        <v>0</v>
      </c>
      <c r="W257" s="316">
        <f>'DATA (Real)'!W253</f>
        <v>0</v>
      </c>
      <c r="X257" s="316">
        <f>'DATA (Real)'!X253</f>
        <v>0</v>
      </c>
      <c r="Y257" s="316">
        <f>'DATA (Real)'!Y253</f>
        <v>0</v>
      </c>
      <c r="Z257" s="316">
        <f>'DATA (Real)'!Z253</f>
        <v>0</v>
      </c>
      <c r="AA257" s="316">
        <f>'DATA (Real)'!AA253</f>
        <v>0</v>
      </c>
      <c r="AB257" s="316">
        <f>'DATA (Real)'!AB253</f>
        <v>0</v>
      </c>
      <c r="AC257" s="316">
        <f>'DATA (Real)'!AC253</f>
        <v>0</v>
      </c>
      <c r="AD257" s="316">
        <f>'DATA (Real)'!AD253</f>
        <v>0</v>
      </c>
      <c r="AE257" s="316">
        <f>'DATA (Real)'!AE253</f>
        <v>0</v>
      </c>
      <c r="AF257" s="316">
        <f>'DATA (Real)'!AF253</f>
        <v>0</v>
      </c>
      <c r="AG257" s="316">
        <f>'DATA (Real)'!AG253</f>
        <v>0</v>
      </c>
      <c r="AH257" s="316">
        <f>'DATA (Real)'!AH253</f>
        <v>0</v>
      </c>
      <c r="AI257" s="316">
        <f>'DATA (Real)'!AI253</f>
        <v>0</v>
      </c>
      <c r="AJ257" s="316">
        <f>'DATA (Real)'!AJ253</f>
        <v>0</v>
      </c>
      <c r="AK257" s="316">
        <f>'DATA (Real)'!AK253</f>
        <v>0</v>
      </c>
      <c r="AL257" s="316">
        <f>'DATA (Real)'!AL253</f>
        <v>0</v>
      </c>
      <c r="AM257" s="316">
        <f>'DATA (Real)'!AM253</f>
        <v>0</v>
      </c>
      <c r="AN257" s="316">
        <f>'DATA (Real)'!AN253</f>
        <v>0</v>
      </c>
      <c r="AO257" s="316">
        <f>'DATA (Real)'!AO253</f>
        <v>0</v>
      </c>
      <c r="AP257" s="316">
        <f>'DATA (Real)'!AP253</f>
        <v>0</v>
      </c>
      <c r="AQ257" s="316">
        <f>'DATA (Real)'!AQ253</f>
        <v>0</v>
      </c>
      <c r="AR257" s="316">
        <f>'DATA (Real)'!AR253</f>
        <v>0</v>
      </c>
      <c r="AS257" s="316">
        <f>'DATA (Real)'!AS253</f>
        <v>0</v>
      </c>
      <c r="AT257" s="316">
        <f>'DATA (Real)'!AT253</f>
        <v>0</v>
      </c>
      <c r="AU257" s="316">
        <f>'DATA (Real)'!AU253</f>
        <v>0</v>
      </c>
      <c r="AV257" s="316">
        <f>'DATA (Real)'!AV253</f>
        <v>0</v>
      </c>
      <c r="AW257" s="316">
        <f>'DATA (Real)'!AW253</f>
        <v>0</v>
      </c>
      <c r="AX257" s="316">
        <f>'DATA (Real)'!AX253</f>
        <v>0</v>
      </c>
      <c r="AY257" s="316">
        <f>'DATA (Real)'!AY253</f>
        <v>0</v>
      </c>
      <c r="AZ257" s="316">
        <f>'DATA (Real)'!AZ253</f>
        <v>0</v>
      </c>
      <c r="BA257" s="316">
        <f>'DATA (Real)'!BA253</f>
        <v>0</v>
      </c>
      <c r="BB257" s="316">
        <f>'DATA (Real)'!BB253</f>
        <v>0</v>
      </c>
      <c r="BC257" s="316">
        <f>'DATA (Real)'!BC253</f>
        <v>0</v>
      </c>
      <c r="BD257" s="316">
        <f>'DATA (Real)'!BD253</f>
        <v>0</v>
      </c>
      <c r="BE257" s="316">
        <f>'DATA (Real)'!BE253</f>
        <v>0</v>
      </c>
      <c r="BF257" s="316">
        <f>'DATA (Real)'!BF253</f>
        <v>0</v>
      </c>
      <c r="BG257" s="316">
        <f>'DATA (Real)'!BG253</f>
        <v>0</v>
      </c>
      <c r="BH257" s="316">
        <f>'DATA (Real)'!BH253</f>
        <v>0</v>
      </c>
      <c r="BI257" s="316">
        <f>'DATA (Real)'!BI253</f>
        <v>0</v>
      </c>
      <c r="BJ257" s="316">
        <f>'DATA (Real)'!BJ253</f>
        <v>0</v>
      </c>
      <c r="BK257" s="316">
        <f>'DATA (Real)'!BK253</f>
        <v>0</v>
      </c>
      <c r="BL257" s="316">
        <f>'DATA (Real)'!BL253</f>
        <v>0</v>
      </c>
      <c r="BM257" s="316">
        <f>'DATA (Real)'!BM253</f>
        <v>0</v>
      </c>
      <c r="BN257" s="316">
        <f>'DATA (Real)'!BN253</f>
        <v>0</v>
      </c>
      <c r="BO257" s="316">
        <f>'DATA (Real)'!BO253</f>
        <v>0</v>
      </c>
      <c r="BP257" s="316">
        <f>'DATA (Real)'!BP253</f>
        <v>0</v>
      </c>
      <c r="BQ257" s="316">
        <f>'DATA (Real)'!BQ253</f>
        <v>0</v>
      </c>
      <c r="BR257" s="316">
        <f>'DATA (Real)'!BR253</f>
        <v>0</v>
      </c>
      <c r="BS257" s="316">
        <f>'DATA (Real)'!BS253</f>
        <v>0</v>
      </c>
      <c r="BT257" s="316">
        <f>'DATA (Real)'!BT253</f>
        <v>0</v>
      </c>
      <c r="BU257" s="316">
        <f>'DATA (Real)'!BU253</f>
        <v>0</v>
      </c>
      <c r="BV257" s="316">
        <f>'DATA (Real)'!BV253</f>
        <v>0</v>
      </c>
      <c r="BW257" s="316">
        <f>'DATA (Real)'!BW253</f>
        <v>0</v>
      </c>
      <c r="BX257" s="316">
        <f>'DATA (Real)'!BX253</f>
        <v>0</v>
      </c>
    </row>
    <row r="258" spans="2:76" hidden="1" outlineLevel="1">
      <c r="B258" s="352"/>
      <c r="C258" s="352" t="str">
        <f>'DATA (Real)'!C254</f>
        <v>Inflation Reduction Act</v>
      </c>
      <c r="D258" s="352" t="str">
        <f>'DATA (Real)'!D254</f>
        <v>PTC Schedule</v>
      </c>
      <c r="E258" s="352" t="str">
        <f>'DATA (Real)'!E254</f>
        <v>Solar Photovoltaic Fixed Array (5 MW AC)</v>
      </c>
      <c r="H258" s="316">
        <f>'DATA (Real)'!H254</f>
        <v>1</v>
      </c>
      <c r="I258" s="316">
        <f>'DATA (Real)'!I254</f>
        <v>1</v>
      </c>
      <c r="J258" s="316">
        <f>'DATA (Real)'!J254</f>
        <v>1</v>
      </c>
      <c r="K258" s="316">
        <f>'DATA (Real)'!K254</f>
        <v>1</v>
      </c>
      <c r="L258" s="316">
        <f>'DATA (Real)'!L254</f>
        <v>1</v>
      </c>
      <c r="M258" s="316">
        <f>'DATA (Real)'!M254</f>
        <v>1</v>
      </c>
      <c r="N258" s="316">
        <f>'DATA (Real)'!N254</f>
        <v>1</v>
      </c>
      <c r="O258" s="316">
        <f>'DATA (Real)'!O254</f>
        <v>1</v>
      </c>
      <c r="P258" s="316">
        <f>'DATA (Real)'!P254</f>
        <v>1</v>
      </c>
      <c r="Q258" s="316">
        <f>'DATA (Real)'!Q254</f>
        <v>1</v>
      </c>
      <c r="R258" s="316">
        <f>'DATA (Real)'!R254</f>
        <v>1</v>
      </c>
      <c r="S258" s="316">
        <f>'DATA (Real)'!S254</f>
        <v>0.6</v>
      </c>
      <c r="T258" s="316">
        <f>'DATA (Real)'!T254</f>
        <v>0.4</v>
      </c>
      <c r="U258" s="316">
        <f>'DATA (Real)'!U254</f>
        <v>0</v>
      </c>
      <c r="V258" s="316">
        <f>'DATA (Real)'!V254</f>
        <v>0</v>
      </c>
      <c r="W258" s="316">
        <f>'DATA (Real)'!W254</f>
        <v>0</v>
      </c>
      <c r="X258" s="316">
        <f>'DATA (Real)'!X254</f>
        <v>0</v>
      </c>
      <c r="Y258" s="316">
        <f>'DATA (Real)'!Y254</f>
        <v>0</v>
      </c>
      <c r="Z258" s="316">
        <f>'DATA (Real)'!Z254</f>
        <v>0</v>
      </c>
      <c r="AA258" s="316">
        <f>'DATA (Real)'!AA254</f>
        <v>0</v>
      </c>
      <c r="AB258" s="316">
        <f>'DATA (Real)'!AB254</f>
        <v>0</v>
      </c>
      <c r="AC258" s="316">
        <f>'DATA (Real)'!AC254</f>
        <v>0</v>
      </c>
      <c r="AD258" s="316">
        <f>'DATA (Real)'!AD254</f>
        <v>0</v>
      </c>
      <c r="AE258" s="316">
        <f>'DATA (Real)'!AE254</f>
        <v>0</v>
      </c>
      <c r="AF258" s="316">
        <f>'DATA (Real)'!AF254</f>
        <v>0</v>
      </c>
      <c r="AG258" s="316">
        <f>'DATA (Real)'!AG254</f>
        <v>0</v>
      </c>
      <c r="AH258" s="316">
        <f>'DATA (Real)'!AH254</f>
        <v>0</v>
      </c>
      <c r="AI258" s="316">
        <f>'DATA (Real)'!AI254</f>
        <v>0</v>
      </c>
      <c r="AJ258" s="316">
        <f>'DATA (Real)'!AJ254</f>
        <v>0</v>
      </c>
      <c r="AK258" s="316">
        <f>'DATA (Real)'!AK254</f>
        <v>0</v>
      </c>
      <c r="AL258" s="316">
        <f>'DATA (Real)'!AL254</f>
        <v>0</v>
      </c>
      <c r="AM258" s="316">
        <f>'DATA (Real)'!AM254</f>
        <v>0</v>
      </c>
      <c r="AN258" s="316">
        <f>'DATA (Real)'!AN254</f>
        <v>0</v>
      </c>
      <c r="AO258" s="316">
        <f>'DATA (Real)'!AO254</f>
        <v>0</v>
      </c>
      <c r="AP258" s="316">
        <f>'DATA (Real)'!AP254</f>
        <v>0</v>
      </c>
      <c r="AQ258" s="316">
        <f>'DATA (Real)'!AQ254</f>
        <v>0</v>
      </c>
      <c r="AR258" s="316">
        <f>'DATA (Real)'!AR254</f>
        <v>0</v>
      </c>
      <c r="AS258" s="316">
        <f>'DATA (Real)'!AS254</f>
        <v>0</v>
      </c>
      <c r="AT258" s="316">
        <f>'DATA (Real)'!AT254</f>
        <v>0</v>
      </c>
      <c r="AU258" s="316">
        <f>'DATA (Real)'!AU254</f>
        <v>0</v>
      </c>
      <c r="AV258" s="316">
        <f>'DATA (Real)'!AV254</f>
        <v>0</v>
      </c>
      <c r="AW258" s="316">
        <f>'DATA (Real)'!AW254</f>
        <v>0</v>
      </c>
      <c r="AX258" s="316">
        <f>'DATA (Real)'!AX254</f>
        <v>0</v>
      </c>
      <c r="AY258" s="316">
        <f>'DATA (Real)'!AY254</f>
        <v>0</v>
      </c>
      <c r="AZ258" s="316">
        <f>'DATA (Real)'!AZ254</f>
        <v>0</v>
      </c>
      <c r="BA258" s="316">
        <f>'DATA (Real)'!BA254</f>
        <v>0</v>
      </c>
      <c r="BB258" s="316">
        <f>'DATA (Real)'!BB254</f>
        <v>0</v>
      </c>
      <c r="BC258" s="316">
        <f>'DATA (Real)'!BC254</f>
        <v>0</v>
      </c>
      <c r="BD258" s="316">
        <f>'DATA (Real)'!BD254</f>
        <v>0</v>
      </c>
      <c r="BE258" s="316">
        <f>'DATA (Real)'!BE254</f>
        <v>0</v>
      </c>
      <c r="BF258" s="316">
        <f>'DATA (Real)'!BF254</f>
        <v>0</v>
      </c>
      <c r="BG258" s="316">
        <f>'DATA (Real)'!BG254</f>
        <v>0</v>
      </c>
      <c r="BH258" s="316">
        <f>'DATA (Real)'!BH254</f>
        <v>0</v>
      </c>
      <c r="BI258" s="316">
        <f>'DATA (Real)'!BI254</f>
        <v>0</v>
      </c>
      <c r="BJ258" s="316">
        <f>'DATA (Real)'!BJ254</f>
        <v>0</v>
      </c>
      <c r="BK258" s="316">
        <f>'DATA (Real)'!BK254</f>
        <v>0</v>
      </c>
      <c r="BL258" s="316">
        <f>'DATA (Real)'!BL254</f>
        <v>0</v>
      </c>
      <c r="BM258" s="316">
        <f>'DATA (Real)'!BM254</f>
        <v>0</v>
      </c>
      <c r="BN258" s="316">
        <f>'DATA (Real)'!BN254</f>
        <v>0</v>
      </c>
      <c r="BO258" s="316">
        <f>'DATA (Real)'!BO254</f>
        <v>0</v>
      </c>
      <c r="BP258" s="316">
        <f>'DATA (Real)'!BP254</f>
        <v>0</v>
      </c>
      <c r="BQ258" s="316">
        <f>'DATA (Real)'!BQ254</f>
        <v>0</v>
      </c>
      <c r="BR258" s="316">
        <f>'DATA (Real)'!BR254</f>
        <v>0</v>
      </c>
      <c r="BS258" s="316">
        <f>'DATA (Real)'!BS254</f>
        <v>0</v>
      </c>
      <c r="BT258" s="316">
        <f>'DATA (Real)'!BT254</f>
        <v>0</v>
      </c>
      <c r="BU258" s="316">
        <f>'DATA (Real)'!BU254</f>
        <v>0</v>
      </c>
      <c r="BV258" s="316">
        <f>'DATA (Real)'!BV254</f>
        <v>0</v>
      </c>
      <c r="BW258" s="316">
        <f>'DATA (Real)'!BW254</f>
        <v>0</v>
      </c>
      <c r="BX258" s="316">
        <f>'DATA (Real)'!BX254</f>
        <v>0</v>
      </c>
    </row>
    <row r="259" spans="2:76" hidden="1" outlineLevel="1">
      <c r="B259" s="352"/>
      <c r="C259" s="352" t="str">
        <f>'DATA (Real)'!C255</f>
        <v>Inflation Reduction Act</v>
      </c>
      <c r="D259" s="352" t="str">
        <f>'DATA (Real)'!D255</f>
        <v>PTC Schedule</v>
      </c>
      <c r="E259" s="352" t="str">
        <f>'DATA (Real)'!E255</f>
        <v>Solar Photovoltaic Fixed Array (5 MW AC) + Storage</v>
      </c>
      <c r="H259" s="316">
        <f>'DATA (Real)'!H255</f>
        <v>1</v>
      </c>
      <c r="I259" s="316">
        <f>'DATA (Real)'!I255</f>
        <v>1</v>
      </c>
      <c r="J259" s="316">
        <f>'DATA (Real)'!J255</f>
        <v>1</v>
      </c>
      <c r="K259" s="316">
        <f>'DATA (Real)'!K255</f>
        <v>1</v>
      </c>
      <c r="L259" s="316">
        <f>'DATA (Real)'!L255</f>
        <v>1</v>
      </c>
      <c r="M259" s="316">
        <f>'DATA (Real)'!M255</f>
        <v>1</v>
      </c>
      <c r="N259" s="316">
        <f>'DATA (Real)'!N255</f>
        <v>1</v>
      </c>
      <c r="O259" s="316">
        <f>'DATA (Real)'!O255</f>
        <v>1</v>
      </c>
      <c r="P259" s="316">
        <f>'DATA (Real)'!P255</f>
        <v>1</v>
      </c>
      <c r="Q259" s="316">
        <f>'DATA (Real)'!Q255</f>
        <v>1</v>
      </c>
      <c r="R259" s="316">
        <f>'DATA (Real)'!R255</f>
        <v>1</v>
      </c>
      <c r="S259" s="316">
        <f>'DATA (Real)'!S255</f>
        <v>0.6</v>
      </c>
      <c r="T259" s="316">
        <f>'DATA (Real)'!T255</f>
        <v>0.4</v>
      </c>
      <c r="U259" s="316">
        <f>'DATA (Real)'!U255</f>
        <v>0</v>
      </c>
      <c r="V259" s="316">
        <f>'DATA (Real)'!V255</f>
        <v>0</v>
      </c>
      <c r="W259" s="316">
        <f>'DATA (Real)'!W255</f>
        <v>0</v>
      </c>
      <c r="X259" s="316">
        <f>'DATA (Real)'!X255</f>
        <v>0</v>
      </c>
      <c r="Y259" s="316">
        <f>'DATA (Real)'!Y255</f>
        <v>0</v>
      </c>
      <c r="Z259" s="316">
        <f>'DATA (Real)'!Z255</f>
        <v>0</v>
      </c>
      <c r="AA259" s="316">
        <f>'DATA (Real)'!AA255</f>
        <v>0</v>
      </c>
      <c r="AB259" s="316">
        <f>'DATA (Real)'!AB255</f>
        <v>0</v>
      </c>
      <c r="AC259" s="316">
        <f>'DATA (Real)'!AC255</f>
        <v>0</v>
      </c>
      <c r="AD259" s="316">
        <f>'DATA (Real)'!AD255</f>
        <v>0</v>
      </c>
      <c r="AE259" s="316">
        <f>'DATA (Real)'!AE255</f>
        <v>0</v>
      </c>
      <c r="AF259" s="316">
        <f>'DATA (Real)'!AF255</f>
        <v>0</v>
      </c>
      <c r="AG259" s="316">
        <f>'DATA (Real)'!AG255</f>
        <v>0</v>
      </c>
      <c r="AH259" s="316">
        <f>'DATA (Real)'!AH255</f>
        <v>0</v>
      </c>
      <c r="AI259" s="316">
        <f>'DATA (Real)'!AI255</f>
        <v>0</v>
      </c>
      <c r="AJ259" s="316">
        <f>'DATA (Real)'!AJ255</f>
        <v>0</v>
      </c>
      <c r="AK259" s="316">
        <f>'DATA (Real)'!AK255</f>
        <v>0</v>
      </c>
      <c r="AL259" s="316">
        <f>'DATA (Real)'!AL255</f>
        <v>0</v>
      </c>
      <c r="AM259" s="316">
        <f>'DATA (Real)'!AM255</f>
        <v>0</v>
      </c>
      <c r="AN259" s="316">
        <f>'DATA (Real)'!AN255</f>
        <v>0</v>
      </c>
      <c r="AO259" s="316">
        <f>'DATA (Real)'!AO255</f>
        <v>0</v>
      </c>
      <c r="AP259" s="316">
        <f>'DATA (Real)'!AP255</f>
        <v>0</v>
      </c>
      <c r="AQ259" s="316">
        <f>'DATA (Real)'!AQ255</f>
        <v>0</v>
      </c>
      <c r="AR259" s="316">
        <f>'DATA (Real)'!AR255</f>
        <v>0</v>
      </c>
      <c r="AS259" s="316">
        <f>'DATA (Real)'!AS255</f>
        <v>0</v>
      </c>
      <c r="AT259" s="316">
        <f>'DATA (Real)'!AT255</f>
        <v>0</v>
      </c>
      <c r="AU259" s="316">
        <f>'DATA (Real)'!AU255</f>
        <v>0</v>
      </c>
      <c r="AV259" s="316">
        <f>'DATA (Real)'!AV255</f>
        <v>0</v>
      </c>
      <c r="AW259" s="316">
        <f>'DATA (Real)'!AW255</f>
        <v>0</v>
      </c>
      <c r="AX259" s="316">
        <f>'DATA (Real)'!AX255</f>
        <v>0</v>
      </c>
      <c r="AY259" s="316">
        <f>'DATA (Real)'!AY255</f>
        <v>0</v>
      </c>
      <c r="AZ259" s="316">
        <f>'DATA (Real)'!AZ255</f>
        <v>0</v>
      </c>
      <c r="BA259" s="316">
        <f>'DATA (Real)'!BA255</f>
        <v>0</v>
      </c>
      <c r="BB259" s="316">
        <f>'DATA (Real)'!BB255</f>
        <v>0</v>
      </c>
      <c r="BC259" s="316">
        <f>'DATA (Real)'!BC255</f>
        <v>0</v>
      </c>
      <c r="BD259" s="316">
        <f>'DATA (Real)'!BD255</f>
        <v>0</v>
      </c>
      <c r="BE259" s="316">
        <f>'DATA (Real)'!BE255</f>
        <v>0</v>
      </c>
      <c r="BF259" s="316">
        <f>'DATA (Real)'!BF255</f>
        <v>0</v>
      </c>
      <c r="BG259" s="316">
        <f>'DATA (Real)'!BG255</f>
        <v>0</v>
      </c>
      <c r="BH259" s="316">
        <f>'DATA (Real)'!BH255</f>
        <v>0</v>
      </c>
      <c r="BI259" s="316">
        <f>'DATA (Real)'!BI255</f>
        <v>0</v>
      </c>
      <c r="BJ259" s="316">
        <f>'DATA (Real)'!BJ255</f>
        <v>0</v>
      </c>
      <c r="BK259" s="316">
        <f>'DATA (Real)'!BK255</f>
        <v>0</v>
      </c>
      <c r="BL259" s="316">
        <f>'DATA (Real)'!BL255</f>
        <v>0</v>
      </c>
      <c r="BM259" s="316">
        <f>'DATA (Real)'!BM255</f>
        <v>0</v>
      </c>
      <c r="BN259" s="316">
        <f>'DATA (Real)'!BN255</f>
        <v>0</v>
      </c>
      <c r="BO259" s="316">
        <f>'DATA (Real)'!BO255</f>
        <v>0</v>
      </c>
      <c r="BP259" s="316">
        <f>'DATA (Real)'!BP255</f>
        <v>0</v>
      </c>
      <c r="BQ259" s="316">
        <f>'DATA (Real)'!BQ255</f>
        <v>0</v>
      </c>
      <c r="BR259" s="316">
        <f>'DATA (Real)'!BR255</f>
        <v>0</v>
      </c>
      <c r="BS259" s="316">
        <f>'DATA (Real)'!BS255</f>
        <v>0</v>
      </c>
      <c r="BT259" s="316">
        <f>'DATA (Real)'!BT255</f>
        <v>0</v>
      </c>
      <c r="BU259" s="316">
        <f>'DATA (Real)'!BU255</f>
        <v>0</v>
      </c>
      <c r="BV259" s="316">
        <f>'DATA (Real)'!BV255</f>
        <v>0</v>
      </c>
      <c r="BW259" s="316">
        <f>'DATA (Real)'!BW255</f>
        <v>0</v>
      </c>
      <c r="BX259" s="316">
        <f>'DATA (Real)'!BX255</f>
        <v>0</v>
      </c>
    </row>
    <row r="260" spans="2:76" hidden="1" outlineLevel="1">
      <c r="B260" s="352"/>
      <c r="C260" s="352" t="str">
        <f>'DATA (Real)'!C256</f>
        <v>Inflation Reduction Act</v>
      </c>
      <c r="D260" s="352" t="str">
        <f>'DATA (Real)'!D256</f>
        <v>PTC Schedule</v>
      </c>
      <c r="E260" s="352" t="str">
        <f>'DATA (Real)'!E256</f>
        <v>Solar Photovoltaic w/Single Axis Tracking (100 MW AC)</v>
      </c>
      <c r="H260" s="316">
        <f>'DATA (Real)'!H256</f>
        <v>1</v>
      </c>
      <c r="I260" s="316">
        <f>'DATA (Real)'!I256</f>
        <v>1</v>
      </c>
      <c r="J260" s="316">
        <f>'DATA (Real)'!J256</f>
        <v>1</v>
      </c>
      <c r="K260" s="316">
        <f>'DATA (Real)'!K256</f>
        <v>1</v>
      </c>
      <c r="L260" s="316">
        <f>'DATA (Real)'!L256</f>
        <v>1</v>
      </c>
      <c r="M260" s="316">
        <f>'DATA (Real)'!M256</f>
        <v>1</v>
      </c>
      <c r="N260" s="316">
        <f>'DATA (Real)'!N256</f>
        <v>1</v>
      </c>
      <c r="O260" s="316">
        <f>'DATA (Real)'!O256</f>
        <v>1</v>
      </c>
      <c r="P260" s="316">
        <f>'DATA (Real)'!P256</f>
        <v>1</v>
      </c>
      <c r="Q260" s="316">
        <f>'DATA (Real)'!Q256</f>
        <v>1</v>
      </c>
      <c r="R260" s="316">
        <f>'DATA (Real)'!R256</f>
        <v>1</v>
      </c>
      <c r="S260" s="316">
        <f>'DATA (Real)'!S256</f>
        <v>0.6</v>
      </c>
      <c r="T260" s="316">
        <f>'DATA (Real)'!T256</f>
        <v>0.4</v>
      </c>
      <c r="U260" s="316">
        <f>'DATA (Real)'!U256</f>
        <v>0</v>
      </c>
      <c r="V260" s="316">
        <f>'DATA (Real)'!V256</f>
        <v>0</v>
      </c>
      <c r="W260" s="316">
        <f>'DATA (Real)'!W256</f>
        <v>0</v>
      </c>
      <c r="X260" s="316">
        <f>'DATA (Real)'!X256</f>
        <v>0</v>
      </c>
      <c r="Y260" s="316">
        <f>'DATA (Real)'!Y256</f>
        <v>0</v>
      </c>
      <c r="Z260" s="316">
        <f>'DATA (Real)'!Z256</f>
        <v>0</v>
      </c>
      <c r="AA260" s="316">
        <f>'DATA (Real)'!AA256</f>
        <v>0</v>
      </c>
      <c r="AB260" s="316">
        <f>'DATA (Real)'!AB256</f>
        <v>0</v>
      </c>
      <c r="AC260" s="316">
        <f>'DATA (Real)'!AC256</f>
        <v>0</v>
      </c>
      <c r="AD260" s="316">
        <f>'DATA (Real)'!AD256</f>
        <v>0</v>
      </c>
      <c r="AE260" s="316">
        <f>'DATA (Real)'!AE256</f>
        <v>0</v>
      </c>
      <c r="AF260" s="316">
        <f>'DATA (Real)'!AF256</f>
        <v>0</v>
      </c>
      <c r="AG260" s="316">
        <f>'DATA (Real)'!AG256</f>
        <v>0</v>
      </c>
      <c r="AH260" s="316">
        <f>'DATA (Real)'!AH256</f>
        <v>0</v>
      </c>
      <c r="AI260" s="316">
        <f>'DATA (Real)'!AI256</f>
        <v>0</v>
      </c>
      <c r="AJ260" s="316">
        <f>'DATA (Real)'!AJ256</f>
        <v>0</v>
      </c>
      <c r="AK260" s="316">
        <f>'DATA (Real)'!AK256</f>
        <v>0</v>
      </c>
      <c r="AL260" s="316">
        <f>'DATA (Real)'!AL256</f>
        <v>0</v>
      </c>
      <c r="AM260" s="316">
        <f>'DATA (Real)'!AM256</f>
        <v>0</v>
      </c>
      <c r="AN260" s="316">
        <f>'DATA (Real)'!AN256</f>
        <v>0</v>
      </c>
      <c r="AO260" s="316">
        <f>'DATA (Real)'!AO256</f>
        <v>0</v>
      </c>
      <c r="AP260" s="316">
        <f>'DATA (Real)'!AP256</f>
        <v>0</v>
      </c>
      <c r="AQ260" s="316">
        <f>'DATA (Real)'!AQ256</f>
        <v>0</v>
      </c>
      <c r="AR260" s="316">
        <f>'DATA (Real)'!AR256</f>
        <v>0</v>
      </c>
      <c r="AS260" s="316">
        <f>'DATA (Real)'!AS256</f>
        <v>0</v>
      </c>
      <c r="AT260" s="316">
        <f>'DATA (Real)'!AT256</f>
        <v>0</v>
      </c>
      <c r="AU260" s="316">
        <f>'DATA (Real)'!AU256</f>
        <v>0</v>
      </c>
      <c r="AV260" s="316">
        <f>'DATA (Real)'!AV256</f>
        <v>0</v>
      </c>
      <c r="AW260" s="316">
        <f>'DATA (Real)'!AW256</f>
        <v>0</v>
      </c>
      <c r="AX260" s="316">
        <f>'DATA (Real)'!AX256</f>
        <v>0</v>
      </c>
      <c r="AY260" s="316">
        <f>'DATA (Real)'!AY256</f>
        <v>0</v>
      </c>
      <c r="AZ260" s="316">
        <f>'DATA (Real)'!AZ256</f>
        <v>0</v>
      </c>
      <c r="BA260" s="316">
        <f>'DATA (Real)'!BA256</f>
        <v>0</v>
      </c>
      <c r="BB260" s="316">
        <f>'DATA (Real)'!BB256</f>
        <v>0</v>
      </c>
      <c r="BC260" s="316">
        <f>'DATA (Real)'!BC256</f>
        <v>0</v>
      </c>
      <c r="BD260" s="316">
        <f>'DATA (Real)'!BD256</f>
        <v>0</v>
      </c>
      <c r="BE260" s="316">
        <f>'DATA (Real)'!BE256</f>
        <v>0</v>
      </c>
      <c r="BF260" s="316">
        <f>'DATA (Real)'!BF256</f>
        <v>0</v>
      </c>
      <c r="BG260" s="316">
        <f>'DATA (Real)'!BG256</f>
        <v>0</v>
      </c>
      <c r="BH260" s="316">
        <f>'DATA (Real)'!BH256</f>
        <v>0</v>
      </c>
      <c r="BI260" s="316">
        <f>'DATA (Real)'!BI256</f>
        <v>0</v>
      </c>
      <c r="BJ260" s="316">
        <f>'DATA (Real)'!BJ256</f>
        <v>0</v>
      </c>
      <c r="BK260" s="316">
        <f>'DATA (Real)'!BK256</f>
        <v>0</v>
      </c>
      <c r="BL260" s="316">
        <f>'DATA (Real)'!BL256</f>
        <v>0</v>
      </c>
      <c r="BM260" s="316">
        <f>'DATA (Real)'!BM256</f>
        <v>0</v>
      </c>
      <c r="BN260" s="316">
        <f>'DATA (Real)'!BN256</f>
        <v>0</v>
      </c>
      <c r="BO260" s="316">
        <f>'DATA (Real)'!BO256</f>
        <v>0</v>
      </c>
      <c r="BP260" s="316">
        <f>'DATA (Real)'!BP256</f>
        <v>0</v>
      </c>
      <c r="BQ260" s="316">
        <f>'DATA (Real)'!BQ256</f>
        <v>0</v>
      </c>
      <c r="BR260" s="316">
        <f>'DATA (Real)'!BR256</f>
        <v>0</v>
      </c>
      <c r="BS260" s="316">
        <f>'DATA (Real)'!BS256</f>
        <v>0</v>
      </c>
      <c r="BT260" s="316">
        <f>'DATA (Real)'!BT256</f>
        <v>0</v>
      </c>
      <c r="BU260" s="316">
        <f>'DATA (Real)'!BU256</f>
        <v>0</v>
      </c>
      <c r="BV260" s="316">
        <f>'DATA (Real)'!BV256</f>
        <v>0</v>
      </c>
      <c r="BW260" s="316">
        <f>'DATA (Real)'!BW256</f>
        <v>0</v>
      </c>
      <c r="BX260" s="316">
        <f>'DATA (Real)'!BX256</f>
        <v>0</v>
      </c>
    </row>
    <row r="261" spans="2:76" hidden="1" outlineLevel="1">
      <c r="B261" s="352"/>
      <c r="C261" s="352" t="str">
        <f>'DATA (Real)'!C257</f>
        <v>Inflation Reduction Act</v>
      </c>
      <c r="D261" s="352" t="str">
        <f>'DATA (Real)'!D257</f>
        <v>PTC Schedule</v>
      </c>
      <c r="E261" s="352" t="str">
        <f>'DATA (Real)'!E257</f>
        <v>Southern NW Solar Photovoltaic w/ Single Axis Tracking (100 MW AC)</v>
      </c>
      <c r="H261" s="316">
        <f>'DATA (Real)'!H257</f>
        <v>1</v>
      </c>
      <c r="I261" s="316">
        <f>'DATA (Real)'!I257</f>
        <v>1</v>
      </c>
      <c r="J261" s="316">
        <f>'DATA (Real)'!J257</f>
        <v>1</v>
      </c>
      <c r="K261" s="316">
        <f>'DATA (Real)'!K257</f>
        <v>1</v>
      </c>
      <c r="L261" s="316">
        <f>'DATA (Real)'!L257</f>
        <v>1</v>
      </c>
      <c r="M261" s="316">
        <f>'DATA (Real)'!M257</f>
        <v>1</v>
      </c>
      <c r="N261" s="316">
        <f>'DATA (Real)'!N257</f>
        <v>1</v>
      </c>
      <c r="O261" s="316">
        <f>'DATA (Real)'!O257</f>
        <v>1</v>
      </c>
      <c r="P261" s="316">
        <f>'DATA (Real)'!P257</f>
        <v>1</v>
      </c>
      <c r="Q261" s="316">
        <f>'DATA (Real)'!Q257</f>
        <v>1</v>
      </c>
      <c r="R261" s="316">
        <f>'DATA (Real)'!R257</f>
        <v>1</v>
      </c>
      <c r="S261" s="316">
        <f>'DATA (Real)'!S257</f>
        <v>0.6</v>
      </c>
      <c r="T261" s="316">
        <f>'DATA (Real)'!T257</f>
        <v>0.4</v>
      </c>
      <c r="U261" s="316">
        <f>'DATA (Real)'!U257</f>
        <v>0</v>
      </c>
      <c r="V261" s="316">
        <f>'DATA (Real)'!V257</f>
        <v>0</v>
      </c>
      <c r="W261" s="316">
        <f>'DATA (Real)'!W257</f>
        <v>0</v>
      </c>
      <c r="X261" s="316">
        <f>'DATA (Real)'!X257</f>
        <v>0</v>
      </c>
      <c r="Y261" s="316">
        <f>'DATA (Real)'!Y257</f>
        <v>0</v>
      </c>
      <c r="Z261" s="316">
        <f>'DATA (Real)'!Z257</f>
        <v>0</v>
      </c>
      <c r="AA261" s="316">
        <f>'DATA (Real)'!AA257</f>
        <v>0</v>
      </c>
      <c r="AB261" s="316">
        <f>'DATA (Real)'!AB257</f>
        <v>0</v>
      </c>
      <c r="AC261" s="316">
        <f>'DATA (Real)'!AC257</f>
        <v>0</v>
      </c>
      <c r="AD261" s="316">
        <f>'DATA (Real)'!AD257</f>
        <v>0</v>
      </c>
      <c r="AE261" s="316">
        <f>'DATA (Real)'!AE257</f>
        <v>0</v>
      </c>
      <c r="AF261" s="316">
        <f>'DATA (Real)'!AF257</f>
        <v>0</v>
      </c>
      <c r="AG261" s="316">
        <f>'DATA (Real)'!AG257</f>
        <v>0</v>
      </c>
      <c r="AH261" s="316">
        <f>'DATA (Real)'!AH257</f>
        <v>0</v>
      </c>
      <c r="AI261" s="316">
        <f>'DATA (Real)'!AI257</f>
        <v>0</v>
      </c>
      <c r="AJ261" s="316">
        <f>'DATA (Real)'!AJ257</f>
        <v>0</v>
      </c>
      <c r="AK261" s="316">
        <f>'DATA (Real)'!AK257</f>
        <v>0</v>
      </c>
      <c r="AL261" s="316">
        <f>'DATA (Real)'!AL257</f>
        <v>0</v>
      </c>
      <c r="AM261" s="316">
        <f>'DATA (Real)'!AM257</f>
        <v>0</v>
      </c>
      <c r="AN261" s="316">
        <f>'DATA (Real)'!AN257</f>
        <v>0</v>
      </c>
      <c r="AO261" s="316">
        <f>'DATA (Real)'!AO257</f>
        <v>0</v>
      </c>
      <c r="AP261" s="316">
        <f>'DATA (Real)'!AP257</f>
        <v>0</v>
      </c>
      <c r="AQ261" s="316">
        <f>'DATA (Real)'!AQ257</f>
        <v>0</v>
      </c>
      <c r="AR261" s="316">
        <f>'DATA (Real)'!AR257</f>
        <v>0</v>
      </c>
      <c r="AS261" s="316">
        <f>'DATA (Real)'!AS257</f>
        <v>0</v>
      </c>
      <c r="AT261" s="316">
        <f>'DATA (Real)'!AT257</f>
        <v>0</v>
      </c>
      <c r="AU261" s="316">
        <f>'DATA (Real)'!AU257</f>
        <v>0</v>
      </c>
      <c r="AV261" s="316">
        <f>'DATA (Real)'!AV257</f>
        <v>0</v>
      </c>
      <c r="AW261" s="316">
        <f>'DATA (Real)'!AW257</f>
        <v>0</v>
      </c>
      <c r="AX261" s="316">
        <f>'DATA (Real)'!AX257</f>
        <v>0</v>
      </c>
      <c r="AY261" s="316">
        <f>'DATA (Real)'!AY257</f>
        <v>0</v>
      </c>
      <c r="AZ261" s="316">
        <f>'DATA (Real)'!AZ257</f>
        <v>0</v>
      </c>
      <c r="BA261" s="316">
        <f>'DATA (Real)'!BA257</f>
        <v>0</v>
      </c>
      <c r="BB261" s="316">
        <f>'DATA (Real)'!BB257</f>
        <v>0</v>
      </c>
      <c r="BC261" s="316">
        <f>'DATA (Real)'!BC257</f>
        <v>0</v>
      </c>
      <c r="BD261" s="316">
        <f>'DATA (Real)'!BD257</f>
        <v>0</v>
      </c>
      <c r="BE261" s="316">
        <f>'DATA (Real)'!BE257</f>
        <v>0</v>
      </c>
      <c r="BF261" s="316">
        <f>'DATA (Real)'!BF257</f>
        <v>0</v>
      </c>
      <c r="BG261" s="316">
        <f>'DATA (Real)'!BG257</f>
        <v>0</v>
      </c>
      <c r="BH261" s="316">
        <f>'DATA (Real)'!BH257</f>
        <v>0</v>
      </c>
      <c r="BI261" s="316">
        <f>'DATA (Real)'!BI257</f>
        <v>0</v>
      </c>
      <c r="BJ261" s="316">
        <f>'DATA (Real)'!BJ257</f>
        <v>0</v>
      </c>
      <c r="BK261" s="316">
        <f>'DATA (Real)'!BK257</f>
        <v>0</v>
      </c>
      <c r="BL261" s="316">
        <f>'DATA (Real)'!BL257</f>
        <v>0</v>
      </c>
      <c r="BM261" s="316">
        <f>'DATA (Real)'!BM257</f>
        <v>0</v>
      </c>
      <c r="BN261" s="316">
        <f>'DATA (Real)'!BN257</f>
        <v>0</v>
      </c>
      <c r="BO261" s="316">
        <f>'DATA (Real)'!BO257</f>
        <v>0</v>
      </c>
      <c r="BP261" s="316">
        <f>'DATA (Real)'!BP257</f>
        <v>0</v>
      </c>
      <c r="BQ261" s="316">
        <f>'DATA (Real)'!BQ257</f>
        <v>0</v>
      </c>
      <c r="BR261" s="316">
        <f>'DATA (Real)'!BR257</f>
        <v>0</v>
      </c>
      <c r="BS261" s="316">
        <f>'DATA (Real)'!BS257</f>
        <v>0</v>
      </c>
      <c r="BT261" s="316">
        <f>'DATA (Real)'!BT257</f>
        <v>0</v>
      </c>
      <c r="BU261" s="316">
        <f>'DATA (Real)'!BU257</f>
        <v>0</v>
      </c>
      <c r="BV261" s="316">
        <f>'DATA (Real)'!BV257</f>
        <v>0</v>
      </c>
      <c r="BW261" s="316">
        <f>'DATA (Real)'!BW257</f>
        <v>0</v>
      </c>
      <c r="BX261" s="316">
        <f>'DATA (Real)'!BX257</f>
        <v>0</v>
      </c>
    </row>
    <row r="262" spans="2:76" hidden="1" outlineLevel="1">
      <c r="B262" s="352"/>
      <c r="C262" s="352" t="str">
        <f>'DATA (Real)'!C258</f>
        <v>Inflation Reduction Act</v>
      </c>
      <c r="D262" s="352" t="str">
        <f>'DATA (Real)'!D258</f>
        <v>PTC Schedule</v>
      </c>
      <c r="E262" s="352" t="str">
        <f>'DATA (Real)'!E258</f>
        <v>100 MW/400 MWh Lithium-ion w/Solar</v>
      </c>
      <c r="H262" s="316">
        <f>'DATA (Real)'!H258</f>
        <v>1</v>
      </c>
      <c r="I262" s="316">
        <f>'DATA (Real)'!I258</f>
        <v>1</v>
      </c>
      <c r="J262" s="316">
        <f>'DATA (Real)'!J258</f>
        <v>1</v>
      </c>
      <c r="K262" s="316">
        <f>'DATA (Real)'!K258</f>
        <v>1</v>
      </c>
      <c r="L262" s="316">
        <f>'DATA (Real)'!L258</f>
        <v>1</v>
      </c>
      <c r="M262" s="316">
        <f>'DATA (Real)'!M258</f>
        <v>1</v>
      </c>
      <c r="N262" s="316">
        <f>'DATA (Real)'!N258</f>
        <v>1</v>
      </c>
      <c r="O262" s="316">
        <f>'DATA (Real)'!O258</f>
        <v>1</v>
      </c>
      <c r="P262" s="316">
        <f>'DATA (Real)'!P258</f>
        <v>1</v>
      </c>
      <c r="Q262" s="316">
        <f>'DATA (Real)'!Q258</f>
        <v>1</v>
      </c>
      <c r="R262" s="316">
        <f>'DATA (Real)'!R258</f>
        <v>1</v>
      </c>
      <c r="S262" s="316">
        <f>'DATA (Real)'!S258</f>
        <v>0.6</v>
      </c>
      <c r="T262" s="316">
        <f>'DATA (Real)'!T258</f>
        <v>0.4</v>
      </c>
      <c r="U262" s="316">
        <f>'DATA (Real)'!U258</f>
        <v>0</v>
      </c>
      <c r="V262" s="316">
        <f>'DATA (Real)'!V258</f>
        <v>0</v>
      </c>
      <c r="W262" s="316">
        <f>'DATA (Real)'!W258</f>
        <v>0</v>
      </c>
      <c r="X262" s="316">
        <f>'DATA (Real)'!X258</f>
        <v>0</v>
      </c>
      <c r="Y262" s="316">
        <f>'DATA (Real)'!Y258</f>
        <v>0</v>
      </c>
      <c r="Z262" s="316">
        <f>'DATA (Real)'!Z258</f>
        <v>0</v>
      </c>
      <c r="AA262" s="316">
        <f>'DATA (Real)'!AA258</f>
        <v>0</v>
      </c>
      <c r="AB262" s="316">
        <f>'DATA (Real)'!AB258</f>
        <v>0</v>
      </c>
      <c r="AC262" s="316">
        <f>'DATA (Real)'!AC258</f>
        <v>0</v>
      </c>
      <c r="AD262" s="316">
        <f>'DATA (Real)'!AD258</f>
        <v>0</v>
      </c>
      <c r="AE262" s="316">
        <f>'DATA (Real)'!AE258</f>
        <v>0</v>
      </c>
      <c r="AF262" s="316">
        <f>'DATA (Real)'!AF258</f>
        <v>0</v>
      </c>
      <c r="AG262" s="316">
        <f>'DATA (Real)'!AG258</f>
        <v>0</v>
      </c>
      <c r="AH262" s="316">
        <f>'DATA (Real)'!AH258</f>
        <v>0</v>
      </c>
      <c r="AI262" s="316">
        <f>'DATA (Real)'!AI258</f>
        <v>0</v>
      </c>
      <c r="AJ262" s="316">
        <f>'DATA (Real)'!AJ258</f>
        <v>0</v>
      </c>
      <c r="AK262" s="316">
        <f>'DATA (Real)'!AK258</f>
        <v>0</v>
      </c>
      <c r="AL262" s="316">
        <f>'DATA (Real)'!AL258</f>
        <v>0</v>
      </c>
      <c r="AM262" s="316">
        <f>'DATA (Real)'!AM258</f>
        <v>0</v>
      </c>
      <c r="AN262" s="316">
        <f>'DATA (Real)'!AN258</f>
        <v>0</v>
      </c>
      <c r="AO262" s="316">
        <f>'DATA (Real)'!AO258</f>
        <v>0</v>
      </c>
      <c r="AP262" s="316">
        <f>'DATA (Real)'!AP258</f>
        <v>0</v>
      </c>
      <c r="AQ262" s="316">
        <f>'DATA (Real)'!AQ258</f>
        <v>0</v>
      </c>
      <c r="AR262" s="316">
        <f>'DATA (Real)'!AR258</f>
        <v>0</v>
      </c>
      <c r="AS262" s="316">
        <f>'DATA (Real)'!AS258</f>
        <v>0</v>
      </c>
      <c r="AT262" s="316">
        <f>'DATA (Real)'!AT258</f>
        <v>0</v>
      </c>
      <c r="AU262" s="316">
        <f>'DATA (Real)'!AU258</f>
        <v>0</v>
      </c>
      <c r="AV262" s="316">
        <f>'DATA (Real)'!AV258</f>
        <v>0</v>
      </c>
      <c r="AW262" s="316">
        <f>'DATA (Real)'!AW258</f>
        <v>0</v>
      </c>
      <c r="AX262" s="316">
        <f>'DATA (Real)'!AX258</f>
        <v>0</v>
      </c>
      <c r="AY262" s="316">
        <f>'DATA (Real)'!AY258</f>
        <v>0</v>
      </c>
      <c r="AZ262" s="316">
        <f>'DATA (Real)'!AZ258</f>
        <v>0</v>
      </c>
      <c r="BA262" s="316">
        <f>'DATA (Real)'!BA258</f>
        <v>0</v>
      </c>
      <c r="BB262" s="316">
        <f>'DATA (Real)'!BB258</f>
        <v>0</v>
      </c>
      <c r="BC262" s="316">
        <f>'DATA (Real)'!BC258</f>
        <v>0</v>
      </c>
      <c r="BD262" s="316">
        <f>'DATA (Real)'!BD258</f>
        <v>0</v>
      </c>
      <c r="BE262" s="316">
        <f>'DATA (Real)'!BE258</f>
        <v>0</v>
      </c>
      <c r="BF262" s="316">
        <f>'DATA (Real)'!BF258</f>
        <v>0</v>
      </c>
      <c r="BG262" s="316">
        <f>'DATA (Real)'!BG258</f>
        <v>0</v>
      </c>
      <c r="BH262" s="316">
        <f>'DATA (Real)'!BH258</f>
        <v>0</v>
      </c>
      <c r="BI262" s="316">
        <f>'DATA (Real)'!BI258</f>
        <v>0</v>
      </c>
      <c r="BJ262" s="316">
        <f>'DATA (Real)'!BJ258</f>
        <v>0</v>
      </c>
      <c r="BK262" s="316">
        <f>'DATA (Real)'!BK258</f>
        <v>0</v>
      </c>
      <c r="BL262" s="316">
        <f>'DATA (Real)'!BL258</f>
        <v>0</v>
      </c>
      <c r="BM262" s="316">
        <f>'DATA (Real)'!BM258</f>
        <v>0</v>
      </c>
      <c r="BN262" s="316">
        <f>'DATA (Real)'!BN258</f>
        <v>0</v>
      </c>
      <c r="BO262" s="316">
        <f>'DATA (Real)'!BO258</f>
        <v>0</v>
      </c>
      <c r="BP262" s="316">
        <f>'DATA (Real)'!BP258</f>
        <v>0</v>
      </c>
      <c r="BQ262" s="316">
        <f>'DATA (Real)'!BQ258</f>
        <v>0</v>
      </c>
      <c r="BR262" s="316">
        <f>'DATA (Real)'!BR258</f>
        <v>0</v>
      </c>
      <c r="BS262" s="316">
        <f>'DATA (Real)'!BS258</f>
        <v>0</v>
      </c>
      <c r="BT262" s="316">
        <f>'DATA (Real)'!BT258</f>
        <v>0</v>
      </c>
      <c r="BU262" s="316">
        <f>'DATA (Real)'!BU258</f>
        <v>0</v>
      </c>
      <c r="BV262" s="316">
        <f>'DATA (Real)'!BV258</f>
        <v>0</v>
      </c>
      <c r="BW262" s="316">
        <f>'DATA (Real)'!BW258</f>
        <v>0</v>
      </c>
      <c r="BX262" s="316">
        <f>'DATA (Real)'!BX258</f>
        <v>0</v>
      </c>
    </row>
    <row r="263" spans="2:76" hidden="1" outlineLevel="1">
      <c r="B263" s="352"/>
      <c r="C263" s="352" t="str">
        <f>'DATA (Real)'!C259</f>
        <v>Inflation Reduction Act</v>
      </c>
      <c r="D263" s="352" t="str">
        <f>'DATA (Real)'!D259</f>
        <v>PTC Schedule</v>
      </c>
      <c r="E263" s="352" t="str">
        <f>'DATA (Real)'!E259</f>
        <v>100 MW/200 MWh Lithium-ion w/Solar</v>
      </c>
      <c r="H263" s="316">
        <f>'DATA (Real)'!H259</f>
        <v>1</v>
      </c>
      <c r="I263" s="316">
        <f>'DATA (Real)'!I259</f>
        <v>1</v>
      </c>
      <c r="J263" s="316">
        <f>'DATA (Real)'!J259</f>
        <v>1</v>
      </c>
      <c r="K263" s="316">
        <f>'DATA (Real)'!K259</f>
        <v>1</v>
      </c>
      <c r="L263" s="316">
        <f>'DATA (Real)'!L259</f>
        <v>1</v>
      </c>
      <c r="M263" s="316">
        <f>'DATA (Real)'!M259</f>
        <v>1</v>
      </c>
      <c r="N263" s="316">
        <f>'DATA (Real)'!N259</f>
        <v>1</v>
      </c>
      <c r="O263" s="316">
        <f>'DATA (Real)'!O259</f>
        <v>1</v>
      </c>
      <c r="P263" s="316">
        <f>'DATA (Real)'!P259</f>
        <v>1</v>
      </c>
      <c r="Q263" s="316">
        <f>'DATA (Real)'!Q259</f>
        <v>1</v>
      </c>
      <c r="R263" s="316">
        <f>'DATA (Real)'!R259</f>
        <v>1</v>
      </c>
      <c r="S263" s="316">
        <f>'DATA (Real)'!S259</f>
        <v>0.6</v>
      </c>
      <c r="T263" s="316">
        <f>'DATA (Real)'!T259</f>
        <v>0.4</v>
      </c>
      <c r="U263" s="316">
        <f>'DATA (Real)'!U259</f>
        <v>0</v>
      </c>
      <c r="V263" s="316">
        <f>'DATA (Real)'!V259</f>
        <v>0</v>
      </c>
      <c r="W263" s="316">
        <f>'DATA (Real)'!W259</f>
        <v>0</v>
      </c>
      <c r="X263" s="316">
        <f>'DATA (Real)'!X259</f>
        <v>0</v>
      </c>
      <c r="Y263" s="316">
        <f>'DATA (Real)'!Y259</f>
        <v>0</v>
      </c>
      <c r="Z263" s="316">
        <f>'DATA (Real)'!Z259</f>
        <v>0</v>
      </c>
      <c r="AA263" s="316">
        <f>'DATA (Real)'!AA259</f>
        <v>0</v>
      </c>
      <c r="AB263" s="316">
        <f>'DATA (Real)'!AB259</f>
        <v>0</v>
      </c>
      <c r="AC263" s="316">
        <f>'DATA (Real)'!AC259</f>
        <v>0</v>
      </c>
      <c r="AD263" s="316">
        <f>'DATA (Real)'!AD259</f>
        <v>0</v>
      </c>
      <c r="AE263" s="316">
        <f>'DATA (Real)'!AE259</f>
        <v>0</v>
      </c>
      <c r="AF263" s="316">
        <f>'DATA (Real)'!AF259</f>
        <v>0</v>
      </c>
      <c r="AG263" s="316">
        <f>'DATA (Real)'!AG259</f>
        <v>0</v>
      </c>
      <c r="AH263" s="316">
        <f>'DATA (Real)'!AH259</f>
        <v>0</v>
      </c>
      <c r="AI263" s="316">
        <f>'DATA (Real)'!AI259</f>
        <v>0</v>
      </c>
      <c r="AJ263" s="316">
        <f>'DATA (Real)'!AJ259</f>
        <v>0</v>
      </c>
      <c r="AK263" s="316">
        <f>'DATA (Real)'!AK259</f>
        <v>0</v>
      </c>
      <c r="AL263" s="316">
        <f>'DATA (Real)'!AL259</f>
        <v>0</v>
      </c>
      <c r="AM263" s="316">
        <f>'DATA (Real)'!AM259</f>
        <v>0</v>
      </c>
      <c r="AN263" s="316">
        <f>'DATA (Real)'!AN259</f>
        <v>0</v>
      </c>
      <c r="AO263" s="316">
        <f>'DATA (Real)'!AO259</f>
        <v>0</v>
      </c>
      <c r="AP263" s="316">
        <f>'DATA (Real)'!AP259</f>
        <v>0</v>
      </c>
      <c r="AQ263" s="316">
        <f>'DATA (Real)'!AQ259</f>
        <v>0</v>
      </c>
      <c r="AR263" s="316">
        <f>'DATA (Real)'!AR259</f>
        <v>0</v>
      </c>
      <c r="AS263" s="316">
        <f>'DATA (Real)'!AS259</f>
        <v>0</v>
      </c>
      <c r="AT263" s="316">
        <f>'DATA (Real)'!AT259</f>
        <v>0</v>
      </c>
      <c r="AU263" s="316">
        <f>'DATA (Real)'!AU259</f>
        <v>0</v>
      </c>
      <c r="AV263" s="316">
        <f>'DATA (Real)'!AV259</f>
        <v>0</v>
      </c>
      <c r="AW263" s="316">
        <f>'DATA (Real)'!AW259</f>
        <v>0</v>
      </c>
      <c r="AX263" s="316">
        <f>'DATA (Real)'!AX259</f>
        <v>0</v>
      </c>
      <c r="AY263" s="316">
        <f>'DATA (Real)'!AY259</f>
        <v>0</v>
      </c>
      <c r="AZ263" s="316">
        <f>'DATA (Real)'!AZ259</f>
        <v>0</v>
      </c>
      <c r="BA263" s="316">
        <f>'DATA (Real)'!BA259</f>
        <v>0</v>
      </c>
      <c r="BB263" s="316">
        <f>'DATA (Real)'!BB259</f>
        <v>0</v>
      </c>
      <c r="BC263" s="316">
        <f>'DATA (Real)'!BC259</f>
        <v>0</v>
      </c>
      <c r="BD263" s="316">
        <f>'DATA (Real)'!BD259</f>
        <v>0</v>
      </c>
      <c r="BE263" s="316">
        <f>'DATA (Real)'!BE259</f>
        <v>0</v>
      </c>
      <c r="BF263" s="316">
        <f>'DATA (Real)'!BF259</f>
        <v>0</v>
      </c>
      <c r="BG263" s="316">
        <f>'DATA (Real)'!BG259</f>
        <v>0</v>
      </c>
      <c r="BH263" s="316">
        <f>'DATA (Real)'!BH259</f>
        <v>0</v>
      </c>
      <c r="BI263" s="316">
        <f>'DATA (Real)'!BI259</f>
        <v>0</v>
      </c>
      <c r="BJ263" s="316">
        <f>'DATA (Real)'!BJ259</f>
        <v>0</v>
      </c>
      <c r="BK263" s="316">
        <f>'DATA (Real)'!BK259</f>
        <v>0</v>
      </c>
      <c r="BL263" s="316">
        <f>'DATA (Real)'!BL259</f>
        <v>0</v>
      </c>
      <c r="BM263" s="316">
        <f>'DATA (Real)'!BM259</f>
        <v>0</v>
      </c>
      <c r="BN263" s="316">
        <f>'DATA (Real)'!BN259</f>
        <v>0</v>
      </c>
      <c r="BO263" s="316">
        <f>'DATA (Real)'!BO259</f>
        <v>0</v>
      </c>
      <c r="BP263" s="316">
        <f>'DATA (Real)'!BP259</f>
        <v>0</v>
      </c>
      <c r="BQ263" s="316">
        <f>'DATA (Real)'!BQ259</f>
        <v>0</v>
      </c>
      <c r="BR263" s="316">
        <f>'DATA (Real)'!BR259</f>
        <v>0</v>
      </c>
      <c r="BS263" s="316">
        <f>'DATA (Real)'!BS259</f>
        <v>0</v>
      </c>
      <c r="BT263" s="316">
        <f>'DATA (Real)'!BT259</f>
        <v>0</v>
      </c>
      <c r="BU263" s="316">
        <f>'DATA (Real)'!BU259</f>
        <v>0</v>
      </c>
      <c r="BV263" s="316">
        <f>'DATA (Real)'!BV259</f>
        <v>0</v>
      </c>
      <c r="BW263" s="316">
        <f>'DATA (Real)'!BW259</f>
        <v>0</v>
      </c>
      <c r="BX263" s="316">
        <f>'DATA (Real)'!BX259</f>
        <v>0</v>
      </c>
    </row>
    <row r="264" spans="2:76" hidden="1" outlineLevel="1">
      <c r="B264" s="352"/>
      <c r="C264" s="352" t="str">
        <f>'DATA (Real)'!C260</f>
        <v>Inflation Reduction Act</v>
      </c>
      <c r="D264" s="352" t="str">
        <f>'DATA (Real)'!D260</f>
        <v>PTC Schedule</v>
      </c>
      <c r="E264" s="352" t="str">
        <f>'DATA (Real)'!E260</f>
        <v>50 MW/200 MWh Lithium-ion w/Solar</v>
      </c>
      <c r="H264" s="316">
        <f>'DATA (Real)'!H260</f>
        <v>1</v>
      </c>
      <c r="I264" s="316">
        <f>'DATA (Real)'!I260</f>
        <v>1</v>
      </c>
      <c r="J264" s="316">
        <f>'DATA (Real)'!J260</f>
        <v>1</v>
      </c>
      <c r="K264" s="316">
        <f>'DATA (Real)'!K260</f>
        <v>1</v>
      </c>
      <c r="L264" s="316">
        <f>'DATA (Real)'!L260</f>
        <v>1</v>
      </c>
      <c r="M264" s="316">
        <f>'DATA (Real)'!M260</f>
        <v>1</v>
      </c>
      <c r="N264" s="316">
        <f>'DATA (Real)'!N260</f>
        <v>1</v>
      </c>
      <c r="O264" s="316">
        <f>'DATA (Real)'!O260</f>
        <v>1</v>
      </c>
      <c r="P264" s="316">
        <f>'DATA (Real)'!P260</f>
        <v>1</v>
      </c>
      <c r="Q264" s="316">
        <f>'DATA (Real)'!Q260</f>
        <v>1</v>
      </c>
      <c r="R264" s="316">
        <f>'DATA (Real)'!R260</f>
        <v>1</v>
      </c>
      <c r="S264" s="316">
        <f>'DATA (Real)'!S260</f>
        <v>0.6</v>
      </c>
      <c r="T264" s="316">
        <f>'DATA (Real)'!T260</f>
        <v>0.4</v>
      </c>
      <c r="U264" s="316">
        <f>'DATA (Real)'!U260</f>
        <v>0</v>
      </c>
      <c r="V264" s="316">
        <f>'DATA (Real)'!V260</f>
        <v>0</v>
      </c>
      <c r="W264" s="316">
        <f>'DATA (Real)'!W260</f>
        <v>0</v>
      </c>
      <c r="X264" s="316">
        <f>'DATA (Real)'!X260</f>
        <v>0</v>
      </c>
      <c r="Y264" s="316">
        <f>'DATA (Real)'!Y260</f>
        <v>0</v>
      </c>
      <c r="Z264" s="316">
        <f>'DATA (Real)'!Z260</f>
        <v>0</v>
      </c>
      <c r="AA264" s="316">
        <f>'DATA (Real)'!AA260</f>
        <v>0</v>
      </c>
      <c r="AB264" s="316">
        <f>'DATA (Real)'!AB260</f>
        <v>0</v>
      </c>
      <c r="AC264" s="316">
        <f>'DATA (Real)'!AC260</f>
        <v>0</v>
      </c>
      <c r="AD264" s="316">
        <f>'DATA (Real)'!AD260</f>
        <v>0</v>
      </c>
      <c r="AE264" s="316">
        <f>'DATA (Real)'!AE260</f>
        <v>0</v>
      </c>
      <c r="AF264" s="316">
        <f>'DATA (Real)'!AF260</f>
        <v>0</v>
      </c>
      <c r="AG264" s="316">
        <f>'DATA (Real)'!AG260</f>
        <v>0</v>
      </c>
      <c r="AH264" s="316">
        <f>'DATA (Real)'!AH260</f>
        <v>0</v>
      </c>
      <c r="AI264" s="316">
        <f>'DATA (Real)'!AI260</f>
        <v>0</v>
      </c>
      <c r="AJ264" s="316">
        <f>'DATA (Real)'!AJ260</f>
        <v>0</v>
      </c>
      <c r="AK264" s="316">
        <f>'DATA (Real)'!AK260</f>
        <v>0</v>
      </c>
      <c r="AL264" s="316">
        <f>'DATA (Real)'!AL260</f>
        <v>0</v>
      </c>
      <c r="AM264" s="316">
        <f>'DATA (Real)'!AM260</f>
        <v>0</v>
      </c>
      <c r="AN264" s="316">
        <f>'DATA (Real)'!AN260</f>
        <v>0</v>
      </c>
      <c r="AO264" s="316">
        <f>'DATA (Real)'!AO260</f>
        <v>0</v>
      </c>
      <c r="AP264" s="316">
        <f>'DATA (Real)'!AP260</f>
        <v>0</v>
      </c>
      <c r="AQ264" s="316">
        <f>'DATA (Real)'!AQ260</f>
        <v>0</v>
      </c>
      <c r="AR264" s="316">
        <f>'DATA (Real)'!AR260</f>
        <v>0</v>
      </c>
      <c r="AS264" s="316">
        <f>'DATA (Real)'!AS260</f>
        <v>0</v>
      </c>
      <c r="AT264" s="316">
        <f>'DATA (Real)'!AT260</f>
        <v>0</v>
      </c>
      <c r="AU264" s="316">
        <f>'DATA (Real)'!AU260</f>
        <v>0</v>
      </c>
      <c r="AV264" s="316">
        <f>'DATA (Real)'!AV260</f>
        <v>0</v>
      </c>
      <c r="AW264" s="316">
        <f>'DATA (Real)'!AW260</f>
        <v>0</v>
      </c>
      <c r="AX264" s="316">
        <f>'DATA (Real)'!AX260</f>
        <v>0</v>
      </c>
      <c r="AY264" s="316">
        <f>'DATA (Real)'!AY260</f>
        <v>0</v>
      </c>
      <c r="AZ264" s="316">
        <f>'DATA (Real)'!AZ260</f>
        <v>0</v>
      </c>
      <c r="BA264" s="316">
        <f>'DATA (Real)'!BA260</f>
        <v>0</v>
      </c>
      <c r="BB264" s="316">
        <f>'DATA (Real)'!BB260</f>
        <v>0</v>
      </c>
      <c r="BC264" s="316">
        <f>'DATA (Real)'!BC260</f>
        <v>0</v>
      </c>
      <c r="BD264" s="316">
        <f>'DATA (Real)'!BD260</f>
        <v>0</v>
      </c>
      <c r="BE264" s="316">
        <f>'DATA (Real)'!BE260</f>
        <v>0</v>
      </c>
      <c r="BF264" s="316">
        <f>'DATA (Real)'!BF260</f>
        <v>0</v>
      </c>
      <c r="BG264" s="316">
        <f>'DATA (Real)'!BG260</f>
        <v>0</v>
      </c>
      <c r="BH264" s="316">
        <f>'DATA (Real)'!BH260</f>
        <v>0</v>
      </c>
      <c r="BI264" s="316">
        <f>'DATA (Real)'!BI260</f>
        <v>0</v>
      </c>
      <c r="BJ264" s="316">
        <f>'DATA (Real)'!BJ260</f>
        <v>0</v>
      </c>
      <c r="BK264" s="316">
        <f>'DATA (Real)'!BK260</f>
        <v>0</v>
      </c>
      <c r="BL264" s="316">
        <f>'DATA (Real)'!BL260</f>
        <v>0</v>
      </c>
      <c r="BM264" s="316">
        <f>'DATA (Real)'!BM260</f>
        <v>0</v>
      </c>
      <c r="BN264" s="316">
        <f>'DATA (Real)'!BN260</f>
        <v>0</v>
      </c>
      <c r="BO264" s="316">
        <f>'DATA (Real)'!BO260</f>
        <v>0</v>
      </c>
      <c r="BP264" s="316">
        <f>'DATA (Real)'!BP260</f>
        <v>0</v>
      </c>
      <c r="BQ264" s="316">
        <f>'DATA (Real)'!BQ260</f>
        <v>0</v>
      </c>
      <c r="BR264" s="316">
        <f>'DATA (Real)'!BR260</f>
        <v>0</v>
      </c>
      <c r="BS264" s="316">
        <f>'DATA (Real)'!BS260</f>
        <v>0</v>
      </c>
      <c r="BT264" s="316">
        <f>'DATA (Real)'!BT260</f>
        <v>0</v>
      </c>
      <c r="BU264" s="316">
        <f>'DATA (Real)'!BU260</f>
        <v>0</v>
      </c>
      <c r="BV264" s="316">
        <f>'DATA (Real)'!BV260</f>
        <v>0</v>
      </c>
      <c r="BW264" s="316">
        <f>'DATA (Real)'!BW260</f>
        <v>0</v>
      </c>
      <c r="BX264" s="316">
        <f>'DATA (Real)'!BX260</f>
        <v>0</v>
      </c>
    </row>
    <row r="265" spans="2:76" hidden="1" outlineLevel="1">
      <c r="B265" s="350"/>
      <c r="C265" s="350" t="str">
        <f>'DATA (Real)'!C261</f>
        <v>Inflation Reduction Act</v>
      </c>
      <c r="D265" s="350" t="str">
        <f>'DATA (Real)'!D261</f>
        <v>PTC Schedule</v>
      </c>
      <c r="E265" s="350" t="str">
        <f>'DATA (Real)'!E261</f>
        <v>NW Wind On System (Share)</v>
      </c>
      <c r="H265" s="316">
        <f>'DATA (Real)'!H261</f>
        <v>1</v>
      </c>
      <c r="I265" s="316">
        <f>'DATA (Real)'!I261</f>
        <v>1</v>
      </c>
      <c r="J265" s="316">
        <f>'DATA (Real)'!J261</f>
        <v>1</v>
      </c>
      <c r="K265" s="316">
        <f>'DATA (Real)'!K261</f>
        <v>1</v>
      </c>
      <c r="L265" s="316">
        <f>'DATA (Real)'!L261</f>
        <v>1</v>
      </c>
      <c r="M265" s="316">
        <f>'DATA (Real)'!M261</f>
        <v>1</v>
      </c>
      <c r="N265" s="316">
        <f>'DATA (Real)'!N261</f>
        <v>1</v>
      </c>
      <c r="O265" s="316">
        <f>'DATA (Real)'!O261</f>
        <v>1</v>
      </c>
      <c r="P265" s="316">
        <f>'DATA (Real)'!P261</f>
        <v>1</v>
      </c>
      <c r="Q265" s="316">
        <f>'DATA (Real)'!Q261</f>
        <v>1</v>
      </c>
      <c r="R265" s="316">
        <f>'DATA (Real)'!R261</f>
        <v>1</v>
      </c>
      <c r="S265" s="316">
        <f>'DATA (Real)'!S261</f>
        <v>0.6</v>
      </c>
      <c r="T265" s="316">
        <f>'DATA (Real)'!T261</f>
        <v>0.4</v>
      </c>
      <c r="U265" s="316">
        <f>'DATA (Real)'!U261</f>
        <v>0</v>
      </c>
      <c r="V265" s="316">
        <f>'DATA (Real)'!V261</f>
        <v>0</v>
      </c>
      <c r="W265" s="316">
        <f>'DATA (Real)'!W261</f>
        <v>0</v>
      </c>
      <c r="X265" s="316">
        <f>'DATA (Real)'!X261</f>
        <v>0</v>
      </c>
      <c r="Y265" s="316">
        <f>'DATA (Real)'!Y261</f>
        <v>0</v>
      </c>
      <c r="Z265" s="316">
        <f>'DATA (Real)'!Z261</f>
        <v>0</v>
      </c>
      <c r="AA265" s="316">
        <f>'DATA (Real)'!AA261</f>
        <v>0</v>
      </c>
      <c r="AB265" s="316">
        <f>'DATA (Real)'!AB261</f>
        <v>0</v>
      </c>
      <c r="AC265" s="316">
        <f>'DATA (Real)'!AC261</f>
        <v>0</v>
      </c>
      <c r="AD265" s="316">
        <f>'DATA (Real)'!AD261</f>
        <v>0</v>
      </c>
      <c r="AE265" s="316">
        <f>'DATA (Real)'!AE261</f>
        <v>0</v>
      </c>
      <c r="AF265" s="316">
        <f>'DATA (Real)'!AF261</f>
        <v>0</v>
      </c>
      <c r="AG265" s="316">
        <f>'DATA (Real)'!AG261</f>
        <v>0</v>
      </c>
      <c r="AH265" s="316">
        <f>'DATA (Real)'!AH261</f>
        <v>0</v>
      </c>
      <c r="AI265" s="316">
        <f>'DATA (Real)'!AI261</f>
        <v>0</v>
      </c>
      <c r="AJ265" s="316">
        <f>'DATA (Real)'!AJ261</f>
        <v>0</v>
      </c>
      <c r="AK265" s="316">
        <f>'DATA (Real)'!AK261</f>
        <v>0</v>
      </c>
      <c r="AL265" s="316">
        <f>'DATA (Real)'!AL261</f>
        <v>0</v>
      </c>
      <c r="AM265" s="316">
        <f>'DATA (Real)'!AM261</f>
        <v>0</v>
      </c>
      <c r="AN265" s="316">
        <f>'DATA (Real)'!AN261</f>
        <v>0</v>
      </c>
      <c r="AO265" s="316">
        <f>'DATA (Real)'!AO261</f>
        <v>0</v>
      </c>
      <c r="AP265" s="316">
        <f>'DATA (Real)'!AP261</f>
        <v>0</v>
      </c>
      <c r="AQ265" s="316">
        <f>'DATA (Real)'!AQ261</f>
        <v>0</v>
      </c>
      <c r="AR265" s="316">
        <f>'DATA (Real)'!AR261</f>
        <v>0</v>
      </c>
      <c r="AS265" s="316">
        <f>'DATA (Real)'!AS261</f>
        <v>0</v>
      </c>
      <c r="AT265" s="316">
        <f>'DATA (Real)'!AT261</f>
        <v>0</v>
      </c>
      <c r="AU265" s="316">
        <f>'DATA (Real)'!AU261</f>
        <v>0</v>
      </c>
      <c r="AV265" s="316">
        <f>'DATA (Real)'!AV261</f>
        <v>0</v>
      </c>
      <c r="AW265" s="316">
        <f>'DATA (Real)'!AW261</f>
        <v>0</v>
      </c>
      <c r="AX265" s="316">
        <f>'DATA (Real)'!AX261</f>
        <v>0</v>
      </c>
      <c r="AY265" s="316">
        <f>'DATA (Real)'!AY261</f>
        <v>0</v>
      </c>
      <c r="AZ265" s="316">
        <f>'DATA (Real)'!AZ261</f>
        <v>0</v>
      </c>
      <c r="BA265" s="316">
        <f>'DATA (Real)'!BA261</f>
        <v>0</v>
      </c>
      <c r="BB265" s="316">
        <f>'DATA (Real)'!BB261</f>
        <v>0</v>
      </c>
      <c r="BC265" s="316">
        <f>'DATA (Real)'!BC261</f>
        <v>0</v>
      </c>
      <c r="BD265" s="316">
        <f>'DATA (Real)'!BD261</f>
        <v>0</v>
      </c>
      <c r="BE265" s="316">
        <f>'DATA (Real)'!BE261</f>
        <v>0</v>
      </c>
      <c r="BF265" s="316">
        <f>'DATA (Real)'!BF261</f>
        <v>0</v>
      </c>
      <c r="BG265" s="316">
        <f>'DATA (Real)'!BG261</f>
        <v>0</v>
      </c>
      <c r="BH265" s="316">
        <f>'DATA (Real)'!BH261</f>
        <v>0</v>
      </c>
      <c r="BI265" s="316">
        <f>'DATA (Real)'!BI261</f>
        <v>0</v>
      </c>
      <c r="BJ265" s="316">
        <f>'DATA (Real)'!BJ261</f>
        <v>0</v>
      </c>
      <c r="BK265" s="316">
        <f>'DATA (Real)'!BK261</f>
        <v>0</v>
      </c>
      <c r="BL265" s="316">
        <f>'DATA (Real)'!BL261</f>
        <v>0</v>
      </c>
      <c r="BM265" s="316">
        <f>'DATA (Real)'!BM261</f>
        <v>0</v>
      </c>
      <c r="BN265" s="316">
        <f>'DATA (Real)'!BN261</f>
        <v>0</v>
      </c>
      <c r="BO265" s="316">
        <f>'DATA (Real)'!BO261</f>
        <v>0</v>
      </c>
      <c r="BP265" s="316">
        <f>'DATA (Real)'!BP261</f>
        <v>0</v>
      </c>
      <c r="BQ265" s="316">
        <f>'DATA (Real)'!BQ261</f>
        <v>0</v>
      </c>
      <c r="BR265" s="316">
        <f>'DATA (Real)'!BR261</f>
        <v>0</v>
      </c>
      <c r="BS265" s="316">
        <f>'DATA (Real)'!BS261</f>
        <v>0</v>
      </c>
      <c r="BT265" s="316">
        <f>'DATA (Real)'!BT261</f>
        <v>0</v>
      </c>
      <c r="BU265" s="316">
        <f>'DATA (Real)'!BU261</f>
        <v>0</v>
      </c>
      <c r="BV265" s="316">
        <f>'DATA (Real)'!BV261</f>
        <v>0</v>
      </c>
      <c r="BW265" s="316">
        <f>'DATA (Real)'!BW261</f>
        <v>0</v>
      </c>
      <c r="BX265" s="316">
        <f>'DATA (Real)'!BX261</f>
        <v>0</v>
      </c>
    </row>
    <row r="266" spans="2:76" hidden="1" outlineLevel="1">
      <c r="B266" s="350"/>
      <c r="C266" s="350" t="str">
        <f>'DATA (Real)'!C262</f>
        <v>Inflation Reduction Act</v>
      </c>
      <c r="D266" s="350" t="str">
        <f>'DATA (Real)'!D262</f>
        <v>PTC Schedule</v>
      </c>
      <c r="E266" s="350" t="str">
        <f>'DATA (Real)'!E262</f>
        <v>NW Wind Off System</v>
      </c>
      <c r="H266" s="316">
        <f>'DATA (Real)'!H262</f>
        <v>1</v>
      </c>
      <c r="I266" s="316">
        <f>'DATA (Real)'!I262</f>
        <v>1</v>
      </c>
      <c r="J266" s="316">
        <f>'DATA (Real)'!J262</f>
        <v>1</v>
      </c>
      <c r="K266" s="316">
        <f>'DATA (Real)'!K262</f>
        <v>1</v>
      </c>
      <c r="L266" s="316">
        <f>'DATA (Real)'!L262</f>
        <v>1</v>
      </c>
      <c r="M266" s="316">
        <f>'DATA (Real)'!M262</f>
        <v>1</v>
      </c>
      <c r="N266" s="316">
        <f>'DATA (Real)'!N262</f>
        <v>1</v>
      </c>
      <c r="O266" s="316">
        <f>'DATA (Real)'!O262</f>
        <v>1</v>
      </c>
      <c r="P266" s="316">
        <f>'DATA (Real)'!P262</f>
        <v>1</v>
      </c>
      <c r="Q266" s="316">
        <f>'DATA (Real)'!Q262</f>
        <v>1</v>
      </c>
      <c r="R266" s="316">
        <f>'DATA (Real)'!R262</f>
        <v>1</v>
      </c>
      <c r="S266" s="316">
        <f>'DATA (Real)'!S262</f>
        <v>0.6</v>
      </c>
      <c r="T266" s="316">
        <f>'DATA (Real)'!T262</f>
        <v>0.4</v>
      </c>
      <c r="U266" s="316">
        <f>'DATA (Real)'!U262</f>
        <v>0</v>
      </c>
      <c r="V266" s="316">
        <f>'DATA (Real)'!V262</f>
        <v>0</v>
      </c>
      <c r="W266" s="316">
        <f>'DATA (Real)'!W262</f>
        <v>0</v>
      </c>
      <c r="X266" s="316">
        <f>'DATA (Real)'!X262</f>
        <v>0</v>
      </c>
      <c r="Y266" s="316">
        <f>'DATA (Real)'!Y262</f>
        <v>0</v>
      </c>
      <c r="Z266" s="316">
        <f>'DATA (Real)'!Z262</f>
        <v>0</v>
      </c>
      <c r="AA266" s="316">
        <f>'DATA (Real)'!AA262</f>
        <v>0</v>
      </c>
      <c r="AB266" s="316">
        <f>'DATA (Real)'!AB262</f>
        <v>0</v>
      </c>
      <c r="AC266" s="316">
        <f>'DATA (Real)'!AC262</f>
        <v>0</v>
      </c>
      <c r="AD266" s="316">
        <f>'DATA (Real)'!AD262</f>
        <v>0</v>
      </c>
      <c r="AE266" s="316">
        <f>'DATA (Real)'!AE262</f>
        <v>0</v>
      </c>
      <c r="AF266" s="316">
        <f>'DATA (Real)'!AF262</f>
        <v>0</v>
      </c>
      <c r="AG266" s="316">
        <f>'DATA (Real)'!AG262</f>
        <v>0</v>
      </c>
      <c r="AH266" s="316">
        <f>'DATA (Real)'!AH262</f>
        <v>0</v>
      </c>
      <c r="AI266" s="316">
        <f>'DATA (Real)'!AI262</f>
        <v>0</v>
      </c>
      <c r="AJ266" s="316">
        <f>'DATA (Real)'!AJ262</f>
        <v>0</v>
      </c>
      <c r="AK266" s="316">
        <f>'DATA (Real)'!AK262</f>
        <v>0</v>
      </c>
      <c r="AL266" s="316">
        <f>'DATA (Real)'!AL262</f>
        <v>0</v>
      </c>
      <c r="AM266" s="316">
        <f>'DATA (Real)'!AM262</f>
        <v>0</v>
      </c>
      <c r="AN266" s="316">
        <f>'DATA (Real)'!AN262</f>
        <v>0</v>
      </c>
      <c r="AO266" s="316">
        <f>'DATA (Real)'!AO262</f>
        <v>0</v>
      </c>
      <c r="AP266" s="316">
        <f>'DATA (Real)'!AP262</f>
        <v>0</v>
      </c>
      <c r="AQ266" s="316">
        <f>'DATA (Real)'!AQ262</f>
        <v>0</v>
      </c>
      <c r="AR266" s="316">
        <f>'DATA (Real)'!AR262</f>
        <v>0</v>
      </c>
      <c r="AS266" s="316">
        <f>'DATA (Real)'!AS262</f>
        <v>0</v>
      </c>
      <c r="AT266" s="316">
        <f>'DATA (Real)'!AT262</f>
        <v>0</v>
      </c>
      <c r="AU266" s="316">
        <f>'DATA (Real)'!AU262</f>
        <v>0</v>
      </c>
      <c r="AV266" s="316">
        <f>'DATA (Real)'!AV262</f>
        <v>0</v>
      </c>
      <c r="AW266" s="316">
        <f>'DATA (Real)'!AW262</f>
        <v>0</v>
      </c>
      <c r="AX266" s="316">
        <f>'DATA (Real)'!AX262</f>
        <v>0</v>
      </c>
      <c r="AY266" s="316">
        <f>'DATA (Real)'!AY262</f>
        <v>0</v>
      </c>
      <c r="AZ266" s="316">
        <f>'DATA (Real)'!AZ262</f>
        <v>0</v>
      </c>
      <c r="BA266" s="316">
        <f>'DATA (Real)'!BA262</f>
        <v>0</v>
      </c>
      <c r="BB266" s="316">
        <f>'DATA (Real)'!BB262</f>
        <v>0</v>
      </c>
      <c r="BC266" s="316">
        <f>'DATA (Real)'!BC262</f>
        <v>0</v>
      </c>
      <c r="BD266" s="316">
        <f>'DATA (Real)'!BD262</f>
        <v>0</v>
      </c>
      <c r="BE266" s="316">
        <f>'DATA (Real)'!BE262</f>
        <v>0</v>
      </c>
      <c r="BF266" s="316">
        <f>'DATA (Real)'!BF262</f>
        <v>0</v>
      </c>
      <c r="BG266" s="316">
        <f>'DATA (Real)'!BG262</f>
        <v>0</v>
      </c>
      <c r="BH266" s="316">
        <f>'DATA (Real)'!BH262</f>
        <v>0</v>
      </c>
      <c r="BI266" s="316">
        <f>'DATA (Real)'!BI262</f>
        <v>0</v>
      </c>
      <c r="BJ266" s="316">
        <f>'DATA (Real)'!BJ262</f>
        <v>0</v>
      </c>
      <c r="BK266" s="316">
        <f>'DATA (Real)'!BK262</f>
        <v>0</v>
      </c>
      <c r="BL266" s="316">
        <f>'DATA (Real)'!BL262</f>
        <v>0</v>
      </c>
      <c r="BM266" s="316">
        <f>'DATA (Real)'!BM262</f>
        <v>0</v>
      </c>
      <c r="BN266" s="316">
        <f>'DATA (Real)'!BN262</f>
        <v>0</v>
      </c>
      <c r="BO266" s="316">
        <f>'DATA (Real)'!BO262</f>
        <v>0</v>
      </c>
      <c r="BP266" s="316">
        <f>'DATA (Real)'!BP262</f>
        <v>0</v>
      </c>
      <c r="BQ266" s="316">
        <f>'DATA (Real)'!BQ262</f>
        <v>0</v>
      </c>
      <c r="BR266" s="316">
        <f>'DATA (Real)'!BR262</f>
        <v>0</v>
      </c>
      <c r="BS266" s="316">
        <f>'DATA (Real)'!BS262</f>
        <v>0</v>
      </c>
      <c r="BT266" s="316">
        <f>'DATA (Real)'!BT262</f>
        <v>0</v>
      </c>
      <c r="BU266" s="316">
        <f>'DATA (Real)'!BU262</f>
        <v>0</v>
      </c>
      <c r="BV266" s="316">
        <f>'DATA (Real)'!BV262</f>
        <v>0</v>
      </c>
      <c r="BW266" s="316">
        <f>'DATA (Real)'!BW262</f>
        <v>0</v>
      </c>
      <c r="BX266" s="316">
        <f>'DATA (Real)'!BX262</f>
        <v>0</v>
      </c>
    </row>
    <row r="267" spans="2:76" hidden="1" outlineLevel="1">
      <c r="B267" s="350"/>
      <c r="C267" s="350" t="str">
        <f>'DATA (Real)'!C263</f>
        <v>Inflation Reduction Act</v>
      </c>
      <c r="D267" s="350" t="str">
        <f>'DATA (Real)'!D263</f>
        <v>PTC Schedule</v>
      </c>
      <c r="E267" s="350" t="str">
        <f>'DATA (Real)'!E263</f>
        <v>Wind Montana</v>
      </c>
      <c r="H267" s="316">
        <f>'DATA (Real)'!H263</f>
        <v>1</v>
      </c>
      <c r="I267" s="316">
        <f>'DATA (Real)'!I263</f>
        <v>1</v>
      </c>
      <c r="J267" s="316">
        <f>'DATA (Real)'!J263</f>
        <v>1</v>
      </c>
      <c r="K267" s="316">
        <f>'DATA (Real)'!K263</f>
        <v>1</v>
      </c>
      <c r="L267" s="316">
        <f>'DATA (Real)'!L263</f>
        <v>1</v>
      </c>
      <c r="M267" s="316">
        <f>'DATA (Real)'!M263</f>
        <v>1</v>
      </c>
      <c r="N267" s="316">
        <f>'DATA (Real)'!N263</f>
        <v>1</v>
      </c>
      <c r="O267" s="316">
        <f>'DATA (Real)'!O263</f>
        <v>1</v>
      </c>
      <c r="P267" s="316">
        <f>'DATA (Real)'!P263</f>
        <v>1</v>
      </c>
      <c r="Q267" s="316">
        <f>'DATA (Real)'!Q263</f>
        <v>1</v>
      </c>
      <c r="R267" s="316">
        <f>'DATA (Real)'!R263</f>
        <v>1</v>
      </c>
      <c r="S267" s="316">
        <f>'DATA (Real)'!S263</f>
        <v>0.6</v>
      </c>
      <c r="T267" s="316">
        <f>'DATA (Real)'!T263</f>
        <v>0.4</v>
      </c>
      <c r="U267" s="316">
        <f>'DATA (Real)'!U263</f>
        <v>0</v>
      </c>
      <c r="V267" s="316">
        <f>'DATA (Real)'!V263</f>
        <v>0</v>
      </c>
      <c r="W267" s="316">
        <f>'DATA (Real)'!W263</f>
        <v>0</v>
      </c>
      <c r="X267" s="316">
        <f>'DATA (Real)'!X263</f>
        <v>0</v>
      </c>
      <c r="Y267" s="316">
        <f>'DATA (Real)'!Y263</f>
        <v>0</v>
      </c>
      <c r="Z267" s="316">
        <f>'DATA (Real)'!Z263</f>
        <v>0</v>
      </c>
      <c r="AA267" s="316">
        <f>'DATA (Real)'!AA263</f>
        <v>0</v>
      </c>
      <c r="AB267" s="316">
        <f>'DATA (Real)'!AB263</f>
        <v>0</v>
      </c>
      <c r="AC267" s="316">
        <f>'DATA (Real)'!AC263</f>
        <v>0</v>
      </c>
      <c r="AD267" s="316">
        <f>'DATA (Real)'!AD263</f>
        <v>0</v>
      </c>
      <c r="AE267" s="316">
        <f>'DATA (Real)'!AE263</f>
        <v>0</v>
      </c>
      <c r="AF267" s="316">
        <f>'DATA (Real)'!AF263</f>
        <v>0</v>
      </c>
      <c r="AG267" s="316">
        <f>'DATA (Real)'!AG263</f>
        <v>0</v>
      </c>
      <c r="AH267" s="316">
        <f>'DATA (Real)'!AH263</f>
        <v>0</v>
      </c>
      <c r="AI267" s="316">
        <f>'DATA (Real)'!AI263</f>
        <v>0</v>
      </c>
      <c r="AJ267" s="316">
        <f>'DATA (Real)'!AJ263</f>
        <v>0</v>
      </c>
      <c r="AK267" s="316">
        <f>'DATA (Real)'!AK263</f>
        <v>0</v>
      </c>
      <c r="AL267" s="316">
        <f>'DATA (Real)'!AL263</f>
        <v>0</v>
      </c>
      <c r="AM267" s="316">
        <f>'DATA (Real)'!AM263</f>
        <v>0</v>
      </c>
      <c r="AN267" s="316">
        <f>'DATA (Real)'!AN263</f>
        <v>0</v>
      </c>
      <c r="AO267" s="316">
        <f>'DATA (Real)'!AO263</f>
        <v>0</v>
      </c>
      <c r="AP267" s="316">
        <f>'DATA (Real)'!AP263</f>
        <v>0</v>
      </c>
      <c r="AQ267" s="316">
        <f>'DATA (Real)'!AQ263</f>
        <v>0</v>
      </c>
      <c r="AR267" s="316">
        <f>'DATA (Real)'!AR263</f>
        <v>0</v>
      </c>
      <c r="AS267" s="316">
        <f>'DATA (Real)'!AS263</f>
        <v>0</v>
      </c>
      <c r="AT267" s="316">
        <f>'DATA (Real)'!AT263</f>
        <v>0</v>
      </c>
      <c r="AU267" s="316">
        <f>'DATA (Real)'!AU263</f>
        <v>0</v>
      </c>
      <c r="AV267" s="316">
        <f>'DATA (Real)'!AV263</f>
        <v>0</v>
      </c>
      <c r="AW267" s="316">
        <f>'DATA (Real)'!AW263</f>
        <v>0</v>
      </c>
      <c r="AX267" s="316">
        <f>'DATA (Real)'!AX263</f>
        <v>0</v>
      </c>
      <c r="AY267" s="316">
        <f>'DATA (Real)'!AY263</f>
        <v>0</v>
      </c>
      <c r="AZ267" s="316">
        <f>'DATA (Real)'!AZ263</f>
        <v>0</v>
      </c>
      <c r="BA267" s="316">
        <f>'DATA (Real)'!BA263</f>
        <v>0</v>
      </c>
      <c r="BB267" s="316">
        <f>'DATA (Real)'!BB263</f>
        <v>0</v>
      </c>
      <c r="BC267" s="316">
        <f>'DATA (Real)'!BC263</f>
        <v>0</v>
      </c>
      <c r="BD267" s="316">
        <f>'DATA (Real)'!BD263</f>
        <v>0</v>
      </c>
      <c r="BE267" s="316">
        <f>'DATA (Real)'!BE263</f>
        <v>0</v>
      </c>
      <c r="BF267" s="316">
        <f>'DATA (Real)'!BF263</f>
        <v>0</v>
      </c>
      <c r="BG267" s="316">
        <f>'DATA (Real)'!BG263</f>
        <v>0</v>
      </c>
      <c r="BH267" s="316">
        <f>'DATA (Real)'!BH263</f>
        <v>0</v>
      </c>
      <c r="BI267" s="316">
        <f>'DATA (Real)'!BI263</f>
        <v>0</v>
      </c>
      <c r="BJ267" s="316">
        <f>'DATA (Real)'!BJ263</f>
        <v>0</v>
      </c>
      <c r="BK267" s="316">
        <f>'DATA (Real)'!BK263</f>
        <v>0</v>
      </c>
      <c r="BL267" s="316">
        <f>'DATA (Real)'!BL263</f>
        <v>0</v>
      </c>
      <c r="BM267" s="316">
        <f>'DATA (Real)'!BM263</f>
        <v>0</v>
      </c>
      <c r="BN267" s="316">
        <f>'DATA (Real)'!BN263</f>
        <v>0</v>
      </c>
      <c r="BO267" s="316">
        <f>'DATA (Real)'!BO263</f>
        <v>0</v>
      </c>
      <c r="BP267" s="316">
        <f>'DATA (Real)'!BP263</f>
        <v>0</v>
      </c>
      <c r="BQ267" s="316">
        <f>'DATA (Real)'!BQ263</f>
        <v>0</v>
      </c>
      <c r="BR267" s="316">
        <f>'DATA (Real)'!BR263</f>
        <v>0</v>
      </c>
      <c r="BS267" s="316">
        <f>'DATA (Real)'!BS263</f>
        <v>0</v>
      </c>
      <c r="BT267" s="316">
        <f>'DATA (Real)'!BT263</f>
        <v>0</v>
      </c>
      <c r="BU267" s="316">
        <f>'DATA (Real)'!BU263</f>
        <v>0</v>
      </c>
      <c r="BV267" s="316">
        <f>'DATA (Real)'!BV263</f>
        <v>0</v>
      </c>
      <c r="BW267" s="316">
        <f>'DATA (Real)'!BW263</f>
        <v>0</v>
      </c>
      <c r="BX267" s="316">
        <f>'DATA (Real)'!BX263</f>
        <v>0</v>
      </c>
    </row>
    <row r="268" spans="2:76" hidden="1" outlineLevel="1">
      <c r="B268" s="350"/>
      <c r="C268" s="350" t="str">
        <f>'DATA (Real)'!C264</f>
        <v>Inflation Reduction Act</v>
      </c>
      <c r="D268" s="350" t="str">
        <f>'DATA (Real)'!D264</f>
        <v>PTC Schedule</v>
      </c>
      <c r="E268" s="350" t="str">
        <f>'DATA (Real)'!E264</f>
        <v>Off Shore Wind (Share)</v>
      </c>
      <c r="H268" s="316">
        <f>'DATA (Real)'!H264</f>
        <v>1</v>
      </c>
      <c r="I268" s="316">
        <f>'DATA (Real)'!I264</f>
        <v>1</v>
      </c>
      <c r="J268" s="316">
        <f>'DATA (Real)'!J264</f>
        <v>1</v>
      </c>
      <c r="K268" s="316">
        <f>'DATA (Real)'!K264</f>
        <v>1</v>
      </c>
      <c r="L268" s="316">
        <f>'DATA (Real)'!L264</f>
        <v>1</v>
      </c>
      <c r="M268" s="316">
        <f>'DATA (Real)'!M264</f>
        <v>1</v>
      </c>
      <c r="N268" s="316">
        <f>'DATA (Real)'!N264</f>
        <v>1</v>
      </c>
      <c r="O268" s="316">
        <f>'DATA (Real)'!O264</f>
        <v>1</v>
      </c>
      <c r="P268" s="316">
        <f>'DATA (Real)'!P264</f>
        <v>1</v>
      </c>
      <c r="Q268" s="316">
        <f>'DATA (Real)'!Q264</f>
        <v>1</v>
      </c>
      <c r="R268" s="316">
        <f>'DATA (Real)'!R264</f>
        <v>1</v>
      </c>
      <c r="S268" s="316">
        <f>'DATA (Real)'!S264</f>
        <v>0.6</v>
      </c>
      <c r="T268" s="316">
        <f>'DATA (Real)'!T264</f>
        <v>0.4</v>
      </c>
      <c r="U268" s="316">
        <f>'DATA (Real)'!U264</f>
        <v>0</v>
      </c>
      <c r="V268" s="316">
        <f>'DATA (Real)'!V264</f>
        <v>0</v>
      </c>
      <c r="W268" s="316">
        <f>'DATA (Real)'!W264</f>
        <v>0</v>
      </c>
      <c r="X268" s="316">
        <f>'DATA (Real)'!X264</f>
        <v>0</v>
      </c>
      <c r="Y268" s="316">
        <f>'DATA (Real)'!Y264</f>
        <v>0</v>
      </c>
      <c r="Z268" s="316">
        <f>'DATA (Real)'!Z264</f>
        <v>0</v>
      </c>
      <c r="AA268" s="316">
        <f>'DATA (Real)'!AA264</f>
        <v>0</v>
      </c>
      <c r="AB268" s="316">
        <f>'DATA (Real)'!AB264</f>
        <v>0</v>
      </c>
      <c r="AC268" s="316">
        <f>'DATA (Real)'!AC264</f>
        <v>0</v>
      </c>
      <c r="AD268" s="316">
        <f>'DATA (Real)'!AD264</f>
        <v>0</v>
      </c>
      <c r="AE268" s="316">
        <f>'DATA (Real)'!AE264</f>
        <v>0</v>
      </c>
      <c r="AF268" s="316">
        <f>'DATA (Real)'!AF264</f>
        <v>0</v>
      </c>
      <c r="AG268" s="316">
        <f>'DATA (Real)'!AG264</f>
        <v>0</v>
      </c>
      <c r="AH268" s="316">
        <f>'DATA (Real)'!AH264</f>
        <v>0</v>
      </c>
      <c r="AI268" s="316">
        <f>'DATA (Real)'!AI264</f>
        <v>0</v>
      </c>
      <c r="AJ268" s="316">
        <f>'DATA (Real)'!AJ264</f>
        <v>0</v>
      </c>
      <c r="AK268" s="316">
        <f>'DATA (Real)'!AK264</f>
        <v>0</v>
      </c>
      <c r="AL268" s="316">
        <f>'DATA (Real)'!AL264</f>
        <v>0</v>
      </c>
      <c r="AM268" s="316">
        <f>'DATA (Real)'!AM264</f>
        <v>0</v>
      </c>
      <c r="AN268" s="316">
        <f>'DATA (Real)'!AN264</f>
        <v>0</v>
      </c>
      <c r="AO268" s="316">
        <f>'DATA (Real)'!AO264</f>
        <v>0</v>
      </c>
      <c r="AP268" s="316">
        <f>'DATA (Real)'!AP264</f>
        <v>0</v>
      </c>
      <c r="AQ268" s="316">
        <f>'DATA (Real)'!AQ264</f>
        <v>0</v>
      </c>
      <c r="AR268" s="316">
        <f>'DATA (Real)'!AR264</f>
        <v>0</v>
      </c>
      <c r="AS268" s="316">
        <f>'DATA (Real)'!AS264</f>
        <v>0</v>
      </c>
      <c r="AT268" s="316">
        <f>'DATA (Real)'!AT264</f>
        <v>0</v>
      </c>
      <c r="AU268" s="316">
        <f>'DATA (Real)'!AU264</f>
        <v>0</v>
      </c>
      <c r="AV268" s="316">
        <f>'DATA (Real)'!AV264</f>
        <v>0</v>
      </c>
      <c r="AW268" s="316">
        <f>'DATA (Real)'!AW264</f>
        <v>0</v>
      </c>
      <c r="AX268" s="316">
        <f>'DATA (Real)'!AX264</f>
        <v>0</v>
      </c>
      <c r="AY268" s="316">
        <f>'DATA (Real)'!AY264</f>
        <v>0</v>
      </c>
      <c r="AZ268" s="316">
        <f>'DATA (Real)'!AZ264</f>
        <v>0</v>
      </c>
      <c r="BA268" s="316">
        <f>'DATA (Real)'!BA264</f>
        <v>0</v>
      </c>
      <c r="BB268" s="316">
        <f>'DATA (Real)'!BB264</f>
        <v>0</v>
      </c>
      <c r="BC268" s="316">
        <f>'DATA (Real)'!BC264</f>
        <v>0</v>
      </c>
      <c r="BD268" s="316">
        <f>'DATA (Real)'!BD264</f>
        <v>0</v>
      </c>
      <c r="BE268" s="316">
        <f>'DATA (Real)'!BE264</f>
        <v>0</v>
      </c>
      <c r="BF268" s="316">
        <f>'DATA (Real)'!BF264</f>
        <v>0</v>
      </c>
      <c r="BG268" s="316">
        <f>'DATA (Real)'!BG264</f>
        <v>0</v>
      </c>
      <c r="BH268" s="316">
        <f>'DATA (Real)'!BH264</f>
        <v>0</v>
      </c>
      <c r="BI268" s="316">
        <f>'DATA (Real)'!BI264</f>
        <v>0</v>
      </c>
      <c r="BJ268" s="316">
        <f>'DATA (Real)'!BJ264</f>
        <v>0</v>
      </c>
      <c r="BK268" s="316">
        <f>'DATA (Real)'!BK264</f>
        <v>0</v>
      </c>
      <c r="BL268" s="316">
        <f>'DATA (Real)'!BL264</f>
        <v>0</v>
      </c>
      <c r="BM268" s="316">
        <f>'DATA (Real)'!BM264</f>
        <v>0</v>
      </c>
      <c r="BN268" s="316">
        <f>'DATA (Real)'!BN264</f>
        <v>0</v>
      </c>
      <c r="BO268" s="316">
        <f>'DATA (Real)'!BO264</f>
        <v>0</v>
      </c>
      <c r="BP268" s="316">
        <f>'DATA (Real)'!BP264</f>
        <v>0</v>
      </c>
      <c r="BQ268" s="316">
        <f>'DATA (Real)'!BQ264</f>
        <v>0</v>
      </c>
      <c r="BR268" s="316">
        <f>'DATA (Real)'!BR264</f>
        <v>0</v>
      </c>
      <c r="BS268" s="316">
        <f>'DATA (Real)'!BS264</f>
        <v>0</v>
      </c>
      <c r="BT268" s="316">
        <f>'DATA (Real)'!BT264</f>
        <v>0</v>
      </c>
      <c r="BU268" s="316">
        <f>'DATA (Real)'!BU264</f>
        <v>0</v>
      </c>
      <c r="BV268" s="316">
        <f>'DATA (Real)'!BV264</f>
        <v>0</v>
      </c>
      <c r="BW268" s="316">
        <f>'DATA (Real)'!BW264</f>
        <v>0</v>
      </c>
      <c r="BX268" s="316">
        <f>'DATA (Real)'!BX264</f>
        <v>0</v>
      </c>
    </row>
    <row r="269" spans="2:76" hidden="1" outlineLevel="1">
      <c r="B269" s="351"/>
      <c r="C269" s="351" t="str">
        <f>'DATA (Real)'!C265</f>
        <v>Inflation Reduction Act</v>
      </c>
      <c r="D269" s="351" t="str">
        <f>'DATA (Real)'!D265</f>
        <v>PTC Schedule</v>
      </c>
      <c r="E269" s="351" t="str">
        <f>'DATA (Real)'!E265</f>
        <v>Small Modular Reactor (share)</v>
      </c>
      <c r="H269" s="316">
        <f>'DATA (Real)'!H265</f>
        <v>1</v>
      </c>
      <c r="I269" s="316">
        <f>'DATA (Real)'!I265</f>
        <v>1</v>
      </c>
      <c r="J269" s="316">
        <f>'DATA (Real)'!J265</f>
        <v>1</v>
      </c>
      <c r="K269" s="316">
        <f>'DATA (Real)'!K265</f>
        <v>1</v>
      </c>
      <c r="L269" s="316">
        <f>'DATA (Real)'!L265</f>
        <v>1</v>
      </c>
      <c r="M269" s="316">
        <f>'DATA (Real)'!M265</f>
        <v>1</v>
      </c>
      <c r="N269" s="316">
        <f>'DATA (Real)'!N265</f>
        <v>1</v>
      </c>
      <c r="O269" s="316">
        <f>'DATA (Real)'!O265</f>
        <v>1</v>
      </c>
      <c r="P269" s="316">
        <f>'DATA (Real)'!P265</f>
        <v>1</v>
      </c>
      <c r="Q269" s="316">
        <f>'DATA (Real)'!Q265</f>
        <v>1</v>
      </c>
      <c r="R269" s="316">
        <f>'DATA (Real)'!R265</f>
        <v>1</v>
      </c>
      <c r="S269" s="316">
        <f>'DATA (Real)'!S265</f>
        <v>0.6</v>
      </c>
      <c r="T269" s="316">
        <f>'DATA (Real)'!T265</f>
        <v>0.4</v>
      </c>
      <c r="U269" s="316">
        <f>'DATA (Real)'!U265</f>
        <v>0</v>
      </c>
      <c r="V269" s="316">
        <f>'DATA (Real)'!V265</f>
        <v>0</v>
      </c>
      <c r="W269" s="316">
        <f>'DATA (Real)'!W265</f>
        <v>0</v>
      </c>
      <c r="X269" s="316">
        <f>'DATA (Real)'!X265</f>
        <v>0</v>
      </c>
      <c r="Y269" s="316">
        <f>'DATA (Real)'!Y265</f>
        <v>0</v>
      </c>
      <c r="Z269" s="316">
        <f>'DATA (Real)'!Z265</f>
        <v>0</v>
      </c>
      <c r="AA269" s="316">
        <f>'DATA (Real)'!AA265</f>
        <v>0</v>
      </c>
      <c r="AB269" s="316">
        <f>'DATA (Real)'!AB265</f>
        <v>0</v>
      </c>
      <c r="AC269" s="316">
        <f>'DATA (Real)'!AC265</f>
        <v>0</v>
      </c>
      <c r="AD269" s="316">
        <f>'DATA (Real)'!AD265</f>
        <v>0</v>
      </c>
      <c r="AE269" s="316">
        <f>'DATA (Real)'!AE265</f>
        <v>0</v>
      </c>
      <c r="AF269" s="316">
        <f>'DATA (Real)'!AF265</f>
        <v>0</v>
      </c>
      <c r="AG269" s="316">
        <f>'DATA (Real)'!AG265</f>
        <v>0</v>
      </c>
      <c r="AH269" s="316">
        <f>'DATA (Real)'!AH265</f>
        <v>0</v>
      </c>
      <c r="AI269" s="316">
        <f>'DATA (Real)'!AI265</f>
        <v>0</v>
      </c>
      <c r="AJ269" s="316">
        <f>'DATA (Real)'!AJ265</f>
        <v>0</v>
      </c>
      <c r="AK269" s="316">
        <f>'DATA (Real)'!AK265</f>
        <v>0</v>
      </c>
      <c r="AL269" s="316">
        <f>'DATA (Real)'!AL265</f>
        <v>0</v>
      </c>
      <c r="AM269" s="316">
        <f>'DATA (Real)'!AM265</f>
        <v>0</v>
      </c>
      <c r="AN269" s="316">
        <f>'DATA (Real)'!AN265</f>
        <v>0</v>
      </c>
      <c r="AO269" s="316">
        <f>'DATA (Real)'!AO265</f>
        <v>0</v>
      </c>
      <c r="AP269" s="316">
        <f>'DATA (Real)'!AP265</f>
        <v>0</v>
      </c>
      <c r="AQ269" s="316">
        <f>'DATA (Real)'!AQ265</f>
        <v>0</v>
      </c>
      <c r="AR269" s="316">
        <f>'DATA (Real)'!AR265</f>
        <v>0</v>
      </c>
      <c r="AS269" s="316">
        <f>'DATA (Real)'!AS265</f>
        <v>0</v>
      </c>
      <c r="AT269" s="316">
        <f>'DATA (Real)'!AT265</f>
        <v>0</v>
      </c>
      <c r="AU269" s="316">
        <f>'DATA (Real)'!AU265</f>
        <v>0</v>
      </c>
      <c r="AV269" s="316">
        <f>'DATA (Real)'!AV265</f>
        <v>0</v>
      </c>
      <c r="AW269" s="316">
        <f>'DATA (Real)'!AW265</f>
        <v>0</v>
      </c>
      <c r="AX269" s="316">
        <f>'DATA (Real)'!AX265</f>
        <v>0</v>
      </c>
      <c r="AY269" s="316">
        <f>'DATA (Real)'!AY265</f>
        <v>0</v>
      </c>
      <c r="AZ269" s="316">
        <f>'DATA (Real)'!AZ265</f>
        <v>0</v>
      </c>
      <c r="BA269" s="316">
        <f>'DATA (Real)'!BA265</f>
        <v>0</v>
      </c>
      <c r="BB269" s="316">
        <f>'DATA (Real)'!BB265</f>
        <v>0</v>
      </c>
      <c r="BC269" s="316">
        <f>'DATA (Real)'!BC265</f>
        <v>0</v>
      </c>
      <c r="BD269" s="316">
        <f>'DATA (Real)'!BD265</f>
        <v>0</v>
      </c>
      <c r="BE269" s="316">
        <f>'DATA (Real)'!BE265</f>
        <v>0</v>
      </c>
      <c r="BF269" s="316">
        <f>'DATA (Real)'!BF265</f>
        <v>0</v>
      </c>
      <c r="BG269" s="316">
        <f>'DATA (Real)'!BG265</f>
        <v>0</v>
      </c>
      <c r="BH269" s="316">
        <f>'DATA (Real)'!BH265</f>
        <v>0</v>
      </c>
      <c r="BI269" s="316">
        <f>'DATA (Real)'!BI265</f>
        <v>0</v>
      </c>
      <c r="BJ269" s="316">
        <f>'DATA (Real)'!BJ265</f>
        <v>0</v>
      </c>
      <c r="BK269" s="316">
        <f>'DATA (Real)'!BK265</f>
        <v>0</v>
      </c>
      <c r="BL269" s="316">
        <f>'DATA (Real)'!BL265</f>
        <v>0</v>
      </c>
      <c r="BM269" s="316">
        <f>'DATA (Real)'!BM265</f>
        <v>0</v>
      </c>
      <c r="BN269" s="316">
        <f>'DATA (Real)'!BN265</f>
        <v>0</v>
      </c>
      <c r="BO269" s="316">
        <f>'DATA (Real)'!BO265</f>
        <v>0</v>
      </c>
      <c r="BP269" s="316">
        <f>'DATA (Real)'!BP265</f>
        <v>0</v>
      </c>
      <c r="BQ269" s="316">
        <f>'DATA (Real)'!BQ265</f>
        <v>0</v>
      </c>
      <c r="BR269" s="316">
        <f>'DATA (Real)'!BR265</f>
        <v>0</v>
      </c>
      <c r="BS269" s="316">
        <f>'DATA (Real)'!BS265</f>
        <v>0</v>
      </c>
      <c r="BT269" s="316">
        <f>'DATA (Real)'!BT265</f>
        <v>0</v>
      </c>
      <c r="BU269" s="316">
        <f>'DATA (Real)'!BU265</f>
        <v>0</v>
      </c>
      <c r="BV269" s="316">
        <f>'DATA (Real)'!BV265</f>
        <v>0</v>
      </c>
      <c r="BW269" s="316">
        <f>'DATA (Real)'!BW265</f>
        <v>0</v>
      </c>
      <c r="BX269" s="316">
        <f>'DATA (Real)'!BX265</f>
        <v>0</v>
      </c>
    </row>
    <row r="270" spans="2:76" hidden="1" outlineLevel="1">
      <c r="B270" s="351"/>
      <c r="C270" s="351" t="str">
        <f>'DATA (Real)'!C266</f>
        <v>Inflation Reduction Act</v>
      </c>
      <c r="D270" s="351" t="str">
        <f>'DATA (Real)'!D266</f>
        <v>PTC Schedule</v>
      </c>
      <c r="E270" s="351" t="str">
        <f>'DATA (Real)'!E266</f>
        <v>Geothermal (Off System)</v>
      </c>
      <c r="H270" s="316">
        <f>'DATA (Real)'!H266</f>
        <v>1</v>
      </c>
      <c r="I270" s="316">
        <f>'DATA (Real)'!I266</f>
        <v>1</v>
      </c>
      <c r="J270" s="316">
        <f>'DATA (Real)'!J266</f>
        <v>1</v>
      </c>
      <c r="K270" s="316">
        <f>'DATA (Real)'!K266</f>
        <v>1</v>
      </c>
      <c r="L270" s="316">
        <f>'DATA (Real)'!L266</f>
        <v>1</v>
      </c>
      <c r="M270" s="316">
        <f>'DATA (Real)'!M266</f>
        <v>1</v>
      </c>
      <c r="N270" s="316">
        <f>'DATA (Real)'!N266</f>
        <v>1</v>
      </c>
      <c r="O270" s="316">
        <f>'DATA (Real)'!O266</f>
        <v>1</v>
      </c>
      <c r="P270" s="316">
        <f>'DATA (Real)'!P266</f>
        <v>1</v>
      </c>
      <c r="Q270" s="316">
        <f>'DATA (Real)'!Q266</f>
        <v>1</v>
      </c>
      <c r="R270" s="316">
        <f>'DATA (Real)'!R266</f>
        <v>1</v>
      </c>
      <c r="S270" s="316">
        <f>'DATA (Real)'!S266</f>
        <v>0.6</v>
      </c>
      <c r="T270" s="316">
        <f>'DATA (Real)'!T266</f>
        <v>0.4</v>
      </c>
      <c r="U270" s="316">
        <f>'DATA (Real)'!U266</f>
        <v>0</v>
      </c>
      <c r="V270" s="316">
        <f>'DATA (Real)'!V266</f>
        <v>0</v>
      </c>
      <c r="W270" s="316">
        <f>'DATA (Real)'!W266</f>
        <v>0</v>
      </c>
      <c r="X270" s="316">
        <f>'DATA (Real)'!X266</f>
        <v>0</v>
      </c>
      <c r="Y270" s="316">
        <f>'DATA (Real)'!Y266</f>
        <v>0</v>
      </c>
      <c r="Z270" s="316">
        <f>'DATA (Real)'!Z266</f>
        <v>0</v>
      </c>
      <c r="AA270" s="316">
        <f>'DATA (Real)'!AA266</f>
        <v>0</v>
      </c>
      <c r="AB270" s="316">
        <f>'DATA (Real)'!AB266</f>
        <v>0</v>
      </c>
      <c r="AC270" s="316">
        <f>'DATA (Real)'!AC266</f>
        <v>0</v>
      </c>
      <c r="AD270" s="316">
        <f>'DATA (Real)'!AD266</f>
        <v>0</v>
      </c>
      <c r="AE270" s="316">
        <f>'DATA (Real)'!AE266</f>
        <v>0</v>
      </c>
      <c r="AF270" s="316">
        <f>'DATA (Real)'!AF266</f>
        <v>0</v>
      </c>
      <c r="AG270" s="316">
        <f>'DATA (Real)'!AG266</f>
        <v>0</v>
      </c>
      <c r="AH270" s="316">
        <f>'DATA (Real)'!AH266</f>
        <v>0</v>
      </c>
      <c r="AI270" s="316">
        <f>'DATA (Real)'!AI266</f>
        <v>0</v>
      </c>
      <c r="AJ270" s="316">
        <f>'DATA (Real)'!AJ266</f>
        <v>0</v>
      </c>
      <c r="AK270" s="316">
        <f>'DATA (Real)'!AK266</f>
        <v>0</v>
      </c>
      <c r="AL270" s="316">
        <f>'DATA (Real)'!AL266</f>
        <v>0</v>
      </c>
      <c r="AM270" s="316">
        <f>'DATA (Real)'!AM266</f>
        <v>0</v>
      </c>
      <c r="AN270" s="316">
        <f>'DATA (Real)'!AN266</f>
        <v>0</v>
      </c>
      <c r="AO270" s="316">
        <f>'DATA (Real)'!AO266</f>
        <v>0</v>
      </c>
      <c r="AP270" s="316">
        <f>'DATA (Real)'!AP266</f>
        <v>0</v>
      </c>
      <c r="AQ270" s="316">
        <f>'DATA (Real)'!AQ266</f>
        <v>0</v>
      </c>
      <c r="AR270" s="316">
        <f>'DATA (Real)'!AR266</f>
        <v>0</v>
      </c>
      <c r="AS270" s="316">
        <f>'DATA (Real)'!AS266</f>
        <v>0</v>
      </c>
      <c r="AT270" s="316">
        <f>'DATA (Real)'!AT266</f>
        <v>0</v>
      </c>
      <c r="AU270" s="316">
        <f>'DATA (Real)'!AU266</f>
        <v>0</v>
      </c>
      <c r="AV270" s="316">
        <f>'DATA (Real)'!AV266</f>
        <v>0</v>
      </c>
      <c r="AW270" s="316">
        <f>'DATA (Real)'!AW266</f>
        <v>0</v>
      </c>
      <c r="AX270" s="316">
        <f>'DATA (Real)'!AX266</f>
        <v>0</v>
      </c>
      <c r="AY270" s="316">
        <f>'DATA (Real)'!AY266</f>
        <v>0</v>
      </c>
      <c r="AZ270" s="316">
        <f>'DATA (Real)'!AZ266</f>
        <v>0</v>
      </c>
      <c r="BA270" s="316">
        <f>'DATA (Real)'!BA266</f>
        <v>0</v>
      </c>
      <c r="BB270" s="316">
        <f>'DATA (Real)'!BB266</f>
        <v>0</v>
      </c>
      <c r="BC270" s="316">
        <f>'DATA (Real)'!BC266</f>
        <v>0</v>
      </c>
      <c r="BD270" s="316">
        <f>'DATA (Real)'!BD266</f>
        <v>0</v>
      </c>
      <c r="BE270" s="316">
        <f>'DATA (Real)'!BE266</f>
        <v>0</v>
      </c>
      <c r="BF270" s="316">
        <f>'DATA (Real)'!BF266</f>
        <v>0</v>
      </c>
      <c r="BG270" s="316">
        <f>'DATA (Real)'!BG266</f>
        <v>0</v>
      </c>
      <c r="BH270" s="316">
        <f>'DATA (Real)'!BH266</f>
        <v>0</v>
      </c>
      <c r="BI270" s="316">
        <f>'DATA (Real)'!BI266</f>
        <v>0</v>
      </c>
      <c r="BJ270" s="316">
        <f>'DATA (Real)'!BJ266</f>
        <v>0</v>
      </c>
      <c r="BK270" s="316">
        <f>'DATA (Real)'!BK266</f>
        <v>0</v>
      </c>
      <c r="BL270" s="316">
        <f>'DATA (Real)'!BL266</f>
        <v>0</v>
      </c>
      <c r="BM270" s="316">
        <f>'DATA (Real)'!BM266</f>
        <v>0</v>
      </c>
      <c r="BN270" s="316">
        <f>'DATA (Real)'!BN266</f>
        <v>0</v>
      </c>
      <c r="BO270" s="316">
        <f>'DATA (Real)'!BO266</f>
        <v>0</v>
      </c>
      <c r="BP270" s="316">
        <f>'DATA (Real)'!BP266</f>
        <v>0</v>
      </c>
      <c r="BQ270" s="316">
        <f>'DATA (Real)'!BQ266</f>
        <v>0</v>
      </c>
      <c r="BR270" s="316">
        <f>'DATA (Real)'!BR266</f>
        <v>0</v>
      </c>
      <c r="BS270" s="316">
        <f>'DATA (Real)'!BS266</f>
        <v>0</v>
      </c>
      <c r="BT270" s="316">
        <f>'DATA (Real)'!BT266</f>
        <v>0</v>
      </c>
      <c r="BU270" s="316">
        <f>'DATA (Real)'!BU266</f>
        <v>0</v>
      </c>
      <c r="BV270" s="316">
        <f>'DATA (Real)'!BV266</f>
        <v>0</v>
      </c>
      <c r="BW270" s="316">
        <f>'DATA (Real)'!BW266</f>
        <v>0</v>
      </c>
      <c r="BX270" s="316">
        <f>'DATA (Real)'!BX266</f>
        <v>0</v>
      </c>
    </row>
    <row r="271" spans="2:76" s="355" customFormat="1" hidden="1" outlineLevel="1">
      <c r="B271" s="353"/>
      <c r="C271" s="353" t="str">
        <f>'DATA (Real)'!C267</f>
        <v>Inflation Reduction Act</v>
      </c>
      <c r="D271" s="353">
        <f>'DATA (Real)'!D267</f>
        <v>0</v>
      </c>
      <c r="E271" s="353" t="str">
        <f>'DATA (Real)'!E267</f>
        <v>7F.04 CT Frame Greenfield</v>
      </c>
      <c r="F271" s="317"/>
      <c r="G271" s="317"/>
      <c r="H271" s="316">
        <f>'DATA (Real)'!H267</f>
        <v>0</v>
      </c>
      <c r="I271" s="316">
        <f>'DATA (Real)'!I267</f>
        <v>0</v>
      </c>
      <c r="J271" s="316">
        <f>'DATA (Real)'!J267</f>
        <v>0</v>
      </c>
      <c r="K271" s="316">
        <f>'DATA (Real)'!K267</f>
        <v>0</v>
      </c>
      <c r="L271" s="316">
        <f>'DATA (Real)'!L267</f>
        <v>0</v>
      </c>
      <c r="M271" s="316">
        <f>'DATA (Real)'!M267</f>
        <v>0</v>
      </c>
      <c r="N271" s="316">
        <f>'DATA (Real)'!N267</f>
        <v>0</v>
      </c>
      <c r="O271" s="316">
        <f>'DATA (Real)'!O267</f>
        <v>0</v>
      </c>
      <c r="P271" s="316">
        <f>'DATA (Real)'!P267</f>
        <v>0</v>
      </c>
      <c r="Q271" s="316">
        <f>'DATA (Real)'!Q267</f>
        <v>0</v>
      </c>
      <c r="R271" s="316">
        <f>'DATA (Real)'!R267</f>
        <v>0</v>
      </c>
      <c r="S271" s="316">
        <f>'DATA (Real)'!S267</f>
        <v>0</v>
      </c>
      <c r="T271" s="316">
        <f>'DATA (Real)'!T267</f>
        <v>0</v>
      </c>
      <c r="U271" s="316">
        <f>'DATA (Real)'!U267</f>
        <v>0</v>
      </c>
      <c r="V271" s="316">
        <f>'DATA (Real)'!V267</f>
        <v>0</v>
      </c>
      <c r="W271" s="316">
        <f>'DATA (Real)'!W267</f>
        <v>0</v>
      </c>
      <c r="X271" s="316">
        <f>'DATA (Real)'!X267</f>
        <v>0</v>
      </c>
      <c r="Y271" s="316">
        <f>'DATA (Real)'!Y267</f>
        <v>0</v>
      </c>
      <c r="Z271" s="316">
        <f>'DATA (Real)'!Z267</f>
        <v>0</v>
      </c>
      <c r="AA271" s="316">
        <f>'DATA (Real)'!AA267</f>
        <v>0</v>
      </c>
      <c r="AB271" s="316">
        <f>'DATA (Real)'!AB267</f>
        <v>0</v>
      </c>
      <c r="AC271" s="316">
        <f>'DATA (Real)'!AC267</f>
        <v>0</v>
      </c>
      <c r="AD271" s="316">
        <f>'DATA (Real)'!AD267</f>
        <v>0</v>
      </c>
      <c r="AE271" s="316">
        <f>'DATA (Real)'!AE267</f>
        <v>0</v>
      </c>
      <c r="AF271" s="316">
        <f>'DATA (Real)'!AF267</f>
        <v>0</v>
      </c>
      <c r="AG271" s="316">
        <f>'DATA (Real)'!AG267</f>
        <v>0</v>
      </c>
      <c r="AH271" s="316">
        <f>'DATA (Real)'!AH267</f>
        <v>0</v>
      </c>
      <c r="AI271" s="316">
        <f>'DATA (Real)'!AI267</f>
        <v>0</v>
      </c>
      <c r="AJ271" s="316">
        <f>'DATA (Real)'!AJ267</f>
        <v>0</v>
      </c>
      <c r="AK271" s="316">
        <f>'DATA (Real)'!AK267</f>
        <v>0</v>
      </c>
      <c r="AL271" s="316">
        <f>'DATA (Real)'!AL267</f>
        <v>0</v>
      </c>
      <c r="AM271" s="316">
        <f>'DATA (Real)'!AM267</f>
        <v>0</v>
      </c>
      <c r="AN271" s="316">
        <f>'DATA (Real)'!AN267</f>
        <v>0</v>
      </c>
      <c r="AO271" s="316">
        <f>'DATA (Real)'!AO267</f>
        <v>0</v>
      </c>
      <c r="AP271" s="316">
        <f>'DATA (Real)'!AP267</f>
        <v>0</v>
      </c>
      <c r="AQ271" s="316">
        <f>'DATA (Real)'!AQ267</f>
        <v>0</v>
      </c>
      <c r="AR271" s="316">
        <f>'DATA (Real)'!AR267</f>
        <v>0</v>
      </c>
      <c r="AS271" s="316">
        <f>'DATA (Real)'!AS267</f>
        <v>0</v>
      </c>
      <c r="AT271" s="316">
        <f>'DATA (Real)'!AT267</f>
        <v>0</v>
      </c>
      <c r="AU271" s="316">
        <f>'DATA (Real)'!AU267</f>
        <v>0</v>
      </c>
      <c r="AV271" s="316">
        <f>'DATA (Real)'!AV267</f>
        <v>0</v>
      </c>
      <c r="AW271" s="316">
        <f>'DATA (Real)'!AW267</f>
        <v>0</v>
      </c>
      <c r="AX271" s="316">
        <f>'DATA (Real)'!AX267</f>
        <v>0</v>
      </c>
      <c r="AY271" s="316">
        <f>'DATA (Real)'!AY267</f>
        <v>0</v>
      </c>
      <c r="AZ271" s="316">
        <f>'DATA (Real)'!AZ267</f>
        <v>0</v>
      </c>
      <c r="BA271" s="316">
        <f>'DATA (Real)'!BA267</f>
        <v>0</v>
      </c>
      <c r="BB271" s="316">
        <f>'DATA (Real)'!BB267</f>
        <v>0</v>
      </c>
      <c r="BC271" s="316">
        <f>'DATA (Real)'!BC267</f>
        <v>0</v>
      </c>
      <c r="BD271" s="316">
        <f>'DATA (Real)'!BD267</f>
        <v>0</v>
      </c>
      <c r="BE271" s="316">
        <f>'DATA (Real)'!BE267</f>
        <v>0</v>
      </c>
      <c r="BF271" s="316">
        <f>'DATA (Real)'!BF267</f>
        <v>0</v>
      </c>
      <c r="BG271" s="316">
        <f>'DATA (Real)'!BG267</f>
        <v>0</v>
      </c>
      <c r="BH271" s="316">
        <f>'DATA (Real)'!BH267</f>
        <v>0</v>
      </c>
      <c r="BI271" s="316">
        <f>'DATA (Real)'!BI267</f>
        <v>0</v>
      </c>
      <c r="BJ271" s="316">
        <f>'DATA (Real)'!BJ267</f>
        <v>0</v>
      </c>
      <c r="BK271" s="316">
        <f>'DATA (Real)'!BK267</f>
        <v>0</v>
      </c>
      <c r="BL271" s="316">
        <f>'DATA (Real)'!BL267</f>
        <v>0</v>
      </c>
      <c r="BM271" s="316">
        <f>'DATA (Real)'!BM267</f>
        <v>0</v>
      </c>
      <c r="BN271" s="316">
        <f>'DATA (Real)'!BN267</f>
        <v>0</v>
      </c>
      <c r="BO271" s="316">
        <f>'DATA (Real)'!BO267</f>
        <v>0</v>
      </c>
      <c r="BP271" s="316">
        <f>'DATA (Real)'!BP267</f>
        <v>0</v>
      </c>
      <c r="BQ271" s="316">
        <f>'DATA (Real)'!BQ267</f>
        <v>0</v>
      </c>
      <c r="BR271" s="316">
        <f>'DATA (Real)'!BR267</f>
        <v>0</v>
      </c>
      <c r="BS271" s="316">
        <f>'DATA (Real)'!BS267</f>
        <v>0</v>
      </c>
      <c r="BT271" s="316">
        <f>'DATA (Real)'!BT267</f>
        <v>0</v>
      </c>
      <c r="BU271" s="316">
        <f>'DATA (Real)'!BU267</f>
        <v>0</v>
      </c>
      <c r="BV271" s="316">
        <f>'DATA (Real)'!BV267</f>
        <v>0</v>
      </c>
      <c r="BW271" s="316">
        <f>'DATA (Real)'!BW267</f>
        <v>0</v>
      </c>
      <c r="BX271" s="316">
        <f>'DATA (Real)'!BX267</f>
        <v>0</v>
      </c>
    </row>
    <row r="272" spans="2:76" s="355" customFormat="1" hidden="1" outlineLevel="1">
      <c r="B272" s="353"/>
      <c r="C272" s="353" t="str">
        <f>'DATA (Real)'!C268</f>
        <v>Inflation Reduction Act</v>
      </c>
      <c r="D272" s="353">
        <f>'DATA (Real)'!D268</f>
        <v>0</v>
      </c>
      <c r="E272" s="353" t="str">
        <f>'DATA (Real)'!E268</f>
        <v>Reciprocating Engine (ICE) Machine</v>
      </c>
      <c r="F272" s="317"/>
      <c r="G272" s="317"/>
      <c r="H272" s="316">
        <f>'DATA (Real)'!H268</f>
        <v>0</v>
      </c>
      <c r="I272" s="316">
        <f>'DATA (Real)'!I268</f>
        <v>0</v>
      </c>
      <c r="J272" s="316">
        <f>'DATA (Real)'!J268</f>
        <v>0</v>
      </c>
      <c r="K272" s="316">
        <f>'DATA (Real)'!K268</f>
        <v>0</v>
      </c>
      <c r="L272" s="316">
        <f>'DATA (Real)'!L268</f>
        <v>0</v>
      </c>
      <c r="M272" s="316">
        <f>'DATA (Real)'!M268</f>
        <v>0</v>
      </c>
      <c r="N272" s="316">
        <f>'DATA (Real)'!N268</f>
        <v>0</v>
      </c>
      <c r="O272" s="316">
        <f>'DATA (Real)'!O268</f>
        <v>0</v>
      </c>
      <c r="P272" s="316">
        <f>'DATA (Real)'!P268</f>
        <v>0</v>
      </c>
      <c r="Q272" s="316">
        <f>'DATA (Real)'!Q268</f>
        <v>0</v>
      </c>
      <c r="R272" s="316">
        <f>'DATA (Real)'!R268</f>
        <v>0</v>
      </c>
      <c r="S272" s="316">
        <f>'DATA (Real)'!S268</f>
        <v>0</v>
      </c>
      <c r="T272" s="316">
        <f>'DATA (Real)'!T268</f>
        <v>0</v>
      </c>
      <c r="U272" s="316">
        <f>'DATA (Real)'!U268</f>
        <v>0</v>
      </c>
      <c r="V272" s="316">
        <f>'DATA (Real)'!V268</f>
        <v>0</v>
      </c>
      <c r="W272" s="316">
        <f>'DATA (Real)'!W268</f>
        <v>0</v>
      </c>
      <c r="X272" s="316">
        <f>'DATA (Real)'!X268</f>
        <v>0</v>
      </c>
      <c r="Y272" s="316">
        <f>'DATA (Real)'!Y268</f>
        <v>0</v>
      </c>
      <c r="Z272" s="316">
        <f>'DATA (Real)'!Z268</f>
        <v>0</v>
      </c>
      <c r="AA272" s="316">
        <f>'DATA (Real)'!AA268</f>
        <v>0</v>
      </c>
      <c r="AB272" s="316">
        <f>'DATA (Real)'!AB268</f>
        <v>0</v>
      </c>
      <c r="AC272" s="316">
        <f>'DATA (Real)'!AC268</f>
        <v>0</v>
      </c>
      <c r="AD272" s="316">
        <f>'DATA (Real)'!AD268</f>
        <v>0</v>
      </c>
      <c r="AE272" s="316">
        <f>'DATA (Real)'!AE268</f>
        <v>0</v>
      </c>
      <c r="AF272" s="316">
        <f>'DATA (Real)'!AF268</f>
        <v>0</v>
      </c>
      <c r="AG272" s="316">
        <f>'DATA (Real)'!AG268</f>
        <v>0</v>
      </c>
      <c r="AH272" s="316">
        <f>'DATA (Real)'!AH268</f>
        <v>0</v>
      </c>
      <c r="AI272" s="316">
        <f>'DATA (Real)'!AI268</f>
        <v>0</v>
      </c>
      <c r="AJ272" s="316">
        <f>'DATA (Real)'!AJ268</f>
        <v>0</v>
      </c>
      <c r="AK272" s="316">
        <f>'DATA (Real)'!AK268</f>
        <v>0</v>
      </c>
      <c r="AL272" s="316">
        <f>'DATA (Real)'!AL268</f>
        <v>0</v>
      </c>
      <c r="AM272" s="316">
        <f>'DATA (Real)'!AM268</f>
        <v>0</v>
      </c>
      <c r="AN272" s="316">
        <f>'DATA (Real)'!AN268</f>
        <v>0</v>
      </c>
      <c r="AO272" s="316">
        <f>'DATA (Real)'!AO268</f>
        <v>0</v>
      </c>
      <c r="AP272" s="316">
        <f>'DATA (Real)'!AP268</f>
        <v>0</v>
      </c>
      <c r="AQ272" s="316">
        <f>'DATA (Real)'!AQ268</f>
        <v>0</v>
      </c>
      <c r="AR272" s="316">
        <f>'DATA (Real)'!AR268</f>
        <v>0</v>
      </c>
      <c r="AS272" s="316">
        <f>'DATA (Real)'!AS268</f>
        <v>0</v>
      </c>
      <c r="AT272" s="316">
        <f>'DATA (Real)'!AT268</f>
        <v>0</v>
      </c>
      <c r="AU272" s="316">
        <f>'DATA (Real)'!AU268</f>
        <v>0</v>
      </c>
      <c r="AV272" s="316">
        <f>'DATA (Real)'!AV268</f>
        <v>0</v>
      </c>
      <c r="AW272" s="316">
        <f>'DATA (Real)'!AW268</f>
        <v>0</v>
      </c>
      <c r="AX272" s="316">
        <f>'DATA (Real)'!AX268</f>
        <v>0</v>
      </c>
      <c r="AY272" s="316">
        <f>'DATA (Real)'!AY268</f>
        <v>0</v>
      </c>
      <c r="AZ272" s="316">
        <f>'DATA (Real)'!AZ268</f>
        <v>0</v>
      </c>
      <c r="BA272" s="316">
        <f>'DATA (Real)'!BA268</f>
        <v>0</v>
      </c>
      <c r="BB272" s="316">
        <f>'DATA (Real)'!BB268</f>
        <v>0</v>
      </c>
      <c r="BC272" s="316">
        <f>'DATA (Real)'!BC268</f>
        <v>0</v>
      </c>
      <c r="BD272" s="316">
        <f>'DATA (Real)'!BD268</f>
        <v>0</v>
      </c>
      <c r="BE272" s="316">
        <f>'DATA (Real)'!BE268</f>
        <v>0</v>
      </c>
      <c r="BF272" s="316">
        <f>'DATA (Real)'!BF268</f>
        <v>0</v>
      </c>
      <c r="BG272" s="316">
        <f>'DATA (Real)'!BG268</f>
        <v>0</v>
      </c>
      <c r="BH272" s="316">
        <f>'DATA (Real)'!BH268</f>
        <v>0</v>
      </c>
      <c r="BI272" s="316">
        <f>'DATA (Real)'!BI268</f>
        <v>0</v>
      </c>
      <c r="BJ272" s="316">
        <f>'DATA (Real)'!BJ268</f>
        <v>0</v>
      </c>
      <c r="BK272" s="316">
        <f>'DATA (Real)'!BK268</f>
        <v>0</v>
      </c>
      <c r="BL272" s="316">
        <f>'DATA (Real)'!BL268</f>
        <v>0</v>
      </c>
      <c r="BM272" s="316">
        <f>'DATA (Real)'!BM268</f>
        <v>0</v>
      </c>
      <c r="BN272" s="316">
        <f>'DATA (Real)'!BN268</f>
        <v>0</v>
      </c>
      <c r="BO272" s="316">
        <f>'DATA (Real)'!BO268</f>
        <v>0</v>
      </c>
      <c r="BP272" s="316">
        <f>'DATA (Real)'!BP268</f>
        <v>0</v>
      </c>
      <c r="BQ272" s="316">
        <f>'DATA (Real)'!BQ268</f>
        <v>0</v>
      </c>
      <c r="BR272" s="316">
        <f>'DATA (Real)'!BR268</f>
        <v>0</v>
      </c>
      <c r="BS272" s="316">
        <f>'DATA (Real)'!BS268</f>
        <v>0</v>
      </c>
      <c r="BT272" s="316">
        <f>'DATA (Real)'!BT268</f>
        <v>0</v>
      </c>
      <c r="BU272" s="316">
        <f>'DATA (Real)'!BU268</f>
        <v>0</v>
      </c>
      <c r="BV272" s="316">
        <f>'DATA (Real)'!BV268</f>
        <v>0</v>
      </c>
      <c r="BW272" s="316">
        <f>'DATA (Real)'!BW268</f>
        <v>0</v>
      </c>
      <c r="BX272" s="316">
        <f>'DATA (Real)'!BX268</f>
        <v>0</v>
      </c>
    </row>
    <row r="273" spans="1:76" s="355" customFormat="1" hidden="1" outlineLevel="1">
      <c r="B273" s="353"/>
      <c r="C273" s="353" t="str">
        <f>'DATA (Real)'!C269</f>
        <v>Inflation Reduction Act</v>
      </c>
      <c r="D273" s="353">
        <f>'DATA (Real)'!D269</f>
        <v>0</v>
      </c>
      <c r="E273" s="353" t="str">
        <f>'DATA (Real)'!E269</f>
        <v>NG CCCT (1x1 w/DF)</v>
      </c>
      <c r="F273" s="317"/>
      <c r="G273" s="317"/>
      <c r="H273" s="316">
        <f>'DATA (Real)'!H269</f>
        <v>0</v>
      </c>
      <c r="I273" s="316">
        <f>'DATA (Real)'!I269</f>
        <v>0</v>
      </c>
      <c r="J273" s="316">
        <f>'DATA (Real)'!J269</f>
        <v>0</v>
      </c>
      <c r="K273" s="316">
        <f>'DATA (Real)'!K269</f>
        <v>0</v>
      </c>
      <c r="L273" s="316">
        <f>'DATA (Real)'!L269</f>
        <v>0</v>
      </c>
      <c r="M273" s="316">
        <f>'DATA (Real)'!M269</f>
        <v>0</v>
      </c>
      <c r="N273" s="316">
        <f>'DATA (Real)'!N269</f>
        <v>0</v>
      </c>
      <c r="O273" s="316">
        <f>'DATA (Real)'!O269</f>
        <v>0</v>
      </c>
      <c r="P273" s="316">
        <f>'DATA (Real)'!P269</f>
        <v>0</v>
      </c>
      <c r="Q273" s="316">
        <f>'DATA (Real)'!Q269</f>
        <v>0</v>
      </c>
      <c r="R273" s="316">
        <f>'DATA (Real)'!R269</f>
        <v>0</v>
      </c>
      <c r="S273" s="316">
        <f>'DATA (Real)'!S269</f>
        <v>0</v>
      </c>
      <c r="T273" s="316">
        <f>'DATA (Real)'!T269</f>
        <v>0</v>
      </c>
      <c r="U273" s="316">
        <f>'DATA (Real)'!U269</f>
        <v>0</v>
      </c>
      <c r="V273" s="316">
        <f>'DATA (Real)'!V269</f>
        <v>0</v>
      </c>
      <c r="W273" s="316">
        <f>'DATA (Real)'!W269</f>
        <v>0</v>
      </c>
      <c r="X273" s="316">
        <f>'DATA (Real)'!X269</f>
        <v>0</v>
      </c>
      <c r="Y273" s="316">
        <f>'DATA (Real)'!Y269</f>
        <v>0</v>
      </c>
      <c r="Z273" s="316">
        <f>'DATA (Real)'!Z269</f>
        <v>0</v>
      </c>
      <c r="AA273" s="316">
        <f>'DATA (Real)'!AA269</f>
        <v>0</v>
      </c>
      <c r="AB273" s="316">
        <f>'DATA (Real)'!AB269</f>
        <v>0</v>
      </c>
      <c r="AC273" s="316">
        <f>'DATA (Real)'!AC269</f>
        <v>0</v>
      </c>
      <c r="AD273" s="316">
        <f>'DATA (Real)'!AD269</f>
        <v>0</v>
      </c>
      <c r="AE273" s="316">
        <f>'DATA (Real)'!AE269</f>
        <v>0</v>
      </c>
      <c r="AF273" s="316">
        <f>'DATA (Real)'!AF269</f>
        <v>0</v>
      </c>
      <c r="AG273" s="316">
        <f>'DATA (Real)'!AG269</f>
        <v>0</v>
      </c>
      <c r="AH273" s="316">
        <f>'DATA (Real)'!AH269</f>
        <v>0</v>
      </c>
      <c r="AI273" s="316">
        <f>'DATA (Real)'!AI269</f>
        <v>0</v>
      </c>
      <c r="AJ273" s="316">
        <f>'DATA (Real)'!AJ269</f>
        <v>0</v>
      </c>
      <c r="AK273" s="316">
        <f>'DATA (Real)'!AK269</f>
        <v>0</v>
      </c>
      <c r="AL273" s="316">
        <f>'DATA (Real)'!AL269</f>
        <v>0</v>
      </c>
      <c r="AM273" s="316">
        <f>'DATA (Real)'!AM269</f>
        <v>0</v>
      </c>
      <c r="AN273" s="316">
        <f>'DATA (Real)'!AN269</f>
        <v>0</v>
      </c>
      <c r="AO273" s="316">
        <f>'DATA (Real)'!AO269</f>
        <v>0</v>
      </c>
      <c r="AP273" s="316">
        <f>'DATA (Real)'!AP269</f>
        <v>0</v>
      </c>
      <c r="AQ273" s="316">
        <f>'DATA (Real)'!AQ269</f>
        <v>0</v>
      </c>
      <c r="AR273" s="316">
        <f>'DATA (Real)'!AR269</f>
        <v>0</v>
      </c>
      <c r="AS273" s="316">
        <f>'DATA (Real)'!AS269</f>
        <v>0</v>
      </c>
      <c r="AT273" s="316">
        <f>'DATA (Real)'!AT269</f>
        <v>0</v>
      </c>
      <c r="AU273" s="316">
        <f>'DATA (Real)'!AU269</f>
        <v>0</v>
      </c>
      <c r="AV273" s="316">
        <f>'DATA (Real)'!AV269</f>
        <v>0</v>
      </c>
      <c r="AW273" s="316">
        <f>'DATA (Real)'!AW269</f>
        <v>0</v>
      </c>
      <c r="AX273" s="316">
        <f>'DATA (Real)'!AX269</f>
        <v>0</v>
      </c>
      <c r="AY273" s="316">
        <f>'DATA (Real)'!AY269</f>
        <v>0</v>
      </c>
      <c r="AZ273" s="316">
        <f>'DATA (Real)'!AZ269</f>
        <v>0</v>
      </c>
      <c r="BA273" s="316">
        <f>'DATA (Real)'!BA269</f>
        <v>0</v>
      </c>
      <c r="BB273" s="316">
        <f>'DATA (Real)'!BB269</f>
        <v>0</v>
      </c>
      <c r="BC273" s="316">
        <f>'DATA (Real)'!BC269</f>
        <v>0</v>
      </c>
      <c r="BD273" s="316">
        <f>'DATA (Real)'!BD269</f>
        <v>0</v>
      </c>
      <c r="BE273" s="316">
        <f>'DATA (Real)'!BE269</f>
        <v>0</v>
      </c>
      <c r="BF273" s="316">
        <f>'DATA (Real)'!BF269</f>
        <v>0</v>
      </c>
      <c r="BG273" s="316">
        <f>'DATA (Real)'!BG269</f>
        <v>0</v>
      </c>
      <c r="BH273" s="316">
        <f>'DATA (Real)'!BH269</f>
        <v>0</v>
      </c>
      <c r="BI273" s="316">
        <f>'DATA (Real)'!BI269</f>
        <v>0</v>
      </c>
      <c r="BJ273" s="316">
        <f>'DATA (Real)'!BJ269</f>
        <v>0</v>
      </c>
      <c r="BK273" s="316">
        <f>'DATA (Real)'!BK269</f>
        <v>0</v>
      </c>
      <c r="BL273" s="316">
        <f>'DATA (Real)'!BL269</f>
        <v>0</v>
      </c>
      <c r="BM273" s="316">
        <f>'DATA (Real)'!BM269</f>
        <v>0</v>
      </c>
      <c r="BN273" s="316">
        <f>'DATA (Real)'!BN269</f>
        <v>0</v>
      </c>
      <c r="BO273" s="316">
        <f>'DATA (Real)'!BO269</f>
        <v>0</v>
      </c>
      <c r="BP273" s="316">
        <f>'DATA (Real)'!BP269</f>
        <v>0</v>
      </c>
      <c r="BQ273" s="316">
        <f>'DATA (Real)'!BQ269</f>
        <v>0</v>
      </c>
      <c r="BR273" s="316">
        <f>'DATA (Real)'!BR269</f>
        <v>0</v>
      </c>
      <c r="BS273" s="316">
        <f>'DATA (Real)'!BS269</f>
        <v>0</v>
      </c>
      <c r="BT273" s="316">
        <f>'DATA (Real)'!BT269</f>
        <v>0</v>
      </c>
      <c r="BU273" s="316">
        <f>'DATA (Real)'!BU269</f>
        <v>0</v>
      </c>
      <c r="BV273" s="316">
        <f>'DATA (Real)'!BV269</f>
        <v>0</v>
      </c>
      <c r="BW273" s="316">
        <f>'DATA (Real)'!BW269</f>
        <v>0</v>
      </c>
      <c r="BX273" s="316">
        <f>'DATA (Real)'!BX269</f>
        <v>0</v>
      </c>
    </row>
    <row r="274" spans="1:76" s="355" customFormat="1" hidden="1" outlineLevel="1">
      <c r="B274" s="353"/>
      <c r="C274" s="353" t="str">
        <f>'DATA (Real)'!C270</f>
        <v>Inflation Reduction Act</v>
      </c>
      <c r="D274" s="353">
        <f>'DATA (Real)'!D270</f>
        <v>0</v>
      </c>
      <c r="E274" s="353" t="str">
        <f>'DATA (Real)'!E270</f>
        <v xml:space="preserve">Hydrogen Fuel Cell with 40 hrs Storage </v>
      </c>
      <c r="F274" s="317"/>
      <c r="G274" s="317"/>
      <c r="H274" s="316">
        <f>'DATA (Real)'!H270</f>
        <v>0</v>
      </c>
      <c r="I274" s="316">
        <f>'DATA (Real)'!I270</f>
        <v>0</v>
      </c>
      <c r="J274" s="316">
        <f>'DATA (Real)'!J270</f>
        <v>0</v>
      </c>
      <c r="K274" s="316">
        <f>'DATA (Real)'!K270</f>
        <v>0</v>
      </c>
      <c r="L274" s="316">
        <f>'DATA (Real)'!L270</f>
        <v>0</v>
      </c>
      <c r="M274" s="316">
        <f>'DATA (Real)'!M270</f>
        <v>0</v>
      </c>
      <c r="N274" s="316">
        <f>'DATA (Real)'!N270</f>
        <v>0</v>
      </c>
      <c r="O274" s="316">
        <f>'DATA (Real)'!O270</f>
        <v>0</v>
      </c>
      <c r="P274" s="316">
        <f>'DATA (Real)'!P270</f>
        <v>0</v>
      </c>
      <c r="Q274" s="316">
        <f>'DATA (Real)'!Q270</f>
        <v>0</v>
      </c>
      <c r="R274" s="316">
        <f>'DATA (Real)'!R270</f>
        <v>0</v>
      </c>
      <c r="S274" s="316">
        <f>'DATA (Real)'!S270</f>
        <v>0</v>
      </c>
      <c r="T274" s="316">
        <f>'DATA (Real)'!T270</f>
        <v>0</v>
      </c>
      <c r="U274" s="316">
        <f>'DATA (Real)'!U270</f>
        <v>0</v>
      </c>
      <c r="V274" s="316">
        <f>'DATA (Real)'!V270</f>
        <v>0</v>
      </c>
      <c r="W274" s="316">
        <f>'DATA (Real)'!W270</f>
        <v>0</v>
      </c>
      <c r="X274" s="316">
        <f>'DATA (Real)'!X270</f>
        <v>0</v>
      </c>
      <c r="Y274" s="316">
        <f>'DATA (Real)'!Y270</f>
        <v>0</v>
      </c>
      <c r="Z274" s="316">
        <f>'DATA (Real)'!Z270</f>
        <v>0</v>
      </c>
      <c r="AA274" s="316">
        <f>'DATA (Real)'!AA270</f>
        <v>0</v>
      </c>
      <c r="AB274" s="316">
        <f>'DATA (Real)'!AB270</f>
        <v>0</v>
      </c>
      <c r="AC274" s="316">
        <f>'DATA (Real)'!AC270</f>
        <v>0</v>
      </c>
      <c r="AD274" s="316">
        <f>'DATA (Real)'!AD270</f>
        <v>0</v>
      </c>
      <c r="AE274" s="316">
        <f>'DATA (Real)'!AE270</f>
        <v>0</v>
      </c>
      <c r="AF274" s="316">
        <f>'DATA (Real)'!AF270</f>
        <v>0</v>
      </c>
      <c r="AG274" s="316">
        <f>'DATA (Real)'!AG270</f>
        <v>0</v>
      </c>
      <c r="AH274" s="316">
        <f>'DATA (Real)'!AH270</f>
        <v>0</v>
      </c>
      <c r="AI274" s="316">
        <f>'DATA (Real)'!AI270</f>
        <v>0</v>
      </c>
      <c r="AJ274" s="316">
        <f>'DATA (Real)'!AJ270</f>
        <v>0</v>
      </c>
      <c r="AK274" s="316">
        <f>'DATA (Real)'!AK270</f>
        <v>0</v>
      </c>
      <c r="AL274" s="316">
        <f>'DATA (Real)'!AL270</f>
        <v>0</v>
      </c>
      <c r="AM274" s="316">
        <f>'DATA (Real)'!AM270</f>
        <v>0</v>
      </c>
      <c r="AN274" s="316">
        <f>'DATA (Real)'!AN270</f>
        <v>0</v>
      </c>
      <c r="AO274" s="316">
        <f>'DATA (Real)'!AO270</f>
        <v>0</v>
      </c>
      <c r="AP274" s="316">
        <f>'DATA (Real)'!AP270</f>
        <v>0</v>
      </c>
      <c r="AQ274" s="316">
        <f>'DATA (Real)'!AQ270</f>
        <v>0</v>
      </c>
      <c r="AR274" s="316">
        <f>'DATA (Real)'!AR270</f>
        <v>0</v>
      </c>
      <c r="AS274" s="316">
        <f>'DATA (Real)'!AS270</f>
        <v>0</v>
      </c>
      <c r="AT274" s="316">
        <f>'DATA (Real)'!AT270</f>
        <v>0</v>
      </c>
      <c r="AU274" s="316">
        <f>'DATA (Real)'!AU270</f>
        <v>0</v>
      </c>
      <c r="AV274" s="316">
        <f>'DATA (Real)'!AV270</f>
        <v>0</v>
      </c>
      <c r="AW274" s="316">
        <f>'DATA (Real)'!AW270</f>
        <v>0</v>
      </c>
      <c r="AX274" s="316">
        <f>'DATA (Real)'!AX270</f>
        <v>0</v>
      </c>
      <c r="AY274" s="316">
        <f>'DATA (Real)'!AY270</f>
        <v>0</v>
      </c>
      <c r="AZ274" s="316">
        <f>'DATA (Real)'!AZ270</f>
        <v>0</v>
      </c>
      <c r="BA274" s="316">
        <f>'DATA (Real)'!BA270</f>
        <v>0</v>
      </c>
      <c r="BB274" s="316">
        <f>'DATA (Real)'!BB270</f>
        <v>0</v>
      </c>
      <c r="BC274" s="316">
        <f>'DATA (Real)'!BC270</f>
        <v>0</v>
      </c>
      <c r="BD274" s="316">
        <f>'DATA (Real)'!BD270</f>
        <v>0</v>
      </c>
      <c r="BE274" s="316">
        <f>'DATA (Real)'!BE270</f>
        <v>0</v>
      </c>
      <c r="BF274" s="316">
        <f>'DATA (Real)'!BF270</f>
        <v>0</v>
      </c>
      <c r="BG274" s="316">
        <f>'DATA (Real)'!BG270</f>
        <v>0</v>
      </c>
      <c r="BH274" s="316">
        <f>'DATA (Real)'!BH270</f>
        <v>0</v>
      </c>
      <c r="BI274" s="316">
        <f>'DATA (Real)'!BI270</f>
        <v>0</v>
      </c>
      <c r="BJ274" s="316">
        <f>'DATA (Real)'!BJ270</f>
        <v>0</v>
      </c>
      <c r="BK274" s="316">
        <f>'DATA (Real)'!BK270</f>
        <v>0</v>
      </c>
      <c r="BL274" s="316">
        <f>'DATA (Real)'!BL270</f>
        <v>0</v>
      </c>
      <c r="BM274" s="316">
        <f>'DATA (Real)'!BM270</f>
        <v>0</v>
      </c>
      <c r="BN274" s="316">
        <f>'DATA (Real)'!BN270</f>
        <v>0</v>
      </c>
      <c r="BO274" s="316">
        <f>'DATA (Real)'!BO270</f>
        <v>0</v>
      </c>
      <c r="BP274" s="316">
        <f>'DATA (Real)'!BP270</f>
        <v>0</v>
      </c>
      <c r="BQ274" s="316">
        <f>'DATA (Real)'!BQ270</f>
        <v>0</v>
      </c>
      <c r="BR274" s="316">
        <f>'DATA (Real)'!BR270</f>
        <v>0</v>
      </c>
      <c r="BS274" s="316">
        <f>'DATA (Real)'!BS270</f>
        <v>0</v>
      </c>
      <c r="BT274" s="316">
        <f>'DATA (Real)'!BT270</f>
        <v>0</v>
      </c>
      <c r="BU274" s="316">
        <f>'DATA (Real)'!BU270</f>
        <v>0</v>
      </c>
      <c r="BV274" s="316">
        <f>'DATA (Real)'!BV270</f>
        <v>0</v>
      </c>
      <c r="BW274" s="316">
        <f>'DATA (Real)'!BW270</f>
        <v>0</v>
      </c>
      <c r="BX274" s="316">
        <f>'DATA (Real)'!BX270</f>
        <v>0</v>
      </c>
    </row>
    <row r="275" spans="1:76" s="355" customFormat="1" hidden="1" outlineLevel="1">
      <c r="B275" s="353"/>
      <c r="C275" s="353" t="str">
        <f>'DATA (Real)'!C271</f>
        <v>Inflation Reduction Act</v>
      </c>
      <c r="D275" s="353">
        <f>'DATA (Real)'!D271</f>
        <v>0</v>
      </c>
      <c r="E275" s="353" t="str">
        <f>'DATA (Real)'!E271</f>
        <v>7F.04 CT Frame Greenfield + amonia + storage</v>
      </c>
      <c r="F275" s="317"/>
      <c r="G275" s="317"/>
      <c r="H275" s="316">
        <f>'DATA (Real)'!H271</f>
        <v>0</v>
      </c>
      <c r="I275" s="316">
        <f>'DATA (Real)'!I271</f>
        <v>0</v>
      </c>
      <c r="J275" s="316">
        <f>'DATA (Real)'!J271</f>
        <v>0</v>
      </c>
      <c r="K275" s="316">
        <f>'DATA (Real)'!K271</f>
        <v>0</v>
      </c>
      <c r="L275" s="316">
        <f>'DATA (Real)'!L271</f>
        <v>0</v>
      </c>
      <c r="M275" s="316">
        <f>'DATA (Real)'!M271</f>
        <v>0</v>
      </c>
      <c r="N275" s="316">
        <f>'DATA (Real)'!N271</f>
        <v>0</v>
      </c>
      <c r="O275" s="316">
        <f>'DATA (Real)'!O271</f>
        <v>0</v>
      </c>
      <c r="P275" s="316">
        <f>'DATA (Real)'!P271</f>
        <v>0</v>
      </c>
      <c r="Q275" s="316">
        <f>'DATA (Real)'!Q271</f>
        <v>0</v>
      </c>
      <c r="R275" s="316">
        <f>'DATA (Real)'!R271</f>
        <v>0</v>
      </c>
      <c r="S275" s="316">
        <f>'DATA (Real)'!S271</f>
        <v>0</v>
      </c>
      <c r="T275" s="316">
        <f>'DATA (Real)'!T271</f>
        <v>0</v>
      </c>
      <c r="U275" s="316">
        <f>'DATA (Real)'!U271</f>
        <v>0</v>
      </c>
      <c r="V275" s="316">
        <f>'DATA (Real)'!V271</f>
        <v>0</v>
      </c>
      <c r="W275" s="316">
        <f>'DATA (Real)'!W271</f>
        <v>0</v>
      </c>
      <c r="X275" s="316">
        <f>'DATA (Real)'!X271</f>
        <v>0</v>
      </c>
      <c r="Y275" s="316">
        <f>'DATA (Real)'!Y271</f>
        <v>0</v>
      </c>
      <c r="Z275" s="316">
        <f>'DATA (Real)'!Z271</f>
        <v>0</v>
      </c>
      <c r="AA275" s="316">
        <f>'DATA (Real)'!AA271</f>
        <v>0</v>
      </c>
      <c r="AB275" s="316">
        <f>'DATA (Real)'!AB271</f>
        <v>0</v>
      </c>
      <c r="AC275" s="316">
        <f>'DATA (Real)'!AC271</f>
        <v>0</v>
      </c>
      <c r="AD275" s="316">
        <f>'DATA (Real)'!AD271</f>
        <v>0</v>
      </c>
      <c r="AE275" s="316">
        <f>'DATA (Real)'!AE271</f>
        <v>0</v>
      </c>
      <c r="AF275" s="316">
        <f>'DATA (Real)'!AF271</f>
        <v>0</v>
      </c>
      <c r="AG275" s="316">
        <f>'DATA (Real)'!AG271</f>
        <v>0</v>
      </c>
      <c r="AH275" s="316">
        <f>'DATA (Real)'!AH271</f>
        <v>0</v>
      </c>
      <c r="AI275" s="316">
        <f>'DATA (Real)'!AI271</f>
        <v>0</v>
      </c>
      <c r="AJ275" s="316">
        <f>'DATA (Real)'!AJ271</f>
        <v>0</v>
      </c>
      <c r="AK275" s="316">
        <f>'DATA (Real)'!AK271</f>
        <v>0</v>
      </c>
      <c r="AL275" s="316">
        <f>'DATA (Real)'!AL271</f>
        <v>0</v>
      </c>
      <c r="AM275" s="316">
        <f>'DATA (Real)'!AM271</f>
        <v>0</v>
      </c>
      <c r="AN275" s="316">
        <f>'DATA (Real)'!AN271</f>
        <v>0</v>
      </c>
      <c r="AO275" s="316">
        <f>'DATA (Real)'!AO271</f>
        <v>0</v>
      </c>
      <c r="AP275" s="316">
        <f>'DATA (Real)'!AP271</f>
        <v>0</v>
      </c>
      <c r="AQ275" s="316">
        <f>'DATA (Real)'!AQ271</f>
        <v>0</v>
      </c>
      <c r="AR275" s="316">
        <f>'DATA (Real)'!AR271</f>
        <v>0</v>
      </c>
      <c r="AS275" s="316">
        <f>'DATA (Real)'!AS271</f>
        <v>0</v>
      </c>
      <c r="AT275" s="316">
        <f>'DATA (Real)'!AT271</f>
        <v>0</v>
      </c>
      <c r="AU275" s="316">
        <f>'DATA (Real)'!AU271</f>
        <v>0</v>
      </c>
      <c r="AV275" s="316">
        <f>'DATA (Real)'!AV271</f>
        <v>0</v>
      </c>
      <c r="AW275" s="316">
        <f>'DATA (Real)'!AW271</f>
        <v>0</v>
      </c>
      <c r="AX275" s="316">
        <f>'DATA (Real)'!AX271</f>
        <v>0</v>
      </c>
      <c r="AY275" s="316">
        <f>'DATA (Real)'!AY271</f>
        <v>0</v>
      </c>
      <c r="AZ275" s="316">
        <f>'DATA (Real)'!AZ271</f>
        <v>0</v>
      </c>
      <c r="BA275" s="316">
        <f>'DATA (Real)'!BA271</f>
        <v>0</v>
      </c>
      <c r="BB275" s="316">
        <f>'DATA (Real)'!BB271</f>
        <v>0</v>
      </c>
      <c r="BC275" s="316">
        <f>'DATA (Real)'!BC271</f>
        <v>0</v>
      </c>
      <c r="BD275" s="316">
        <f>'DATA (Real)'!BD271</f>
        <v>0</v>
      </c>
      <c r="BE275" s="316">
        <f>'DATA (Real)'!BE271</f>
        <v>0</v>
      </c>
      <c r="BF275" s="316">
        <f>'DATA (Real)'!BF271</f>
        <v>0</v>
      </c>
      <c r="BG275" s="316">
        <f>'DATA (Real)'!BG271</f>
        <v>0</v>
      </c>
      <c r="BH275" s="316">
        <f>'DATA (Real)'!BH271</f>
        <v>0</v>
      </c>
      <c r="BI275" s="316">
        <f>'DATA (Real)'!BI271</f>
        <v>0</v>
      </c>
      <c r="BJ275" s="316">
        <f>'DATA (Real)'!BJ271</f>
        <v>0</v>
      </c>
      <c r="BK275" s="316">
        <f>'DATA (Real)'!BK271</f>
        <v>0</v>
      </c>
      <c r="BL275" s="316">
        <f>'DATA (Real)'!BL271</f>
        <v>0</v>
      </c>
      <c r="BM275" s="316">
        <f>'DATA (Real)'!BM271</f>
        <v>0</v>
      </c>
      <c r="BN275" s="316">
        <f>'DATA (Real)'!BN271</f>
        <v>0</v>
      </c>
      <c r="BO275" s="316">
        <f>'DATA (Real)'!BO271</f>
        <v>0</v>
      </c>
      <c r="BP275" s="316">
        <f>'DATA (Real)'!BP271</f>
        <v>0</v>
      </c>
      <c r="BQ275" s="316">
        <f>'DATA (Real)'!BQ271</f>
        <v>0</v>
      </c>
      <c r="BR275" s="316">
        <f>'DATA (Real)'!BR271</f>
        <v>0</v>
      </c>
      <c r="BS275" s="316">
        <f>'DATA (Real)'!BS271</f>
        <v>0</v>
      </c>
      <c r="BT275" s="316">
        <f>'DATA (Real)'!BT271</f>
        <v>0</v>
      </c>
      <c r="BU275" s="316">
        <f>'DATA (Real)'!BU271</f>
        <v>0</v>
      </c>
      <c r="BV275" s="316">
        <f>'DATA (Real)'!BV271</f>
        <v>0</v>
      </c>
      <c r="BW275" s="316">
        <f>'DATA (Real)'!BW271</f>
        <v>0</v>
      </c>
      <c r="BX275" s="316">
        <f>'DATA (Real)'!BX271</f>
        <v>0</v>
      </c>
    </row>
    <row r="276" spans="1:76" collapsed="1"/>
    <row r="277" spans="1:76">
      <c r="B277" s="259" t="str">
        <f>D277</f>
        <v>PTC Value ($/MWh)</v>
      </c>
      <c r="D277" s="259" t="str">
        <f>'DATA (Real)'!D273</f>
        <v>PTC Value ($/MWh)</v>
      </c>
      <c r="F277" s="318"/>
      <c r="G277" s="318"/>
      <c r="H277" s="318"/>
      <c r="I277" s="318"/>
      <c r="J277" s="318"/>
      <c r="K277" s="318"/>
      <c r="L277" s="318"/>
      <c r="M277" s="318"/>
      <c r="N277" s="318"/>
      <c r="O277" s="318"/>
      <c r="P277" s="318"/>
      <c r="Q277" s="318"/>
      <c r="R277" s="318"/>
      <c r="S277" s="318"/>
      <c r="T277" s="318"/>
      <c r="U277" s="318"/>
      <c r="V277" s="318"/>
      <c r="W277" s="318"/>
      <c r="X277" s="318"/>
      <c r="Y277" s="318"/>
      <c r="Z277" s="318"/>
      <c r="AA277" s="318"/>
      <c r="AB277" s="318"/>
      <c r="AC277" s="318"/>
      <c r="AD277" s="318"/>
      <c r="AE277" s="318"/>
      <c r="AF277" s="318"/>
      <c r="AG277" s="318"/>
      <c r="AH277" s="318"/>
      <c r="AI277" s="318"/>
      <c r="AJ277" s="318"/>
      <c r="AK277" s="318"/>
      <c r="AL277" s="318"/>
      <c r="AM277" s="318"/>
      <c r="AN277" s="318"/>
      <c r="AO277" s="318"/>
      <c r="AP277" s="318"/>
      <c r="AQ277" s="318"/>
      <c r="AR277" s="318"/>
      <c r="AS277" s="318"/>
      <c r="AT277" s="318"/>
      <c r="AU277" s="318"/>
      <c r="AV277" s="318"/>
      <c r="AW277" s="318"/>
      <c r="AX277" s="318"/>
      <c r="AY277" s="318"/>
      <c r="AZ277" s="318"/>
      <c r="BA277" s="318"/>
      <c r="BB277" s="318"/>
      <c r="BC277" s="318"/>
      <c r="BD277" s="318"/>
      <c r="BE277" s="318"/>
      <c r="BF277" s="318"/>
      <c r="BG277" s="318"/>
      <c r="BH277" s="318"/>
      <c r="BI277" s="318"/>
      <c r="BJ277" s="318"/>
      <c r="BK277" s="318"/>
      <c r="BL277" s="318"/>
      <c r="BM277" s="318"/>
      <c r="BN277" s="318"/>
      <c r="BO277" s="318"/>
      <c r="BP277" s="318"/>
      <c r="BQ277" s="318"/>
      <c r="BR277" s="318"/>
      <c r="BS277" s="318"/>
      <c r="BT277" s="318"/>
      <c r="BU277" s="318"/>
      <c r="BV277" s="318"/>
      <c r="BW277" s="318"/>
      <c r="BX277" s="318"/>
    </row>
    <row r="278" spans="1:76" hidden="1" outlineLevel="1">
      <c r="A278" s="355"/>
      <c r="B278" s="348"/>
      <c r="C278" s="348" t="str">
        <f>'DATA (Real)'!C274</f>
        <v>Inflation Reduction Act</v>
      </c>
      <c r="D278" s="348" t="str">
        <f>'DATA (Real)'!D274</f>
        <v>PTC Value ($/MWh)</v>
      </c>
      <c r="E278" s="348" t="str">
        <f>'DATA (Real)'!E274</f>
        <v>Distribution Scale 4hr Lithium-Ion</v>
      </c>
      <c r="F278" s="331"/>
      <c r="G278" s="331"/>
      <c r="H278" s="314">
        <f>'DATA (Real)'!H274*H$4/$H$4</f>
        <v>0</v>
      </c>
      <c r="I278" s="324">
        <f>'DATA (Real)'!I274*I$4/$H$4</f>
        <v>0</v>
      </c>
      <c r="J278" s="324">
        <f>'DATA (Real)'!J274*J$4/$H$4</f>
        <v>0</v>
      </c>
      <c r="K278" s="324">
        <f>'DATA (Real)'!K274*K$4/$H$4</f>
        <v>0</v>
      </c>
      <c r="L278" s="324">
        <f>'DATA (Real)'!L274*L$4/$H$4</f>
        <v>0</v>
      </c>
      <c r="M278" s="324">
        <f>'DATA (Real)'!M274*M$4/$H$4</f>
        <v>0</v>
      </c>
      <c r="N278" s="324">
        <f>'DATA (Real)'!N274*N$4/$H$4</f>
        <v>0</v>
      </c>
      <c r="O278" s="324">
        <f>'DATA (Real)'!O274*O$4/$H$4</f>
        <v>0</v>
      </c>
      <c r="P278" s="324">
        <f>'DATA (Real)'!P274*P$4/$H$4</f>
        <v>0</v>
      </c>
      <c r="Q278" s="324">
        <f>'DATA (Real)'!Q274*Q$4/$H$4</f>
        <v>0</v>
      </c>
      <c r="R278" s="324">
        <f>'DATA (Real)'!R274*R$4/$H$4</f>
        <v>0</v>
      </c>
      <c r="S278" s="324">
        <f>'DATA (Real)'!S274*S$4/$H$4</f>
        <v>0</v>
      </c>
      <c r="T278" s="324">
        <f>'DATA (Real)'!T274*T$4/$H$4</f>
        <v>0</v>
      </c>
      <c r="U278" s="324">
        <f>'DATA (Real)'!U274*U$4/$H$4</f>
        <v>0</v>
      </c>
      <c r="V278" s="324">
        <f>'DATA (Real)'!V274*V$4/$H$4</f>
        <v>0</v>
      </c>
      <c r="W278" s="324">
        <f>'DATA (Real)'!W274*W$4/$H$4</f>
        <v>0</v>
      </c>
      <c r="X278" s="324">
        <f>'DATA (Real)'!X274*X$4/$H$4</f>
        <v>0</v>
      </c>
      <c r="Y278" s="324">
        <f>'DATA (Real)'!Y274*Y$4/$H$4</f>
        <v>0</v>
      </c>
      <c r="Z278" s="324">
        <f>'DATA (Real)'!Z274*Z$4/$H$4</f>
        <v>0</v>
      </c>
      <c r="AA278" s="324">
        <f>'DATA (Real)'!AA274*AA$4/$H$4</f>
        <v>0</v>
      </c>
      <c r="AB278" s="324">
        <f>'DATA (Real)'!AB274*AB$4/$H$4</f>
        <v>0</v>
      </c>
      <c r="AC278" s="324">
        <f>'DATA (Real)'!AC274*AC$4/$H$4</f>
        <v>0</v>
      </c>
      <c r="AD278" s="324">
        <f>'DATA (Real)'!AD274*AD$4/$H$4</f>
        <v>0</v>
      </c>
      <c r="AE278" s="324">
        <f>'DATA (Real)'!AE274*AE$4/$H$4</f>
        <v>0</v>
      </c>
      <c r="AF278" s="324">
        <f>'DATA (Real)'!AF274*AF$4/$H$4</f>
        <v>0</v>
      </c>
      <c r="AG278" s="324">
        <f>'DATA (Real)'!AG274*AG$4/$H$4</f>
        <v>0</v>
      </c>
      <c r="AH278" s="324">
        <f>'DATA (Real)'!AH274*AH$4/$H$4</f>
        <v>0</v>
      </c>
      <c r="AI278" s="324">
        <f>'DATA (Real)'!AI274*AI$4/$H$4</f>
        <v>0</v>
      </c>
      <c r="AJ278" s="324">
        <f>'DATA (Real)'!AJ274*AJ$4/$H$4</f>
        <v>0</v>
      </c>
      <c r="AK278" s="324">
        <f>'DATA (Real)'!AK274*AK$4/$H$4</f>
        <v>0</v>
      </c>
      <c r="AL278" s="324">
        <f>'DATA (Real)'!AL274*AL$4/$H$4</f>
        <v>0</v>
      </c>
      <c r="AM278" s="324">
        <f>'DATA (Real)'!AM274*AM$4/$H$4</f>
        <v>0</v>
      </c>
      <c r="AN278" s="324">
        <f>'DATA (Real)'!AN274*AN$4/$H$4</f>
        <v>0</v>
      </c>
      <c r="AO278" s="324">
        <f>'DATA (Real)'!AO274*AO$4/$H$4</f>
        <v>0</v>
      </c>
      <c r="AP278" s="324">
        <f>'DATA (Real)'!AP274*AP$4/$H$4</f>
        <v>0</v>
      </c>
      <c r="AQ278" s="324">
        <f>'DATA (Real)'!AQ274*AQ$4/$H$4</f>
        <v>0</v>
      </c>
      <c r="AR278" s="324">
        <f>'DATA (Real)'!AR274*AR$4/$H$4</f>
        <v>0</v>
      </c>
      <c r="AS278" s="324">
        <f>'DATA (Real)'!AS274*AS$4/$H$4</f>
        <v>0</v>
      </c>
      <c r="AT278" s="324">
        <f>'DATA (Real)'!AT274*AT$4/$H$4</f>
        <v>0</v>
      </c>
      <c r="AU278" s="324">
        <f>'DATA (Real)'!AU274*AU$4/$H$4</f>
        <v>0</v>
      </c>
      <c r="AV278" s="324">
        <f>'DATA (Real)'!AV274*AV$4/$H$4</f>
        <v>0</v>
      </c>
      <c r="AW278" s="324">
        <f>'DATA (Real)'!AW274*AW$4/$H$4</f>
        <v>0</v>
      </c>
      <c r="AX278" s="324">
        <f>'DATA (Real)'!AX274*AX$4/$H$4</f>
        <v>0</v>
      </c>
      <c r="AY278" s="324">
        <f>'DATA (Real)'!AY274*AY$4/$H$4</f>
        <v>0</v>
      </c>
      <c r="AZ278" s="324">
        <f>'DATA (Real)'!AZ274*AZ$4/$H$4</f>
        <v>0</v>
      </c>
      <c r="BA278" s="324">
        <f>'DATA (Real)'!BA274*BA$4/$H$4</f>
        <v>0</v>
      </c>
      <c r="BB278" s="324">
        <f>'DATA (Real)'!BB274*BB$4/$H$4</f>
        <v>0</v>
      </c>
      <c r="BC278" s="324">
        <f>'DATA (Real)'!BC274*BC$4/$H$4</f>
        <v>0</v>
      </c>
      <c r="BD278" s="324">
        <f>'DATA (Real)'!BD274*BD$4/$H$4</f>
        <v>0</v>
      </c>
      <c r="BE278" s="324">
        <f>'DATA (Real)'!BE274*BE$4/$H$4</f>
        <v>0</v>
      </c>
      <c r="BF278" s="324">
        <f>'DATA (Real)'!BF274*BF$4/$H$4</f>
        <v>0</v>
      </c>
      <c r="BG278" s="324">
        <f>'DATA (Real)'!BG274*BG$4/$H$4</f>
        <v>0</v>
      </c>
      <c r="BH278" s="324">
        <f>'DATA (Real)'!BH274*BH$4/$H$4</f>
        <v>0</v>
      </c>
      <c r="BI278" s="324">
        <f>'DATA (Real)'!BI274*BI$4/$H$4</f>
        <v>0</v>
      </c>
      <c r="BJ278" s="324">
        <f>'DATA (Real)'!BJ274*BJ$4/$H$4</f>
        <v>0</v>
      </c>
      <c r="BK278" s="324">
        <f>'DATA (Real)'!BK274*BK$4/$H$4</f>
        <v>0</v>
      </c>
      <c r="BL278" s="324">
        <f>'DATA (Real)'!BL274*BL$4/$H$4</f>
        <v>0</v>
      </c>
      <c r="BM278" s="324">
        <f>'DATA (Real)'!BM274*BM$4/$H$4</f>
        <v>0</v>
      </c>
      <c r="BN278" s="324">
        <f>'DATA (Real)'!BN274*BN$4/$H$4</f>
        <v>0</v>
      </c>
      <c r="BO278" s="324">
        <f>'DATA (Real)'!BO274*BO$4/$H$4</f>
        <v>0</v>
      </c>
      <c r="BP278" s="324">
        <f>'DATA (Real)'!BP274*BP$4/$H$4</f>
        <v>0</v>
      </c>
      <c r="BQ278" s="324">
        <f>'DATA (Real)'!BQ274*BQ$4/$H$4</f>
        <v>0</v>
      </c>
      <c r="BR278" s="324">
        <f>'DATA (Real)'!BR274*BR$4/$H$4</f>
        <v>0</v>
      </c>
      <c r="BS278" s="324">
        <f>'DATA (Real)'!BS274*BS$4/$H$4</f>
        <v>0</v>
      </c>
      <c r="BT278" s="324">
        <f>'DATA (Real)'!BT274*BT$4/$H$4</f>
        <v>0</v>
      </c>
      <c r="BU278" s="324">
        <f>'DATA (Real)'!BU274*BU$4/$H$4</f>
        <v>0</v>
      </c>
      <c r="BV278" s="324">
        <f>'DATA (Real)'!BV274*BV$4/$H$4</f>
        <v>0</v>
      </c>
      <c r="BW278" s="324">
        <f>'DATA (Real)'!BW274*BW$4/$H$4</f>
        <v>0</v>
      </c>
      <c r="BX278" s="324">
        <f>'DATA (Real)'!BX274*BX$4/$H$4</f>
        <v>0</v>
      </c>
    </row>
    <row r="279" spans="1:76" hidden="1" outlineLevel="1">
      <c r="A279" s="355"/>
      <c r="B279" s="348"/>
      <c r="C279" s="348" t="str">
        <f>'DATA (Real)'!C275</f>
        <v>Inflation Reduction Act</v>
      </c>
      <c r="D279" s="348" t="str">
        <f>'DATA (Real)'!D275</f>
        <v>PTC Value ($/MWh)</v>
      </c>
      <c r="E279" s="348" t="str">
        <f>'DATA (Real)'!E275</f>
        <v>Distribution Scale 8hr Lithium-Ion</v>
      </c>
      <c r="F279" s="331"/>
      <c r="G279" s="331"/>
      <c r="H279" s="314">
        <f>'DATA (Real)'!H275*H$4/$H$4</f>
        <v>0</v>
      </c>
      <c r="I279" s="324">
        <f>'DATA (Real)'!I275*I$4/$H$4</f>
        <v>0</v>
      </c>
      <c r="J279" s="324">
        <f>'DATA (Real)'!J275*J$4/$H$4</f>
        <v>0</v>
      </c>
      <c r="K279" s="324">
        <f>'DATA (Real)'!K275*K$4/$H$4</f>
        <v>0</v>
      </c>
      <c r="L279" s="324">
        <f>'DATA (Real)'!L275*L$4/$H$4</f>
        <v>0</v>
      </c>
      <c r="M279" s="324">
        <f>'DATA (Real)'!M275*M$4/$H$4</f>
        <v>0</v>
      </c>
      <c r="N279" s="324">
        <f>'DATA (Real)'!N275*N$4/$H$4</f>
        <v>0</v>
      </c>
      <c r="O279" s="324">
        <f>'DATA (Real)'!O275*O$4/$H$4</f>
        <v>0</v>
      </c>
      <c r="P279" s="324">
        <f>'DATA (Real)'!P275*P$4/$H$4</f>
        <v>0</v>
      </c>
      <c r="Q279" s="324">
        <f>'DATA (Real)'!Q275*Q$4/$H$4</f>
        <v>0</v>
      </c>
      <c r="R279" s="324">
        <f>'DATA (Real)'!R275*R$4/$H$4</f>
        <v>0</v>
      </c>
      <c r="S279" s="324">
        <f>'DATA (Real)'!S275*S$4/$H$4</f>
        <v>0</v>
      </c>
      <c r="T279" s="324">
        <f>'DATA (Real)'!T275*T$4/$H$4</f>
        <v>0</v>
      </c>
      <c r="U279" s="324">
        <f>'DATA (Real)'!U275*U$4/$H$4</f>
        <v>0</v>
      </c>
      <c r="V279" s="324">
        <f>'DATA (Real)'!V275*V$4/$H$4</f>
        <v>0</v>
      </c>
      <c r="W279" s="324">
        <f>'DATA (Real)'!W275*W$4/$H$4</f>
        <v>0</v>
      </c>
      <c r="X279" s="324">
        <f>'DATA (Real)'!X275*X$4/$H$4</f>
        <v>0</v>
      </c>
      <c r="Y279" s="324">
        <f>'DATA (Real)'!Y275*Y$4/$H$4</f>
        <v>0</v>
      </c>
      <c r="Z279" s="324">
        <f>'DATA (Real)'!Z275*Z$4/$H$4</f>
        <v>0</v>
      </c>
      <c r="AA279" s="324">
        <f>'DATA (Real)'!AA275*AA$4/$H$4</f>
        <v>0</v>
      </c>
      <c r="AB279" s="324">
        <f>'DATA (Real)'!AB275*AB$4/$H$4</f>
        <v>0</v>
      </c>
      <c r="AC279" s="324">
        <f>'DATA (Real)'!AC275*AC$4/$H$4</f>
        <v>0</v>
      </c>
      <c r="AD279" s="324">
        <f>'DATA (Real)'!AD275*AD$4/$H$4</f>
        <v>0</v>
      </c>
      <c r="AE279" s="324">
        <f>'DATA (Real)'!AE275*AE$4/$H$4</f>
        <v>0</v>
      </c>
      <c r="AF279" s="324">
        <f>'DATA (Real)'!AF275*AF$4/$H$4</f>
        <v>0</v>
      </c>
      <c r="AG279" s="324">
        <f>'DATA (Real)'!AG275*AG$4/$H$4</f>
        <v>0</v>
      </c>
      <c r="AH279" s="324">
        <f>'DATA (Real)'!AH275*AH$4/$H$4</f>
        <v>0</v>
      </c>
      <c r="AI279" s="324">
        <f>'DATA (Real)'!AI275*AI$4/$H$4</f>
        <v>0</v>
      </c>
      <c r="AJ279" s="324">
        <f>'DATA (Real)'!AJ275*AJ$4/$H$4</f>
        <v>0</v>
      </c>
      <c r="AK279" s="324">
        <f>'DATA (Real)'!AK275*AK$4/$H$4</f>
        <v>0</v>
      </c>
      <c r="AL279" s="324">
        <f>'DATA (Real)'!AL275*AL$4/$H$4</f>
        <v>0</v>
      </c>
      <c r="AM279" s="324">
        <f>'DATA (Real)'!AM275*AM$4/$H$4</f>
        <v>0</v>
      </c>
      <c r="AN279" s="324">
        <f>'DATA (Real)'!AN275*AN$4/$H$4</f>
        <v>0</v>
      </c>
      <c r="AO279" s="324">
        <f>'DATA (Real)'!AO275*AO$4/$H$4</f>
        <v>0</v>
      </c>
      <c r="AP279" s="324">
        <f>'DATA (Real)'!AP275*AP$4/$H$4</f>
        <v>0</v>
      </c>
      <c r="AQ279" s="324">
        <f>'DATA (Real)'!AQ275*AQ$4/$H$4</f>
        <v>0</v>
      </c>
      <c r="AR279" s="324">
        <f>'DATA (Real)'!AR275*AR$4/$H$4</f>
        <v>0</v>
      </c>
      <c r="AS279" s="324">
        <f>'DATA (Real)'!AS275*AS$4/$H$4</f>
        <v>0</v>
      </c>
      <c r="AT279" s="324">
        <f>'DATA (Real)'!AT275*AT$4/$H$4</f>
        <v>0</v>
      </c>
      <c r="AU279" s="324">
        <f>'DATA (Real)'!AU275*AU$4/$H$4</f>
        <v>0</v>
      </c>
      <c r="AV279" s="324">
        <f>'DATA (Real)'!AV275*AV$4/$H$4</f>
        <v>0</v>
      </c>
      <c r="AW279" s="324">
        <f>'DATA (Real)'!AW275*AW$4/$H$4</f>
        <v>0</v>
      </c>
      <c r="AX279" s="324">
        <f>'DATA (Real)'!AX275*AX$4/$H$4</f>
        <v>0</v>
      </c>
      <c r="AY279" s="324">
        <f>'DATA (Real)'!AY275*AY$4/$H$4</f>
        <v>0</v>
      </c>
      <c r="AZ279" s="324">
        <f>'DATA (Real)'!AZ275*AZ$4/$H$4</f>
        <v>0</v>
      </c>
      <c r="BA279" s="324">
        <f>'DATA (Real)'!BA275*BA$4/$H$4</f>
        <v>0</v>
      </c>
      <c r="BB279" s="324">
        <f>'DATA (Real)'!BB275*BB$4/$H$4</f>
        <v>0</v>
      </c>
      <c r="BC279" s="324">
        <f>'DATA (Real)'!BC275*BC$4/$H$4</f>
        <v>0</v>
      </c>
      <c r="BD279" s="324">
        <f>'DATA (Real)'!BD275*BD$4/$H$4</f>
        <v>0</v>
      </c>
      <c r="BE279" s="324">
        <f>'DATA (Real)'!BE275*BE$4/$H$4</f>
        <v>0</v>
      </c>
      <c r="BF279" s="324">
        <f>'DATA (Real)'!BF275*BF$4/$H$4</f>
        <v>0</v>
      </c>
      <c r="BG279" s="324">
        <f>'DATA (Real)'!BG275*BG$4/$H$4</f>
        <v>0</v>
      </c>
      <c r="BH279" s="324">
        <f>'DATA (Real)'!BH275*BH$4/$H$4</f>
        <v>0</v>
      </c>
      <c r="BI279" s="324">
        <f>'DATA (Real)'!BI275*BI$4/$H$4</f>
        <v>0</v>
      </c>
      <c r="BJ279" s="324">
        <f>'DATA (Real)'!BJ275*BJ$4/$H$4</f>
        <v>0</v>
      </c>
      <c r="BK279" s="324">
        <f>'DATA (Real)'!BK275*BK$4/$H$4</f>
        <v>0</v>
      </c>
      <c r="BL279" s="324">
        <f>'DATA (Real)'!BL275*BL$4/$H$4</f>
        <v>0</v>
      </c>
      <c r="BM279" s="324">
        <f>'DATA (Real)'!BM275*BM$4/$H$4</f>
        <v>0</v>
      </c>
      <c r="BN279" s="324">
        <f>'DATA (Real)'!BN275*BN$4/$H$4</f>
        <v>0</v>
      </c>
      <c r="BO279" s="324">
        <f>'DATA (Real)'!BO275*BO$4/$H$4</f>
        <v>0</v>
      </c>
      <c r="BP279" s="324">
        <f>'DATA (Real)'!BP275*BP$4/$H$4</f>
        <v>0</v>
      </c>
      <c r="BQ279" s="324">
        <f>'DATA (Real)'!BQ275*BQ$4/$H$4</f>
        <v>0</v>
      </c>
      <c r="BR279" s="324">
        <f>'DATA (Real)'!BR275*BR$4/$H$4</f>
        <v>0</v>
      </c>
      <c r="BS279" s="324">
        <f>'DATA (Real)'!BS275*BS$4/$H$4</f>
        <v>0</v>
      </c>
      <c r="BT279" s="324">
        <f>'DATA (Real)'!BT275*BT$4/$H$4</f>
        <v>0</v>
      </c>
      <c r="BU279" s="324">
        <f>'DATA (Real)'!BU275*BU$4/$H$4</f>
        <v>0</v>
      </c>
      <c r="BV279" s="324">
        <f>'DATA (Real)'!BV275*BV$4/$H$4</f>
        <v>0</v>
      </c>
      <c r="BW279" s="324">
        <f>'DATA (Real)'!BW275*BW$4/$H$4</f>
        <v>0</v>
      </c>
      <c r="BX279" s="324">
        <f>'DATA (Real)'!BX275*BX$4/$H$4</f>
        <v>0</v>
      </c>
    </row>
    <row r="280" spans="1:76" hidden="1" outlineLevel="1">
      <c r="A280" s="355"/>
      <c r="B280" s="348"/>
      <c r="C280" s="348" t="str">
        <f>'DATA (Real)'!C276</f>
        <v>Inflation Reduction Act</v>
      </c>
      <c r="D280" s="348" t="str">
        <f>'DATA (Real)'!D276</f>
        <v>PTC Value ($/MWh)</v>
      </c>
      <c r="E280" s="348" t="str">
        <f>'DATA (Real)'!E276</f>
        <v>4hr Lithium-Ion</v>
      </c>
      <c r="F280" s="331"/>
      <c r="G280" s="331"/>
      <c r="H280" s="314">
        <f>'DATA (Real)'!H276*H$4/$H$4</f>
        <v>0</v>
      </c>
      <c r="I280" s="324">
        <f>'DATA (Real)'!I276*I$4/$H$4</f>
        <v>0</v>
      </c>
      <c r="J280" s="324">
        <f>'DATA (Real)'!J276*J$4/$H$4</f>
        <v>0</v>
      </c>
      <c r="K280" s="324">
        <f>'DATA (Real)'!K276*K$4/$H$4</f>
        <v>0</v>
      </c>
      <c r="L280" s="324">
        <f>'DATA (Real)'!L276*L$4/$H$4</f>
        <v>0</v>
      </c>
      <c r="M280" s="324">
        <f>'DATA (Real)'!M276*M$4/$H$4</f>
        <v>0</v>
      </c>
      <c r="N280" s="324">
        <f>'DATA (Real)'!N276*N$4/$H$4</f>
        <v>0</v>
      </c>
      <c r="O280" s="324">
        <f>'DATA (Real)'!O276*O$4/$H$4</f>
        <v>0</v>
      </c>
      <c r="P280" s="324">
        <f>'DATA (Real)'!P276*P$4/$H$4</f>
        <v>0</v>
      </c>
      <c r="Q280" s="324">
        <f>'DATA (Real)'!Q276*Q$4/$H$4</f>
        <v>0</v>
      </c>
      <c r="R280" s="324">
        <f>'DATA (Real)'!R276*R$4/$H$4</f>
        <v>0</v>
      </c>
      <c r="S280" s="324">
        <f>'DATA (Real)'!S276*S$4/$H$4</f>
        <v>0</v>
      </c>
      <c r="T280" s="324">
        <f>'DATA (Real)'!T276*T$4/$H$4</f>
        <v>0</v>
      </c>
      <c r="U280" s="324">
        <f>'DATA (Real)'!U276*U$4/$H$4</f>
        <v>0</v>
      </c>
      <c r="V280" s="324">
        <f>'DATA (Real)'!V276*V$4/$H$4</f>
        <v>0</v>
      </c>
      <c r="W280" s="324">
        <f>'DATA (Real)'!W276*W$4/$H$4</f>
        <v>0</v>
      </c>
      <c r="X280" s="324">
        <f>'DATA (Real)'!X276*X$4/$H$4</f>
        <v>0</v>
      </c>
      <c r="Y280" s="324">
        <f>'DATA (Real)'!Y276*Y$4/$H$4</f>
        <v>0</v>
      </c>
      <c r="Z280" s="324">
        <f>'DATA (Real)'!Z276*Z$4/$H$4</f>
        <v>0</v>
      </c>
      <c r="AA280" s="324">
        <f>'DATA (Real)'!AA276*AA$4/$H$4</f>
        <v>0</v>
      </c>
      <c r="AB280" s="324">
        <f>'DATA (Real)'!AB276*AB$4/$H$4</f>
        <v>0</v>
      </c>
      <c r="AC280" s="324">
        <f>'DATA (Real)'!AC276*AC$4/$H$4</f>
        <v>0</v>
      </c>
      <c r="AD280" s="324">
        <f>'DATA (Real)'!AD276*AD$4/$H$4</f>
        <v>0</v>
      </c>
      <c r="AE280" s="324">
        <f>'DATA (Real)'!AE276*AE$4/$H$4</f>
        <v>0</v>
      </c>
      <c r="AF280" s="324">
        <f>'DATA (Real)'!AF276*AF$4/$H$4</f>
        <v>0</v>
      </c>
      <c r="AG280" s="324">
        <f>'DATA (Real)'!AG276*AG$4/$H$4</f>
        <v>0</v>
      </c>
      <c r="AH280" s="324">
        <f>'DATA (Real)'!AH276*AH$4/$H$4</f>
        <v>0</v>
      </c>
      <c r="AI280" s="324">
        <f>'DATA (Real)'!AI276*AI$4/$H$4</f>
        <v>0</v>
      </c>
      <c r="AJ280" s="324">
        <f>'DATA (Real)'!AJ276*AJ$4/$H$4</f>
        <v>0</v>
      </c>
      <c r="AK280" s="324">
        <f>'DATA (Real)'!AK276*AK$4/$H$4</f>
        <v>0</v>
      </c>
      <c r="AL280" s="324">
        <f>'DATA (Real)'!AL276*AL$4/$H$4</f>
        <v>0</v>
      </c>
      <c r="AM280" s="324">
        <f>'DATA (Real)'!AM276*AM$4/$H$4</f>
        <v>0</v>
      </c>
      <c r="AN280" s="324">
        <f>'DATA (Real)'!AN276*AN$4/$H$4</f>
        <v>0</v>
      </c>
      <c r="AO280" s="324">
        <f>'DATA (Real)'!AO276*AO$4/$H$4</f>
        <v>0</v>
      </c>
      <c r="AP280" s="324">
        <f>'DATA (Real)'!AP276*AP$4/$H$4</f>
        <v>0</v>
      </c>
      <c r="AQ280" s="324">
        <f>'DATA (Real)'!AQ276*AQ$4/$H$4</f>
        <v>0</v>
      </c>
      <c r="AR280" s="324">
        <f>'DATA (Real)'!AR276*AR$4/$H$4</f>
        <v>0</v>
      </c>
      <c r="AS280" s="324">
        <f>'DATA (Real)'!AS276*AS$4/$H$4</f>
        <v>0</v>
      </c>
      <c r="AT280" s="324">
        <f>'DATA (Real)'!AT276*AT$4/$H$4</f>
        <v>0</v>
      </c>
      <c r="AU280" s="324">
        <f>'DATA (Real)'!AU276*AU$4/$H$4</f>
        <v>0</v>
      </c>
      <c r="AV280" s="324">
        <f>'DATA (Real)'!AV276*AV$4/$H$4</f>
        <v>0</v>
      </c>
      <c r="AW280" s="324">
        <f>'DATA (Real)'!AW276*AW$4/$H$4</f>
        <v>0</v>
      </c>
      <c r="AX280" s="324">
        <f>'DATA (Real)'!AX276*AX$4/$H$4</f>
        <v>0</v>
      </c>
      <c r="AY280" s="324">
        <f>'DATA (Real)'!AY276*AY$4/$H$4</f>
        <v>0</v>
      </c>
      <c r="AZ280" s="324">
        <f>'DATA (Real)'!AZ276*AZ$4/$H$4</f>
        <v>0</v>
      </c>
      <c r="BA280" s="324">
        <f>'DATA (Real)'!BA276*BA$4/$H$4</f>
        <v>0</v>
      </c>
      <c r="BB280" s="324">
        <f>'DATA (Real)'!BB276*BB$4/$H$4</f>
        <v>0</v>
      </c>
      <c r="BC280" s="324">
        <f>'DATA (Real)'!BC276*BC$4/$H$4</f>
        <v>0</v>
      </c>
      <c r="BD280" s="324">
        <f>'DATA (Real)'!BD276*BD$4/$H$4</f>
        <v>0</v>
      </c>
      <c r="BE280" s="324">
        <f>'DATA (Real)'!BE276*BE$4/$H$4</f>
        <v>0</v>
      </c>
      <c r="BF280" s="324">
        <f>'DATA (Real)'!BF276*BF$4/$H$4</f>
        <v>0</v>
      </c>
      <c r="BG280" s="324">
        <f>'DATA (Real)'!BG276*BG$4/$H$4</f>
        <v>0</v>
      </c>
      <c r="BH280" s="324">
        <f>'DATA (Real)'!BH276*BH$4/$H$4</f>
        <v>0</v>
      </c>
      <c r="BI280" s="324">
        <f>'DATA (Real)'!BI276*BI$4/$H$4</f>
        <v>0</v>
      </c>
      <c r="BJ280" s="324">
        <f>'DATA (Real)'!BJ276*BJ$4/$H$4</f>
        <v>0</v>
      </c>
      <c r="BK280" s="324">
        <f>'DATA (Real)'!BK276*BK$4/$H$4</f>
        <v>0</v>
      </c>
      <c r="BL280" s="324">
        <f>'DATA (Real)'!BL276*BL$4/$H$4</f>
        <v>0</v>
      </c>
      <c r="BM280" s="324">
        <f>'DATA (Real)'!BM276*BM$4/$H$4</f>
        <v>0</v>
      </c>
      <c r="BN280" s="324">
        <f>'DATA (Real)'!BN276*BN$4/$H$4</f>
        <v>0</v>
      </c>
      <c r="BO280" s="324">
        <f>'DATA (Real)'!BO276*BO$4/$H$4</f>
        <v>0</v>
      </c>
      <c r="BP280" s="324">
        <f>'DATA (Real)'!BP276*BP$4/$H$4</f>
        <v>0</v>
      </c>
      <c r="BQ280" s="324">
        <f>'DATA (Real)'!BQ276*BQ$4/$H$4</f>
        <v>0</v>
      </c>
      <c r="BR280" s="324">
        <f>'DATA (Real)'!BR276*BR$4/$H$4</f>
        <v>0</v>
      </c>
      <c r="BS280" s="324">
        <f>'DATA (Real)'!BS276*BS$4/$H$4</f>
        <v>0</v>
      </c>
      <c r="BT280" s="324">
        <f>'DATA (Real)'!BT276*BT$4/$H$4</f>
        <v>0</v>
      </c>
      <c r="BU280" s="324">
        <f>'DATA (Real)'!BU276*BU$4/$H$4</f>
        <v>0</v>
      </c>
      <c r="BV280" s="324">
        <f>'DATA (Real)'!BV276*BV$4/$H$4</f>
        <v>0</v>
      </c>
      <c r="BW280" s="324">
        <f>'DATA (Real)'!BW276*BW$4/$H$4</f>
        <v>0</v>
      </c>
      <c r="BX280" s="324">
        <f>'DATA (Real)'!BX276*BX$4/$H$4</f>
        <v>0</v>
      </c>
    </row>
    <row r="281" spans="1:76" hidden="1" outlineLevel="1">
      <c r="A281" s="355"/>
      <c r="B281" s="348"/>
      <c r="C281" s="348" t="str">
        <f>'DATA (Real)'!C277</f>
        <v>Inflation Reduction Act</v>
      </c>
      <c r="D281" s="348" t="str">
        <f>'DATA (Real)'!D277</f>
        <v>PTC Value ($/MWh)</v>
      </c>
      <c r="E281" s="348" t="str">
        <f>'DATA (Real)'!E277</f>
        <v>8hr Lithium-Ion</v>
      </c>
      <c r="F281" s="331"/>
      <c r="G281" s="331"/>
      <c r="H281" s="314">
        <f>'DATA (Real)'!H277*H$4/$H$4</f>
        <v>0</v>
      </c>
      <c r="I281" s="324">
        <f>'DATA (Real)'!I277*I$4/$H$4</f>
        <v>0</v>
      </c>
      <c r="J281" s="324">
        <f>'DATA (Real)'!J277*J$4/$H$4</f>
        <v>0</v>
      </c>
      <c r="K281" s="324">
        <f>'DATA (Real)'!K277*K$4/$H$4</f>
        <v>0</v>
      </c>
      <c r="L281" s="324">
        <f>'DATA (Real)'!L277*L$4/$H$4</f>
        <v>0</v>
      </c>
      <c r="M281" s="324">
        <f>'DATA (Real)'!M277*M$4/$H$4</f>
        <v>0</v>
      </c>
      <c r="N281" s="324">
        <f>'DATA (Real)'!N277*N$4/$H$4</f>
        <v>0</v>
      </c>
      <c r="O281" s="324">
        <f>'DATA (Real)'!O277*O$4/$H$4</f>
        <v>0</v>
      </c>
      <c r="P281" s="324">
        <f>'DATA (Real)'!P277*P$4/$H$4</f>
        <v>0</v>
      </c>
      <c r="Q281" s="324">
        <f>'DATA (Real)'!Q277*Q$4/$H$4</f>
        <v>0</v>
      </c>
      <c r="R281" s="324">
        <f>'DATA (Real)'!R277*R$4/$H$4</f>
        <v>0</v>
      </c>
      <c r="S281" s="324">
        <f>'DATA (Real)'!S277*S$4/$H$4</f>
        <v>0</v>
      </c>
      <c r="T281" s="324">
        <f>'DATA (Real)'!T277*T$4/$H$4</f>
        <v>0</v>
      </c>
      <c r="U281" s="324">
        <f>'DATA (Real)'!U277*U$4/$H$4</f>
        <v>0</v>
      </c>
      <c r="V281" s="324">
        <f>'DATA (Real)'!V277*V$4/$H$4</f>
        <v>0</v>
      </c>
      <c r="W281" s="324">
        <f>'DATA (Real)'!W277*W$4/$H$4</f>
        <v>0</v>
      </c>
      <c r="X281" s="324">
        <f>'DATA (Real)'!X277*X$4/$H$4</f>
        <v>0</v>
      </c>
      <c r="Y281" s="324">
        <f>'DATA (Real)'!Y277*Y$4/$H$4</f>
        <v>0</v>
      </c>
      <c r="Z281" s="324">
        <f>'DATA (Real)'!Z277*Z$4/$H$4</f>
        <v>0</v>
      </c>
      <c r="AA281" s="324">
        <f>'DATA (Real)'!AA277*AA$4/$H$4</f>
        <v>0</v>
      </c>
      <c r="AB281" s="324">
        <f>'DATA (Real)'!AB277*AB$4/$H$4</f>
        <v>0</v>
      </c>
      <c r="AC281" s="324">
        <f>'DATA (Real)'!AC277*AC$4/$H$4</f>
        <v>0</v>
      </c>
      <c r="AD281" s="324">
        <f>'DATA (Real)'!AD277*AD$4/$H$4</f>
        <v>0</v>
      </c>
      <c r="AE281" s="324">
        <f>'DATA (Real)'!AE277*AE$4/$H$4</f>
        <v>0</v>
      </c>
      <c r="AF281" s="324">
        <f>'DATA (Real)'!AF277*AF$4/$H$4</f>
        <v>0</v>
      </c>
      <c r="AG281" s="324">
        <f>'DATA (Real)'!AG277*AG$4/$H$4</f>
        <v>0</v>
      </c>
      <c r="AH281" s="324">
        <f>'DATA (Real)'!AH277*AH$4/$H$4</f>
        <v>0</v>
      </c>
      <c r="AI281" s="324">
        <f>'DATA (Real)'!AI277*AI$4/$H$4</f>
        <v>0</v>
      </c>
      <c r="AJ281" s="324">
        <f>'DATA (Real)'!AJ277*AJ$4/$H$4</f>
        <v>0</v>
      </c>
      <c r="AK281" s="324">
        <f>'DATA (Real)'!AK277*AK$4/$H$4</f>
        <v>0</v>
      </c>
      <c r="AL281" s="324">
        <f>'DATA (Real)'!AL277*AL$4/$H$4</f>
        <v>0</v>
      </c>
      <c r="AM281" s="324">
        <f>'DATA (Real)'!AM277*AM$4/$H$4</f>
        <v>0</v>
      </c>
      <c r="AN281" s="324">
        <f>'DATA (Real)'!AN277*AN$4/$H$4</f>
        <v>0</v>
      </c>
      <c r="AO281" s="324">
        <f>'DATA (Real)'!AO277*AO$4/$H$4</f>
        <v>0</v>
      </c>
      <c r="AP281" s="324">
        <f>'DATA (Real)'!AP277*AP$4/$H$4</f>
        <v>0</v>
      </c>
      <c r="AQ281" s="324">
        <f>'DATA (Real)'!AQ277*AQ$4/$H$4</f>
        <v>0</v>
      </c>
      <c r="AR281" s="324">
        <f>'DATA (Real)'!AR277*AR$4/$H$4</f>
        <v>0</v>
      </c>
      <c r="AS281" s="324">
        <f>'DATA (Real)'!AS277*AS$4/$H$4</f>
        <v>0</v>
      </c>
      <c r="AT281" s="324">
        <f>'DATA (Real)'!AT277*AT$4/$H$4</f>
        <v>0</v>
      </c>
      <c r="AU281" s="324">
        <f>'DATA (Real)'!AU277*AU$4/$H$4</f>
        <v>0</v>
      </c>
      <c r="AV281" s="324">
        <f>'DATA (Real)'!AV277*AV$4/$H$4</f>
        <v>0</v>
      </c>
      <c r="AW281" s="324">
        <f>'DATA (Real)'!AW277*AW$4/$H$4</f>
        <v>0</v>
      </c>
      <c r="AX281" s="324">
        <f>'DATA (Real)'!AX277*AX$4/$H$4</f>
        <v>0</v>
      </c>
      <c r="AY281" s="324">
        <f>'DATA (Real)'!AY277*AY$4/$H$4</f>
        <v>0</v>
      </c>
      <c r="AZ281" s="324">
        <f>'DATA (Real)'!AZ277*AZ$4/$H$4</f>
        <v>0</v>
      </c>
      <c r="BA281" s="324">
        <f>'DATA (Real)'!BA277*BA$4/$H$4</f>
        <v>0</v>
      </c>
      <c r="BB281" s="324">
        <f>'DATA (Real)'!BB277*BB$4/$H$4</f>
        <v>0</v>
      </c>
      <c r="BC281" s="324">
        <f>'DATA (Real)'!BC277*BC$4/$H$4</f>
        <v>0</v>
      </c>
      <c r="BD281" s="324">
        <f>'DATA (Real)'!BD277*BD$4/$H$4</f>
        <v>0</v>
      </c>
      <c r="BE281" s="324">
        <f>'DATA (Real)'!BE277*BE$4/$H$4</f>
        <v>0</v>
      </c>
      <c r="BF281" s="324">
        <f>'DATA (Real)'!BF277*BF$4/$H$4</f>
        <v>0</v>
      </c>
      <c r="BG281" s="324">
        <f>'DATA (Real)'!BG277*BG$4/$H$4</f>
        <v>0</v>
      </c>
      <c r="BH281" s="324">
        <f>'DATA (Real)'!BH277*BH$4/$H$4</f>
        <v>0</v>
      </c>
      <c r="BI281" s="324">
        <f>'DATA (Real)'!BI277*BI$4/$H$4</f>
        <v>0</v>
      </c>
      <c r="BJ281" s="324">
        <f>'DATA (Real)'!BJ277*BJ$4/$H$4</f>
        <v>0</v>
      </c>
      <c r="BK281" s="324">
        <f>'DATA (Real)'!BK277*BK$4/$H$4</f>
        <v>0</v>
      </c>
      <c r="BL281" s="324">
        <f>'DATA (Real)'!BL277*BL$4/$H$4</f>
        <v>0</v>
      </c>
      <c r="BM281" s="324">
        <f>'DATA (Real)'!BM277*BM$4/$H$4</f>
        <v>0</v>
      </c>
      <c r="BN281" s="324">
        <f>'DATA (Real)'!BN277*BN$4/$H$4</f>
        <v>0</v>
      </c>
      <c r="BO281" s="324">
        <f>'DATA (Real)'!BO277*BO$4/$H$4</f>
        <v>0</v>
      </c>
      <c r="BP281" s="324">
        <f>'DATA (Real)'!BP277*BP$4/$H$4</f>
        <v>0</v>
      </c>
      <c r="BQ281" s="324">
        <f>'DATA (Real)'!BQ277*BQ$4/$H$4</f>
        <v>0</v>
      </c>
      <c r="BR281" s="324">
        <f>'DATA (Real)'!BR277*BR$4/$H$4</f>
        <v>0</v>
      </c>
      <c r="BS281" s="324">
        <f>'DATA (Real)'!BS277*BS$4/$H$4</f>
        <v>0</v>
      </c>
      <c r="BT281" s="324">
        <f>'DATA (Real)'!BT277*BT$4/$H$4</f>
        <v>0</v>
      </c>
      <c r="BU281" s="324">
        <f>'DATA (Real)'!BU277*BU$4/$H$4</f>
        <v>0</v>
      </c>
      <c r="BV281" s="324">
        <f>'DATA (Real)'!BV277*BV$4/$H$4</f>
        <v>0</v>
      </c>
      <c r="BW281" s="324">
        <f>'DATA (Real)'!BW277*BW$4/$H$4</f>
        <v>0</v>
      </c>
      <c r="BX281" s="324">
        <f>'DATA (Real)'!BX277*BX$4/$H$4</f>
        <v>0</v>
      </c>
    </row>
    <row r="282" spans="1:76" hidden="1" outlineLevel="1">
      <c r="A282" s="355"/>
      <c r="B282" s="348"/>
      <c r="C282" s="348" t="str">
        <f>'DATA (Real)'!C278</f>
        <v>Inflation Reduction Act</v>
      </c>
      <c r="D282" s="348" t="str">
        <f>'DATA (Real)'!D278</f>
        <v>PTC Value ($/MWh)</v>
      </c>
      <c r="E282" s="348" t="str">
        <f>'DATA (Real)'!E278</f>
        <v>16hr Lithium-Ion</v>
      </c>
      <c r="F282" s="331"/>
      <c r="G282" s="331"/>
      <c r="H282" s="314">
        <f>'DATA (Real)'!H278*H$4/$H$4</f>
        <v>0</v>
      </c>
      <c r="I282" s="324">
        <f>'DATA (Real)'!I278*I$4/$H$4</f>
        <v>0</v>
      </c>
      <c r="J282" s="324">
        <f>'DATA (Real)'!J278*J$4/$H$4</f>
        <v>0</v>
      </c>
      <c r="K282" s="324">
        <f>'DATA (Real)'!K278*K$4/$H$4</f>
        <v>0</v>
      </c>
      <c r="L282" s="324">
        <f>'DATA (Real)'!L278*L$4/$H$4</f>
        <v>0</v>
      </c>
      <c r="M282" s="324">
        <f>'DATA (Real)'!M278*M$4/$H$4</f>
        <v>0</v>
      </c>
      <c r="N282" s="324">
        <f>'DATA (Real)'!N278*N$4/$H$4</f>
        <v>0</v>
      </c>
      <c r="O282" s="324">
        <f>'DATA (Real)'!O278*O$4/$H$4</f>
        <v>0</v>
      </c>
      <c r="P282" s="324">
        <f>'DATA (Real)'!P278*P$4/$H$4</f>
        <v>0</v>
      </c>
      <c r="Q282" s="324">
        <f>'DATA (Real)'!Q278*Q$4/$H$4</f>
        <v>0</v>
      </c>
      <c r="R282" s="324">
        <f>'DATA (Real)'!R278*R$4/$H$4</f>
        <v>0</v>
      </c>
      <c r="S282" s="324">
        <f>'DATA (Real)'!S278*S$4/$H$4</f>
        <v>0</v>
      </c>
      <c r="T282" s="324">
        <f>'DATA (Real)'!T278*T$4/$H$4</f>
        <v>0</v>
      </c>
      <c r="U282" s="324">
        <f>'DATA (Real)'!U278*U$4/$H$4</f>
        <v>0</v>
      </c>
      <c r="V282" s="324">
        <f>'DATA (Real)'!V278*V$4/$H$4</f>
        <v>0</v>
      </c>
      <c r="W282" s="324">
        <f>'DATA (Real)'!W278*W$4/$H$4</f>
        <v>0</v>
      </c>
      <c r="X282" s="324">
        <f>'DATA (Real)'!X278*X$4/$H$4</f>
        <v>0</v>
      </c>
      <c r="Y282" s="324">
        <f>'DATA (Real)'!Y278*Y$4/$H$4</f>
        <v>0</v>
      </c>
      <c r="Z282" s="324">
        <f>'DATA (Real)'!Z278*Z$4/$H$4</f>
        <v>0</v>
      </c>
      <c r="AA282" s="324">
        <f>'DATA (Real)'!AA278*AA$4/$H$4</f>
        <v>0</v>
      </c>
      <c r="AB282" s="324">
        <f>'DATA (Real)'!AB278*AB$4/$H$4</f>
        <v>0</v>
      </c>
      <c r="AC282" s="324">
        <f>'DATA (Real)'!AC278*AC$4/$H$4</f>
        <v>0</v>
      </c>
      <c r="AD282" s="324">
        <f>'DATA (Real)'!AD278*AD$4/$H$4</f>
        <v>0</v>
      </c>
      <c r="AE282" s="324">
        <f>'DATA (Real)'!AE278*AE$4/$H$4</f>
        <v>0</v>
      </c>
      <c r="AF282" s="324">
        <f>'DATA (Real)'!AF278*AF$4/$H$4</f>
        <v>0</v>
      </c>
      <c r="AG282" s="324">
        <f>'DATA (Real)'!AG278*AG$4/$H$4</f>
        <v>0</v>
      </c>
      <c r="AH282" s="324">
        <f>'DATA (Real)'!AH278*AH$4/$H$4</f>
        <v>0</v>
      </c>
      <c r="AI282" s="324">
        <f>'DATA (Real)'!AI278*AI$4/$H$4</f>
        <v>0</v>
      </c>
      <c r="AJ282" s="324">
        <f>'DATA (Real)'!AJ278*AJ$4/$H$4</f>
        <v>0</v>
      </c>
      <c r="AK282" s="324">
        <f>'DATA (Real)'!AK278*AK$4/$H$4</f>
        <v>0</v>
      </c>
      <c r="AL282" s="324">
        <f>'DATA (Real)'!AL278*AL$4/$H$4</f>
        <v>0</v>
      </c>
      <c r="AM282" s="324">
        <f>'DATA (Real)'!AM278*AM$4/$H$4</f>
        <v>0</v>
      </c>
      <c r="AN282" s="324">
        <f>'DATA (Real)'!AN278*AN$4/$H$4</f>
        <v>0</v>
      </c>
      <c r="AO282" s="324">
        <f>'DATA (Real)'!AO278*AO$4/$H$4</f>
        <v>0</v>
      </c>
      <c r="AP282" s="324">
        <f>'DATA (Real)'!AP278*AP$4/$H$4</f>
        <v>0</v>
      </c>
      <c r="AQ282" s="324">
        <f>'DATA (Real)'!AQ278*AQ$4/$H$4</f>
        <v>0</v>
      </c>
      <c r="AR282" s="324">
        <f>'DATA (Real)'!AR278*AR$4/$H$4</f>
        <v>0</v>
      </c>
      <c r="AS282" s="324">
        <f>'DATA (Real)'!AS278*AS$4/$H$4</f>
        <v>0</v>
      </c>
      <c r="AT282" s="324">
        <f>'DATA (Real)'!AT278*AT$4/$H$4</f>
        <v>0</v>
      </c>
      <c r="AU282" s="324">
        <f>'DATA (Real)'!AU278*AU$4/$H$4</f>
        <v>0</v>
      </c>
      <c r="AV282" s="324">
        <f>'DATA (Real)'!AV278*AV$4/$H$4</f>
        <v>0</v>
      </c>
      <c r="AW282" s="324">
        <f>'DATA (Real)'!AW278*AW$4/$H$4</f>
        <v>0</v>
      </c>
      <c r="AX282" s="324">
        <f>'DATA (Real)'!AX278*AX$4/$H$4</f>
        <v>0</v>
      </c>
      <c r="AY282" s="324">
        <f>'DATA (Real)'!AY278*AY$4/$H$4</f>
        <v>0</v>
      </c>
      <c r="AZ282" s="324">
        <f>'DATA (Real)'!AZ278*AZ$4/$H$4</f>
        <v>0</v>
      </c>
      <c r="BA282" s="324">
        <f>'DATA (Real)'!BA278*BA$4/$H$4</f>
        <v>0</v>
      </c>
      <c r="BB282" s="324">
        <f>'DATA (Real)'!BB278*BB$4/$H$4</f>
        <v>0</v>
      </c>
      <c r="BC282" s="324">
        <f>'DATA (Real)'!BC278*BC$4/$H$4</f>
        <v>0</v>
      </c>
      <c r="BD282" s="324">
        <f>'DATA (Real)'!BD278*BD$4/$H$4</f>
        <v>0</v>
      </c>
      <c r="BE282" s="324">
        <f>'DATA (Real)'!BE278*BE$4/$H$4</f>
        <v>0</v>
      </c>
      <c r="BF282" s="324">
        <f>'DATA (Real)'!BF278*BF$4/$H$4</f>
        <v>0</v>
      </c>
      <c r="BG282" s="324">
        <f>'DATA (Real)'!BG278*BG$4/$H$4</f>
        <v>0</v>
      </c>
      <c r="BH282" s="324">
        <f>'DATA (Real)'!BH278*BH$4/$H$4</f>
        <v>0</v>
      </c>
      <c r="BI282" s="324">
        <f>'DATA (Real)'!BI278*BI$4/$H$4</f>
        <v>0</v>
      </c>
      <c r="BJ282" s="324">
        <f>'DATA (Real)'!BJ278*BJ$4/$H$4</f>
        <v>0</v>
      </c>
      <c r="BK282" s="324">
        <f>'DATA (Real)'!BK278*BK$4/$H$4</f>
        <v>0</v>
      </c>
      <c r="BL282" s="324">
        <f>'DATA (Real)'!BL278*BL$4/$H$4</f>
        <v>0</v>
      </c>
      <c r="BM282" s="324">
        <f>'DATA (Real)'!BM278*BM$4/$H$4</f>
        <v>0</v>
      </c>
      <c r="BN282" s="324">
        <f>'DATA (Real)'!BN278*BN$4/$H$4</f>
        <v>0</v>
      </c>
      <c r="BO282" s="324">
        <f>'DATA (Real)'!BO278*BO$4/$H$4</f>
        <v>0</v>
      </c>
      <c r="BP282" s="324">
        <f>'DATA (Real)'!BP278*BP$4/$H$4</f>
        <v>0</v>
      </c>
      <c r="BQ282" s="324">
        <f>'DATA (Real)'!BQ278*BQ$4/$H$4</f>
        <v>0</v>
      </c>
      <c r="BR282" s="324">
        <f>'DATA (Real)'!BR278*BR$4/$H$4</f>
        <v>0</v>
      </c>
      <c r="BS282" s="324">
        <f>'DATA (Real)'!BS278*BS$4/$H$4</f>
        <v>0</v>
      </c>
      <c r="BT282" s="324">
        <f>'DATA (Real)'!BT278*BT$4/$H$4</f>
        <v>0</v>
      </c>
      <c r="BU282" s="324">
        <f>'DATA (Real)'!BU278*BU$4/$H$4</f>
        <v>0</v>
      </c>
      <c r="BV282" s="324">
        <f>'DATA (Real)'!BV278*BV$4/$H$4</f>
        <v>0</v>
      </c>
      <c r="BW282" s="324">
        <f>'DATA (Real)'!BW278*BW$4/$H$4</f>
        <v>0</v>
      </c>
      <c r="BX282" s="324">
        <f>'DATA (Real)'!BX278*BX$4/$H$4</f>
        <v>0</v>
      </c>
    </row>
    <row r="283" spans="1:76" hidden="1" outlineLevel="1">
      <c r="A283" s="355"/>
      <c r="B283" s="348"/>
      <c r="C283" s="348" t="str">
        <f>'DATA (Real)'!C279</f>
        <v>Inflation Reduction Act</v>
      </c>
      <c r="D283" s="348" t="str">
        <f>'DATA (Real)'!D279</f>
        <v>PTC Value ($/MWh)</v>
      </c>
      <c r="E283" s="348" t="str">
        <f>'DATA (Real)'!E279</f>
        <v>4 hr Vanadium Flow Battery</v>
      </c>
      <c r="F283" s="331"/>
      <c r="G283" s="331"/>
      <c r="H283" s="314">
        <f>'DATA (Real)'!H279*H$4/$H$4</f>
        <v>0</v>
      </c>
      <c r="I283" s="324">
        <f>'DATA (Real)'!I279*I$4/$H$4</f>
        <v>0</v>
      </c>
      <c r="J283" s="324">
        <f>'DATA (Real)'!J279*J$4/$H$4</f>
        <v>0</v>
      </c>
      <c r="K283" s="324">
        <f>'DATA (Real)'!K279*K$4/$H$4</f>
        <v>0</v>
      </c>
      <c r="L283" s="324">
        <f>'DATA (Real)'!L279*L$4/$H$4</f>
        <v>0</v>
      </c>
      <c r="M283" s="324">
        <f>'DATA (Real)'!M279*M$4/$H$4</f>
        <v>0</v>
      </c>
      <c r="N283" s="324">
        <f>'DATA (Real)'!N279*N$4/$H$4</f>
        <v>0</v>
      </c>
      <c r="O283" s="324">
        <f>'DATA (Real)'!O279*O$4/$H$4</f>
        <v>0</v>
      </c>
      <c r="P283" s="324">
        <f>'DATA (Real)'!P279*P$4/$H$4</f>
        <v>0</v>
      </c>
      <c r="Q283" s="324">
        <f>'DATA (Real)'!Q279*Q$4/$H$4</f>
        <v>0</v>
      </c>
      <c r="R283" s="324">
        <f>'DATA (Real)'!R279*R$4/$H$4</f>
        <v>0</v>
      </c>
      <c r="S283" s="324">
        <f>'DATA (Real)'!S279*S$4/$H$4</f>
        <v>0</v>
      </c>
      <c r="T283" s="324">
        <f>'DATA (Real)'!T279*T$4/$H$4</f>
        <v>0</v>
      </c>
      <c r="U283" s="324">
        <f>'DATA (Real)'!U279*U$4/$H$4</f>
        <v>0</v>
      </c>
      <c r="V283" s="324">
        <f>'DATA (Real)'!V279*V$4/$H$4</f>
        <v>0</v>
      </c>
      <c r="W283" s="324">
        <f>'DATA (Real)'!W279*W$4/$H$4</f>
        <v>0</v>
      </c>
      <c r="X283" s="324">
        <f>'DATA (Real)'!X279*X$4/$H$4</f>
        <v>0</v>
      </c>
      <c r="Y283" s="324">
        <f>'DATA (Real)'!Y279*Y$4/$H$4</f>
        <v>0</v>
      </c>
      <c r="Z283" s="324">
        <f>'DATA (Real)'!Z279*Z$4/$H$4</f>
        <v>0</v>
      </c>
      <c r="AA283" s="324">
        <f>'DATA (Real)'!AA279*AA$4/$H$4</f>
        <v>0</v>
      </c>
      <c r="AB283" s="324">
        <f>'DATA (Real)'!AB279*AB$4/$H$4</f>
        <v>0</v>
      </c>
      <c r="AC283" s="324">
        <f>'DATA (Real)'!AC279*AC$4/$H$4</f>
        <v>0</v>
      </c>
      <c r="AD283" s="324">
        <f>'DATA (Real)'!AD279*AD$4/$H$4</f>
        <v>0</v>
      </c>
      <c r="AE283" s="324">
        <f>'DATA (Real)'!AE279*AE$4/$H$4</f>
        <v>0</v>
      </c>
      <c r="AF283" s="324">
        <f>'DATA (Real)'!AF279*AF$4/$H$4</f>
        <v>0</v>
      </c>
      <c r="AG283" s="324">
        <f>'DATA (Real)'!AG279*AG$4/$H$4</f>
        <v>0</v>
      </c>
      <c r="AH283" s="324">
        <f>'DATA (Real)'!AH279*AH$4/$H$4</f>
        <v>0</v>
      </c>
      <c r="AI283" s="324">
        <f>'DATA (Real)'!AI279*AI$4/$H$4</f>
        <v>0</v>
      </c>
      <c r="AJ283" s="324">
        <f>'DATA (Real)'!AJ279*AJ$4/$H$4</f>
        <v>0</v>
      </c>
      <c r="AK283" s="324">
        <f>'DATA (Real)'!AK279*AK$4/$H$4</f>
        <v>0</v>
      </c>
      <c r="AL283" s="324">
        <f>'DATA (Real)'!AL279*AL$4/$H$4</f>
        <v>0</v>
      </c>
      <c r="AM283" s="324">
        <f>'DATA (Real)'!AM279*AM$4/$H$4</f>
        <v>0</v>
      </c>
      <c r="AN283" s="324">
        <f>'DATA (Real)'!AN279*AN$4/$H$4</f>
        <v>0</v>
      </c>
      <c r="AO283" s="324">
        <f>'DATA (Real)'!AO279*AO$4/$H$4</f>
        <v>0</v>
      </c>
      <c r="AP283" s="324">
        <f>'DATA (Real)'!AP279*AP$4/$H$4</f>
        <v>0</v>
      </c>
      <c r="AQ283" s="324">
        <f>'DATA (Real)'!AQ279*AQ$4/$H$4</f>
        <v>0</v>
      </c>
      <c r="AR283" s="324">
        <f>'DATA (Real)'!AR279*AR$4/$H$4</f>
        <v>0</v>
      </c>
      <c r="AS283" s="324">
        <f>'DATA (Real)'!AS279*AS$4/$H$4</f>
        <v>0</v>
      </c>
      <c r="AT283" s="324">
        <f>'DATA (Real)'!AT279*AT$4/$H$4</f>
        <v>0</v>
      </c>
      <c r="AU283" s="324">
        <f>'DATA (Real)'!AU279*AU$4/$H$4</f>
        <v>0</v>
      </c>
      <c r="AV283" s="324">
        <f>'DATA (Real)'!AV279*AV$4/$H$4</f>
        <v>0</v>
      </c>
      <c r="AW283" s="324">
        <f>'DATA (Real)'!AW279*AW$4/$H$4</f>
        <v>0</v>
      </c>
      <c r="AX283" s="324">
        <f>'DATA (Real)'!AX279*AX$4/$H$4</f>
        <v>0</v>
      </c>
      <c r="AY283" s="324">
        <f>'DATA (Real)'!AY279*AY$4/$H$4</f>
        <v>0</v>
      </c>
      <c r="AZ283" s="324">
        <f>'DATA (Real)'!AZ279*AZ$4/$H$4</f>
        <v>0</v>
      </c>
      <c r="BA283" s="324">
        <f>'DATA (Real)'!BA279*BA$4/$H$4</f>
        <v>0</v>
      </c>
      <c r="BB283" s="324">
        <f>'DATA (Real)'!BB279*BB$4/$H$4</f>
        <v>0</v>
      </c>
      <c r="BC283" s="324">
        <f>'DATA (Real)'!BC279*BC$4/$H$4</f>
        <v>0</v>
      </c>
      <c r="BD283" s="324">
        <f>'DATA (Real)'!BD279*BD$4/$H$4</f>
        <v>0</v>
      </c>
      <c r="BE283" s="324">
        <f>'DATA (Real)'!BE279*BE$4/$H$4</f>
        <v>0</v>
      </c>
      <c r="BF283" s="324">
        <f>'DATA (Real)'!BF279*BF$4/$H$4</f>
        <v>0</v>
      </c>
      <c r="BG283" s="324">
        <f>'DATA (Real)'!BG279*BG$4/$H$4</f>
        <v>0</v>
      </c>
      <c r="BH283" s="324">
        <f>'DATA (Real)'!BH279*BH$4/$H$4</f>
        <v>0</v>
      </c>
      <c r="BI283" s="324">
        <f>'DATA (Real)'!BI279*BI$4/$H$4</f>
        <v>0</v>
      </c>
      <c r="BJ283" s="324">
        <f>'DATA (Real)'!BJ279*BJ$4/$H$4</f>
        <v>0</v>
      </c>
      <c r="BK283" s="324">
        <f>'DATA (Real)'!BK279*BK$4/$H$4</f>
        <v>0</v>
      </c>
      <c r="BL283" s="324">
        <f>'DATA (Real)'!BL279*BL$4/$H$4</f>
        <v>0</v>
      </c>
      <c r="BM283" s="324">
        <f>'DATA (Real)'!BM279*BM$4/$H$4</f>
        <v>0</v>
      </c>
      <c r="BN283" s="324">
        <f>'DATA (Real)'!BN279*BN$4/$H$4</f>
        <v>0</v>
      </c>
      <c r="BO283" s="324">
        <f>'DATA (Real)'!BO279*BO$4/$H$4</f>
        <v>0</v>
      </c>
      <c r="BP283" s="324">
        <f>'DATA (Real)'!BP279*BP$4/$H$4</f>
        <v>0</v>
      </c>
      <c r="BQ283" s="324">
        <f>'DATA (Real)'!BQ279*BQ$4/$H$4</f>
        <v>0</v>
      </c>
      <c r="BR283" s="324">
        <f>'DATA (Real)'!BR279*BR$4/$H$4</f>
        <v>0</v>
      </c>
      <c r="BS283" s="324">
        <f>'DATA (Real)'!BS279*BS$4/$H$4</f>
        <v>0</v>
      </c>
      <c r="BT283" s="324">
        <f>'DATA (Real)'!BT279*BT$4/$H$4</f>
        <v>0</v>
      </c>
      <c r="BU283" s="324">
        <f>'DATA (Real)'!BU279*BU$4/$H$4</f>
        <v>0</v>
      </c>
      <c r="BV283" s="324">
        <f>'DATA (Real)'!BV279*BV$4/$H$4</f>
        <v>0</v>
      </c>
      <c r="BW283" s="324">
        <f>'DATA (Real)'!BW279*BW$4/$H$4</f>
        <v>0</v>
      </c>
      <c r="BX283" s="324">
        <f>'DATA (Real)'!BX279*BX$4/$H$4</f>
        <v>0</v>
      </c>
    </row>
    <row r="284" spans="1:76" hidden="1" outlineLevel="1">
      <c r="A284" s="355"/>
      <c r="B284" s="348"/>
      <c r="C284" s="348" t="str">
        <f>'DATA (Real)'!C280</f>
        <v>Inflation Reduction Act</v>
      </c>
      <c r="D284" s="348" t="str">
        <f>'DATA (Real)'!D280</f>
        <v>PTC Value ($/MWh)</v>
      </c>
      <c r="E284" s="348" t="str">
        <f>'DATA (Real)'!E280</f>
        <v>4 hr Zinc Bromide Flow Battery</v>
      </c>
      <c r="F284" s="331"/>
      <c r="G284" s="331"/>
      <c r="H284" s="314">
        <f>'DATA (Real)'!H280*H$4/$H$4</f>
        <v>0</v>
      </c>
      <c r="I284" s="324">
        <f>'DATA (Real)'!I280*I$4/$H$4</f>
        <v>0</v>
      </c>
      <c r="J284" s="324">
        <f>'DATA (Real)'!J280*J$4/$H$4</f>
        <v>0</v>
      </c>
      <c r="K284" s="324">
        <f>'DATA (Real)'!K280*K$4/$H$4</f>
        <v>0</v>
      </c>
      <c r="L284" s="324">
        <f>'DATA (Real)'!L280*L$4/$H$4</f>
        <v>0</v>
      </c>
      <c r="M284" s="324">
        <f>'DATA (Real)'!M280*M$4/$H$4</f>
        <v>0</v>
      </c>
      <c r="N284" s="324">
        <f>'DATA (Real)'!N280*N$4/$H$4</f>
        <v>0</v>
      </c>
      <c r="O284" s="324">
        <f>'DATA (Real)'!O280*O$4/$H$4</f>
        <v>0</v>
      </c>
      <c r="P284" s="324">
        <f>'DATA (Real)'!P280*P$4/$H$4</f>
        <v>0</v>
      </c>
      <c r="Q284" s="324">
        <f>'DATA (Real)'!Q280*Q$4/$H$4</f>
        <v>0</v>
      </c>
      <c r="R284" s="324">
        <f>'DATA (Real)'!R280*R$4/$H$4</f>
        <v>0</v>
      </c>
      <c r="S284" s="324">
        <f>'DATA (Real)'!S280*S$4/$H$4</f>
        <v>0</v>
      </c>
      <c r="T284" s="324">
        <f>'DATA (Real)'!T280*T$4/$H$4</f>
        <v>0</v>
      </c>
      <c r="U284" s="324">
        <f>'DATA (Real)'!U280*U$4/$H$4</f>
        <v>0</v>
      </c>
      <c r="V284" s="324">
        <f>'DATA (Real)'!V280*V$4/$H$4</f>
        <v>0</v>
      </c>
      <c r="W284" s="324">
        <f>'DATA (Real)'!W280*W$4/$H$4</f>
        <v>0</v>
      </c>
      <c r="X284" s="324">
        <f>'DATA (Real)'!X280*X$4/$H$4</f>
        <v>0</v>
      </c>
      <c r="Y284" s="324">
        <f>'DATA (Real)'!Y280*Y$4/$H$4</f>
        <v>0</v>
      </c>
      <c r="Z284" s="324">
        <f>'DATA (Real)'!Z280*Z$4/$H$4</f>
        <v>0</v>
      </c>
      <c r="AA284" s="324">
        <f>'DATA (Real)'!AA280*AA$4/$H$4</f>
        <v>0</v>
      </c>
      <c r="AB284" s="324">
        <f>'DATA (Real)'!AB280*AB$4/$H$4</f>
        <v>0</v>
      </c>
      <c r="AC284" s="324">
        <f>'DATA (Real)'!AC280*AC$4/$H$4</f>
        <v>0</v>
      </c>
      <c r="AD284" s="324">
        <f>'DATA (Real)'!AD280*AD$4/$H$4</f>
        <v>0</v>
      </c>
      <c r="AE284" s="324">
        <f>'DATA (Real)'!AE280*AE$4/$H$4</f>
        <v>0</v>
      </c>
      <c r="AF284" s="324">
        <f>'DATA (Real)'!AF280*AF$4/$H$4</f>
        <v>0</v>
      </c>
      <c r="AG284" s="324">
        <f>'DATA (Real)'!AG280*AG$4/$H$4</f>
        <v>0</v>
      </c>
      <c r="AH284" s="324">
        <f>'DATA (Real)'!AH280*AH$4/$H$4</f>
        <v>0</v>
      </c>
      <c r="AI284" s="324">
        <f>'DATA (Real)'!AI280*AI$4/$H$4</f>
        <v>0</v>
      </c>
      <c r="AJ284" s="324">
        <f>'DATA (Real)'!AJ280*AJ$4/$H$4</f>
        <v>0</v>
      </c>
      <c r="AK284" s="324">
        <f>'DATA (Real)'!AK280*AK$4/$H$4</f>
        <v>0</v>
      </c>
      <c r="AL284" s="324">
        <f>'DATA (Real)'!AL280*AL$4/$H$4</f>
        <v>0</v>
      </c>
      <c r="AM284" s="324">
        <f>'DATA (Real)'!AM280*AM$4/$H$4</f>
        <v>0</v>
      </c>
      <c r="AN284" s="324">
        <f>'DATA (Real)'!AN280*AN$4/$H$4</f>
        <v>0</v>
      </c>
      <c r="AO284" s="324">
        <f>'DATA (Real)'!AO280*AO$4/$H$4</f>
        <v>0</v>
      </c>
      <c r="AP284" s="324">
        <f>'DATA (Real)'!AP280*AP$4/$H$4</f>
        <v>0</v>
      </c>
      <c r="AQ284" s="324">
        <f>'DATA (Real)'!AQ280*AQ$4/$H$4</f>
        <v>0</v>
      </c>
      <c r="AR284" s="324">
        <f>'DATA (Real)'!AR280*AR$4/$H$4</f>
        <v>0</v>
      </c>
      <c r="AS284" s="324">
        <f>'DATA (Real)'!AS280*AS$4/$H$4</f>
        <v>0</v>
      </c>
      <c r="AT284" s="324">
        <f>'DATA (Real)'!AT280*AT$4/$H$4</f>
        <v>0</v>
      </c>
      <c r="AU284" s="324">
        <f>'DATA (Real)'!AU280*AU$4/$H$4</f>
        <v>0</v>
      </c>
      <c r="AV284" s="324">
        <f>'DATA (Real)'!AV280*AV$4/$H$4</f>
        <v>0</v>
      </c>
      <c r="AW284" s="324">
        <f>'DATA (Real)'!AW280*AW$4/$H$4</f>
        <v>0</v>
      </c>
      <c r="AX284" s="324">
        <f>'DATA (Real)'!AX280*AX$4/$H$4</f>
        <v>0</v>
      </c>
      <c r="AY284" s="324">
        <f>'DATA (Real)'!AY280*AY$4/$H$4</f>
        <v>0</v>
      </c>
      <c r="AZ284" s="324">
        <f>'DATA (Real)'!AZ280*AZ$4/$H$4</f>
        <v>0</v>
      </c>
      <c r="BA284" s="324">
        <f>'DATA (Real)'!BA280*BA$4/$H$4</f>
        <v>0</v>
      </c>
      <c r="BB284" s="324">
        <f>'DATA (Real)'!BB280*BB$4/$H$4</f>
        <v>0</v>
      </c>
      <c r="BC284" s="324">
        <f>'DATA (Real)'!BC280*BC$4/$H$4</f>
        <v>0</v>
      </c>
      <c r="BD284" s="324">
        <f>'DATA (Real)'!BD280*BD$4/$H$4</f>
        <v>0</v>
      </c>
      <c r="BE284" s="324">
        <f>'DATA (Real)'!BE280*BE$4/$H$4</f>
        <v>0</v>
      </c>
      <c r="BF284" s="324">
        <f>'DATA (Real)'!BF280*BF$4/$H$4</f>
        <v>0</v>
      </c>
      <c r="BG284" s="324">
        <f>'DATA (Real)'!BG280*BG$4/$H$4</f>
        <v>0</v>
      </c>
      <c r="BH284" s="324">
        <f>'DATA (Real)'!BH280*BH$4/$H$4</f>
        <v>0</v>
      </c>
      <c r="BI284" s="324">
        <f>'DATA (Real)'!BI280*BI$4/$H$4</f>
        <v>0</v>
      </c>
      <c r="BJ284" s="324">
        <f>'DATA (Real)'!BJ280*BJ$4/$H$4</f>
        <v>0</v>
      </c>
      <c r="BK284" s="324">
        <f>'DATA (Real)'!BK280*BK$4/$H$4</f>
        <v>0</v>
      </c>
      <c r="BL284" s="324">
        <f>'DATA (Real)'!BL280*BL$4/$H$4</f>
        <v>0</v>
      </c>
      <c r="BM284" s="324">
        <f>'DATA (Real)'!BM280*BM$4/$H$4</f>
        <v>0</v>
      </c>
      <c r="BN284" s="324">
        <f>'DATA (Real)'!BN280*BN$4/$H$4</f>
        <v>0</v>
      </c>
      <c r="BO284" s="324">
        <f>'DATA (Real)'!BO280*BO$4/$H$4</f>
        <v>0</v>
      </c>
      <c r="BP284" s="324">
        <f>'DATA (Real)'!BP280*BP$4/$H$4</f>
        <v>0</v>
      </c>
      <c r="BQ284" s="324">
        <f>'DATA (Real)'!BQ280*BQ$4/$H$4</f>
        <v>0</v>
      </c>
      <c r="BR284" s="324">
        <f>'DATA (Real)'!BR280*BR$4/$H$4</f>
        <v>0</v>
      </c>
      <c r="BS284" s="324">
        <f>'DATA (Real)'!BS280*BS$4/$H$4</f>
        <v>0</v>
      </c>
      <c r="BT284" s="324">
        <f>'DATA (Real)'!BT280*BT$4/$H$4</f>
        <v>0</v>
      </c>
      <c r="BU284" s="324">
        <f>'DATA (Real)'!BU280*BU$4/$H$4</f>
        <v>0</v>
      </c>
      <c r="BV284" s="324">
        <f>'DATA (Real)'!BV280*BV$4/$H$4</f>
        <v>0</v>
      </c>
      <c r="BW284" s="324">
        <f>'DATA (Real)'!BW280*BW$4/$H$4</f>
        <v>0</v>
      </c>
      <c r="BX284" s="324">
        <f>'DATA (Real)'!BX280*BX$4/$H$4</f>
        <v>0</v>
      </c>
    </row>
    <row r="285" spans="1:76" hidden="1" outlineLevel="1">
      <c r="A285" s="355"/>
      <c r="B285" s="348"/>
      <c r="C285" s="348" t="str">
        <f>'DATA (Real)'!C281</f>
        <v>Inflation Reduction Act</v>
      </c>
      <c r="D285" s="348" t="str">
        <f>'DATA (Real)'!D281</f>
        <v>PTC Value ($/MWh)</v>
      </c>
      <c r="E285" s="348" t="str">
        <f>'DATA (Real)'!E281</f>
        <v>100hr Iron Oxide</v>
      </c>
      <c r="F285" s="331"/>
      <c r="G285" s="331"/>
      <c r="H285" s="314">
        <f>'DATA (Real)'!H281*H$4/$H$4</f>
        <v>0</v>
      </c>
      <c r="I285" s="324">
        <f>'DATA (Real)'!I281*I$4/$H$4</f>
        <v>0</v>
      </c>
      <c r="J285" s="324">
        <f>'DATA (Real)'!J281*J$4/$H$4</f>
        <v>0</v>
      </c>
      <c r="K285" s="324">
        <f>'DATA (Real)'!K281*K$4/$H$4</f>
        <v>0</v>
      </c>
      <c r="L285" s="324">
        <f>'DATA (Real)'!L281*L$4/$H$4</f>
        <v>0</v>
      </c>
      <c r="M285" s="324">
        <f>'DATA (Real)'!M281*M$4/$H$4</f>
        <v>0</v>
      </c>
      <c r="N285" s="324">
        <f>'DATA (Real)'!N281*N$4/$H$4</f>
        <v>0</v>
      </c>
      <c r="O285" s="324">
        <f>'DATA (Real)'!O281*O$4/$H$4</f>
        <v>0</v>
      </c>
      <c r="P285" s="324">
        <f>'DATA (Real)'!P281*P$4/$H$4</f>
        <v>0</v>
      </c>
      <c r="Q285" s="324">
        <f>'DATA (Real)'!Q281*Q$4/$H$4</f>
        <v>0</v>
      </c>
      <c r="R285" s="324">
        <f>'DATA (Real)'!R281*R$4/$H$4</f>
        <v>0</v>
      </c>
      <c r="S285" s="324">
        <f>'DATA (Real)'!S281*S$4/$H$4</f>
        <v>0</v>
      </c>
      <c r="T285" s="324">
        <f>'DATA (Real)'!T281*T$4/$H$4</f>
        <v>0</v>
      </c>
      <c r="U285" s="324">
        <f>'DATA (Real)'!U281*U$4/$H$4</f>
        <v>0</v>
      </c>
      <c r="V285" s="324">
        <f>'DATA (Real)'!V281*V$4/$H$4</f>
        <v>0</v>
      </c>
      <c r="W285" s="324">
        <f>'DATA (Real)'!W281*W$4/$H$4</f>
        <v>0</v>
      </c>
      <c r="X285" s="324">
        <f>'DATA (Real)'!X281*X$4/$H$4</f>
        <v>0</v>
      </c>
      <c r="Y285" s="324">
        <f>'DATA (Real)'!Y281*Y$4/$H$4</f>
        <v>0</v>
      </c>
      <c r="Z285" s="324">
        <f>'DATA (Real)'!Z281*Z$4/$H$4</f>
        <v>0</v>
      </c>
      <c r="AA285" s="324">
        <f>'DATA (Real)'!AA281*AA$4/$H$4</f>
        <v>0</v>
      </c>
      <c r="AB285" s="324">
        <f>'DATA (Real)'!AB281*AB$4/$H$4</f>
        <v>0</v>
      </c>
      <c r="AC285" s="324">
        <f>'DATA (Real)'!AC281*AC$4/$H$4</f>
        <v>0</v>
      </c>
      <c r="AD285" s="324">
        <f>'DATA (Real)'!AD281*AD$4/$H$4</f>
        <v>0</v>
      </c>
      <c r="AE285" s="324">
        <f>'DATA (Real)'!AE281*AE$4/$H$4</f>
        <v>0</v>
      </c>
      <c r="AF285" s="324">
        <f>'DATA (Real)'!AF281*AF$4/$H$4</f>
        <v>0</v>
      </c>
      <c r="AG285" s="324">
        <f>'DATA (Real)'!AG281*AG$4/$H$4</f>
        <v>0</v>
      </c>
      <c r="AH285" s="324">
        <f>'DATA (Real)'!AH281*AH$4/$H$4</f>
        <v>0</v>
      </c>
      <c r="AI285" s="324">
        <f>'DATA (Real)'!AI281*AI$4/$H$4</f>
        <v>0</v>
      </c>
      <c r="AJ285" s="324">
        <f>'DATA (Real)'!AJ281*AJ$4/$H$4</f>
        <v>0</v>
      </c>
      <c r="AK285" s="324">
        <f>'DATA (Real)'!AK281*AK$4/$H$4</f>
        <v>0</v>
      </c>
      <c r="AL285" s="324">
        <f>'DATA (Real)'!AL281*AL$4/$H$4</f>
        <v>0</v>
      </c>
      <c r="AM285" s="324">
        <f>'DATA (Real)'!AM281*AM$4/$H$4</f>
        <v>0</v>
      </c>
      <c r="AN285" s="324">
        <f>'DATA (Real)'!AN281*AN$4/$H$4</f>
        <v>0</v>
      </c>
      <c r="AO285" s="324">
        <f>'DATA (Real)'!AO281*AO$4/$H$4</f>
        <v>0</v>
      </c>
      <c r="AP285" s="324">
        <f>'DATA (Real)'!AP281*AP$4/$H$4</f>
        <v>0</v>
      </c>
      <c r="AQ285" s="324">
        <f>'DATA (Real)'!AQ281*AQ$4/$H$4</f>
        <v>0</v>
      </c>
      <c r="AR285" s="324">
        <f>'DATA (Real)'!AR281*AR$4/$H$4</f>
        <v>0</v>
      </c>
      <c r="AS285" s="324">
        <f>'DATA (Real)'!AS281*AS$4/$H$4</f>
        <v>0</v>
      </c>
      <c r="AT285" s="324">
        <f>'DATA (Real)'!AT281*AT$4/$H$4</f>
        <v>0</v>
      </c>
      <c r="AU285" s="324">
        <f>'DATA (Real)'!AU281*AU$4/$H$4</f>
        <v>0</v>
      </c>
      <c r="AV285" s="324">
        <f>'DATA (Real)'!AV281*AV$4/$H$4</f>
        <v>0</v>
      </c>
      <c r="AW285" s="324">
        <f>'DATA (Real)'!AW281*AW$4/$H$4</f>
        <v>0</v>
      </c>
      <c r="AX285" s="324">
        <f>'DATA (Real)'!AX281*AX$4/$H$4</f>
        <v>0</v>
      </c>
      <c r="AY285" s="324">
        <f>'DATA (Real)'!AY281*AY$4/$H$4</f>
        <v>0</v>
      </c>
      <c r="AZ285" s="324">
        <f>'DATA (Real)'!AZ281*AZ$4/$H$4</f>
        <v>0</v>
      </c>
      <c r="BA285" s="324">
        <f>'DATA (Real)'!BA281*BA$4/$H$4</f>
        <v>0</v>
      </c>
      <c r="BB285" s="324">
        <f>'DATA (Real)'!BB281*BB$4/$H$4</f>
        <v>0</v>
      </c>
      <c r="BC285" s="324">
        <f>'DATA (Real)'!BC281*BC$4/$H$4</f>
        <v>0</v>
      </c>
      <c r="BD285" s="324">
        <f>'DATA (Real)'!BD281*BD$4/$H$4</f>
        <v>0</v>
      </c>
      <c r="BE285" s="324">
        <f>'DATA (Real)'!BE281*BE$4/$H$4</f>
        <v>0</v>
      </c>
      <c r="BF285" s="324">
        <f>'DATA (Real)'!BF281*BF$4/$H$4</f>
        <v>0</v>
      </c>
      <c r="BG285" s="324">
        <f>'DATA (Real)'!BG281*BG$4/$H$4</f>
        <v>0</v>
      </c>
      <c r="BH285" s="324">
        <f>'DATA (Real)'!BH281*BH$4/$H$4</f>
        <v>0</v>
      </c>
      <c r="BI285" s="324">
        <f>'DATA (Real)'!BI281*BI$4/$H$4</f>
        <v>0</v>
      </c>
      <c r="BJ285" s="324">
        <f>'DATA (Real)'!BJ281*BJ$4/$H$4</f>
        <v>0</v>
      </c>
      <c r="BK285" s="324">
        <f>'DATA (Real)'!BK281*BK$4/$H$4</f>
        <v>0</v>
      </c>
      <c r="BL285" s="324">
        <f>'DATA (Real)'!BL281*BL$4/$H$4</f>
        <v>0</v>
      </c>
      <c r="BM285" s="324">
        <f>'DATA (Real)'!BM281*BM$4/$H$4</f>
        <v>0</v>
      </c>
      <c r="BN285" s="324">
        <f>'DATA (Real)'!BN281*BN$4/$H$4</f>
        <v>0</v>
      </c>
      <c r="BO285" s="324">
        <f>'DATA (Real)'!BO281*BO$4/$H$4</f>
        <v>0</v>
      </c>
      <c r="BP285" s="324">
        <f>'DATA (Real)'!BP281*BP$4/$H$4</f>
        <v>0</v>
      </c>
      <c r="BQ285" s="324">
        <f>'DATA (Real)'!BQ281*BQ$4/$H$4</f>
        <v>0</v>
      </c>
      <c r="BR285" s="324">
        <f>'DATA (Real)'!BR281*BR$4/$H$4</f>
        <v>0</v>
      </c>
      <c r="BS285" s="324">
        <f>'DATA (Real)'!BS281*BS$4/$H$4</f>
        <v>0</v>
      </c>
      <c r="BT285" s="324">
        <f>'DATA (Real)'!BT281*BT$4/$H$4</f>
        <v>0</v>
      </c>
      <c r="BU285" s="324">
        <f>'DATA (Real)'!BU281*BU$4/$H$4</f>
        <v>0</v>
      </c>
      <c r="BV285" s="324">
        <f>'DATA (Real)'!BV281*BV$4/$H$4</f>
        <v>0</v>
      </c>
      <c r="BW285" s="324">
        <f>'DATA (Real)'!BW281*BW$4/$H$4</f>
        <v>0</v>
      </c>
      <c r="BX285" s="324">
        <f>'DATA (Real)'!BX281*BX$4/$H$4</f>
        <v>0</v>
      </c>
    </row>
    <row r="286" spans="1:76" hidden="1" outlineLevel="1">
      <c r="A286" s="355"/>
      <c r="B286" s="348"/>
      <c r="C286" s="348" t="str">
        <f>'DATA (Real)'!C282</f>
        <v>Inflation Reduction Act</v>
      </c>
      <c r="D286" s="348" t="str">
        <f>'DATA (Real)'!D282</f>
        <v>PTC Value ($/MWh)</v>
      </c>
      <c r="E286" s="348" t="str">
        <f>'DATA (Real)'!E282</f>
        <v>Liquid Air</v>
      </c>
      <c r="F286" s="331"/>
      <c r="G286" s="331"/>
      <c r="H286" s="314">
        <f>'DATA (Real)'!H282*H$4/$H$4</f>
        <v>0</v>
      </c>
      <c r="I286" s="324">
        <f>'DATA (Real)'!I282*I$4/$H$4</f>
        <v>0</v>
      </c>
      <c r="J286" s="324">
        <f>'DATA (Real)'!J282*J$4/$H$4</f>
        <v>0</v>
      </c>
      <c r="K286" s="324">
        <f>'DATA (Real)'!K282*K$4/$H$4</f>
        <v>0</v>
      </c>
      <c r="L286" s="324">
        <f>'DATA (Real)'!L282*L$4/$H$4</f>
        <v>0</v>
      </c>
      <c r="M286" s="324">
        <f>'DATA (Real)'!M282*M$4/$H$4</f>
        <v>0</v>
      </c>
      <c r="N286" s="324">
        <f>'DATA (Real)'!N282*N$4/$H$4</f>
        <v>0</v>
      </c>
      <c r="O286" s="324">
        <f>'DATA (Real)'!O282*O$4/$H$4</f>
        <v>0</v>
      </c>
      <c r="P286" s="324">
        <f>'DATA (Real)'!P282*P$4/$H$4</f>
        <v>0</v>
      </c>
      <c r="Q286" s="324">
        <f>'DATA (Real)'!Q282*Q$4/$H$4</f>
        <v>0</v>
      </c>
      <c r="R286" s="324">
        <f>'DATA (Real)'!R282*R$4/$H$4</f>
        <v>0</v>
      </c>
      <c r="S286" s="324">
        <f>'DATA (Real)'!S282*S$4/$H$4</f>
        <v>0</v>
      </c>
      <c r="T286" s="324">
        <f>'DATA (Real)'!T282*T$4/$H$4</f>
        <v>0</v>
      </c>
      <c r="U286" s="324">
        <f>'DATA (Real)'!U282*U$4/$H$4</f>
        <v>0</v>
      </c>
      <c r="V286" s="324">
        <f>'DATA (Real)'!V282*V$4/$H$4</f>
        <v>0</v>
      </c>
      <c r="W286" s="324">
        <f>'DATA (Real)'!W282*W$4/$H$4</f>
        <v>0</v>
      </c>
      <c r="X286" s="324">
        <f>'DATA (Real)'!X282*X$4/$H$4</f>
        <v>0</v>
      </c>
      <c r="Y286" s="324">
        <f>'DATA (Real)'!Y282*Y$4/$H$4</f>
        <v>0</v>
      </c>
      <c r="Z286" s="324">
        <f>'DATA (Real)'!Z282*Z$4/$H$4</f>
        <v>0</v>
      </c>
      <c r="AA286" s="324">
        <f>'DATA (Real)'!AA282*AA$4/$H$4</f>
        <v>0</v>
      </c>
      <c r="AB286" s="324">
        <f>'DATA (Real)'!AB282*AB$4/$H$4</f>
        <v>0</v>
      </c>
      <c r="AC286" s="324">
        <f>'DATA (Real)'!AC282*AC$4/$H$4</f>
        <v>0</v>
      </c>
      <c r="AD286" s="324">
        <f>'DATA (Real)'!AD282*AD$4/$H$4</f>
        <v>0</v>
      </c>
      <c r="AE286" s="324">
        <f>'DATA (Real)'!AE282*AE$4/$H$4</f>
        <v>0</v>
      </c>
      <c r="AF286" s="324">
        <f>'DATA (Real)'!AF282*AF$4/$H$4</f>
        <v>0</v>
      </c>
      <c r="AG286" s="324">
        <f>'DATA (Real)'!AG282*AG$4/$H$4</f>
        <v>0</v>
      </c>
      <c r="AH286" s="324">
        <f>'DATA (Real)'!AH282*AH$4/$H$4</f>
        <v>0</v>
      </c>
      <c r="AI286" s="324">
        <f>'DATA (Real)'!AI282*AI$4/$H$4</f>
        <v>0</v>
      </c>
      <c r="AJ286" s="324">
        <f>'DATA (Real)'!AJ282*AJ$4/$H$4</f>
        <v>0</v>
      </c>
      <c r="AK286" s="324">
        <f>'DATA (Real)'!AK282*AK$4/$H$4</f>
        <v>0</v>
      </c>
      <c r="AL286" s="324">
        <f>'DATA (Real)'!AL282*AL$4/$H$4</f>
        <v>0</v>
      </c>
      <c r="AM286" s="324">
        <f>'DATA (Real)'!AM282*AM$4/$H$4</f>
        <v>0</v>
      </c>
      <c r="AN286" s="324">
        <f>'DATA (Real)'!AN282*AN$4/$H$4</f>
        <v>0</v>
      </c>
      <c r="AO286" s="324">
        <f>'DATA (Real)'!AO282*AO$4/$H$4</f>
        <v>0</v>
      </c>
      <c r="AP286" s="324">
        <f>'DATA (Real)'!AP282*AP$4/$H$4</f>
        <v>0</v>
      </c>
      <c r="AQ286" s="324">
        <f>'DATA (Real)'!AQ282*AQ$4/$H$4</f>
        <v>0</v>
      </c>
      <c r="AR286" s="324">
        <f>'DATA (Real)'!AR282*AR$4/$H$4</f>
        <v>0</v>
      </c>
      <c r="AS286" s="324">
        <f>'DATA (Real)'!AS282*AS$4/$H$4</f>
        <v>0</v>
      </c>
      <c r="AT286" s="324">
        <f>'DATA (Real)'!AT282*AT$4/$H$4</f>
        <v>0</v>
      </c>
      <c r="AU286" s="324">
        <f>'DATA (Real)'!AU282*AU$4/$H$4</f>
        <v>0</v>
      </c>
      <c r="AV286" s="324">
        <f>'DATA (Real)'!AV282*AV$4/$H$4</f>
        <v>0</v>
      </c>
      <c r="AW286" s="324">
        <f>'DATA (Real)'!AW282*AW$4/$H$4</f>
        <v>0</v>
      </c>
      <c r="AX286" s="324">
        <f>'DATA (Real)'!AX282*AX$4/$H$4</f>
        <v>0</v>
      </c>
      <c r="AY286" s="324">
        <f>'DATA (Real)'!AY282*AY$4/$H$4</f>
        <v>0</v>
      </c>
      <c r="AZ286" s="324">
        <f>'DATA (Real)'!AZ282*AZ$4/$H$4</f>
        <v>0</v>
      </c>
      <c r="BA286" s="324">
        <f>'DATA (Real)'!BA282*BA$4/$H$4</f>
        <v>0</v>
      </c>
      <c r="BB286" s="324">
        <f>'DATA (Real)'!BB282*BB$4/$H$4</f>
        <v>0</v>
      </c>
      <c r="BC286" s="324">
        <f>'DATA (Real)'!BC282*BC$4/$H$4</f>
        <v>0</v>
      </c>
      <c r="BD286" s="324">
        <f>'DATA (Real)'!BD282*BD$4/$H$4</f>
        <v>0</v>
      </c>
      <c r="BE286" s="324">
        <f>'DATA (Real)'!BE282*BE$4/$H$4</f>
        <v>0</v>
      </c>
      <c r="BF286" s="324">
        <f>'DATA (Real)'!BF282*BF$4/$H$4</f>
        <v>0</v>
      </c>
      <c r="BG286" s="324">
        <f>'DATA (Real)'!BG282*BG$4/$H$4</f>
        <v>0</v>
      </c>
      <c r="BH286" s="324">
        <f>'DATA (Real)'!BH282*BH$4/$H$4</f>
        <v>0</v>
      </c>
      <c r="BI286" s="324">
        <f>'DATA (Real)'!BI282*BI$4/$H$4</f>
        <v>0</v>
      </c>
      <c r="BJ286" s="324">
        <f>'DATA (Real)'!BJ282*BJ$4/$H$4</f>
        <v>0</v>
      </c>
      <c r="BK286" s="324">
        <f>'DATA (Real)'!BK282*BK$4/$H$4</f>
        <v>0</v>
      </c>
      <c r="BL286" s="324">
        <f>'DATA (Real)'!BL282*BL$4/$H$4</f>
        <v>0</v>
      </c>
      <c r="BM286" s="324">
        <f>'DATA (Real)'!BM282*BM$4/$H$4</f>
        <v>0</v>
      </c>
      <c r="BN286" s="324">
        <f>'DATA (Real)'!BN282*BN$4/$H$4</f>
        <v>0</v>
      </c>
      <c r="BO286" s="324">
        <f>'DATA (Real)'!BO282*BO$4/$H$4</f>
        <v>0</v>
      </c>
      <c r="BP286" s="324">
        <f>'DATA (Real)'!BP282*BP$4/$H$4</f>
        <v>0</v>
      </c>
      <c r="BQ286" s="324">
        <f>'DATA (Real)'!BQ282*BQ$4/$H$4</f>
        <v>0</v>
      </c>
      <c r="BR286" s="324">
        <f>'DATA (Real)'!BR282*BR$4/$H$4</f>
        <v>0</v>
      </c>
      <c r="BS286" s="324">
        <f>'DATA (Real)'!BS282*BS$4/$H$4</f>
        <v>0</v>
      </c>
      <c r="BT286" s="324">
        <f>'DATA (Real)'!BT282*BT$4/$H$4</f>
        <v>0</v>
      </c>
      <c r="BU286" s="324">
        <f>'DATA (Real)'!BU282*BU$4/$H$4</f>
        <v>0</v>
      </c>
      <c r="BV286" s="324">
        <f>'DATA (Real)'!BV282*BV$4/$H$4</f>
        <v>0</v>
      </c>
      <c r="BW286" s="324">
        <f>'DATA (Real)'!BW282*BW$4/$H$4</f>
        <v>0</v>
      </c>
      <c r="BX286" s="324">
        <f>'DATA (Real)'!BX282*BX$4/$H$4</f>
        <v>0</v>
      </c>
    </row>
    <row r="287" spans="1:76" hidden="1" outlineLevel="1">
      <c r="A287" s="355"/>
      <c r="B287" s="348"/>
      <c r="C287" s="348" t="str">
        <f>'DATA (Real)'!C283</f>
        <v>Inflation Reduction Act</v>
      </c>
      <c r="D287" s="348" t="str">
        <f>'DATA (Real)'!D283</f>
        <v>PTC Value ($/MWh)</v>
      </c>
      <c r="E287" s="348" t="str">
        <f>'DATA (Real)'!E283</f>
        <v>Pumped Hydro (8.5 hr/ 400 MW share)</v>
      </c>
      <c r="F287" s="331"/>
      <c r="G287" s="331"/>
      <c r="H287" s="314">
        <f>'DATA (Real)'!H283*H$4/$H$4</f>
        <v>0</v>
      </c>
      <c r="I287" s="324">
        <f>'DATA (Real)'!I283*I$4/$H$4</f>
        <v>0</v>
      </c>
      <c r="J287" s="324">
        <f>'DATA (Real)'!J283*J$4/$H$4</f>
        <v>0</v>
      </c>
      <c r="K287" s="324">
        <f>'DATA (Real)'!K283*K$4/$H$4</f>
        <v>0</v>
      </c>
      <c r="L287" s="324">
        <f>'DATA (Real)'!L283*L$4/$H$4</f>
        <v>0</v>
      </c>
      <c r="M287" s="324">
        <f>'DATA (Real)'!M283*M$4/$H$4</f>
        <v>0</v>
      </c>
      <c r="N287" s="324">
        <f>'DATA (Real)'!N283*N$4/$H$4</f>
        <v>0</v>
      </c>
      <c r="O287" s="324">
        <f>'DATA (Real)'!O283*O$4/$H$4</f>
        <v>0</v>
      </c>
      <c r="P287" s="324">
        <f>'DATA (Real)'!P283*P$4/$H$4</f>
        <v>0</v>
      </c>
      <c r="Q287" s="324">
        <f>'DATA (Real)'!Q283*Q$4/$H$4</f>
        <v>0</v>
      </c>
      <c r="R287" s="324">
        <f>'DATA (Real)'!R283*R$4/$H$4</f>
        <v>0</v>
      </c>
      <c r="S287" s="324">
        <f>'DATA (Real)'!S283*S$4/$H$4</f>
        <v>0</v>
      </c>
      <c r="T287" s="324">
        <f>'DATA (Real)'!T283*T$4/$H$4</f>
        <v>0</v>
      </c>
      <c r="U287" s="324">
        <f>'DATA (Real)'!U283*U$4/$H$4</f>
        <v>0</v>
      </c>
      <c r="V287" s="324">
        <f>'DATA (Real)'!V283*V$4/$H$4</f>
        <v>0</v>
      </c>
      <c r="W287" s="324">
        <f>'DATA (Real)'!W283*W$4/$H$4</f>
        <v>0</v>
      </c>
      <c r="X287" s="324">
        <f>'DATA (Real)'!X283*X$4/$H$4</f>
        <v>0</v>
      </c>
      <c r="Y287" s="324">
        <f>'DATA (Real)'!Y283*Y$4/$H$4</f>
        <v>0</v>
      </c>
      <c r="Z287" s="324">
        <f>'DATA (Real)'!Z283*Z$4/$H$4</f>
        <v>0</v>
      </c>
      <c r="AA287" s="324">
        <f>'DATA (Real)'!AA283*AA$4/$H$4</f>
        <v>0</v>
      </c>
      <c r="AB287" s="324">
        <f>'DATA (Real)'!AB283*AB$4/$H$4</f>
        <v>0</v>
      </c>
      <c r="AC287" s="324">
        <f>'DATA (Real)'!AC283*AC$4/$H$4</f>
        <v>0</v>
      </c>
      <c r="AD287" s="324">
        <f>'DATA (Real)'!AD283*AD$4/$H$4</f>
        <v>0</v>
      </c>
      <c r="AE287" s="324">
        <f>'DATA (Real)'!AE283*AE$4/$H$4</f>
        <v>0</v>
      </c>
      <c r="AF287" s="324">
        <f>'DATA (Real)'!AF283*AF$4/$H$4</f>
        <v>0</v>
      </c>
      <c r="AG287" s="324">
        <f>'DATA (Real)'!AG283*AG$4/$H$4</f>
        <v>0</v>
      </c>
      <c r="AH287" s="324">
        <f>'DATA (Real)'!AH283*AH$4/$H$4</f>
        <v>0</v>
      </c>
      <c r="AI287" s="324">
        <f>'DATA (Real)'!AI283*AI$4/$H$4</f>
        <v>0</v>
      </c>
      <c r="AJ287" s="324">
        <f>'DATA (Real)'!AJ283*AJ$4/$H$4</f>
        <v>0</v>
      </c>
      <c r="AK287" s="324">
        <f>'DATA (Real)'!AK283*AK$4/$H$4</f>
        <v>0</v>
      </c>
      <c r="AL287" s="324">
        <f>'DATA (Real)'!AL283*AL$4/$H$4</f>
        <v>0</v>
      </c>
      <c r="AM287" s="324">
        <f>'DATA (Real)'!AM283*AM$4/$H$4</f>
        <v>0</v>
      </c>
      <c r="AN287" s="324">
        <f>'DATA (Real)'!AN283*AN$4/$H$4</f>
        <v>0</v>
      </c>
      <c r="AO287" s="324">
        <f>'DATA (Real)'!AO283*AO$4/$H$4</f>
        <v>0</v>
      </c>
      <c r="AP287" s="324">
        <f>'DATA (Real)'!AP283*AP$4/$H$4</f>
        <v>0</v>
      </c>
      <c r="AQ287" s="324">
        <f>'DATA (Real)'!AQ283*AQ$4/$H$4</f>
        <v>0</v>
      </c>
      <c r="AR287" s="324">
        <f>'DATA (Real)'!AR283*AR$4/$H$4</f>
        <v>0</v>
      </c>
      <c r="AS287" s="324">
        <f>'DATA (Real)'!AS283*AS$4/$H$4</f>
        <v>0</v>
      </c>
      <c r="AT287" s="324">
        <f>'DATA (Real)'!AT283*AT$4/$H$4</f>
        <v>0</v>
      </c>
      <c r="AU287" s="324">
        <f>'DATA (Real)'!AU283*AU$4/$H$4</f>
        <v>0</v>
      </c>
      <c r="AV287" s="324">
        <f>'DATA (Real)'!AV283*AV$4/$H$4</f>
        <v>0</v>
      </c>
      <c r="AW287" s="324">
        <f>'DATA (Real)'!AW283*AW$4/$H$4</f>
        <v>0</v>
      </c>
      <c r="AX287" s="324">
        <f>'DATA (Real)'!AX283*AX$4/$H$4</f>
        <v>0</v>
      </c>
      <c r="AY287" s="324">
        <f>'DATA (Real)'!AY283*AY$4/$H$4</f>
        <v>0</v>
      </c>
      <c r="AZ287" s="324">
        <f>'DATA (Real)'!AZ283*AZ$4/$H$4</f>
        <v>0</v>
      </c>
      <c r="BA287" s="324">
        <f>'DATA (Real)'!BA283*BA$4/$H$4</f>
        <v>0</v>
      </c>
      <c r="BB287" s="324">
        <f>'DATA (Real)'!BB283*BB$4/$H$4</f>
        <v>0</v>
      </c>
      <c r="BC287" s="324">
        <f>'DATA (Real)'!BC283*BC$4/$H$4</f>
        <v>0</v>
      </c>
      <c r="BD287" s="324">
        <f>'DATA (Real)'!BD283*BD$4/$H$4</f>
        <v>0</v>
      </c>
      <c r="BE287" s="324">
        <f>'DATA (Real)'!BE283*BE$4/$H$4</f>
        <v>0</v>
      </c>
      <c r="BF287" s="324">
        <f>'DATA (Real)'!BF283*BF$4/$H$4</f>
        <v>0</v>
      </c>
      <c r="BG287" s="324">
        <f>'DATA (Real)'!BG283*BG$4/$H$4</f>
        <v>0</v>
      </c>
      <c r="BH287" s="324">
        <f>'DATA (Real)'!BH283*BH$4/$H$4</f>
        <v>0</v>
      </c>
      <c r="BI287" s="324">
        <f>'DATA (Real)'!BI283*BI$4/$H$4</f>
        <v>0</v>
      </c>
      <c r="BJ287" s="324">
        <f>'DATA (Real)'!BJ283*BJ$4/$H$4</f>
        <v>0</v>
      </c>
      <c r="BK287" s="324">
        <f>'DATA (Real)'!BK283*BK$4/$H$4</f>
        <v>0</v>
      </c>
      <c r="BL287" s="324">
        <f>'DATA (Real)'!BL283*BL$4/$H$4</f>
        <v>0</v>
      </c>
      <c r="BM287" s="324">
        <f>'DATA (Real)'!BM283*BM$4/$H$4</f>
        <v>0</v>
      </c>
      <c r="BN287" s="324">
        <f>'DATA (Real)'!BN283*BN$4/$H$4</f>
        <v>0</v>
      </c>
      <c r="BO287" s="324">
        <f>'DATA (Real)'!BO283*BO$4/$H$4</f>
        <v>0</v>
      </c>
      <c r="BP287" s="324">
        <f>'DATA (Real)'!BP283*BP$4/$H$4</f>
        <v>0</v>
      </c>
      <c r="BQ287" s="324">
        <f>'DATA (Real)'!BQ283*BQ$4/$H$4</f>
        <v>0</v>
      </c>
      <c r="BR287" s="324">
        <f>'DATA (Real)'!BR283*BR$4/$H$4</f>
        <v>0</v>
      </c>
      <c r="BS287" s="324">
        <f>'DATA (Real)'!BS283*BS$4/$H$4</f>
        <v>0</v>
      </c>
      <c r="BT287" s="324">
        <f>'DATA (Real)'!BT283*BT$4/$H$4</f>
        <v>0</v>
      </c>
      <c r="BU287" s="324">
        <f>'DATA (Real)'!BU283*BU$4/$H$4</f>
        <v>0</v>
      </c>
      <c r="BV287" s="324">
        <f>'DATA (Real)'!BV283*BV$4/$H$4</f>
        <v>0</v>
      </c>
      <c r="BW287" s="324">
        <f>'DATA (Real)'!BW283*BW$4/$H$4</f>
        <v>0</v>
      </c>
      <c r="BX287" s="324">
        <f>'DATA (Real)'!BX283*BX$4/$H$4</f>
        <v>0</v>
      </c>
    </row>
    <row r="288" spans="1:76" hidden="1" outlineLevel="1">
      <c r="A288" s="355"/>
      <c r="B288" s="348"/>
      <c r="C288" s="348" t="str">
        <f>'DATA (Real)'!C284</f>
        <v>Inflation Reduction Act</v>
      </c>
      <c r="D288" s="348" t="str">
        <f>'DATA (Real)'!D284</f>
        <v>PTC Value ($/MWh)</v>
      </c>
      <c r="E288" s="348" t="str">
        <f>'DATA (Real)'!E284</f>
        <v>Pumped Hydro (16 hr/ 100 MW)</v>
      </c>
      <c r="F288" s="331"/>
      <c r="G288" s="331"/>
      <c r="H288" s="314">
        <f>'DATA (Real)'!H284*H$4/$H$4</f>
        <v>0</v>
      </c>
      <c r="I288" s="324">
        <f>'DATA (Real)'!I284*I$4/$H$4</f>
        <v>0</v>
      </c>
      <c r="J288" s="324">
        <f>'DATA (Real)'!J284*J$4/$H$4</f>
        <v>0</v>
      </c>
      <c r="K288" s="324">
        <f>'DATA (Real)'!K284*K$4/$H$4</f>
        <v>0</v>
      </c>
      <c r="L288" s="324">
        <f>'DATA (Real)'!L284*L$4/$H$4</f>
        <v>0</v>
      </c>
      <c r="M288" s="324">
        <f>'DATA (Real)'!M284*M$4/$H$4</f>
        <v>0</v>
      </c>
      <c r="N288" s="324">
        <f>'DATA (Real)'!N284*N$4/$H$4</f>
        <v>0</v>
      </c>
      <c r="O288" s="324">
        <f>'DATA (Real)'!O284*O$4/$H$4</f>
        <v>0</v>
      </c>
      <c r="P288" s="324">
        <f>'DATA (Real)'!P284*P$4/$H$4</f>
        <v>0</v>
      </c>
      <c r="Q288" s="324">
        <f>'DATA (Real)'!Q284*Q$4/$H$4</f>
        <v>0</v>
      </c>
      <c r="R288" s="324">
        <f>'DATA (Real)'!R284*R$4/$H$4</f>
        <v>0</v>
      </c>
      <c r="S288" s="324">
        <f>'DATA (Real)'!S284*S$4/$H$4</f>
        <v>0</v>
      </c>
      <c r="T288" s="324">
        <f>'DATA (Real)'!T284*T$4/$H$4</f>
        <v>0</v>
      </c>
      <c r="U288" s="324">
        <f>'DATA (Real)'!U284*U$4/$H$4</f>
        <v>0</v>
      </c>
      <c r="V288" s="324">
        <f>'DATA (Real)'!V284*V$4/$H$4</f>
        <v>0</v>
      </c>
      <c r="W288" s="324">
        <f>'DATA (Real)'!W284*W$4/$H$4</f>
        <v>0</v>
      </c>
      <c r="X288" s="324">
        <f>'DATA (Real)'!X284*X$4/$H$4</f>
        <v>0</v>
      </c>
      <c r="Y288" s="324">
        <f>'DATA (Real)'!Y284*Y$4/$H$4</f>
        <v>0</v>
      </c>
      <c r="Z288" s="324">
        <f>'DATA (Real)'!Z284*Z$4/$H$4</f>
        <v>0</v>
      </c>
      <c r="AA288" s="324">
        <f>'DATA (Real)'!AA284*AA$4/$H$4</f>
        <v>0</v>
      </c>
      <c r="AB288" s="324">
        <f>'DATA (Real)'!AB284*AB$4/$H$4</f>
        <v>0</v>
      </c>
      <c r="AC288" s="324">
        <f>'DATA (Real)'!AC284*AC$4/$H$4</f>
        <v>0</v>
      </c>
      <c r="AD288" s="324">
        <f>'DATA (Real)'!AD284*AD$4/$H$4</f>
        <v>0</v>
      </c>
      <c r="AE288" s="324">
        <f>'DATA (Real)'!AE284*AE$4/$H$4</f>
        <v>0</v>
      </c>
      <c r="AF288" s="324">
        <f>'DATA (Real)'!AF284*AF$4/$H$4</f>
        <v>0</v>
      </c>
      <c r="AG288" s="324">
        <f>'DATA (Real)'!AG284*AG$4/$H$4</f>
        <v>0</v>
      </c>
      <c r="AH288" s="324">
        <f>'DATA (Real)'!AH284*AH$4/$H$4</f>
        <v>0</v>
      </c>
      <c r="AI288" s="324">
        <f>'DATA (Real)'!AI284*AI$4/$H$4</f>
        <v>0</v>
      </c>
      <c r="AJ288" s="324">
        <f>'DATA (Real)'!AJ284*AJ$4/$H$4</f>
        <v>0</v>
      </c>
      <c r="AK288" s="324">
        <f>'DATA (Real)'!AK284*AK$4/$H$4</f>
        <v>0</v>
      </c>
      <c r="AL288" s="324">
        <f>'DATA (Real)'!AL284*AL$4/$H$4</f>
        <v>0</v>
      </c>
      <c r="AM288" s="324">
        <f>'DATA (Real)'!AM284*AM$4/$H$4</f>
        <v>0</v>
      </c>
      <c r="AN288" s="324">
        <f>'DATA (Real)'!AN284*AN$4/$H$4</f>
        <v>0</v>
      </c>
      <c r="AO288" s="324">
        <f>'DATA (Real)'!AO284*AO$4/$H$4</f>
        <v>0</v>
      </c>
      <c r="AP288" s="324">
        <f>'DATA (Real)'!AP284*AP$4/$H$4</f>
        <v>0</v>
      </c>
      <c r="AQ288" s="324">
        <f>'DATA (Real)'!AQ284*AQ$4/$H$4</f>
        <v>0</v>
      </c>
      <c r="AR288" s="324">
        <f>'DATA (Real)'!AR284*AR$4/$H$4</f>
        <v>0</v>
      </c>
      <c r="AS288" s="324">
        <f>'DATA (Real)'!AS284*AS$4/$H$4</f>
        <v>0</v>
      </c>
      <c r="AT288" s="324">
        <f>'DATA (Real)'!AT284*AT$4/$H$4</f>
        <v>0</v>
      </c>
      <c r="AU288" s="324">
        <f>'DATA (Real)'!AU284*AU$4/$H$4</f>
        <v>0</v>
      </c>
      <c r="AV288" s="324">
        <f>'DATA (Real)'!AV284*AV$4/$H$4</f>
        <v>0</v>
      </c>
      <c r="AW288" s="324">
        <f>'DATA (Real)'!AW284*AW$4/$H$4</f>
        <v>0</v>
      </c>
      <c r="AX288" s="324">
        <f>'DATA (Real)'!AX284*AX$4/$H$4</f>
        <v>0</v>
      </c>
      <c r="AY288" s="324">
        <f>'DATA (Real)'!AY284*AY$4/$H$4</f>
        <v>0</v>
      </c>
      <c r="AZ288" s="324">
        <f>'DATA (Real)'!AZ284*AZ$4/$H$4</f>
        <v>0</v>
      </c>
      <c r="BA288" s="324">
        <f>'DATA (Real)'!BA284*BA$4/$H$4</f>
        <v>0</v>
      </c>
      <c r="BB288" s="324">
        <f>'DATA (Real)'!BB284*BB$4/$H$4</f>
        <v>0</v>
      </c>
      <c r="BC288" s="324">
        <f>'DATA (Real)'!BC284*BC$4/$H$4</f>
        <v>0</v>
      </c>
      <c r="BD288" s="324">
        <f>'DATA (Real)'!BD284*BD$4/$H$4</f>
        <v>0</v>
      </c>
      <c r="BE288" s="324">
        <f>'DATA (Real)'!BE284*BE$4/$H$4</f>
        <v>0</v>
      </c>
      <c r="BF288" s="324">
        <f>'DATA (Real)'!BF284*BF$4/$H$4</f>
        <v>0</v>
      </c>
      <c r="BG288" s="324">
        <f>'DATA (Real)'!BG284*BG$4/$H$4</f>
        <v>0</v>
      </c>
      <c r="BH288" s="324">
        <f>'DATA (Real)'!BH284*BH$4/$H$4</f>
        <v>0</v>
      </c>
      <c r="BI288" s="324">
        <f>'DATA (Real)'!BI284*BI$4/$H$4</f>
        <v>0</v>
      </c>
      <c r="BJ288" s="324">
        <f>'DATA (Real)'!BJ284*BJ$4/$H$4</f>
        <v>0</v>
      </c>
      <c r="BK288" s="324">
        <f>'DATA (Real)'!BK284*BK$4/$H$4</f>
        <v>0</v>
      </c>
      <c r="BL288" s="324">
        <f>'DATA (Real)'!BL284*BL$4/$H$4</f>
        <v>0</v>
      </c>
      <c r="BM288" s="324">
        <f>'DATA (Real)'!BM284*BM$4/$H$4</f>
        <v>0</v>
      </c>
      <c r="BN288" s="324">
        <f>'DATA (Real)'!BN284*BN$4/$H$4</f>
        <v>0</v>
      </c>
      <c r="BO288" s="324">
        <f>'DATA (Real)'!BO284*BO$4/$H$4</f>
        <v>0</v>
      </c>
      <c r="BP288" s="324">
        <f>'DATA (Real)'!BP284*BP$4/$H$4</f>
        <v>0</v>
      </c>
      <c r="BQ288" s="324">
        <f>'DATA (Real)'!BQ284*BQ$4/$H$4</f>
        <v>0</v>
      </c>
      <c r="BR288" s="324">
        <f>'DATA (Real)'!BR284*BR$4/$H$4</f>
        <v>0</v>
      </c>
      <c r="BS288" s="324">
        <f>'DATA (Real)'!BS284*BS$4/$H$4</f>
        <v>0</v>
      </c>
      <c r="BT288" s="324">
        <f>'DATA (Real)'!BT284*BT$4/$H$4</f>
        <v>0</v>
      </c>
      <c r="BU288" s="324">
        <f>'DATA (Real)'!BU284*BU$4/$H$4</f>
        <v>0</v>
      </c>
      <c r="BV288" s="324">
        <f>'DATA (Real)'!BV284*BV$4/$H$4</f>
        <v>0</v>
      </c>
      <c r="BW288" s="324">
        <f>'DATA (Real)'!BW284*BW$4/$H$4</f>
        <v>0</v>
      </c>
      <c r="BX288" s="324">
        <f>'DATA (Real)'!BX284*BX$4/$H$4</f>
        <v>0</v>
      </c>
    </row>
    <row r="289" spans="1:76" hidden="1" outlineLevel="1">
      <c r="A289" s="355"/>
      <c r="B289" s="348"/>
      <c r="C289" s="348" t="str">
        <f>'DATA (Real)'!C285</f>
        <v>Inflation Reduction Act</v>
      </c>
      <c r="D289" s="348" t="str">
        <f>'DATA (Real)'!D285</f>
        <v>PTC Value ($/MWh)</v>
      </c>
      <c r="E289" s="348" t="str">
        <f>'DATA (Real)'!E285</f>
        <v>Pumped Hyrdo (24 hr/ 100 MW)</v>
      </c>
      <c r="F289" s="331"/>
      <c r="G289" s="331"/>
      <c r="H289" s="314">
        <f>'DATA (Real)'!H285*H$4/$H$4</f>
        <v>0</v>
      </c>
      <c r="I289" s="324">
        <f>'DATA (Real)'!I285*I$4/$H$4</f>
        <v>0</v>
      </c>
      <c r="J289" s="324">
        <f>'DATA (Real)'!J285*J$4/$H$4</f>
        <v>0</v>
      </c>
      <c r="K289" s="324">
        <f>'DATA (Real)'!K285*K$4/$H$4</f>
        <v>0</v>
      </c>
      <c r="L289" s="324">
        <f>'DATA (Real)'!L285*L$4/$H$4</f>
        <v>0</v>
      </c>
      <c r="M289" s="324">
        <f>'DATA (Real)'!M285*M$4/$H$4</f>
        <v>0</v>
      </c>
      <c r="N289" s="324">
        <f>'DATA (Real)'!N285*N$4/$H$4</f>
        <v>0</v>
      </c>
      <c r="O289" s="324">
        <f>'DATA (Real)'!O285*O$4/$H$4</f>
        <v>0</v>
      </c>
      <c r="P289" s="324">
        <f>'DATA (Real)'!P285*P$4/$H$4</f>
        <v>0</v>
      </c>
      <c r="Q289" s="324">
        <f>'DATA (Real)'!Q285*Q$4/$H$4</f>
        <v>0</v>
      </c>
      <c r="R289" s="324">
        <f>'DATA (Real)'!R285*R$4/$H$4</f>
        <v>0</v>
      </c>
      <c r="S289" s="324">
        <f>'DATA (Real)'!S285*S$4/$H$4</f>
        <v>0</v>
      </c>
      <c r="T289" s="324">
        <f>'DATA (Real)'!T285*T$4/$H$4</f>
        <v>0</v>
      </c>
      <c r="U289" s="324">
        <f>'DATA (Real)'!U285*U$4/$H$4</f>
        <v>0</v>
      </c>
      <c r="V289" s="324">
        <f>'DATA (Real)'!V285*V$4/$H$4</f>
        <v>0</v>
      </c>
      <c r="W289" s="324">
        <f>'DATA (Real)'!W285*W$4/$H$4</f>
        <v>0</v>
      </c>
      <c r="X289" s="324">
        <f>'DATA (Real)'!X285*X$4/$H$4</f>
        <v>0</v>
      </c>
      <c r="Y289" s="324">
        <f>'DATA (Real)'!Y285*Y$4/$H$4</f>
        <v>0</v>
      </c>
      <c r="Z289" s="324">
        <f>'DATA (Real)'!Z285*Z$4/$H$4</f>
        <v>0</v>
      </c>
      <c r="AA289" s="324">
        <f>'DATA (Real)'!AA285*AA$4/$H$4</f>
        <v>0</v>
      </c>
      <c r="AB289" s="324">
        <f>'DATA (Real)'!AB285*AB$4/$H$4</f>
        <v>0</v>
      </c>
      <c r="AC289" s="324">
        <f>'DATA (Real)'!AC285*AC$4/$H$4</f>
        <v>0</v>
      </c>
      <c r="AD289" s="324">
        <f>'DATA (Real)'!AD285*AD$4/$H$4</f>
        <v>0</v>
      </c>
      <c r="AE289" s="324">
        <f>'DATA (Real)'!AE285*AE$4/$H$4</f>
        <v>0</v>
      </c>
      <c r="AF289" s="324">
        <f>'DATA (Real)'!AF285*AF$4/$H$4</f>
        <v>0</v>
      </c>
      <c r="AG289" s="324">
        <f>'DATA (Real)'!AG285*AG$4/$H$4</f>
        <v>0</v>
      </c>
      <c r="AH289" s="324">
        <f>'DATA (Real)'!AH285*AH$4/$H$4</f>
        <v>0</v>
      </c>
      <c r="AI289" s="324">
        <f>'DATA (Real)'!AI285*AI$4/$H$4</f>
        <v>0</v>
      </c>
      <c r="AJ289" s="324">
        <f>'DATA (Real)'!AJ285*AJ$4/$H$4</f>
        <v>0</v>
      </c>
      <c r="AK289" s="324">
        <f>'DATA (Real)'!AK285*AK$4/$H$4</f>
        <v>0</v>
      </c>
      <c r="AL289" s="324">
        <f>'DATA (Real)'!AL285*AL$4/$H$4</f>
        <v>0</v>
      </c>
      <c r="AM289" s="324">
        <f>'DATA (Real)'!AM285*AM$4/$H$4</f>
        <v>0</v>
      </c>
      <c r="AN289" s="324">
        <f>'DATA (Real)'!AN285*AN$4/$H$4</f>
        <v>0</v>
      </c>
      <c r="AO289" s="324">
        <f>'DATA (Real)'!AO285*AO$4/$H$4</f>
        <v>0</v>
      </c>
      <c r="AP289" s="324">
        <f>'DATA (Real)'!AP285*AP$4/$H$4</f>
        <v>0</v>
      </c>
      <c r="AQ289" s="324">
        <f>'DATA (Real)'!AQ285*AQ$4/$H$4</f>
        <v>0</v>
      </c>
      <c r="AR289" s="324">
        <f>'DATA (Real)'!AR285*AR$4/$H$4</f>
        <v>0</v>
      </c>
      <c r="AS289" s="324">
        <f>'DATA (Real)'!AS285*AS$4/$H$4</f>
        <v>0</v>
      </c>
      <c r="AT289" s="324">
        <f>'DATA (Real)'!AT285*AT$4/$H$4</f>
        <v>0</v>
      </c>
      <c r="AU289" s="324">
        <f>'DATA (Real)'!AU285*AU$4/$H$4</f>
        <v>0</v>
      </c>
      <c r="AV289" s="324">
        <f>'DATA (Real)'!AV285*AV$4/$H$4</f>
        <v>0</v>
      </c>
      <c r="AW289" s="324">
        <f>'DATA (Real)'!AW285*AW$4/$H$4</f>
        <v>0</v>
      </c>
      <c r="AX289" s="324">
        <f>'DATA (Real)'!AX285*AX$4/$H$4</f>
        <v>0</v>
      </c>
      <c r="AY289" s="324">
        <f>'DATA (Real)'!AY285*AY$4/$H$4</f>
        <v>0</v>
      </c>
      <c r="AZ289" s="324">
        <f>'DATA (Real)'!AZ285*AZ$4/$H$4</f>
        <v>0</v>
      </c>
      <c r="BA289" s="324">
        <f>'DATA (Real)'!BA285*BA$4/$H$4</f>
        <v>0</v>
      </c>
      <c r="BB289" s="324">
        <f>'DATA (Real)'!BB285*BB$4/$H$4</f>
        <v>0</v>
      </c>
      <c r="BC289" s="324">
        <f>'DATA (Real)'!BC285*BC$4/$H$4</f>
        <v>0</v>
      </c>
      <c r="BD289" s="324">
        <f>'DATA (Real)'!BD285*BD$4/$H$4</f>
        <v>0</v>
      </c>
      <c r="BE289" s="324">
        <f>'DATA (Real)'!BE285*BE$4/$H$4</f>
        <v>0</v>
      </c>
      <c r="BF289" s="324">
        <f>'DATA (Real)'!BF285*BF$4/$H$4</f>
        <v>0</v>
      </c>
      <c r="BG289" s="324">
        <f>'DATA (Real)'!BG285*BG$4/$H$4</f>
        <v>0</v>
      </c>
      <c r="BH289" s="324">
        <f>'DATA (Real)'!BH285*BH$4/$H$4</f>
        <v>0</v>
      </c>
      <c r="BI289" s="324">
        <f>'DATA (Real)'!BI285*BI$4/$H$4</f>
        <v>0</v>
      </c>
      <c r="BJ289" s="324">
        <f>'DATA (Real)'!BJ285*BJ$4/$H$4</f>
        <v>0</v>
      </c>
      <c r="BK289" s="324">
        <f>'DATA (Real)'!BK285*BK$4/$H$4</f>
        <v>0</v>
      </c>
      <c r="BL289" s="324">
        <f>'DATA (Real)'!BL285*BL$4/$H$4</f>
        <v>0</v>
      </c>
      <c r="BM289" s="324">
        <f>'DATA (Real)'!BM285*BM$4/$H$4</f>
        <v>0</v>
      </c>
      <c r="BN289" s="324">
        <f>'DATA (Real)'!BN285*BN$4/$H$4</f>
        <v>0</v>
      </c>
      <c r="BO289" s="324">
        <f>'DATA (Real)'!BO285*BO$4/$H$4</f>
        <v>0</v>
      </c>
      <c r="BP289" s="324">
        <f>'DATA (Real)'!BP285*BP$4/$H$4</f>
        <v>0</v>
      </c>
      <c r="BQ289" s="324">
        <f>'DATA (Real)'!BQ285*BQ$4/$H$4</f>
        <v>0</v>
      </c>
      <c r="BR289" s="324">
        <f>'DATA (Real)'!BR285*BR$4/$H$4</f>
        <v>0</v>
      </c>
      <c r="BS289" s="324">
        <f>'DATA (Real)'!BS285*BS$4/$H$4</f>
        <v>0</v>
      </c>
      <c r="BT289" s="324">
        <f>'DATA (Real)'!BT285*BT$4/$H$4</f>
        <v>0</v>
      </c>
      <c r="BU289" s="324">
        <f>'DATA (Real)'!BU285*BU$4/$H$4</f>
        <v>0</v>
      </c>
      <c r="BV289" s="324">
        <f>'DATA (Real)'!BV285*BV$4/$H$4</f>
        <v>0</v>
      </c>
      <c r="BW289" s="324">
        <f>'DATA (Real)'!BW285*BW$4/$H$4</f>
        <v>0</v>
      </c>
      <c r="BX289" s="324">
        <f>'DATA (Real)'!BX285*BX$4/$H$4</f>
        <v>0</v>
      </c>
    </row>
    <row r="290" spans="1:76" hidden="1" outlineLevel="1">
      <c r="A290" s="355"/>
      <c r="B290" s="349" t="s">
        <v>230</v>
      </c>
      <c r="C290" s="349" t="str">
        <f>'DATA (Real)'!C286</f>
        <v>Inflation Reduction Act</v>
      </c>
      <c r="D290" s="349" t="str">
        <f>'DATA (Real)'!D286</f>
        <v>PTC Value ($/MWh)</v>
      </c>
      <c r="E290" s="349" t="str">
        <f>'DATA (Real)'!E286</f>
        <v>Wood Biomass</v>
      </c>
      <c r="F290" s="331"/>
      <c r="G290" s="331"/>
      <c r="H290" s="314">
        <f>'DATA (Real)'!H286*H$4/$H$4</f>
        <v>26</v>
      </c>
      <c r="I290" s="324">
        <f>'DATA (Real)'!I286*I$4/$H$4</f>
        <v>26.824720000000003</v>
      </c>
      <c r="J290" s="324">
        <f>'DATA (Real)'!J286*J$4/$H$4</f>
        <v>27.455715653166664</v>
      </c>
      <c r="K290" s="324">
        <f>'DATA (Real)'!K286*K$4/$H$4</f>
        <v>28.068893302754049</v>
      </c>
      <c r="L290" s="324">
        <f>'DATA (Real)'!L286*L$4/$H$4</f>
        <v>28.695765253182227</v>
      </c>
      <c r="M290" s="324">
        <f>'DATA (Real)'!M286*M$4/$H$4</f>
        <v>29.336637343836628</v>
      </c>
      <c r="N290" s="324">
        <f>'DATA (Real)'!N286*N$4/$H$4</f>
        <v>29.982043365401037</v>
      </c>
      <c r="O290" s="324">
        <f>'DATA (Real)'!O286*O$4/$H$4</f>
        <v>30.641648319439856</v>
      </c>
      <c r="P290" s="324">
        <f>'DATA (Real)'!P286*P$4/$H$4</f>
        <v>31.315764582467537</v>
      </c>
      <c r="Q290" s="324">
        <f>'DATA (Real)'!Q286*Q$4/$H$4</f>
        <v>32.004711403281817</v>
      </c>
      <c r="R290" s="324">
        <f>'DATA (Real)'!R286*R$4/$H$4</f>
        <v>32.708815054154023</v>
      </c>
      <c r="S290" s="324">
        <f>'DATA (Real)'!S286*S$4/$H$4</f>
        <v>33.428408985345413</v>
      </c>
      <c r="T290" s="324">
        <f>'DATA (Real)'!T286*T$4/$H$4</f>
        <v>34.163833983023011</v>
      </c>
      <c r="U290" s="324">
        <f>'DATA (Real)'!U286*U$4/$H$4</f>
        <v>34.915438330649515</v>
      </c>
      <c r="V290" s="324">
        <f>'DATA (Real)'!V286*V$4/$H$4</f>
        <v>35.683577973923803</v>
      </c>
      <c r="W290" s="324">
        <f>'DATA (Real)'!W286*W$4/$H$4</f>
        <v>36.468616689350128</v>
      </c>
      <c r="X290" s="324">
        <f>'DATA (Real)'!X286*X$4/$H$4</f>
        <v>37.270926256515828</v>
      </c>
      <c r="Y290" s="324">
        <f>'DATA (Real)'!Y286*Y$4/$H$4</f>
        <v>38.090886634159183</v>
      </c>
      <c r="Z290" s="324">
        <f>'DATA (Real)'!Z286*Z$4/$H$4</f>
        <v>38.928886140110684</v>
      </c>
      <c r="AA290" s="324">
        <f>'DATA (Real)'!AA286*AA$4/$H$4</f>
        <v>39.785321635193114</v>
      </c>
      <c r="AB290" s="324">
        <f>'DATA (Real)'!AB286*AB$4/$H$4</f>
        <v>40.660598711167367</v>
      </c>
      <c r="AC290" s="324">
        <f>'DATA (Real)'!AC286*AC$4/$H$4</f>
        <v>41.55513188281305</v>
      </c>
      <c r="AD290" s="324">
        <f>'DATA (Real)'!AD286*AD$4/$H$4</f>
        <v>42.469344784234934</v>
      </c>
      <c r="AE290" s="324">
        <f>'DATA (Real)'!AE286*AE$4/$H$4</f>
        <v>43.403670369488104</v>
      </c>
      <c r="AF290" s="324">
        <f>'DATA (Real)'!AF286*AF$4/$H$4</f>
        <v>44.358551117616848</v>
      </c>
      <c r="AG290" s="324">
        <f>'DATA (Real)'!AG286*AG$4/$H$4</f>
        <v>45.334439242204418</v>
      </c>
      <c r="AH290" s="324">
        <f>'DATA (Real)'!AH286*AH$4/$H$4</f>
        <v>46.331796905532912</v>
      </c>
      <c r="AI290" s="324">
        <f>'DATA (Real)'!AI286*AI$4/$H$4</f>
        <v>47.351096437454636</v>
      </c>
      <c r="AJ290" s="324">
        <f>'DATA (Real)'!AJ286*AJ$4/$H$4</f>
        <v>48.392820559078636</v>
      </c>
      <c r="AK290" s="324">
        <f>'DATA (Real)'!AK286*AK$4/$H$4</f>
        <v>49.457462611378361</v>
      </c>
      <c r="AL290" s="324">
        <f>'DATA (Real)'!AL286*AL$4/$H$4</f>
        <v>50.545526788828695</v>
      </c>
      <c r="AM290" s="324">
        <f>'DATA (Real)'!AM286*AM$4/$H$4</f>
        <v>51.657528378182924</v>
      </c>
      <c r="AN290" s="324">
        <f>'DATA (Real)'!AN286*AN$4/$H$4</f>
        <v>52.793994002502949</v>
      </c>
      <c r="AO290" s="324">
        <f>'DATA (Real)'!AO286*AO$4/$H$4</f>
        <v>53.955461870558018</v>
      </c>
      <c r="AP290" s="324">
        <f>'DATA (Real)'!AP286*AP$4/$H$4</f>
        <v>55.142482031710287</v>
      </c>
      <c r="AQ290" s="324">
        <f>'DATA (Real)'!AQ286*AQ$4/$H$4</f>
        <v>56.355616636407916</v>
      </c>
      <c r="AR290" s="324">
        <f>'DATA (Real)'!AR286*AR$4/$H$4</f>
        <v>57.595440202408888</v>
      </c>
      <c r="AS290" s="324">
        <f>'DATA (Real)'!AS286*AS$4/$H$4</f>
        <v>58.862539886861882</v>
      </c>
      <c r="AT290" s="324">
        <f>'DATA (Real)'!AT286*AT$4/$H$4</f>
        <v>60.157515764372846</v>
      </c>
      <c r="AU290" s="324">
        <f>'DATA (Real)'!AU286*AU$4/$H$4</f>
        <v>61.480981111189045</v>
      </c>
      <c r="AV290" s="324">
        <f>'DATA (Real)'!AV286*AV$4/$H$4</f>
        <v>62.833562695635202</v>
      </c>
      <c r="AW290" s="324">
        <f>'DATA (Real)'!AW286*AW$4/$H$4</f>
        <v>64.215901074939183</v>
      </c>
      <c r="AX290" s="324">
        <f>'DATA (Real)'!AX286*AX$4/$H$4</f>
        <v>65.62865089858785</v>
      </c>
      <c r="AY290" s="324">
        <f>'DATA (Real)'!AY286*AY$4/$H$4</f>
        <v>67.072481218356785</v>
      </c>
      <c r="AZ290" s="324">
        <f>'DATA (Real)'!AZ286*AZ$4/$H$4</f>
        <v>68.548075805160636</v>
      </c>
      <c r="BA290" s="324">
        <f>'DATA (Real)'!BA286*BA$4/$H$4</f>
        <v>70.05613347287418</v>
      </c>
      <c r="BB290" s="324">
        <f>'DATA (Real)'!BB286*BB$4/$H$4</f>
        <v>71.597368409277408</v>
      </c>
      <c r="BC290" s="324">
        <f>'DATA (Real)'!BC286*BC$4/$H$4</f>
        <v>73.172510514281512</v>
      </c>
      <c r="BD290" s="324">
        <f>'DATA (Real)'!BD286*BD$4/$H$4</f>
        <v>74.782305745595707</v>
      </c>
      <c r="BE290" s="324">
        <f>'DATA (Real)'!BE286*BE$4/$H$4</f>
        <v>76.4275164719988</v>
      </c>
      <c r="BF290" s="324">
        <f>'DATA (Real)'!BF286*BF$4/$H$4</f>
        <v>78.108921834382784</v>
      </c>
      <c r="BG290" s="324">
        <f>'DATA (Real)'!BG286*BG$4/$H$4</f>
        <v>79.827318114739185</v>
      </c>
      <c r="BH290" s="324">
        <f>'DATA (Real)'!BH286*BH$4/$H$4</f>
        <v>81.583519113263463</v>
      </c>
      <c r="BI290" s="324">
        <f>'DATA (Real)'!BI286*BI$4/$H$4</f>
        <v>83.378356533755252</v>
      </c>
      <c r="BJ290" s="324">
        <f>'DATA (Real)'!BJ286*BJ$4/$H$4</f>
        <v>85.212680377497875</v>
      </c>
      <c r="BK290" s="324">
        <f>'DATA (Real)'!BK286*BK$4/$H$4</f>
        <v>87.087359345802838</v>
      </c>
      <c r="BL290" s="324">
        <f>'DATA (Real)'!BL286*BL$4/$H$4</f>
        <v>89.003281251410485</v>
      </c>
      <c r="BM290" s="324">
        <f>'DATA (Real)'!BM286*BM$4/$H$4</f>
        <v>90.961353438941529</v>
      </c>
      <c r="BN290" s="324">
        <f>'DATA (Real)'!BN286*BN$4/$H$4</f>
        <v>92.962503214598243</v>
      </c>
      <c r="BO290" s="324">
        <f>'DATA (Real)'!BO286*BO$4/$H$4</f>
        <v>95.007678285319415</v>
      </c>
      <c r="BP290" s="324">
        <f>'DATA (Real)'!BP286*BP$4/$H$4</f>
        <v>97.097847207596431</v>
      </c>
      <c r="BQ290" s="324">
        <f>'DATA (Real)'!BQ286*BQ$4/$H$4</f>
        <v>99.233999846163556</v>
      </c>
      <c r="BR290" s="324">
        <f>'DATA (Real)'!BR286*BR$4/$H$4</f>
        <v>101.41714784277917</v>
      </c>
      <c r="BS290" s="324">
        <f>'DATA (Real)'!BS286*BS$4/$H$4</f>
        <v>103.6483250953203</v>
      </c>
      <c r="BT290" s="324">
        <f>'DATA (Real)'!BT286*BT$4/$H$4</f>
        <v>105.92858824741737</v>
      </c>
      <c r="BU290" s="324">
        <f>'DATA (Real)'!BU286*BU$4/$H$4</f>
        <v>108.25901718886054</v>
      </c>
      <c r="BV290" s="324">
        <f>'DATA (Real)'!BV286*BV$4/$H$4</f>
        <v>110.64071556701549</v>
      </c>
      <c r="BW290" s="324">
        <f>'DATA (Real)'!BW286*BW$4/$H$4</f>
        <v>113.07481130948985</v>
      </c>
      <c r="BX290" s="324">
        <f>'DATA (Real)'!BX286*BX$4/$H$4</f>
        <v>115.5624571582986</v>
      </c>
    </row>
    <row r="291" spans="1:76" hidden="1" outlineLevel="1">
      <c r="A291" s="355"/>
      <c r="B291" s="349"/>
      <c r="C291" s="349" t="str">
        <f>'DATA (Real)'!C287</f>
        <v>Inflation Reduction Act</v>
      </c>
      <c r="D291" s="349" t="str">
        <f>'DATA (Real)'!D287</f>
        <v>PTC Value ($/MWh)</v>
      </c>
      <c r="E291" s="349" t="str">
        <f>'DATA (Real)'!E287</f>
        <v>Rathdrum CT 2055 Uprates two unit operation</v>
      </c>
      <c r="F291" s="331"/>
      <c r="G291" s="331"/>
      <c r="H291" s="314">
        <f>'DATA (Real)'!H287*H$4/$H$4</f>
        <v>0</v>
      </c>
      <c r="I291" s="324">
        <f>'DATA (Real)'!I287*I$4/$H$4</f>
        <v>0</v>
      </c>
      <c r="J291" s="324">
        <f>'DATA (Real)'!J287*J$4/$H$4</f>
        <v>0</v>
      </c>
      <c r="K291" s="324">
        <f>'DATA (Real)'!K287*K$4/$H$4</f>
        <v>0</v>
      </c>
      <c r="L291" s="324">
        <f>'DATA (Real)'!L287*L$4/$H$4</f>
        <v>0</v>
      </c>
      <c r="M291" s="324">
        <f>'DATA (Real)'!M287*M$4/$H$4</f>
        <v>0</v>
      </c>
      <c r="N291" s="324">
        <f>'DATA (Real)'!N287*N$4/$H$4</f>
        <v>0</v>
      </c>
      <c r="O291" s="324">
        <f>'DATA (Real)'!O287*O$4/$H$4</f>
        <v>0</v>
      </c>
      <c r="P291" s="324">
        <f>'DATA (Real)'!P287*P$4/$H$4</f>
        <v>0</v>
      </c>
      <c r="Q291" s="324">
        <f>'DATA (Real)'!Q287*Q$4/$H$4</f>
        <v>0</v>
      </c>
      <c r="R291" s="324">
        <f>'DATA (Real)'!R287*R$4/$H$4</f>
        <v>0</v>
      </c>
      <c r="S291" s="324">
        <f>'DATA (Real)'!S287*S$4/$H$4</f>
        <v>0</v>
      </c>
      <c r="T291" s="324">
        <f>'DATA (Real)'!T287*T$4/$H$4</f>
        <v>0</v>
      </c>
      <c r="U291" s="324">
        <f>'DATA (Real)'!U287*U$4/$H$4</f>
        <v>0</v>
      </c>
      <c r="V291" s="324">
        <f>'DATA (Real)'!V287*V$4/$H$4</f>
        <v>0</v>
      </c>
      <c r="W291" s="324">
        <f>'DATA (Real)'!W287*W$4/$H$4</f>
        <v>0</v>
      </c>
      <c r="X291" s="324">
        <f>'DATA (Real)'!X287*X$4/$H$4</f>
        <v>0</v>
      </c>
      <c r="Y291" s="324">
        <f>'DATA (Real)'!Y287*Y$4/$H$4</f>
        <v>0</v>
      </c>
      <c r="Z291" s="324">
        <f>'DATA (Real)'!Z287*Z$4/$H$4</f>
        <v>0</v>
      </c>
      <c r="AA291" s="324">
        <f>'DATA (Real)'!AA287*AA$4/$H$4</f>
        <v>0</v>
      </c>
      <c r="AB291" s="324">
        <f>'DATA (Real)'!AB287*AB$4/$H$4</f>
        <v>0</v>
      </c>
      <c r="AC291" s="324">
        <f>'DATA (Real)'!AC287*AC$4/$H$4</f>
        <v>0</v>
      </c>
      <c r="AD291" s="324">
        <f>'DATA (Real)'!AD287*AD$4/$H$4</f>
        <v>0</v>
      </c>
      <c r="AE291" s="324">
        <f>'DATA (Real)'!AE287*AE$4/$H$4</f>
        <v>0</v>
      </c>
      <c r="AF291" s="324">
        <f>'DATA (Real)'!AF287*AF$4/$H$4</f>
        <v>0</v>
      </c>
      <c r="AG291" s="324">
        <f>'DATA (Real)'!AG287*AG$4/$H$4</f>
        <v>0</v>
      </c>
      <c r="AH291" s="324">
        <f>'DATA (Real)'!AH287*AH$4/$H$4</f>
        <v>0</v>
      </c>
      <c r="AI291" s="324">
        <f>'DATA (Real)'!AI287*AI$4/$H$4</f>
        <v>0</v>
      </c>
      <c r="AJ291" s="324">
        <f>'DATA (Real)'!AJ287*AJ$4/$H$4</f>
        <v>0</v>
      </c>
      <c r="AK291" s="324">
        <f>'DATA (Real)'!AK287*AK$4/$H$4</f>
        <v>0</v>
      </c>
      <c r="AL291" s="324">
        <f>'DATA (Real)'!AL287*AL$4/$H$4</f>
        <v>0</v>
      </c>
      <c r="AM291" s="324">
        <f>'DATA (Real)'!AM287*AM$4/$H$4</f>
        <v>0</v>
      </c>
      <c r="AN291" s="324">
        <f>'DATA (Real)'!AN287*AN$4/$H$4</f>
        <v>0</v>
      </c>
      <c r="AO291" s="324">
        <f>'DATA (Real)'!AO287*AO$4/$H$4</f>
        <v>0</v>
      </c>
      <c r="AP291" s="324">
        <f>'DATA (Real)'!AP287*AP$4/$H$4</f>
        <v>0</v>
      </c>
      <c r="AQ291" s="324">
        <f>'DATA (Real)'!AQ287*AQ$4/$H$4</f>
        <v>0</v>
      </c>
      <c r="AR291" s="324">
        <f>'DATA (Real)'!AR287*AR$4/$H$4</f>
        <v>0</v>
      </c>
      <c r="AS291" s="324">
        <f>'DATA (Real)'!AS287*AS$4/$H$4</f>
        <v>0</v>
      </c>
      <c r="AT291" s="324">
        <f>'DATA (Real)'!AT287*AT$4/$H$4</f>
        <v>0</v>
      </c>
      <c r="AU291" s="324">
        <f>'DATA (Real)'!AU287*AU$4/$H$4</f>
        <v>0</v>
      </c>
      <c r="AV291" s="324">
        <f>'DATA (Real)'!AV287*AV$4/$H$4</f>
        <v>0</v>
      </c>
      <c r="AW291" s="324">
        <f>'DATA (Real)'!AW287*AW$4/$H$4</f>
        <v>0</v>
      </c>
      <c r="AX291" s="324">
        <f>'DATA (Real)'!AX287*AX$4/$H$4</f>
        <v>0</v>
      </c>
      <c r="AY291" s="324">
        <f>'DATA (Real)'!AY287*AY$4/$H$4</f>
        <v>0</v>
      </c>
      <c r="AZ291" s="324">
        <f>'DATA (Real)'!AZ287*AZ$4/$H$4</f>
        <v>0</v>
      </c>
      <c r="BA291" s="324">
        <f>'DATA (Real)'!BA287*BA$4/$H$4</f>
        <v>0</v>
      </c>
      <c r="BB291" s="324">
        <f>'DATA (Real)'!BB287*BB$4/$H$4</f>
        <v>0</v>
      </c>
      <c r="BC291" s="324">
        <f>'DATA (Real)'!BC287*BC$4/$H$4</f>
        <v>0</v>
      </c>
      <c r="BD291" s="324">
        <f>'DATA (Real)'!BD287*BD$4/$H$4</f>
        <v>0</v>
      </c>
      <c r="BE291" s="324">
        <f>'DATA (Real)'!BE287*BE$4/$H$4</f>
        <v>0</v>
      </c>
      <c r="BF291" s="324">
        <f>'DATA (Real)'!BF287*BF$4/$H$4</f>
        <v>0</v>
      </c>
      <c r="BG291" s="324">
        <f>'DATA (Real)'!BG287*BG$4/$H$4</f>
        <v>0</v>
      </c>
      <c r="BH291" s="324">
        <f>'DATA (Real)'!BH287*BH$4/$H$4</f>
        <v>0</v>
      </c>
      <c r="BI291" s="324">
        <f>'DATA (Real)'!BI287*BI$4/$H$4</f>
        <v>0</v>
      </c>
      <c r="BJ291" s="324">
        <f>'DATA (Real)'!BJ287*BJ$4/$H$4</f>
        <v>0</v>
      </c>
      <c r="BK291" s="324">
        <f>'DATA (Real)'!BK287*BK$4/$H$4</f>
        <v>0</v>
      </c>
      <c r="BL291" s="324">
        <f>'DATA (Real)'!BL287*BL$4/$H$4</f>
        <v>0</v>
      </c>
      <c r="BM291" s="324">
        <f>'DATA (Real)'!BM287*BM$4/$H$4</f>
        <v>0</v>
      </c>
      <c r="BN291" s="324">
        <f>'DATA (Real)'!BN287*BN$4/$H$4</f>
        <v>0</v>
      </c>
      <c r="BO291" s="324">
        <f>'DATA (Real)'!BO287*BO$4/$H$4</f>
        <v>0</v>
      </c>
      <c r="BP291" s="324">
        <f>'DATA (Real)'!BP287*BP$4/$H$4</f>
        <v>0</v>
      </c>
      <c r="BQ291" s="324">
        <f>'DATA (Real)'!BQ287*BQ$4/$H$4</f>
        <v>0</v>
      </c>
      <c r="BR291" s="324">
        <f>'DATA (Real)'!BR287*BR$4/$H$4</f>
        <v>0</v>
      </c>
      <c r="BS291" s="324">
        <f>'DATA (Real)'!BS287*BS$4/$H$4</f>
        <v>0</v>
      </c>
      <c r="BT291" s="324">
        <f>'DATA (Real)'!BT287*BT$4/$H$4</f>
        <v>0</v>
      </c>
      <c r="BU291" s="324">
        <f>'DATA (Real)'!BU287*BU$4/$H$4</f>
        <v>0</v>
      </c>
      <c r="BV291" s="324">
        <f>'DATA (Real)'!BV287*BV$4/$H$4</f>
        <v>0</v>
      </c>
      <c r="BW291" s="324">
        <f>'DATA (Real)'!BW287*BW$4/$H$4</f>
        <v>0</v>
      </c>
      <c r="BX291" s="324">
        <f>'DATA (Real)'!BX287*BX$4/$H$4</f>
        <v>0</v>
      </c>
    </row>
    <row r="292" spans="1:76" hidden="1" outlineLevel="1">
      <c r="A292" s="355"/>
      <c r="B292" s="349"/>
      <c r="C292" s="349" t="str">
        <f>'DATA (Real)'!C288</f>
        <v>Inflation Reduction Act</v>
      </c>
      <c r="D292" s="349" t="str">
        <f>'DATA (Real)'!D288</f>
        <v>PTC Value ($/MWh)</v>
      </c>
      <c r="E292" s="349" t="str">
        <f>'DATA (Real)'!E288</f>
        <v>Rathdrum CT: Inlet Evaporation 2 unit operation</v>
      </c>
      <c r="F292" s="331"/>
      <c r="G292" s="331"/>
      <c r="H292" s="314">
        <f>'DATA (Real)'!H288*H$4/$H$4</f>
        <v>0</v>
      </c>
      <c r="I292" s="324">
        <f>'DATA (Real)'!I288*I$4/$H$4</f>
        <v>0</v>
      </c>
      <c r="J292" s="324">
        <f>'DATA (Real)'!J288*J$4/$H$4</f>
        <v>0</v>
      </c>
      <c r="K292" s="324">
        <f>'DATA (Real)'!K288*K$4/$H$4</f>
        <v>0</v>
      </c>
      <c r="L292" s="324">
        <f>'DATA (Real)'!L288*L$4/$H$4</f>
        <v>0</v>
      </c>
      <c r="M292" s="324">
        <f>'DATA (Real)'!M288*M$4/$H$4</f>
        <v>0</v>
      </c>
      <c r="N292" s="324">
        <f>'DATA (Real)'!N288*N$4/$H$4</f>
        <v>0</v>
      </c>
      <c r="O292" s="324">
        <f>'DATA (Real)'!O288*O$4/$H$4</f>
        <v>0</v>
      </c>
      <c r="P292" s="324">
        <f>'DATA (Real)'!P288*P$4/$H$4</f>
        <v>0</v>
      </c>
      <c r="Q292" s="324">
        <f>'DATA (Real)'!Q288*Q$4/$H$4</f>
        <v>0</v>
      </c>
      <c r="R292" s="324">
        <f>'DATA (Real)'!R288*R$4/$H$4</f>
        <v>0</v>
      </c>
      <c r="S292" s="324">
        <f>'DATA (Real)'!S288*S$4/$H$4</f>
        <v>0</v>
      </c>
      <c r="T292" s="324">
        <f>'DATA (Real)'!T288*T$4/$H$4</f>
        <v>0</v>
      </c>
      <c r="U292" s="324">
        <f>'DATA (Real)'!U288*U$4/$H$4</f>
        <v>0</v>
      </c>
      <c r="V292" s="324">
        <f>'DATA (Real)'!V288*V$4/$H$4</f>
        <v>0</v>
      </c>
      <c r="W292" s="324">
        <f>'DATA (Real)'!W288*W$4/$H$4</f>
        <v>0</v>
      </c>
      <c r="X292" s="324">
        <f>'DATA (Real)'!X288*X$4/$H$4</f>
        <v>0</v>
      </c>
      <c r="Y292" s="324">
        <f>'DATA (Real)'!Y288*Y$4/$H$4</f>
        <v>0</v>
      </c>
      <c r="Z292" s="324">
        <f>'DATA (Real)'!Z288*Z$4/$H$4</f>
        <v>0</v>
      </c>
      <c r="AA292" s="324">
        <f>'DATA (Real)'!AA288*AA$4/$H$4</f>
        <v>0</v>
      </c>
      <c r="AB292" s="324">
        <f>'DATA (Real)'!AB288*AB$4/$H$4</f>
        <v>0</v>
      </c>
      <c r="AC292" s="324">
        <f>'DATA (Real)'!AC288*AC$4/$H$4</f>
        <v>0</v>
      </c>
      <c r="AD292" s="324">
        <f>'DATA (Real)'!AD288*AD$4/$H$4</f>
        <v>0</v>
      </c>
      <c r="AE292" s="324">
        <f>'DATA (Real)'!AE288*AE$4/$H$4</f>
        <v>0</v>
      </c>
      <c r="AF292" s="324">
        <f>'DATA (Real)'!AF288*AF$4/$H$4</f>
        <v>0</v>
      </c>
      <c r="AG292" s="324">
        <f>'DATA (Real)'!AG288*AG$4/$H$4</f>
        <v>0</v>
      </c>
      <c r="AH292" s="324">
        <f>'DATA (Real)'!AH288*AH$4/$H$4</f>
        <v>0</v>
      </c>
      <c r="AI292" s="324">
        <f>'DATA (Real)'!AI288*AI$4/$H$4</f>
        <v>0</v>
      </c>
      <c r="AJ292" s="324">
        <f>'DATA (Real)'!AJ288*AJ$4/$H$4</f>
        <v>0</v>
      </c>
      <c r="AK292" s="324">
        <f>'DATA (Real)'!AK288*AK$4/$H$4</f>
        <v>0</v>
      </c>
      <c r="AL292" s="324">
        <f>'DATA (Real)'!AL288*AL$4/$H$4</f>
        <v>0</v>
      </c>
      <c r="AM292" s="324">
        <f>'DATA (Real)'!AM288*AM$4/$H$4</f>
        <v>0</v>
      </c>
      <c r="AN292" s="324">
        <f>'DATA (Real)'!AN288*AN$4/$H$4</f>
        <v>0</v>
      </c>
      <c r="AO292" s="324">
        <f>'DATA (Real)'!AO288*AO$4/$H$4</f>
        <v>0</v>
      </c>
      <c r="AP292" s="324">
        <f>'DATA (Real)'!AP288*AP$4/$H$4</f>
        <v>0</v>
      </c>
      <c r="AQ292" s="324">
        <f>'DATA (Real)'!AQ288*AQ$4/$H$4</f>
        <v>0</v>
      </c>
      <c r="AR292" s="324">
        <f>'DATA (Real)'!AR288*AR$4/$H$4</f>
        <v>0</v>
      </c>
      <c r="AS292" s="324">
        <f>'DATA (Real)'!AS288*AS$4/$H$4</f>
        <v>0</v>
      </c>
      <c r="AT292" s="324">
        <f>'DATA (Real)'!AT288*AT$4/$H$4</f>
        <v>0</v>
      </c>
      <c r="AU292" s="324">
        <f>'DATA (Real)'!AU288*AU$4/$H$4</f>
        <v>0</v>
      </c>
      <c r="AV292" s="324">
        <f>'DATA (Real)'!AV288*AV$4/$H$4</f>
        <v>0</v>
      </c>
      <c r="AW292" s="324">
        <f>'DATA (Real)'!AW288*AW$4/$H$4</f>
        <v>0</v>
      </c>
      <c r="AX292" s="324">
        <f>'DATA (Real)'!AX288*AX$4/$H$4</f>
        <v>0</v>
      </c>
      <c r="AY292" s="324">
        <f>'DATA (Real)'!AY288*AY$4/$H$4</f>
        <v>0</v>
      </c>
      <c r="AZ292" s="324">
        <f>'DATA (Real)'!AZ288*AZ$4/$H$4</f>
        <v>0</v>
      </c>
      <c r="BA292" s="324">
        <f>'DATA (Real)'!BA288*BA$4/$H$4</f>
        <v>0</v>
      </c>
      <c r="BB292" s="324">
        <f>'DATA (Real)'!BB288*BB$4/$H$4</f>
        <v>0</v>
      </c>
      <c r="BC292" s="324">
        <f>'DATA (Real)'!BC288*BC$4/$H$4</f>
        <v>0</v>
      </c>
      <c r="BD292" s="324">
        <f>'DATA (Real)'!BD288*BD$4/$H$4</f>
        <v>0</v>
      </c>
      <c r="BE292" s="324">
        <f>'DATA (Real)'!BE288*BE$4/$H$4</f>
        <v>0</v>
      </c>
      <c r="BF292" s="324">
        <f>'DATA (Real)'!BF288*BF$4/$H$4</f>
        <v>0</v>
      </c>
      <c r="BG292" s="324">
        <f>'DATA (Real)'!BG288*BG$4/$H$4</f>
        <v>0</v>
      </c>
      <c r="BH292" s="324">
        <f>'DATA (Real)'!BH288*BH$4/$H$4</f>
        <v>0</v>
      </c>
      <c r="BI292" s="324">
        <f>'DATA (Real)'!BI288*BI$4/$H$4</f>
        <v>0</v>
      </c>
      <c r="BJ292" s="324">
        <f>'DATA (Real)'!BJ288*BJ$4/$H$4</f>
        <v>0</v>
      </c>
      <c r="BK292" s="324">
        <f>'DATA (Real)'!BK288*BK$4/$H$4</f>
        <v>0</v>
      </c>
      <c r="BL292" s="324">
        <f>'DATA (Real)'!BL288*BL$4/$H$4</f>
        <v>0</v>
      </c>
      <c r="BM292" s="324">
        <f>'DATA (Real)'!BM288*BM$4/$H$4</f>
        <v>0</v>
      </c>
      <c r="BN292" s="324">
        <f>'DATA (Real)'!BN288*BN$4/$H$4</f>
        <v>0</v>
      </c>
      <c r="BO292" s="324">
        <f>'DATA (Real)'!BO288*BO$4/$H$4</f>
        <v>0</v>
      </c>
      <c r="BP292" s="324">
        <f>'DATA (Real)'!BP288*BP$4/$H$4</f>
        <v>0</v>
      </c>
      <c r="BQ292" s="324">
        <f>'DATA (Real)'!BQ288*BQ$4/$H$4</f>
        <v>0</v>
      </c>
      <c r="BR292" s="324">
        <f>'DATA (Real)'!BR288*BR$4/$H$4</f>
        <v>0</v>
      </c>
      <c r="BS292" s="324">
        <f>'DATA (Real)'!BS288*BS$4/$H$4</f>
        <v>0</v>
      </c>
      <c r="BT292" s="324">
        <f>'DATA (Real)'!BT288*BT$4/$H$4</f>
        <v>0</v>
      </c>
      <c r="BU292" s="324">
        <f>'DATA (Real)'!BU288*BU$4/$H$4</f>
        <v>0</v>
      </c>
      <c r="BV292" s="324">
        <f>'DATA (Real)'!BV288*BV$4/$H$4</f>
        <v>0</v>
      </c>
      <c r="BW292" s="324">
        <f>'DATA (Real)'!BW288*BW$4/$H$4</f>
        <v>0</v>
      </c>
      <c r="BX292" s="324">
        <f>'DATA (Real)'!BX288*BX$4/$H$4</f>
        <v>0</v>
      </c>
    </row>
    <row r="293" spans="1:76" hidden="1" outlineLevel="1">
      <c r="B293" s="350" t="s">
        <v>230</v>
      </c>
      <c r="C293" s="350" t="str">
        <f>'DATA (Real)'!C289</f>
        <v>Inflation Reduction Act</v>
      </c>
      <c r="D293" s="350" t="str">
        <f>'DATA (Real)'!D289</f>
        <v>PTC Value ($/MWh)</v>
      </c>
      <c r="E293" s="350" t="str">
        <f>'DATA (Real)'!E289</f>
        <v>NW Wind On System (Share)</v>
      </c>
      <c r="F293" s="331"/>
      <c r="G293" s="331"/>
      <c r="H293" s="314">
        <f>'DATA (Real)'!H289*H$4/$H$4</f>
        <v>26</v>
      </c>
      <c r="I293" s="324">
        <f>'DATA (Real)'!I289*I$4/$H$4</f>
        <v>26.824720000000003</v>
      </c>
      <c r="J293" s="324">
        <f>'DATA (Real)'!J289*J$4/$H$4</f>
        <v>27.455715653166664</v>
      </c>
      <c r="K293" s="324">
        <f>'DATA (Real)'!K289*K$4/$H$4</f>
        <v>28.068893302754049</v>
      </c>
      <c r="L293" s="324">
        <f>'DATA (Real)'!L289*L$4/$H$4</f>
        <v>28.695765253182227</v>
      </c>
      <c r="M293" s="324">
        <f>'DATA (Real)'!M289*M$4/$H$4</f>
        <v>29.336637343836628</v>
      </c>
      <c r="N293" s="324">
        <f>'DATA (Real)'!N289*N$4/$H$4</f>
        <v>29.982043365401037</v>
      </c>
      <c r="O293" s="324">
        <f>'DATA (Real)'!O289*O$4/$H$4</f>
        <v>30.641648319439856</v>
      </c>
      <c r="P293" s="324">
        <f>'DATA (Real)'!P289*P$4/$H$4</f>
        <v>31.315764582467537</v>
      </c>
      <c r="Q293" s="324">
        <f>'DATA (Real)'!Q289*Q$4/$H$4</f>
        <v>32.004711403281817</v>
      </c>
      <c r="R293" s="324">
        <f>'DATA (Real)'!R289*R$4/$H$4</f>
        <v>32.708815054154023</v>
      </c>
      <c r="S293" s="324">
        <f>'DATA (Real)'!S289*S$4/$H$4</f>
        <v>33.428408985345413</v>
      </c>
      <c r="T293" s="324">
        <f>'DATA (Real)'!T289*T$4/$H$4</f>
        <v>34.163833983023011</v>
      </c>
      <c r="U293" s="324">
        <f>'DATA (Real)'!U289*U$4/$H$4</f>
        <v>34.915438330649515</v>
      </c>
      <c r="V293" s="324">
        <f>'DATA (Real)'!V289*V$4/$H$4</f>
        <v>35.683577973923803</v>
      </c>
      <c r="W293" s="324">
        <f>'DATA (Real)'!W289*W$4/$H$4</f>
        <v>36.468616689350128</v>
      </c>
      <c r="X293" s="324">
        <f>'DATA (Real)'!X289*X$4/$H$4</f>
        <v>37.270926256515828</v>
      </c>
      <c r="Y293" s="324">
        <f>'DATA (Real)'!Y289*Y$4/$H$4</f>
        <v>38.090886634159183</v>
      </c>
      <c r="Z293" s="324">
        <f>'DATA (Real)'!Z289*Z$4/$H$4</f>
        <v>38.928886140110684</v>
      </c>
      <c r="AA293" s="324">
        <f>'DATA (Real)'!AA289*AA$4/$H$4</f>
        <v>39.785321635193114</v>
      </c>
      <c r="AB293" s="324">
        <f>'DATA (Real)'!AB289*AB$4/$H$4</f>
        <v>40.660598711167367</v>
      </c>
      <c r="AC293" s="324">
        <f>'DATA (Real)'!AC289*AC$4/$H$4</f>
        <v>41.55513188281305</v>
      </c>
      <c r="AD293" s="324">
        <f>'DATA (Real)'!AD289*AD$4/$H$4</f>
        <v>42.469344784234934</v>
      </c>
      <c r="AE293" s="324">
        <f>'DATA (Real)'!AE289*AE$4/$H$4</f>
        <v>43.403670369488104</v>
      </c>
      <c r="AF293" s="324">
        <f>'DATA (Real)'!AF289*AF$4/$H$4</f>
        <v>44.358551117616848</v>
      </c>
      <c r="AG293" s="324">
        <f>'DATA (Real)'!AG289*AG$4/$H$4</f>
        <v>45.334439242204418</v>
      </c>
      <c r="AH293" s="324">
        <f>'DATA (Real)'!AH289*AH$4/$H$4</f>
        <v>46.331796905532912</v>
      </c>
      <c r="AI293" s="324">
        <f>'DATA (Real)'!AI289*AI$4/$H$4</f>
        <v>47.351096437454636</v>
      </c>
      <c r="AJ293" s="324">
        <f>'DATA (Real)'!AJ289*AJ$4/$H$4</f>
        <v>48.392820559078636</v>
      </c>
      <c r="AK293" s="324">
        <f>'DATA (Real)'!AK289*AK$4/$H$4</f>
        <v>49.457462611378361</v>
      </c>
      <c r="AL293" s="324">
        <f>'DATA (Real)'!AL289*AL$4/$H$4</f>
        <v>50.545526788828695</v>
      </c>
      <c r="AM293" s="324">
        <f>'DATA (Real)'!AM289*AM$4/$H$4</f>
        <v>51.657528378182924</v>
      </c>
      <c r="AN293" s="324">
        <f>'DATA (Real)'!AN289*AN$4/$H$4</f>
        <v>52.793994002502949</v>
      </c>
      <c r="AO293" s="324">
        <f>'DATA (Real)'!AO289*AO$4/$H$4</f>
        <v>53.955461870558018</v>
      </c>
      <c r="AP293" s="324">
        <f>'DATA (Real)'!AP289*AP$4/$H$4</f>
        <v>55.142482031710287</v>
      </c>
      <c r="AQ293" s="324">
        <f>'DATA (Real)'!AQ289*AQ$4/$H$4</f>
        <v>56.355616636407916</v>
      </c>
      <c r="AR293" s="324">
        <f>'DATA (Real)'!AR289*AR$4/$H$4</f>
        <v>57.595440202408888</v>
      </c>
      <c r="AS293" s="324">
        <f>'DATA (Real)'!AS289*AS$4/$H$4</f>
        <v>58.862539886861882</v>
      </c>
      <c r="AT293" s="324">
        <f>'DATA (Real)'!AT289*AT$4/$H$4</f>
        <v>60.157515764372846</v>
      </c>
      <c r="AU293" s="324">
        <f>'DATA (Real)'!AU289*AU$4/$H$4</f>
        <v>61.480981111189045</v>
      </c>
      <c r="AV293" s="324">
        <f>'DATA (Real)'!AV289*AV$4/$H$4</f>
        <v>62.833562695635202</v>
      </c>
      <c r="AW293" s="324">
        <f>'DATA (Real)'!AW289*AW$4/$H$4</f>
        <v>64.215901074939183</v>
      </c>
      <c r="AX293" s="324">
        <f>'DATA (Real)'!AX289*AX$4/$H$4</f>
        <v>65.62865089858785</v>
      </c>
      <c r="AY293" s="324">
        <f>'DATA (Real)'!AY289*AY$4/$H$4</f>
        <v>67.072481218356785</v>
      </c>
      <c r="AZ293" s="324">
        <f>'DATA (Real)'!AZ289*AZ$4/$H$4</f>
        <v>68.548075805160636</v>
      </c>
      <c r="BA293" s="324">
        <f>'DATA (Real)'!BA289*BA$4/$H$4</f>
        <v>70.05613347287418</v>
      </c>
      <c r="BB293" s="324">
        <f>'DATA (Real)'!BB289*BB$4/$H$4</f>
        <v>71.597368409277408</v>
      </c>
      <c r="BC293" s="324">
        <f>'DATA (Real)'!BC289*BC$4/$H$4</f>
        <v>73.172510514281512</v>
      </c>
      <c r="BD293" s="324">
        <f>'DATA (Real)'!BD289*BD$4/$H$4</f>
        <v>74.782305745595707</v>
      </c>
      <c r="BE293" s="324">
        <f>'DATA (Real)'!BE289*BE$4/$H$4</f>
        <v>76.4275164719988</v>
      </c>
      <c r="BF293" s="324">
        <f>'DATA (Real)'!BF289*BF$4/$H$4</f>
        <v>78.108921834382784</v>
      </c>
      <c r="BG293" s="324">
        <f>'DATA (Real)'!BG289*BG$4/$H$4</f>
        <v>79.827318114739185</v>
      </c>
      <c r="BH293" s="324">
        <f>'DATA (Real)'!BH289*BH$4/$H$4</f>
        <v>81.583519113263463</v>
      </c>
      <c r="BI293" s="324">
        <f>'DATA (Real)'!BI289*BI$4/$H$4</f>
        <v>83.378356533755252</v>
      </c>
      <c r="BJ293" s="324">
        <f>'DATA (Real)'!BJ289*BJ$4/$H$4</f>
        <v>85.212680377497875</v>
      </c>
      <c r="BK293" s="324">
        <f>'DATA (Real)'!BK289*BK$4/$H$4</f>
        <v>87.087359345802838</v>
      </c>
      <c r="BL293" s="324">
        <f>'DATA (Real)'!BL289*BL$4/$H$4</f>
        <v>89.003281251410485</v>
      </c>
      <c r="BM293" s="324">
        <f>'DATA (Real)'!BM289*BM$4/$H$4</f>
        <v>90.961353438941529</v>
      </c>
      <c r="BN293" s="324">
        <f>'DATA (Real)'!BN289*BN$4/$H$4</f>
        <v>92.962503214598243</v>
      </c>
      <c r="BO293" s="324">
        <f>'DATA (Real)'!BO289*BO$4/$H$4</f>
        <v>95.007678285319415</v>
      </c>
      <c r="BP293" s="324">
        <f>'DATA (Real)'!BP289*BP$4/$H$4</f>
        <v>97.097847207596431</v>
      </c>
      <c r="BQ293" s="324">
        <f>'DATA (Real)'!BQ289*BQ$4/$H$4</f>
        <v>99.233999846163556</v>
      </c>
      <c r="BR293" s="324">
        <f>'DATA (Real)'!BR289*BR$4/$H$4</f>
        <v>101.41714784277917</v>
      </c>
      <c r="BS293" s="324">
        <f>'DATA (Real)'!BS289*BS$4/$H$4</f>
        <v>103.6483250953203</v>
      </c>
      <c r="BT293" s="324">
        <f>'DATA (Real)'!BT289*BT$4/$H$4</f>
        <v>105.92858824741737</v>
      </c>
      <c r="BU293" s="324">
        <f>'DATA (Real)'!BU289*BU$4/$H$4</f>
        <v>108.25901718886054</v>
      </c>
      <c r="BV293" s="324">
        <f>'DATA (Real)'!BV289*BV$4/$H$4</f>
        <v>110.64071556701549</v>
      </c>
      <c r="BW293" s="324">
        <f>'DATA (Real)'!BW289*BW$4/$H$4</f>
        <v>113.07481130948985</v>
      </c>
      <c r="BX293" s="324">
        <f>'DATA (Real)'!BX289*BX$4/$H$4</f>
        <v>115.5624571582986</v>
      </c>
    </row>
    <row r="294" spans="1:76" hidden="1" outlineLevel="1">
      <c r="B294" s="350" t="s">
        <v>230</v>
      </c>
      <c r="C294" s="350" t="str">
        <f>'DATA (Real)'!C290</f>
        <v>Inflation Reduction Act</v>
      </c>
      <c r="D294" s="350" t="str">
        <f>'DATA (Real)'!D290</f>
        <v>PTC Value ($/MWh)</v>
      </c>
      <c r="E294" s="350" t="str">
        <f>'DATA (Real)'!E290</f>
        <v>NW Wind Off System</v>
      </c>
      <c r="F294" s="331"/>
      <c r="G294" s="331"/>
      <c r="H294" s="314">
        <f>'DATA (Real)'!H290*H$4/$H$4</f>
        <v>26</v>
      </c>
      <c r="I294" s="324">
        <f>'DATA (Real)'!I290*I$4/$H$4</f>
        <v>26.824720000000003</v>
      </c>
      <c r="J294" s="324">
        <f>'DATA (Real)'!J290*J$4/$H$4</f>
        <v>27.455715653166664</v>
      </c>
      <c r="K294" s="324">
        <f>'DATA (Real)'!K290*K$4/$H$4</f>
        <v>28.068893302754049</v>
      </c>
      <c r="L294" s="324">
        <f>'DATA (Real)'!L290*L$4/$H$4</f>
        <v>28.695765253182227</v>
      </c>
      <c r="M294" s="324">
        <f>'DATA (Real)'!M290*M$4/$H$4</f>
        <v>29.336637343836628</v>
      </c>
      <c r="N294" s="324">
        <f>'DATA (Real)'!N290*N$4/$H$4</f>
        <v>29.982043365401037</v>
      </c>
      <c r="O294" s="324">
        <f>'DATA (Real)'!O290*O$4/$H$4</f>
        <v>30.641648319439856</v>
      </c>
      <c r="P294" s="324">
        <f>'DATA (Real)'!P290*P$4/$H$4</f>
        <v>31.315764582467537</v>
      </c>
      <c r="Q294" s="324">
        <f>'DATA (Real)'!Q290*Q$4/$H$4</f>
        <v>32.004711403281817</v>
      </c>
      <c r="R294" s="324">
        <f>'DATA (Real)'!R290*R$4/$H$4</f>
        <v>32.708815054154023</v>
      </c>
      <c r="S294" s="324">
        <f>'DATA (Real)'!S290*S$4/$H$4</f>
        <v>33.428408985345413</v>
      </c>
      <c r="T294" s="324">
        <f>'DATA (Real)'!T290*T$4/$H$4</f>
        <v>34.163833983023011</v>
      </c>
      <c r="U294" s="324">
        <f>'DATA (Real)'!U290*U$4/$H$4</f>
        <v>34.915438330649515</v>
      </c>
      <c r="V294" s="324">
        <f>'DATA (Real)'!V290*V$4/$H$4</f>
        <v>35.683577973923803</v>
      </c>
      <c r="W294" s="324">
        <f>'DATA (Real)'!W290*W$4/$H$4</f>
        <v>36.468616689350128</v>
      </c>
      <c r="X294" s="324">
        <f>'DATA (Real)'!X290*X$4/$H$4</f>
        <v>37.270926256515828</v>
      </c>
      <c r="Y294" s="324">
        <f>'DATA (Real)'!Y290*Y$4/$H$4</f>
        <v>38.090886634159183</v>
      </c>
      <c r="Z294" s="324">
        <f>'DATA (Real)'!Z290*Z$4/$H$4</f>
        <v>38.928886140110684</v>
      </c>
      <c r="AA294" s="324">
        <f>'DATA (Real)'!AA290*AA$4/$H$4</f>
        <v>39.785321635193114</v>
      </c>
      <c r="AB294" s="324">
        <f>'DATA (Real)'!AB290*AB$4/$H$4</f>
        <v>40.660598711167367</v>
      </c>
      <c r="AC294" s="324">
        <f>'DATA (Real)'!AC290*AC$4/$H$4</f>
        <v>41.55513188281305</v>
      </c>
      <c r="AD294" s="324">
        <f>'DATA (Real)'!AD290*AD$4/$H$4</f>
        <v>42.469344784234934</v>
      </c>
      <c r="AE294" s="324">
        <f>'DATA (Real)'!AE290*AE$4/$H$4</f>
        <v>43.403670369488104</v>
      </c>
      <c r="AF294" s="324">
        <f>'DATA (Real)'!AF290*AF$4/$H$4</f>
        <v>44.358551117616848</v>
      </c>
      <c r="AG294" s="324">
        <f>'DATA (Real)'!AG290*AG$4/$H$4</f>
        <v>45.334439242204418</v>
      </c>
      <c r="AH294" s="324">
        <f>'DATA (Real)'!AH290*AH$4/$H$4</f>
        <v>46.331796905532912</v>
      </c>
      <c r="AI294" s="324">
        <f>'DATA (Real)'!AI290*AI$4/$H$4</f>
        <v>47.351096437454636</v>
      </c>
      <c r="AJ294" s="324">
        <f>'DATA (Real)'!AJ290*AJ$4/$H$4</f>
        <v>48.392820559078636</v>
      </c>
      <c r="AK294" s="324">
        <f>'DATA (Real)'!AK290*AK$4/$H$4</f>
        <v>49.457462611378361</v>
      </c>
      <c r="AL294" s="324">
        <f>'DATA (Real)'!AL290*AL$4/$H$4</f>
        <v>50.545526788828695</v>
      </c>
      <c r="AM294" s="324">
        <f>'DATA (Real)'!AM290*AM$4/$H$4</f>
        <v>51.657528378182924</v>
      </c>
      <c r="AN294" s="324">
        <f>'DATA (Real)'!AN290*AN$4/$H$4</f>
        <v>52.793994002502949</v>
      </c>
      <c r="AO294" s="324">
        <f>'DATA (Real)'!AO290*AO$4/$H$4</f>
        <v>53.955461870558018</v>
      </c>
      <c r="AP294" s="324">
        <f>'DATA (Real)'!AP290*AP$4/$H$4</f>
        <v>55.142482031710287</v>
      </c>
      <c r="AQ294" s="324">
        <f>'DATA (Real)'!AQ290*AQ$4/$H$4</f>
        <v>56.355616636407916</v>
      </c>
      <c r="AR294" s="324">
        <f>'DATA (Real)'!AR290*AR$4/$H$4</f>
        <v>57.595440202408888</v>
      </c>
      <c r="AS294" s="324">
        <f>'DATA (Real)'!AS290*AS$4/$H$4</f>
        <v>58.862539886861882</v>
      </c>
      <c r="AT294" s="324">
        <f>'DATA (Real)'!AT290*AT$4/$H$4</f>
        <v>60.157515764372846</v>
      </c>
      <c r="AU294" s="324">
        <f>'DATA (Real)'!AU290*AU$4/$H$4</f>
        <v>61.480981111189045</v>
      </c>
      <c r="AV294" s="324">
        <f>'DATA (Real)'!AV290*AV$4/$H$4</f>
        <v>62.833562695635202</v>
      </c>
      <c r="AW294" s="324">
        <f>'DATA (Real)'!AW290*AW$4/$H$4</f>
        <v>64.215901074939183</v>
      </c>
      <c r="AX294" s="324">
        <f>'DATA (Real)'!AX290*AX$4/$H$4</f>
        <v>65.62865089858785</v>
      </c>
      <c r="AY294" s="324">
        <f>'DATA (Real)'!AY290*AY$4/$H$4</f>
        <v>67.072481218356785</v>
      </c>
      <c r="AZ294" s="324">
        <f>'DATA (Real)'!AZ290*AZ$4/$H$4</f>
        <v>68.548075805160636</v>
      </c>
      <c r="BA294" s="324">
        <f>'DATA (Real)'!BA290*BA$4/$H$4</f>
        <v>70.05613347287418</v>
      </c>
      <c r="BB294" s="324">
        <f>'DATA (Real)'!BB290*BB$4/$H$4</f>
        <v>71.597368409277408</v>
      </c>
      <c r="BC294" s="324">
        <f>'DATA (Real)'!BC290*BC$4/$H$4</f>
        <v>73.172510514281512</v>
      </c>
      <c r="BD294" s="324">
        <f>'DATA (Real)'!BD290*BD$4/$H$4</f>
        <v>74.782305745595707</v>
      </c>
      <c r="BE294" s="324">
        <f>'DATA (Real)'!BE290*BE$4/$H$4</f>
        <v>76.4275164719988</v>
      </c>
      <c r="BF294" s="324">
        <f>'DATA (Real)'!BF290*BF$4/$H$4</f>
        <v>78.108921834382784</v>
      </c>
      <c r="BG294" s="324">
        <f>'DATA (Real)'!BG290*BG$4/$H$4</f>
        <v>79.827318114739185</v>
      </c>
      <c r="BH294" s="324">
        <f>'DATA (Real)'!BH290*BH$4/$H$4</f>
        <v>81.583519113263463</v>
      </c>
      <c r="BI294" s="324">
        <f>'DATA (Real)'!BI290*BI$4/$H$4</f>
        <v>83.378356533755252</v>
      </c>
      <c r="BJ294" s="324">
        <f>'DATA (Real)'!BJ290*BJ$4/$H$4</f>
        <v>85.212680377497875</v>
      </c>
      <c r="BK294" s="324">
        <f>'DATA (Real)'!BK290*BK$4/$H$4</f>
        <v>87.087359345802838</v>
      </c>
      <c r="BL294" s="324">
        <f>'DATA (Real)'!BL290*BL$4/$H$4</f>
        <v>89.003281251410485</v>
      </c>
      <c r="BM294" s="324">
        <f>'DATA (Real)'!BM290*BM$4/$H$4</f>
        <v>90.961353438941529</v>
      </c>
      <c r="BN294" s="324">
        <f>'DATA (Real)'!BN290*BN$4/$H$4</f>
        <v>92.962503214598243</v>
      </c>
      <c r="BO294" s="324">
        <f>'DATA (Real)'!BO290*BO$4/$H$4</f>
        <v>95.007678285319415</v>
      </c>
      <c r="BP294" s="324">
        <f>'DATA (Real)'!BP290*BP$4/$H$4</f>
        <v>97.097847207596431</v>
      </c>
      <c r="BQ294" s="324">
        <f>'DATA (Real)'!BQ290*BQ$4/$H$4</f>
        <v>99.233999846163556</v>
      </c>
      <c r="BR294" s="324">
        <f>'DATA (Real)'!BR290*BR$4/$H$4</f>
        <v>101.41714784277917</v>
      </c>
      <c r="BS294" s="324">
        <f>'DATA (Real)'!BS290*BS$4/$H$4</f>
        <v>103.6483250953203</v>
      </c>
      <c r="BT294" s="324">
        <f>'DATA (Real)'!BT290*BT$4/$H$4</f>
        <v>105.92858824741737</v>
      </c>
      <c r="BU294" s="324">
        <f>'DATA (Real)'!BU290*BU$4/$H$4</f>
        <v>108.25901718886054</v>
      </c>
      <c r="BV294" s="324">
        <f>'DATA (Real)'!BV290*BV$4/$H$4</f>
        <v>110.64071556701549</v>
      </c>
      <c r="BW294" s="324">
        <f>'DATA (Real)'!BW290*BW$4/$H$4</f>
        <v>113.07481130948985</v>
      </c>
      <c r="BX294" s="324">
        <f>'DATA (Real)'!BX290*BX$4/$H$4</f>
        <v>115.5624571582986</v>
      </c>
    </row>
    <row r="295" spans="1:76" hidden="1" outlineLevel="1">
      <c r="B295" s="350" t="s">
        <v>230</v>
      </c>
      <c r="C295" s="350" t="str">
        <f>'DATA (Real)'!C291</f>
        <v>Inflation Reduction Act</v>
      </c>
      <c r="D295" s="350" t="str">
        <f>'DATA (Real)'!D291</f>
        <v>PTC Value ($/MWh)</v>
      </c>
      <c r="E295" s="350" t="str">
        <f>'DATA (Real)'!E291</f>
        <v>Wind Montana</v>
      </c>
      <c r="F295" s="331"/>
      <c r="G295" s="331"/>
      <c r="H295" s="314">
        <f>'DATA (Real)'!H291*H$4/$H$4</f>
        <v>26</v>
      </c>
      <c r="I295" s="324">
        <f>'DATA (Real)'!I291*I$4/$H$4</f>
        <v>26.824720000000003</v>
      </c>
      <c r="J295" s="324">
        <f>'DATA (Real)'!J291*J$4/$H$4</f>
        <v>27.455715653166664</v>
      </c>
      <c r="K295" s="324">
        <f>'DATA (Real)'!K291*K$4/$H$4</f>
        <v>28.068893302754049</v>
      </c>
      <c r="L295" s="324">
        <f>'DATA (Real)'!L291*L$4/$H$4</f>
        <v>28.695765253182227</v>
      </c>
      <c r="M295" s="324">
        <f>'DATA (Real)'!M291*M$4/$H$4</f>
        <v>29.336637343836628</v>
      </c>
      <c r="N295" s="324">
        <f>'DATA (Real)'!N291*N$4/$H$4</f>
        <v>29.982043365401037</v>
      </c>
      <c r="O295" s="324">
        <f>'DATA (Real)'!O291*O$4/$H$4</f>
        <v>30.641648319439856</v>
      </c>
      <c r="P295" s="324">
        <f>'DATA (Real)'!P291*P$4/$H$4</f>
        <v>31.315764582467537</v>
      </c>
      <c r="Q295" s="324">
        <f>'DATA (Real)'!Q291*Q$4/$H$4</f>
        <v>32.004711403281817</v>
      </c>
      <c r="R295" s="324">
        <f>'DATA (Real)'!R291*R$4/$H$4</f>
        <v>32.708815054154023</v>
      </c>
      <c r="S295" s="324">
        <f>'DATA (Real)'!S291*S$4/$H$4</f>
        <v>33.428408985345413</v>
      </c>
      <c r="T295" s="324">
        <f>'DATA (Real)'!T291*T$4/$H$4</f>
        <v>34.163833983023011</v>
      </c>
      <c r="U295" s="324">
        <f>'DATA (Real)'!U291*U$4/$H$4</f>
        <v>34.915438330649515</v>
      </c>
      <c r="V295" s="324">
        <f>'DATA (Real)'!V291*V$4/$H$4</f>
        <v>35.683577973923803</v>
      </c>
      <c r="W295" s="324">
        <f>'DATA (Real)'!W291*W$4/$H$4</f>
        <v>36.468616689350128</v>
      </c>
      <c r="X295" s="324">
        <f>'DATA (Real)'!X291*X$4/$H$4</f>
        <v>37.270926256515828</v>
      </c>
      <c r="Y295" s="324">
        <f>'DATA (Real)'!Y291*Y$4/$H$4</f>
        <v>38.090886634159183</v>
      </c>
      <c r="Z295" s="324">
        <f>'DATA (Real)'!Z291*Z$4/$H$4</f>
        <v>38.928886140110684</v>
      </c>
      <c r="AA295" s="324">
        <f>'DATA (Real)'!AA291*AA$4/$H$4</f>
        <v>39.785321635193114</v>
      </c>
      <c r="AB295" s="324">
        <f>'DATA (Real)'!AB291*AB$4/$H$4</f>
        <v>40.660598711167367</v>
      </c>
      <c r="AC295" s="324">
        <f>'DATA (Real)'!AC291*AC$4/$H$4</f>
        <v>41.55513188281305</v>
      </c>
      <c r="AD295" s="324">
        <f>'DATA (Real)'!AD291*AD$4/$H$4</f>
        <v>42.469344784234934</v>
      </c>
      <c r="AE295" s="324">
        <f>'DATA (Real)'!AE291*AE$4/$H$4</f>
        <v>43.403670369488104</v>
      </c>
      <c r="AF295" s="324">
        <f>'DATA (Real)'!AF291*AF$4/$H$4</f>
        <v>44.358551117616848</v>
      </c>
      <c r="AG295" s="324">
        <f>'DATA (Real)'!AG291*AG$4/$H$4</f>
        <v>45.334439242204418</v>
      </c>
      <c r="AH295" s="324">
        <f>'DATA (Real)'!AH291*AH$4/$H$4</f>
        <v>46.331796905532912</v>
      </c>
      <c r="AI295" s="324">
        <f>'DATA (Real)'!AI291*AI$4/$H$4</f>
        <v>47.351096437454636</v>
      </c>
      <c r="AJ295" s="324">
        <f>'DATA (Real)'!AJ291*AJ$4/$H$4</f>
        <v>48.392820559078636</v>
      </c>
      <c r="AK295" s="324">
        <f>'DATA (Real)'!AK291*AK$4/$H$4</f>
        <v>49.457462611378361</v>
      </c>
      <c r="AL295" s="324">
        <f>'DATA (Real)'!AL291*AL$4/$H$4</f>
        <v>50.545526788828695</v>
      </c>
      <c r="AM295" s="324">
        <f>'DATA (Real)'!AM291*AM$4/$H$4</f>
        <v>51.657528378182924</v>
      </c>
      <c r="AN295" s="324">
        <f>'DATA (Real)'!AN291*AN$4/$H$4</f>
        <v>52.793994002502949</v>
      </c>
      <c r="AO295" s="324">
        <f>'DATA (Real)'!AO291*AO$4/$H$4</f>
        <v>53.955461870558018</v>
      </c>
      <c r="AP295" s="324">
        <f>'DATA (Real)'!AP291*AP$4/$H$4</f>
        <v>55.142482031710287</v>
      </c>
      <c r="AQ295" s="324">
        <f>'DATA (Real)'!AQ291*AQ$4/$H$4</f>
        <v>56.355616636407916</v>
      </c>
      <c r="AR295" s="324">
        <f>'DATA (Real)'!AR291*AR$4/$H$4</f>
        <v>57.595440202408888</v>
      </c>
      <c r="AS295" s="324">
        <f>'DATA (Real)'!AS291*AS$4/$H$4</f>
        <v>58.862539886861882</v>
      </c>
      <c r="AT295" s="324">
        <f>'DATA (Real)'!AT291*AT$4/$H$4</f>
        <v>60.157515764372846</v>
      </c>
      <c r="AU295" s="324">
        <f>'DATA (Real)'!AU291*AU$4/$H$4</f>
        <v>61.480981111189045</v>
      </c>
      <c r="AV295" s="324">
        <f>'DATA (Real)'!AV291*AV$4/$H$4</f>
        <v>62.833562695635202</v>
      </c>
      <c r="AW295" s="324">
        <f>'DATA (Real)'!AW291*AW$4/$H$4</f>
        <v>64.215901074939183</v>
      </c>
      <c r="AX295" s="324">
        <f>'DATA (Real)'!AX291*AX$4/$H$4</f>
        <v>65.62865089858785</v>
      </c>
      <c r="AY295" s="324">
        <f>'DATA (Real)'!AY291*AY$4/$H$4</f>
        <v>67.072481218356785</v>
      </c>
      <c r="AZ295" s="324">
        <f>'DATA (Real)'!AZ291*AZ$4/$H$4</f>
        <v>68.548075805160636</v>
      </c>
      <c r="BA295" s="324">
        <f>'DATA (Real)'!BA291*BA$4/$H$4</f>
        <v>70.05613347287418</v>
      </c>
      <c r="BB295" s="324">
        <f>'DATA (Real)'!BB291*BB$4/$H$4</f>
        <v>71.597368409277408</v>
      </c>
      <c r="BC295" s="324">
        <f>'DATA (Real)'!BC291*BC$4/$H$4</f>
        <v>73.172510514281512</v>
      </c>
      <c r="BD295" s="324">
        <f>'DATA (Real)'!BD291*BD$4/$H$4</f>
        <v>74.782305745595707</v>
      </c>
      <c r="BE295" s="324">
        <f>'DATA (Real)'!BE291*BE$4/$H$4</f>
        <v>76.4275164719988</v>
      </c>
      <c r="BF295" s="324">
        <f>'DATA (Real)'!BF291*BF$4/$H$4</f>
        <v>78.108921834382784</v>
      </c>
      <c r="BG295" s="324">
        <f>'DATA (Real)'!BG291*BG$4/$H$4</f>
        <v>79.827318114739185</v>
      </c>
      <c r="BH295" s="324">
        <f>'DATA (Real)'!BH291*BH$4/$H$4</f>
        <v>81.583519113263463</v>
      </c>
      <c r="BI295" s="324">
        <f>'DATA (Real)'!BI291*BI$4/$H$4</f>
        <v>83.378356533755252</v>
      </c>
      <c r="BJ295" s="324">
        <f>'DATA (Real)'!BJ291*BJ$4/$H$4</f>
        <v>85.212680377497875</v>
      </c>
      <c r="BK295" s="324">
        <f>'DATA (Real)'!BK291*BK$4/$H$4</f>
        <v>87.087359345802838</v>
      </c>
      <c r="BL295" s="324">
        <f>'DATA (Real)'!BL291*BL$4/$H$4</f>
        <v>89.003281251410485</v>
      </c>
      <c r="BM295" s="324">
        <f>'DATA (Real)'!BM291*BM$4/$H$4</f>
        <v>90.961353438941529</v>
      </c>
      <c r="BN295" s="324">
        <f>'DATA (Real)'!BN291*BN$4/$H$4</f>
        <v>92.962503214598243</v>
      </c>
      <c r="BO295" s="324">
        <f>'DATA (Real)'!BO291*BO$4/$H$4</f>
        <v>95.007678285319415</v>
      </c>
      <c r="BP295" s="324">
        <f>'DATA (Real)'!BP291*BP$4/$H$4</f>
        <v>97.097847207596431</v>
      </c>
      <c r="BQ295" s="324">
        <f>'DATA (Real)'!BQ291*BQ$4/$H$4</f>
        <v>99.233999846163556</v>
      </c>
      <c r="BR295" s="324">
        <f>'DATA (Real)'!BR291*BR$4/$H$4</f>
        <v>101.41714784277917</v>
      </c>
      <c r="BS295" s="324">
        <f>'DATA (Real)'!BS291*BS$4/$H$4</f>
        <v>103.6483250953203</v>
      </c>
      <c r="BT295" s="324">
        <f>'DATA (Real)'!BT291*BT$4/$H$4</f>
        <v>105.92858824741737</v>
      </c>
      <c r="BU295" s="324">
        <f>'DATA (Real)'!BU291*BU$4/$H$4</f>
        <v>108.25901718886054</v>
      </c>
      <c r="BV295" s="324">
        <f>'DATA (Real)'!BV291*BV$4/$H$4</f>
        <v>110.64071556701549</v>
      </c>
      <c r="BW295" s="324">
        <f>'DATA (Real)'!BW291*BW$4/$H$4</f>
        <v>113.07481130948985</v>
      </c>
      <c r="BX295" s="324">
        <f>'DATA (Real)'!BX291*BX$4/$H$4</f>
        <v>115.5624571582986</v>
      </c>
    </row>
    <row r="296" spans="1:76" hidden="1" outlineLevel="1">
      <c r="B296" s="350" t="s">
        <v>230</v>
      </c>
      <c r="C296" s="350" t="str">
        <f>'DATA (Real)'!C292</f>
        <v>Inflation Reduction Act</v>
      </c>
      <c r="D296" s="350" t="str">
        <f>'DATA (Real)'!D292</f>
        <v>PTC Value ($/MWh)</v>
      </c>
      <c r="E296" s="350" t="str">
        <f>'DATA (Real)'!E292</f>
        <v>Off Shore Wind (Share)</v>
      </c>
      <c r="F296" s="331"/>
      <c r="G296" s="331"/>
      <c r="H296" s="314">
        <f>'DATA (Real)'!H292*H$4/$H$4</f>
        <v>26</v>
      </c>
      <c r="I296" s="324">
        <f>'DATA (Real)'!I292*I$4/$H$4</f>
        <v>26.824720000000003</v>
      </c>
      <c r="J296" s="324">
        <f>'DATA (Real)'!J292*J$4/$H$4</f>
        <v>27.455715653166664</v>
      </c>
      <c r="K296" s="324">
        <f>'DATA (Real)'!K292*K$4/$H$4</f>
        <v>28.068893302754049</v>
      </c>
      <c r="L296" s="324">
        <f>'DATA (Real)'!L292*L$4/$H$4</f>
        <v>28.695765253182227</v>
      </c>
      <c r="M296" s="324">
        <f>'DATA (Real)'!M292*M$4/$H$4</f>
        <v>29.336637343836628</v>
      </c>
      <c r="N296" s="324">
        <f>'DATA (Real)'!N292*N$4/$H$4</f>
        <v>29.982043365401037</v>
      </c>
      <c r="O296" s="324">
        <f>'DATA (Real)'!O292*O$4/$H$4</f>
        <v>30.641648319439856</v>
      </c>
      <c r="P296" s="324">
        <f>'DATA (Real)'!P292*P$4/$H$4</f>
        <v>31.315764582467537</v>
      </c>
      <c r="Q296" s="324">
        <f>'DATA (Real)'!Q292*Q$4/$H$4</f>
        <v>32.004711403281817</v>
      </c>
      <c r="R296" s="324">
        <f>'DATA (Real)'!R292*R$4/$H$4</f>
        <v>32.708815054154023</v>
      </c>
      <c r="S296" s="324">
        <f>'DATA (Real)'!S292*S$4/$H$4</f>
        <v>33.428408985345413</v>
      </c>
      <c r="T296" s="324">
        <f>'DATA (Real)'!T292*T$4/$H$4</f>
        <v>34.163833983023011</v>
      </c>
      <c r="U296" s="324">
        <f>'DATA (Real)'!U292*U$4/$H$4</f>
        <v>34.915438330649515</v>
      </c>
      <c r="V296" s="324">
        <f>'DATA (Real)'!V292*V$4/$H$4</f>
        <v>35.683577973923803</v>
      </c>
      <c r="W296" s="324">
        <f>'DATA (Real)'!W292*W$4/$H$4</f>
        <v>36.468616689350128</v>
      </c>
      <c r="X296" s="324">
        <f>'DATA (Real)'!X292*X$4/$H$4</f>
        <v>37.270926256515828</v>
      </c>
      <c r="Y296" s="324">
        <f>'DATA (Real)'!Y292*Y$4/$H$4</f>
        <v>38.090886634159183</v>
      </c>
      <c r="Z296" s="324">
        <f>'DATA (Real)'!Z292*Z$4/$H$4</f>
        <v>38.928886140110684</v>
      </c>
      <c r="AA296" s="324">
        <f>'DATA (Real)'!AA292*AA$4/$H$4</f>
        <v>39.785321635193114</v>
      </c>
      <c r="AB296" s="324">
        <f>'DATA (Real)'!AB292*AB$4/$H$4</f>
        <v>40.660598711167367</v>
      </c>
      <c r="AC296" s="324">
        <f>'DATA (Real)'!AC292*AC$4/$H$4</f>
        <v>41.55513188281305</v>
      </c>
      <c r="AD296" s="324">
        <f>'DATA (Real)'!AD292*AD$4/$H$4</f>
        <v>42.469344784234934</v>
      </c>
      <c r="AE296" s="324">
        <f>'DATA (Real)'!AE292*AE$4/$H$4</f>
        <v>43.403670369488104</v>
      </c>
      <c r="AF296" s="324">
        <f>'DATA (Real)'!AF292*AF$4/$H$4</f>
        <v>44.358551117616848</v>
      </c>
      <c r="AG296" s="324">
        <f>'DATA (Real)'!AG292*AG$4/$H$4</f>
        <v>45.334439242204418</v>
      </c>
      <c r="AH296" s="324">
        <f>'DATA (Real)'!AH292*AH$4/$H$4</f>
        <v>46.331796905532912</v>
      </c>
      <c r="AI296" s="324">
        <f>'DATA (Real)'!AI292*AI$4/$H$4</f>
        <v>47.351096437454636</v>
      </c>
      <c r="AJ296" s="324">
        <f>'DATA (Real)'!AJ292*AJ$4/$H$4</f>
        <v>48.392820559078636</v>
      </c>
      <c r="AK296" s="324">
        <f>'DATA (Real)'!AK292*AK$4/$H$4</f>
        <v>49.457462611378361</v>
      </c>
      <c r="AL296" s="324">
        <f>'DATA (Real)'!AL292*AL$4/$H$4</f>
        <v>50.545526788828695</v>
      </c>
      <c r="AM296" s="324">
        <f>'DATA (Real)'!AM292*AM$4/$H$4</f>
        <v>51.657528378182924</v>
      </c>
      <c r="AN296" s="324">
        <f>'DATA (Real)'!AN292*AN$4/$H$4</f>
        <v>52.793994002502949</v>
      </c>
      <c r="AO296" s="324">
        <f>'DATA (Real)'!AO292*AO$4/$H$4</f>
        <v>53.955461870558018</v>
      </c>
      <c r="AP296" s="324">
        <f>'DATA (Real)'!AP292*AP$4/$H$4</f>
        <v>55.142482031710287</v>
      </c>
      <c r="AQ296" s="324">
        <f>'DATA (Real)'!AQ292*AQ$4/$H$4</f>
        <v>56.355616636407916</v>
      </c>
      <c r="AR296" s="324">
        <f>'DATA (Real)'!AR292*AR$4/$H$4</f>
        <v>57.595440202408888</v>
      </c>
      <c r="AS296" s="324">
        <f>'DATA (Real)'!AS292*AS$4/$H$4</f>
        <v>58.862539886861882</v>
      </c>
      <c r="AT296" s="324">
        <f>'DATA (Real)'!AT292*AT$4/$H$4</f>
        <v>60.157515764372846</v>
      </c>
      <c r="AU296" s="324">
        <f>'DATA (Real)'!AU292*AU$4/$H$4</f>
        <v>61.480981111189045</v>
      </c>
      <c r="AV296" s="324">
        <f>'DATA (Real)'!AV292*AV$4/$H$4</f>
        <v>62.833562695635202</v>
      </c>
      <c r="AW296" s="324">
        <f>'DATA (Real)'!AW292*AW$4/$H$4</f>
        <v>64.215901074939183</v>
      </c>
      <c r="AX296" s="324">
        <f>'DATA (Real)'!AX292*AX$4/$H$4</f>
        <v>65.62865089858785</v>
      </c>
      <c r="AY296" s="324">
        <f>'DATA (Real)'!AY292*AY$4/$H$4</f>
        <v>67.072481218356785</v>
      </c>
      <c r="AZ296" s="324">
        <f>'DATA (Real)'!AZ292*AZ$4/$H$4</f>
        <v>68.548075805160636</v>
      </c>
      <c r="BA296" s="324">
        <f>'DATA (Real)'!BA292*BA$4/$H$4</f>
        <v>70.05613347287418</v>
      </c>
      <c r="BB296" s="324">
        <f>'DATA (Real)'!BB292*BB$4/$H$4</f>
        <v>71.597368409277408</v>
      </c>
      <c r="BC296" s="324">
        <f>'DATA (Real)'!BC292*BC$4/$H$4</f>
        <v>73.172510514281512</v>
      </c>
      <c r="BD296" s="324">
        <f>'DATA (Real)'!BD292*BD$4/$H$4</f>
        <v>74.782305745595707</v>
      </c>
      <c r="BE296" s="324">
        <f>'DATA (Real)'!BE292*BE$4/$H$4</f>
        <v>76.4275164719988</v>
      </c>
      <c r="BF296" s="324">
        <f>'DATA (Real)'!BF292*BF$4/$H$4</f>
        <v>78.108921834382784</v>
      </c>
      <c r="BG296" s="324">
        <f>'DATA (Real)'!BG292*BG$4/$H$4</f>
        <v>79.827318114739185</v>
      </c>
      <c r="BH296" s="324">
        <f>'DATA (Real)'!BH292*BH$4/$H$4</f>
        <v>81.583519113263463</v>
      </c>
      <c r="BI296" s="324">
        <f>'DATA (Real)'!BI292*BI$4/$H$4</f>
        <v>83.378356533755252</v>
      </c>
      <c r="BJ296" s="324">
        <f>'DATA (Real)'!BJ292*BJ$4/$H$4</f>
        <v>85.212680377497875</v>
      </c>
      <c r="BK296" s="324">
        <f>'DATA (Real)'!BK292*BK$4/$H$4</f>
        <v>87.087359345802838</v>
      </c>
      <c r="BL296" s="324">
        <f>'DATA (Real)'!BL292*BL$4/$H$4</f>
        <v>89.003281251410485</v>
      </c>
      <c r="BM296" s="324">
        <f>'DATA (Real)'!BM292*BM$4/$H$4</f>
        <v>90.961353438941529</v>
      </c>
      <c r="BN296" s="324">
        <f>'DATA (Real)'!BN292*BN$4/$H$4</f>
        <v>92.962503214598243</v>
      </c>
      <c r="BO296" s="324">
        <f>'DATA (Real)'!BO292*BO$4/$H$4</f>
        <v>95.007678285319415</v>
      </c>
      <c r="BP296" s="324">
        <f>'DATA (Real)'!BP292*BP$4/$H$4</f>
        <v>97.097847207596431</v>
      </c>
      <c r="BQ296" s="324">
        <f>'DATA (Real)'!BQ292*BQ$4/$H$4</f>
        <v>99.233999846163556</v>
      </c>
      <c r="BR296" s="324">
        <f>'DATA (Real)'!BR292*BR$4/$H$4</f>
        <v>101.41714784277917</v>
      </c>
      <c r="BS296" s="324">
        <f>'DATA (Real)'!BS292*BS$4/$H$4</f>
        <v>103.6483250953203</v>
      </c>
      <c r="BT296" s="324">
        <f>'DATA (Real)'!BT292*BT$4/$H$4</f>
        <v>105.92858824741737</v>
      </c>
      <c r="BU296" s="324">
        <f>'DATA (Real)'!BU292*BU$4/$H$4</f>
        <v>108.25901718886054</v>
      </c>
      <c r="BV296" s="324">
        <f>'DATA (Real)'!BV292*BV$4/$H$4</f>
        <v>110.64071556701549</v>
      </c>
      <c r="BW296" s="324">
        <f>'DATA (Real)'!BW292*BW$4/$H$4</f>
        <v>113.07481130948985</v>
      </c>
      <c r="BX296" s="324">
        <f>'DATA (Real)'!BX292*BX$4/$H$4</f>
        <v>115.5624571582986</v>
      </c>
    </row>
    <row r="297" spans="1:76" hidden="1" outlineLevel="1">
      <c r="B297" s="351" t="s">
        <v>230</v>
      </c>
      <c r="C297" s="351" t="str">
        <f>'DATA (Real)'!C293</f>
        <v>Inflation Reduction Act</v>
      </c>
      <c r="D297" s="351" t="str">
        <f>'DATA (Real)'!D293</f>
        <v>PTC Value ($/MWh)</v>
      </c>
      <c r="E297" s="351" t="str">
        <f>'DATA (Real)'!E293</f>
        <v>Small Modular Reactor (share)</v>
      </c>
      <c r="F297" s="331"/>
      <c r="G297" s="331"/>
      <c r="H297" s="314">
        <f>'DATA (Real)'!H293*H$4/$H$4</f>
        <v>18</v>
      </c>
      <c r="I297" s="324">
        <f>'DATA (Real)'!I293*I$4/$H$4</f>
        <v>18.570959999999999</v>
      </c>
      <c r="J297" s="324">
        <f>'DATA (Real)'!J293*J$4/$H$4</f>
        <v>19.007803144499995</v>
      </c>
      <c r="K297" s="324">
        <f>'DATA (Real)'!K293*K$4/$H$4</f>
        <v>19.432310748060498</v>
      </c>
      <c r="L297" s="324">
        <f>'DATA (Real)'!L293*L$4/$H$4</f>
        <v>19.86629902143385</v>
      </c>
      <c r="M297" s="324">
        <f>'DATA (Real)'!M293*M$4/$H$4</f>
        <v>20.309979699579205</v>
      </c>
      <c r="N297" s="324">
        <f>'DATA (Real)'!N293*N$4/$H$4</f>
        <v>20.756799252969948</v>
      </c>
      <c r="O297" s="324">
        <f>'DATA (Real)'!O293*O$4/$H$4</f>
        <v>21.213448836535289</v>
      </c>
      <c r="P297" s="324">
        <f>'DATA (Real)'!P293*P$4/$H$4</f>
        <v>21.680144710939064</v>
      </c>
      <c r="Q297" s="324">
        <f>'DATA (Real)'!Q293*Q$4/$H$4</f>
        <v>22.15710789457972</v>
      </c>
      <c r="R297" s="324">
        <f>'DATA (Real)'!R293*R$4/$H$4</f>
        <v>22.644564268260478</v>
      </c>
      <c r="S297" s="324">
        <f>'DATA (Real)'!S293*S$4/$H$4</f>
        <v>23.14274468216221</v>
      </c>
      <c r="T297" s="324">
        <f>'DATA (Real)'!T293*T$4/$H$4</f>
        <v>23.651885065169779</v>
      </c>
      <c r="U297" s="324">
        <f>'DATA (Real)'!U293*U$4/$H$4</f>
        <v>24.17222653660351</v>
      </c>
      <c r="V297" s="324">
        <f>'DATA (Real)'!V293*V$4/$H$4</f>
        <v>24.704015520408788</v>
      </c>
      <c r="W297" s="324">
        <f>'DATA (Real)'!W293*W$4/$H$4</f>
        <v>25.24750386185778</v>
      </c>
      <c r="X297" s="324">
        <f>'DATA (Real)'!X293*X$4/$H$4</f>
        <v>25.802948946818653</v>
      </c>
      <c r="Y297" s="324">
        <f>'DATA (Real)'!Y293*Y$4/$H$4</f>
        <v>26.370613823648664</v>
      </c>
      <c r="Z297" s="324">
        <f>'DATA (Real)'!Z293*Z$4/$H$4</f>
        <v>26.950767327768936</v>
      </c>
      <c r="AA297" s="324">
        <f>'DATA (Real)'!AA293*AA$4/$H$4</f>
        <v>27.543684208979851</v>
      </c>
      <c r="AB297" s="324">
        <f>'DATA (Real)'!AB293*AB$4/$H$4</f>
        <v>28.149645261577408</v>
      </c>
      <c r="AC297" s="324">
        <f>'DATA (Real)'!AC293*AC$4/$H$4</f>
        <v>28.768937457332111</v>
      </c>
      <c r="AD297" s="324">
        <f>'DATA (Real)'!AD293*AD$4/$H$4</f>
        <v>29.401854081393417</v>
      </c>
      <c r="AE297" s="324">
        <f>'DATA (Real)'!AE293*AE$4/$H$4</f>
        <v>30.048694871184075</v>
      </c>
      <c r="AF297" s="324">
        <f>'DATA (Real)'!AF293*AF$4/$H$4</f>
        <v>30.709766158350124</v>
      </c>
      <c r="AG297" s="324">
        <f>'DATA (Real)'!AG293*AG$4/$H$4</f>
        <v>31.385381013833825</v>
      </c>
      <c r="AH297" s="324">
        <f>'DATA (Real)'!AH293*AH$4/$H$4</f>
        <v>32.075859396138171</v>
      </c>
      <c r="AI297" s="324">
        <f>'DATA (Real)'!AI293*AI$4/$H$4</f>
        <v>32.781528302853211</v>
      </c>
      <c r="AJ297" s="324">
        <f>'DATA (Real)'!AJ293*AJ$4/$H$4</f>
        <v>33.502721925515978</v>
      </c>
      <c r="AK297" s="324">
        <f>'DATA (Real)'!AK293*AK$4/$H$4</f>
        <v>34.239781807877328</v>
      </c>
      <c r="AL297" s="324">
        <f>'DATA (Real)'!AL293*AL$4/$H$4</f>
        <v>34.993057007650634</v>
      </c>
      <c r="AM297" s="324">
        <f>'DATA (Real)'!AM293*AM$4/$H$4</f>
        <v>35.762904261818946</v>
      </c>
      <c r="AN297" s="324">
        <f>'DATA (Real)'!AN293*AN$4/$H$4</f>
        <v>36.549688155578963</v>
      </c>
      <c r="AO297" s="324">
        <f>'DATA (Real)'!AO293*AO$4/$H$4</f>
        <v>37.353781295001696</v>
      </c>
      <c r="AP297" s="324">
        <f>'DATA (Real)'!AP293*AP$4/$H$4</f>
        <v>38.175564483491733</v>
      </c>
      <c r="AQ297" s="324">
        <f>'DATA (Real)'!AQ293*AQ$4/$H$4</f>
        <v>39.01542690212856</v>
      </c>
      <c r="AR297" s="324">
        <f>'DATA (Real)'!AR293*AR$4/$H$4</f>
        <v>39.873766293975386</v>
      </c>
      <c r="AS297" s="324">
        <f>'DATA (Real)'!AS293*AS$4/$H$4</f>
        <v>40.750989152442841</v>
      </c>
      <c r="AT297" s="324">
        <f>'DATA (Real)'!AT293*AT$4/$H$4</f>
        <v>41.64751091379658</v>
      </c>
      <c r="AU297" s="324">
        <f>'DATA (Real)'!AU293*AU$4/$H$4</f>
        <v>42.563756153900108</v>
      </c>
      <c r="AV297" s="324">
        <f>'DATA (Real)'!AV293*AV$4/$H$4</f>
        <v>43.500158789285912</v>
      </c>
      <c r="AW297" s="324">
        <f>'DATA (Real)'!AW293*AW$4/$H$4</f>
        <v>44.457162282650209</v>
      </c>
      <c r="AX297" s="324">
        <f>'DATA (Real)'!AX293*AX$4/$H$4</f>
        <v>45.435219852868514</v>
      </c>
      <c r="AY297" s="324">
        <f>'DATA (Real)'!AY293*AY$4/$H$4</f>
        <v>46.434794689631623</v>
      </c>
      <c r="AZ297" s="324">
        <f>'DATA (Real)'!AZ293*AZ$4/$H$4</f>
        <v>47.456360172803514</v>
      </c>
      <c r="BA297" s="324">
        <f>'DATA (Real)'!BA293*BA$4/$H$4</f>
        <v>48.500400096605198</v>
      </c>
      <c r="BB297" s="324">
        <f>'DATA (Real)'!BB293*BB$4/$H$4</f>
        <v>49.567408898730513</v>
      </c>
      <c r="BC297" s="324">
        <f>'DATA (Real)'!BC293*BC$4/$H$4</f>
        <v>50.657891894502583</v>
      </c>
      <c r="BD297" s="324">
        <f>'DATA (Real)'!BD293*BD$4/$H$4</f>
        <v>51.772365516181637</v>
      </c>
      <c r="BE297" s="324">
        <f>'DATA (Real)'!BE293*BE$4/$H$4</f>
        <v>52.911357557537627</v>
      </c>
      <c r="BF297" s="324">
        <f>'DATA (Real)'!BF293*BF$4/$H$4</f>
        <v>54.075407423803469</v>
      </c>
      <c r="BG297" s="324">
        <f>'DATA (Real)'!BG293*BG$4/$H$4</f>
        <v>55.265066387127135</v>
      </c>
      <c r="BH297" s="324">
        <f>'DATA (Real)'!BH293*BH$4/$H$4</f>
        <v>56.480897847643938</v>
      </c>
      <c r="BI297" s="324">
        <f>'DATA (Real)'!BI293*BI$4/$H$4</f>
        <v>57.723477600292107</v>
      </c>
      <c r="BJ297" s="324">
        <f>'DATA (Real)'!BJ293*BJ$4/$H$4</f>
        <v>58.993394107498524</v>
      </c>
      <c r="BK297" s="324">
        <f>'DATA (Real)'!BK293*BK$4/$H$4</f>
        <v>60.291248777863501</v>
      </c>
      <c r="BL297" s="324">
        <f>'DATA (Real)'!BL293*BL$4/$H$4</f>
        <v>61.617656250976495</v>
      </c>
      <c r="BM297" s="324">
        <f>'DATA (Real)'!BM293*BM$4/$H$4</f>
        <v>62.973244688497985</v>
      </c>
      <c r="BN297" s="324">
        <f>'DATA (Real)'!BN293*BN$4/$H$4</f>
        <v>64.358656071644944</v>
      </c>
      <c r="BO297" s="324">
        <f>'DATA (Real)'!BO293*BO$4/$H$4</f>
        <v>65.774546505221139</v>
      </c>
      <c r="BP297" s="324">
        <f>'DATA (Real)'!BP293*BP$4/$H$4</f>
        <v>67.22158652833599</v>
      </c>
      <c r="BQ297" s="324">
        <f>'DATA (Real)'!BQ293*BQ$4/$H$4</f>
        <v>68.700461431959383</v>
      </c>
      <c r="BR297" s="324">
        <f>'DATA (Real)'!BR293*BR$4/$H$4</f>
        <v>70.211871583462496</v>
      </c>
      <c r="BS297" s="324">
        <f>'DATA (Real)'!BS293*BS$4/$H$4</f>
        <v>71.756532758298675</v>
      </c>
      <c r="BT297" s="324">
        <f>'DATA (Real)'!BT293*BT$4/$H$4</f>
        <v>73.335176478981253</v>
      </c>
      <c r="BU297" s="324">
        <f>'DATA (Real)'!BU293*BU$4/$H$4</f>
        <v>74.948550361518826</v>
      </c>
      <c r="BV297" s="324">
        <f>'DATA (Real)'!BV293*BV$4/$H$4</f>
        <v>76.59741846947226</v>
      </c>
      <c r="BW297" s="324">
        <f>'DATA (Real)'!BW293*BW$4/$H$4</f>
        <v>78.28256167580065</v>
      </c>
      <c r="BX297" s="324">
        <f>'DATA (Real)'!BX293*BX$4/$H$4</f>
        <v>80.00477803266827</v>
      </c>
    </row>
    <row r="298" spans="1:76" hidden="1" outlineLevel="1">
      <c r="B298" s="351" t="s">
        <v>230</v>
      </c>
      <c r="C298" s="351" t="str">
        <f>'DATA (Real)'!C294</f>
        <v>Inflation Reduction Act</v>
      </c>
      <c r="D298" s="351" t="str">
        <f>'DATA (Real)'!D294</f>
        <v>PTC Value ($/MWh)</v>
      </c>
      <c r="E298" s="351" t="str">
        <f>'DATA (Real)'!E294</f>
        <v>Geothermal (Off System)</v>
      </c>
      <c r="F298" s="331"/>
      <c r="G298" s="331"/>
      <c r="H298" s="314">
        <f>'DATA (Real)'!H294*H$4/$H$4</f>
        <v>26</v>
      </c>
      <c r="I298" s="324">
        <f>'DATA (Real)'!I294*I$4/$H$4</f>
        <v>26.824720000000003</v>
      </c>
      <c r="J298" s="324">
        <f>'DATA (Real)'!J294*J$4/$H$4</f>
        <v>27.455715653166664</v>
      </c>
      <c r="K298" s="324">
        <f>'DATA (Real)'!K294*K$4/$H$4</f>
        <v>28.068893302754049</v>
      </c>
      <c r="L298" s="324">
        <f>'DATA (Real)'!L294*L$4/$H$4</f>
        <v>28.695765253182227</v>
      </c>
      <c r="M298" s="324">
        <f>'DATA (Real)'!M294*M$4/$H$4</f>
        <v>29.336637343836628</v>
      </c>
      <c r="N298" s="324">
        <f>'DATA (Real)'!N294*N$4/$H$4</f>
        <v>29.982043365401037</v>
      </c>
      <c r="O298" s="324">
        <f>'DATA (Real)'!O294*O$4/$H$4</f>
        <v>30.641648319439856</v>
      </c>
      <c r="P298" s="324">
        <f>'DATA (Real)'!P294*P$4/$H$4</f>
        <v>31.315764582467537</v>
      </c>
      <c r="Q298" s="324">
        <f>'DATA (Real)'!Q294*Q$4/$H$4</f>
        <v>32.004711403281817</v>
      </c>
      <c r="R298" s="324">
        <f>'DATA (Real)'!R294*R$4/$H$4</f>
        <v>32.708815054154023</v>
      </c>
      <c r="S298" s="324">
        <f>'DATA (Real)'!S294*S$4/$H$4</f>
        <v>33.428408985345413</v>
      </c>
      <c r="T298" s="324">
        <f>'DATA (Real)'!T294*T$4/$H$4</f>
        <v>34.163833983023011</v>
      </c>
      <c r="U298" s="324">
        <f>'DATA (Real)'!U294*U$4/$H$4</f>
        <v>34.915438330649515</v>
      </c>
      <c r="V298" s="324">
        <f>'DATA (Real)'!V294*V$4/$H$4</f>
        <v>35.683577973923803</v>
      </c>
      <c r="W298" s="324">
        <f>'DATA (Real)'!W294*W$4/$H$4</f>
        <v>36.468616689350128</v>
      </c>
      <c r="X298" s="324">
        <f>'DATA (Real)'!X294*X$4/$H$4</f>
        <v>37.270926256515828</v>
      </c>
      <c r="Y298" s="324">
        <f>'DATA (Real)'!Y294*Y$4/$H$4</f>
        <v>38.090886634159183</v>
      </c>
      <c r="Z298" s="324">
        <f>'DATA (Real)'!Z294*Z$4/$H$4</f>
        <v>38.928886140110684</v>
      </c>
      <c r="AA298" s="324">
        <f>'DATA (Real)'!AA294*AA$4/$H$4</f>
        <v>39.785321635193114</v>
      </c>
      <c r="AB298" s="324">
        <f>'DATA (Real)'!AB294*AB$4/$H$4</f>
        <v>40.660598711167367</v>
      </c>
      <c r="AC298" s="324">
        <f>'DATA (Real)'!AC294*AC$4/$H$4</f>
        <v>41.55513188281305</v>
      </c>
      <c r="AD298" s="324">
        <f>'DATA (Real)'!AD294*AD$4/$H$4</f>
        <v>42.469344784234934</v>
      </c>
      <c r="AE298" s="324">
        <f>'DATA (Real)'!AE294*AE$4/$H$4</f>
        <v>43.403670369488104</v>
      </c>
      <c r="AF298" s="324">
        <f>'DATA (Real)'!AF294*AF$4/$H$4</f>
        <v>44.358551117616848</v>
      </c>
      <c r="AG298" s="324">
        <f>'DATA (Real)'!AG294*AG$4/$H$4</f>
        <v>45.334439242204418</v>
      </c>
      <c r="AH298" s="324">
        <f>'DATA (Real)'!AH294*AH$4/$H$4</f>
        <v>46.331796905532912</v>
      </c>
      <c r="AI298" s="324">
        <f>'DATA (Real)'!AI294*AI$4/$H$4</f>
        <v>47.351096437454636</v>
      </c>
      <c r="AJ298" s="324">
        <f>'DATA (Real)'!AJ294*AJ$4/$H$4</f>
        <v>48.392820559078636</v>
      </c>
      <c r="AK298" s="324">
        <f>'DATA (Real)'!AK294*AK$4/$H$4</f>
        <v>49.457462611378361</v>
      </c>
      <c r="AL298" s="324">
        <f>'DATA (Real)'!AL294*AL$4/$H$4</f>
        <v>50.545526788828695</v>
      </c>
      <c r="AM298" s="324">
        <f>'DATA (Real)'!AM294*AM$4/$H$4</f>
        <v>51.657528378182924</v>
      </c>
      <c r="AN298" s="324">
        <f>'DATA (Real)'!AN294*AN$4/$H$4</f>
        <v>52.793994002502949</v>
      </c>
      <c r="AO298" s="324">
        <f>'DATA (Real)'!AO294*AO$4/$H$4</f>
        <v>53.955461870558018</v>
      </c>
      <c r="AP298" s="324">
        <f>'DATA (Real)'!AP294*AP$4/$H$4</f>
        <v>55.142482031710287</v>
      </c>
      <c r="AQ298" s="324">
        <f>'DATA (Real)'!AQ294*AQ$4/$H$4</f>
        <v>56.355616636407916</v>
      </c>
      <c r="AR298" s="324">
        <f>'DATA (Real)'!AR294*AR$4/$H$4</f>
        <v>57.595440202408888</v>
      </c>
      <c r="AS298" s="324">
        <f>'DATA (Real)'!AS294*AS$4/$H$4</f>
        <v>58.862539886861882</v>
      </c>
      <c r="AT298" s="324">
        <f>'DATA (Real)'!AT294*AT$4/$H$4</f>
        <v>60.157515764372846</v>
      </c>
      <c r="AU298" s="324">
        <f>'DATA (Real)'!AU294*AU$4/$H$4</f>
        <v>61.480981111189045</v>
      </c>
      <c r="AV298" s="324">
        <f>'DATA (Real)'!AV294*AV$4/$H$4</f>
        <v>62.833562695635202</v>
      </c>
      <c r="AW298" s="324">
        <f>'DATA (Real)'!AW294*AW$4/$H$4</f>
        <v>64.215901074939183</v>
      </c>
      <c r="AX298" s="324">
        <f>'DATA (Real)'!AX294*AX$4/$H$4</f>
        <v>65.62865089858785</v>
      </c>
      <c r="AY298" s="324">
        <f>'DATA (Real)'!AY294*AY$4/$H$4</f>
        <v>67.072481218356785</v>
      </c>
      <c r="AZ298" s="324">
        <f>'DATA (Real)'!AZ294*AZ$4/$H$4</f>
        <v>68.548075805160636</v>
      </c>
      <c r="BA298" s="324">
        <f>'DATA (Real)'!BA294*BA$4/$H$4</f>
        <v>70.05613347287418</v>
      </c>
      <c r="BB298" s="324">
        <f>'DATA (Real)'!BB294*BB$4/$H$4</f>
        <v>71.597368409277408</v>
      </c>
      <c r="BC298" s="324">
        <f>'DATA (Real)'!BC294*BC$4/$H$4</f>
        <v>73.172510514281512</v>
      </c>
      <c r="BD298" s="324">
        <f>'DATA (Real)'!BD294*BD$4/$H$4</f>
        <v>74.782305745595707</v>
      </c>
      <c r="BE298" s="324">
        <f>'DATA (Real)'!BE294*BE$4/$H$4</f>
        <v>76.4275164719988</v>
      </c>
      <c r="BF298" s="324">
        <f>'DATA (Real)'!BF294*BF$4/$H$4</f>
        <v>78.108921834382784</v>
      </c>
      <c r="BG298" s="324">
        <f>'DATA (Real)'!BG294*BG$4/$H$4</f>
        <v>79.827318114739185</v>
      </c>
      <c r="BH298" s="324">
        <f>'DATA (Real)'!BH294*BH$4/$H$4</f>
        <v>81.583519113263463</v>
      </c>
      <c r="BI298" s="324">
        <f>'DATA (Real)'!BI294*BI$4/$H$4</f>
        <v>83.378356533755252</v>
      </c>
      <c r="BJ298" s="324">
        <f>'DATA (Real)'!BJ294*BJ$4/$H$4</f>
        <v>85.212680377497875</v>
      </c>
      <c r="BK298" s="324">
        <f>'DATA (Real)'!BK294*BK$4/$H$4</f>
        <v>87.087359345802838</v>
      </c>
      <c r="BL298" s="324">
        <f>'DATA (Real)'!BL294*BL$4/$H$4</f>
        <v>89.003281251410485</v>
      </c>
      <c r="BM298" s="324">
        <f>'DATA (Real)'!BM294*BM$4/$H$4</f>
        <v>90.961353438941529</v>
      </c>
      <c r="BN298" s="324">
        <f>'DATA (Real)'!BN294*BN$4/$H$4</f>
        <v>92.962503214598243</v>
      </c>
      <c r="BO298" s="324">
        <f>'DATA (Real)'!BO294*BO$4/$H$4</f>
        <v>95.007678285319415</v>
      </c>
      <c r="BP298" s="324">
        <f>'DATA (Real)'!BP294*BP$4/$H$4</f>
        <v>97.097847207596431</v>
      </c>
      <c r="BQ298" s="324">
        <f>'DATA (Real)'!BQ294*BQ$4/$H$4</f>
        <v>99.233999846163556</v>
      </c>
      <c r="BR298" s="324">
        <f>'DATA (Real)'!BR294*BR$4/$H$4</f>
        <v>101.41714784277917</v>
      </c>
      <c r="BS298" s="324">
        <f>'DATA (Real)'!BS294*BS$4/$H$4</f>
        <v>103.6483250953203</v>
      </c>
      <c r="BT298" s="324">
        <f>'DATA (Real)'!BT294*BT$4/$H$4</f>
        <v>105.92858824741737</v>
      </c>
      <c r="BU298" s="324">
        <f>'DATA (Real)'!BU294*BU$4/$H$4</f>
        <v>108.25901718886054</v>
      </c>
      <c r="BV298" s="324">
        <f>'DATA (Real)'!BV294*BV$4/$H$4</f>
        <v>110.64071556701549</v>
      </c>
      <c r="BW298" s="324">
        <f>'DATA (Real)'!BW294*BW$4/$H$4</f>
        <v>113.07481130948985</v>
      </c>
      <c r="BX298" s="324">
        <f>'DATA (Real)'!BX294*BX$4/$H$4</f>
        <v>115.5624571582986</v>
      </c>
    </row>
    <row r="299" spans="1:76" hidden="1" outlineLevel="1">
      <c r="B299" s="352"/>
      <c r="C299" s="352" t="str">
        <f>'DATA (Real)'!C295</f>
        <v>Inflation Reduction Act</v>
      </c>
      <c r="D299" s="352" t="str">
        <f>'DATA (Real)'!D295</f>
        <v>PTC Value ($/MWh)</v>
      </c>
      <c r="E299" s="352" t="str">
        <f>'DATA (Real)'!E295</f>
        <v>New Residential Solar</v>
      </c>
      <c r="F299" s="331"/>
      <c r="G299" s="331"/>
      <c r="H299" s="314">
        <f>'DATA (Real)'!H295*H$4/$H$4</f>
        <v>26</v>
      </c>
      <c r="I299" s="324">
        <f>'DATA (Real)'!I295*I$4/$H$4</f>
        <v>26.824720000000003</v>
      </c>
      <c r="J299" s="324">
        <f>'DATA (Real)'!J295*J$4/$H$4</f>
        <v>27.455715653166664</v>
      </c>
      <c r="K299" s="324">
        <f>'DATA (Real)'!K295*K$4/$H$4</f>
        <v>28.068893302754049</v>
      </c>
      <c r="L299" s="324">
        <f>'DATA (Real)'!L295*L$4/$H$4</f>
        <v>28.695765253182227</v>
      </c>
      <c r="M299" s="324">
        <f>'DATA (Real)'!M295*M$4/$H$4</f>
        <v>29.336637343836628</v>
      </c>
      <c r="N299" s="324">
        <f>'DATA (Real)'!N295*N$4/$H$4</f>
        <v>29.982043365401037</v>
      </c>
      <c r="O299" s="324">
        <f>'DATA (Real)'!O295*O$4/$H$4</f>
        <v>30.641648319439856</v>
      </c>
      <c r="P299" s="324">
        <f>'DATA (Real)'!P295*P$4/$H$4</f>
        <v>31.315764582467537</v>
      </c>
      <c r="Q299" s="324">
        <f>'DATA (Real)'!Q295*Q$4/$H$4</f>
        <v>32.004711403281817</v>
      </c>
      <c r="R299" s="324">
        <f>'DATA (Real)'!R295*R$4/$H$4</f>
        <v>32.708815054154023</v>
      </c>
      <c r="S299" s="324">
        <f>'DATA (Real)'!S295*S$4/$H$4</f>
        <v>33.428408985345413</v>
      </c>
      <c r="T299" s="324">
        <f>'DATA (Real)'!T295*T$4/$H$4</f>
        <v>34.163833983023011</v>
      </c>
      <c r="U299" s="324">
        <f>'DATA (Real)'!U295*U$4/$H$4</f>
        <v>34.915438330649515</v>
      </c>
      <c r="V299" s="324">
        <f>'DATA (Real)'!V295*V$4/$H$4</f>
        <v>35.683577973923803</v>
      </c>
      <c r="W299" s="324">
        <f>'DATA (Real)'!W295*W$4/$H$4</f>
        <v>36.468616689350128</v>
      </c>
      <c r="X299" s="324">
        <f>'DATA (Real)'!X295*X$4/$H$4</f>
        <v>37.270926256515828</v>
      </c>
      <c r="Y299" s="324">
        <f>'DATA (Real)'!Y295*Y$4/$H$4</f>
        <v>38.090886634159183</v>
      </c>
      <c r="Z299" s="324">
        <f>'DATA (Real)'!Z295*Z$4/$H$4</f>
        <v>38.928886140110684</v>
      </c>
      <c r="AA299" s="324">
        <f>'DATA (Real)'!AA295*AA$4/$H$4</f>
        <v>39.785321635193114</v>
      </c>
      <c r="AB299" s="324">
        <f>'DATA (Real)'!AB295*AB$4/$H$4</f>
        <v>40.660598711167367</v>
      </c>
      <c r="AC299" s="324">
        <f>'DATA (Real)'!AC295*AC$4/$H$4</f>
        <v>41.55513188281305</v>
      </c>
      <c r="AD299" s="324">
        <f>'DATA (Real)'!AD295*AD$4/$H$4</f>
        <v>42.469344784234934</v>
      </c>
      <c r="AE299" s="324">
        <f>'DATA (Real)'!AE295*AE$4/$H$4</f>
        <v>43.403670369488104</v>
      </c>
      <c r="AF299" s="324">
        <f>'DATA (Real)'!AF295*AF$4/$H$4</f>
        <v>44.358551117616848</v>
      </c>
      <c r="AG299" s="324">
        <f>'DATA (Real)'!AG295*AG$4/$H$4</f>
        <v>45.334439242204418</v>
      </c>
      <c r="AH299" s="324">
        <f>'DATA (Real)'!AH295*AH$4/$H$4</f>
        <v>46.331796905532912</v>
      </c>
      <c r="AI299" s="324">
        <f>'DATA (Real)'!AI295*AI$4/$H$4</f>
        <v>47.351096437454636</v>
      </c>
      <c r="AJ299" s="324">
        <f>'DATA (Real)'!AJ295*AJ$4/$H$4</f>
        <v>48.392820559078636</v>
      </c>
      <c r="AK299" s="324">
        <f>'DATA (Real)'!AK295*AK$4/$H$4</f>
        <v>49.457462611378361</v>
      </c>
      <c r="AL299" s="324">
        <f>'DATA (Real)'!AL295*AL$4/$H$4</f>
        <v>50.545526788828695</v>
      </c>
      <c r="AM299" s="324">
        <f>'DATA (Real)'!AM295*AM$4/$H$4</f>
        <v>51.657528378182924</v>
      </c>
      <c r="AN299" s="324">
        <f>'DATA (Real)'!AN295*AN$4/$H$4</f>
        <v>52.793994002502949</v>
      </c>
      <c r="AO299" s="324">
        <f>'DATA (Real)'!AO295*AO$4/$H$4</f>
        <v>53.955461870558018</v>
      </c>
      <c r="AP299" s="324">
        <f>'DATA (Real)'!AP295*AP$4/$H$4</f>
        <v>55.142482031710287</v>
      </c>
      <c r="AQ299" s="324">
        <f>'DATA (Real)'!AQ295*AQ$4/$H$4</f>
        <v>56.355616636407916</v>
      </c>
      <c r="AR299" s="324">
        <f>'DATA (Real)'!AR295*AR$4/$H$4</f>
        <v>57.595440202408888</v>
      </c>
      <c r="AS299" s="324">
        <f>'DATA (Real)'!AS295*AS$4/$H$4</f>
        <v>58.862539886861882</v>
      </c>
      <c r="AT299" s="324">
        <f>'DATA (Real)'!AT295*AT$4/$H$4</f>
        <v>60.157515764372846</v>
      </c>
      <c r="AU299" s="324">
        <f>'DATA (Real)'!AU295*AU$4/$H$4</f>
        <v>61.480981111189045</v>
      </c>
      <c r="AV299" s="324">
        <f>'DATA (Real)'!AV295*AV$4/$H$4</f>
        <v>62.833562695635202</v>
      </c>
      <c r="AW299" s="324">
        <f>'DATA (Real)'!AW295*AW$4/$H$4</f>
        <v>64.215901074939183</v>
      </c>
      <c r="AX299" s="324">
        <f>'DATA (Real)'!AX295*AX$4/$H$4</f>
        <v>65.62865089858785</v>
      </c>
      <c r="AY299" s="324">
        <f>'DATA (Real)'!AY295*AY$4/$H$4</f>
        <v>67.072481218356785</v>
      </c>
      <c r="AZ299" s="324">
        <f>'DATA (Real)'!AZ295*AZ$4/$H$4</f>
        <v>68.548075805160636</v>
      </c>
      <c r="BA299" s="324">
        <f>'DATA (Real)'!BA295*BA$4/$H$4</f>
        <v>70.05613347287418</v>
      </c>
      <c r="BB299" s="324">
        <f>'DATA (Real)'!BB295*BB$4/$H$4</f>
        <v>71.597368409277408</v>
      </c>
      <c r="BC299" s="324">
        <f>'DATA (Real)'!BC295*BC$4/$H$4</f>
        <v>73.172510514281512</v>
      </c>
      <c r="BD299" s="324">
        <f>'DATA (Real)'!BD295*BD$4/$H$4</f>
        <v>74.782305745595707</v>
      </c>
      <c r="BE299" s="324">
        <f>'DATA (Real)'!BE295*BE$4/$H$4</f>
        <v>76.4275164719988</v>
      </c>
      <c r="BF299" s="324">
        <f>'DATA (Real)'!BF295*BF$4/$H$4</f>
        <v>78.108921834382784</v>
      </c>
      <c r="BG299" s="324">
        <f>'DATA (Real)'!BG295*BG$4/$H$4</f>
        <v>79.827318114739185</v>
      </c>
      <c r="BH299" s="324">
        <f>'DATA (Real)'!BH295*BH$4/$H$4</f>
        <v>81.583519113263463</v>
      </c>
      <c r="BI299" s="324">
        <f>'DATA (Real)'!BI295*BI$4/$H$4</f>
        <v>83.378356533755252</v>
      </c>
      <c r="BJ299" s="324">
        <f>'DATA (Real)'!BJ295*BJ$4/$H$4</f>
        <v>85.212680377497875</v>
      </c>
      <c r="BK299" s="324">
        <f>'DATA (Real)'!BK295*BK$4/$H$4</f>
        <v>87.087359345802838</v>
      </c>
      <c r="BL299" s="324">
        <f>'DATA (Real)'!BL295*BL$4/$H$4</f>
        <v>89.003281251410485</v>
      </c>
      <c r="BM299" s="324">
        <f>'DATA (Real)'!BM295*BM$4/$H$4</f>
        <v>90.961353438941529</v>
      </c>
      <c r="BN299" s="324">
        <f>'DATA (Real)'!BN295*BN$4/$H$4</f>
        <v>92.962503214598243</v>
      </c>
      <c r="BO299" s="324">
        <f>'DATA (Real)'!BO295*BO$4/$H$4</f>
        <v>95.007678285319415</v>
      </c>
      <c r="BP299" s="324">
        <f>'DATA (Real)'!BP295*BP$4/$H$4</f>
        <v>97.097847207596431</v>
      </c>
      <c r="BQ299" s="324">
        <f>'DATA (Real)'!BQ295*BQ$4/$H$4</f>
        <v>99.233999846163556</v>
      </c>
      <c r="BR299" s="324">
        <f>'DATA (Real)'!BR295*BR$4/$H$4</f>
        <v>101.41714784277917</v>
      </c>
      <c r="BS299" s="324">
        <f>'DATA (Real)'!BS295*BS$4/$H$4</f>
        <v>103.6483250953203</v>
      </c>
      <c r="BT299" s="324">
        <f>'DATA (Real)'!BT295*BT$4/$H$4</f>
        <v>105.92858824741737</v>
      </c>
      <c r="BU299" s="324">
        <f>'DATA (Real)'!BU295*BU$4/$H$4</f>
        <v>108.25901718886054</v>
      </c>
      <c r="BV299" s="324">
        <f>'DATA (Real)'!BV295*BV$4/$H$4</f>
        <v>110.64071556701549</v>
      </c>
      <c r="BW299" s="324">
        <f>'DATA (Real)'!BW295*BW$4/$H$4</f>
        <v>113.07481130948985</v>
      </c>
      <c r="BX299" s="324">
        <f>'DATA (Real)'!BX295*BX$4/$H$4</f>
        <v>115.5624571582986</v>
      </c>
    </row>
    <row r="300" spans="1:76" hidden="1" outlineLevel="1">
      <c r="B300" s="352"/>
      <c r="C300" s="352" t="str">
        <f>'DATA (Real)'!C296</f>
        <v>Inflation Reduction Act</v>
      </c>
      <c r="D300" s="352" t="str">
        <f>'DATA (Real)'!D296</f>
        <v>PTC Value ($/MWh)</v>
      </c>
      <c r="E300" s="352" t="str">
        <f>'DATA (Real)'!E296</f>
        <v>New Residential Solar + Storage</v>
      </c>
      <c r="F300" s="331"/>
      <c r="G300" s="331"/>
      <c r="H300" s="314">
        <f>'DATA (Real)'!H296*H$4/$H$4</f>
        <v>26</v>
      </c>
      <c r="I300" s="324">
        <f>'DATA (Real)'!I296*I$4/$H$4</f>
        <v>26.824720000000003</v>
      </c>
      <c r="J300" s="324">
        <f>'DATA (Real)'!J296*J$4/$H$4</f>
        <v>27.455715653166664</v>
      </c>
      <c r="K300" s="324">
        <f>'DATA (Real)'!K296*K$4/$H$4</f>
        <v>28.068893302754049</v>
      </c>
      <c r="L300" s="324">
        <f>'DATA (Real)'!L296*L$4/$H$4</f>
        <v>28.695765253182227</v>
      </c>
      <c r="M300" s="324">
        <f>'DATA (Real)'!M296*M$4/$H$4</f>
        <v>29.336637343836628</v>
      </c>
      <c r="N300" s="324">
        <f>'DATA (Real)'!N296*N$4/$H$4</f>
        <v>29.982043365401037</v>
      </c>
      <c r="O300" s="324">
        <f>'DATA (Real)'!O296*O$4/$H$4</f>
        <v>30.641648319439856</v>
      </c>
      <c r="P300" s="324">
        <f>'DATA (Real)'!P296*P$4/$H$4</f>
        <v>31.315764582467537</v>
      </c>
      <c r="Q300" s="324">
        <f>'DATA (Real)'!Q296*Q$4/$H$4</f>
        <v>32.004711403281817</v>
      </c>
      <c r="R300" s="324">
        <f>'DATA (Real)'!R296*R$4/$H$4</f>
        <v>32.708815054154023</v>
      </c>
      <c r="S300" s="324">
        <f>'DATA (Real)'!S296*S$4/$H$4</f>
        <v>33.428408985345413</v>
      </c>
      <c r="T300" s="324">
        <f>'DATA (Real)'!T296*T$4/$H$4</f>
        <v>34.163833983023011</v>
      </c>
      <c r="U300" s="324">
        <f>'DATA (Real)'!U296*U$4/$H$4</f>
        <v>34.915438330649515</v>
      </c>
      <c r="V300" s="324">
        <f>'DATA (Real)'!V296*V$4/$H$4</f>
        <v>35.683577973923803</v>
      </c>
      <c r="W300" s="324">
        <f>'DATA (Real)'!W296*W$4/$H$4</f>
        <v>36.468616689350128</v>
      </c>
      <c r="X300" s="324">
        <f>'DATA (Real)'!X296*X$4/$H$4</f>
        <v>37.270926256515828</v>
      </c>
      <c r="Y300" s="324">
        <f>'DATA (Real)'!Y296*Y$4/$H$4</f>
        <v>38.090886634159183</v>
      </c>
      <c r="Z300" s="324">
        <f>'DATA (Real)'!Z296*Z$4/$H$4</f>
        <v>38.928886140110684</v>
      </c>
      <c r="AA300" s="324">
        <f>'DATA (Real)'!AA296*AA$4/$H$4</f>
        <v>39.785321635193114</v>
      </c>
      <c r="AB300" s="324">
        <f>'DATA (Real)'!AB296*AB$4/$H$4</f>
        <v>40.660598711167367</v>
      </c>
      <c r="AC300" s="324">
        <f>'DATA (Real)'!AC296*AC$4/$H$4</f>
        <v>41.55513188281305</v>
      </c>
      <c r="AD300" s="324">
        <f>'DATA (Real)'!AD296*AD$4/$H$4</f>
        <v>42.469344784234934</v>
      </c>
      <c r="AE300" s="324">
        <f>'DATA (Real)'!AE296*AE$4/$H$4</f>
        <v>43.403670369488104</v>
      </c>
      <c r="AF300" s="324">
        <f>'DATA (Real)'!AF296*AF$4/$H$4</f>
        <v>44.358551117616848</v>
      </c>
      <c r="AG300" s="324">
        <f>'DATA (Real)'!AG296*AG$4/$H$4</f>
        <v>45.334439242204418</v>
      </c>
      <c r="AH300" s="324">
        <f>'DATA (Real)'!AH296*AH$4/$H$4</f>
        <v>46.331796905532912</v>
      </c>
      <c r="AI300" s="324">
        <f>'DATA (Real)'!AI296*AI$4/$H$4</f>
        <v>47.351096437454636</v>
      </c>
      <c r="AJ300" s="324">
        <f>'DATA (Real)'!AJ296*AJ$4/$H$4</f>
        <v>48.392820559078636</v>
      </c>
      <c r="AK300" s="324">
        <f>'DATA (Real)'!AK296*AK$4/$H$4</f>
        <v>49.457462611378361</v>
      </c>
      <c r="AL300" s="324">
        <f>'DATA (Real)'!AL296*AL$4/$H$4</f>
        <v>50.545526788828695</v>
      </c>
      <c r="AM300" s="324">
        <f>'DATA (Real)'!AM296*AM$4/$H$4</f>
        <v>51.657528378182924</v>
      </c>
      <c r="AN300" s="324">
        <f>'DATA (Real)'!AN296*AN$4/$H$4</f>
        <v>52.793994002502949</v>
      </c>
      <c r="AO300" s="324">
        <f>'DATA (Real)'!AO296*AO$4/$H$4</f>
        <v>53.955461870558018</v>
      </c>
      <c r="AP300" s="324">
        <f>'DATA (Real)'!AP296*AP$4/$H$4</f>
        <v>55.142482031710287</v>
      </c>
      <c r="AQ300" s="324">
        <f>'DATA (Real)'!AQ296*AQ$4/$H$4</f>
        <v>56.355616636407916</v>
      </c>
      <c r="AR300" s="324">
        <f>'DATA (Real)'!AR296*AR$4/$H$4</f>
        <v>57.595440202408888</v>
      </c>
      <c r="AS300" s="324">
        <f>'DATA (Real)'!AS296*AS$4/$H$4</f>
        <v>58.862539886861882</v>
      </c>
      <c r="AT300" s="324">
        <f>'DATA (Real)'!AT296*AT$4/$H$4</f>
        <v>60.157515764372846</v>
      </c>
      <c r="AU300" s="324">
        <f>'DATA (Real)'!AU296*AU$4/$H$4</f>
        <v>61.480981111189045</v>
      </c>
      <c r="AV300" s="324">
        <f>'DATA (Real)'!AV296*AV$4/$H$4</f>
        <v>62.833562695635202</v>
      </c>
      <c r="AW300" s="324">
        <f>'DATA (Real)'!AW296*AW$4/$H$4</f>
        <v>64.215901074939183</v>
      </c>
      <c r="AX300" s="324">
        <f>'DATA (Real)'!AX296*AX$4/$H$4</f>
        <v>65.62865089858785</v>
      </c>
      <c r="AY300" s="324">
        <f>'DATA (Real)'!AY296*AY$4/$H$4</f>
        <v>67.072481218356785</v>
      </c>
      <c r="AZ300" s="324">
        <f>'DATA (Real)'!AZ296*AZ$4/$H$4</f>
        <v>68.548075805160636</v>
      </c>
      <c r="BA300" s="324">
        <f>'DATA (Real)'!BA296*BA$4/$H$4</f>
        <v>70.05613347287418</v>
      </c>
      <c r="BB300" s="324">
        <f>'DATA (Real)'!BB296*BB$4/$H$4</f>
        <v>71.597368409277408</v>
      </c>
      <c r="BC300" s="324">
        <f>'DATA (Real)'!BC296*BC$4/$H$4</f>
        <v>73.172510514281512</v>
      </c>
      <c r="BD300" s="324">
        <f>'DATA (Real)'!BD296*BD$4/$H$4</f>
        <v>74.782305745595707</v>
      </c>
      <c r="BE300" s="324">
        <f>'DATA (Real)'!BE296*BE$4/$H$4</f>
        <v>76.4275164719988</v>
      </c>
      <c r="BF300" s="324">
        <f>'DATA (Real)'!BF296*BF$4/$H$4</f>
        <v>78.108921834382784</v>
      </c>
      <c r="BG300" s="324">
        <f>'DATA (Real)'!BG296*BG$4/$H$4</f>
        <v>79.827318114739185</v>
      </c>
      <c r="BH300" s="324">
        <f>'DATA (Real)'!BH296*BH$4/$H$4</f>
        <v>81.583519113263463</v>
      </c>
      <c r="BI300" s="324">
        <f>'DATA (Real)'!BI296*BI$4/$H$4</f>
        <v>83.378356533755252</v>
      </c>
      <c r="BJ300" s="324">
        <f>'DATA (Real)'!BJ296*BJ$4/$H$4</f>
        <v>85.212680377497875</v>
      </c>
      <c r="BK300" s="324">
        <f>'DATA (Real)'!BK296*BK$4/$H$4</f>
        <v>87.087359345802838</v>
      </c>
      <c r="BL300" s="324">
        <f>'DATA (Real)'!BL296*BL$4/$H$4</f>
        <v>89.003281251410485</v>
      </c>
      <c r="BM300" s="324">
        <f>'DATA (Real)'!BM296*BM$4/$H$4</f>
        <v>90.961353438941529</v>
      </c>
      <c r="BN300" s="324">
        <f>'DATA (Real)'!BN296*BN$4/$H$4</f>
        <v>92.962503214598243</v>
      </c>
      <c r="BO300" s="324">
        <f>'DATA (Real)'!BO296*BO$4/$H$4</f>
        <v>95.007678285319415</v>
      </c>
      <c r="BP300" s="324">
        <f>'DATA (Real)'!BP296*BP$4/$H$4</f>
        <v>97.097847207596431</v>
      </c>
      <c r="BQ300" s="324">
        <f>'DATA (Real)'!BQ296*BQ$4/$H$4</f>
        <v>99.233999846163556</v>
      </c>
      <c r="BR300" s="324">
        <f>'DATA (Real)'!BR296*BR$4/$H$4</f>
        <v>101.41714784277917</v>
      </c>
      <c r="BS300" s="324">
        <f>'DATA (Real)'!BS296*BS$4/$H$4</f>
        <v>103.6483250953203</v>
      </c>
      <c r="BT300" s="324">
        <f>'DATA (Real)'!BT296*BT$4/$H$4</f>
        <v>105.92858824741737</v>
      </c>
      <c r="BU300" s="324">
        <f>'DATA (Real)'!BU296*BU$4/$H$4</f>
        <v>108.25901718886054</v>
      </c>
      <c r="BV300" s="324">
        <f>'DATA (Real)'!BV296*BV$4/$H$4</f>
        <v>110.64071556701549</v>
      </c>
      <c r="BW300" s="324">
        <f>'DATA (Real)'!BW296*BW$4/$H$4</f>
        <v>113.07481130948985</v>
      </c>
      <c r="BX300" s="324">
        <f>'DATA (Real)'!BX296*BX$4/$H$4</f>
        <v>115.5624571582986</v>
      </c>
    </row>
    <row r="301" spans="1:76" hidden="1" outlineLevel="1">
      <c r="B301" s="352"/>
      <c r="C301" s="352" t="str">
        <f>'DATA (Real)'!C297</f>
        <v>Inflation Reduction Act</v>
      </c>
      <c r="D301" s="352" t="str">
        <f>'DATA (Real)'!D297</f>
        <v>PTC Value ($/MWh)</v>
      </c>
      <c r="E301" s="352" t="str">
        <f>'DATA (Real)'!E297</f>
        <v>Existing Residential Solar</v>
      </c>
      <c r="F301" s="331"/>
      <c r="G301" s="331"/>
      <c r="H301" s="314">
        <f>'DATA (Real)'!H297*H$4/$H$4</f>
        <v>26</v>
      </c>
      <c r="I301" s="324">
        <f>'DATA (Real)'!I297*I$4/$H$4</f>
        <v>26.824720000000003</v>
      </c>
      <c r="J301" s="324">
        <f>'DATA (Real)'!J297*J$4/$H$4</f>
        <v>27.455715653166664</v>
      </c>
      <c r="K301" s="324">
        <f>'DATA (Real)'!K297*K$4/$H$4</f>
        <v>28.068893302754049</v>
      </c>
      <c r="L301" s="324">
        <f>'DATA (Real)'!L297*L$4/$H$4</f>
        <v>28.695765253182227</v>
      </c>
      <c r="M301" s="324">
        <f>'DATA (Real)'!M297*M$4/$H$4</f>
        <v>29.336637343836628</v>
      </c>
      <c r="N301" s="324">
        <f>'DATA (Real)'!N297*N$4/$H$4</f>
        <v>29.982043365401037</v>
      </c>
      <c r="O301" s="324">
        <f>'DATA (Real)'!O297*O$4/$H$4</f>
        <v>30.641648319439856</v>
      </c>
      <c r="P301" s="324">
        <f>'DATA (Real)'!P297*P$4/$H$4</f>
        <v>31.315764582467537</v>
      </c>
      <c r="Q301" s="324">
        <f>'DATA (Real)'!Q297*Q$4/$H$4</f>
        <v>32.004711403281817</v>
      </c>
      <c r="R301" s="324">
        <f>'DATA (Real)'!R297*R$4/$H$4</f>
        <v>32.708815054154023</v>
      </c>
      <c r="S301" s="324">
        <f>'DATA (Real)'!S297*S$4/$H$4</f>
        <v>33.428408985345413</v>
      </c>
      <c r="T301" s="324">
        <f>'DATA (Real)'!T297*T$4/$H$4</f>
        <v>34.163833983023011</v>
      </c>
      <c r="U301" s="324">
        <f>'DATA (Real)'!U297*U$4/$H$4</f>
        <v>34.915438330649515</v>
      </c>
      <c r="V301" s="324">
        <f>'DATA (Real)'!V297*V$4/$H$4</f>
        <v>35.683577973923803</v>
      </c>
      <c r="W301" s="324">
        <f>'DATA (Real)'!W297*W$4/$H$4</f>
        <v>36.468616689350128</v>
      </c>
      <c r="X301" s="324">
        <f>'DATA (Real)'!X297*X$4/$H$4</f>
        <v>37.270926256515828</v>
      </c>
      <c r="Y301" s="324">
        <f>'DATA (Real)'!Y297*Y$4/$H$4</f>
        <v>38.090886634159183</v>
      </c>
      <c r="Z301" s="324">
        <f>'DATA (Real)'!Z297*Z$4/$H$4</f>
        <v>38.928886140110684</v>
      </c>
      <c r="AA301" s="324">
        <f>'DATA (Real)'!AA297*AA$4/$H$4</f>
        <v>39.785321635193114</v>
      </c>
      <c r="AB301" s="324">
        <f>'DATA (Real)'!AB297*AB$4/$H$4</f>
        <v>40.660598711167367</v>
      </c>
      <c r="AC301" s="324">
        <f>'DATA (Real)'!AC297*AC$4/$H$4</f>
        <v>41.55513188281305</v>
      </c>
      <c r="AD301" s="324">
        <f>'DATA (Real)'!AD297*AD$4/$H$4</f>
        <v>42.469344784234934</v>
      </c>
      <c r="AE301" s="324">
        <f>'DATA (Real)'!AE297*AE$4/$H$4</f>
        <v>43.403670369488104</v>
      </c>
      <c r="AF301" s="324">
        <f>'DATA (Real)'!AF297*AF$4/$H$4</f>
        <v>44.358551117616848</v>
      </c>
      <c r="AG301" s="324">
        <f>'DATA (Real)'!AG297*AG$4/$H$4</f>
        <v>45.334439242204418</v>
      </c>
      <c r="AH301" s="324">
        <f>'DATA (Real)'!AH297*AH$4/$H$4</f>
        <v>46.331796905532912</v>
      </c>
      <c r="AI301" s="324">
        <f>'DATA (Real)'!AI297*AI$4/$H$4</f>
        <v>47.351096437454636</v>
      </c>
      <c r="AJ301" s="324">
        <f>'DATA (Real)'!AJ297*AJ$4/$H$4</f>
        <v>48.392820559078636</v>
      </c>
      <c r="AK301" s="324">
        <f>'DATA (Real)'!AK297*AK$4/$H$4</f>
        <v>49.457462611378361</v>
      </c>
      <c r="AL301" s="324">
        <f>'DATA (Real)'!AL297*AL$4/$H$4</f>
        <v>50.545526788828695</v>
      </c>
      <c r="AM301" s="324">
        <f>'DATA (Real)'!AM297*AM$4/$H$4</f>
        <v>51.657528378182924</v>
      </c>
      <c r="AN301" s="324">
        <f>'DATA (Real)'!AN297*AN$4/$H$4</f>
        <v>52.793994002502949</v>
      </c>
      <c r="AO301" s="324">
        <f>'DATA (Real)'!AO297*AO$4/$H$4</f>
        <v>53.955461870558018</v>
      </c>
      <c r="AP301" s="324">
        <f>'DATA (Real)'!AP297*AP$4/$H$4</f>
        <v>55.142482031710287</v>
      </c>
      <c r="AQ301" s="324">
        <f>'DATA (Real)'!AQ297*AQ$4/$H$4</f>
        <v>56.355616636407916</v>
      </c>
      <c r="AR301" s="324">
        <f>'DATA (Real)'!AR297*AR$4/$H$4</f>
        <v>57.595440202408888</v>
      </c>
      <c r="AS301" s="324">
        <f>'DATA (Real)'!AS297*AS$4/$H$4</f>
        <v>58.862539886861882</v>
      </c>
      <c r="AT301" s="324">
        <f>'DATA (Real)'!AT297*AT$4/$H$4</f>
        <v>60.157515764372846</v>
      </c>
      <c r="AU301" s="324">
        <f>'DATA (Real)'!AU297*AU$4/$H$4</f>
        <v>61.480981111189045</v>
      </c>
      <c r="AV301" s="324">
        <f>'DATA (Real)'!AV297*AV$4/$H$4</f>
        <v>62.833562695635202</v>
      </c>
      <c r="AW301" s="324">
        <f>'DATA (Real)'!AW297*AW$4/$H$4</f>
        <v>64.215901074939183</v>
      </c>
      <c r="AX301" s="324">
        <f>'DATA (Real)'!AX297*AX$4/$H$4</f>
        <v>65.62865089858785</v>
      </c>
      <c r="AY301" s="324">
        <f>'DATA (Real)'!AY297*AY$4/$H$4</f>
        <v>67.072481218356785</v>
      </c>
      <c r="AZ301" s="324">
        <f>'DATA (Real)'!AZ297*AZ$4/$H$4</f>
        <v>68.548075805160636</v>
      </c>
      <c r="BA301" s="324">
        <f>'DATA (Real)'!BA297*BA$4/$H$4</f>
        <v>70.05613347287418</v>
      </c>
      <c r="BB301" s="324">
        <f>'DATA (Real)'!BB297*BB$4/$H$4</f>
        <v>71.597368409277408</v>
      </c>
      <c r="BC301" s="324">
        <f>'DATA (Real)'!BC297*BC$4/$H$4</f>
        <v>73.172510514281512</v>
      </c>
      <c r="BD301" s="324">
        <f>'DATA (Real)'!BD297*BD$4/$H$4</f>
        <v>74.782305745595707</v>
      </c>
      <c r="BE301" s="324">
        <f>'DATA (Real)'!BE297*BE$4/$H$4</f>
        <v>76.4275164719988</v>
      </c>
      <c r="BF301" s="324">
        <f>'DATA (Real)'!BF297*BF$4/$H$4</f>
        <v>78.108921834382784</v>
      </c>
      <c r="BG301" s="324">
        <f>'DATA (Real)'!BG297*BG$4/$H$4</f>
        <v>79.827318114739185</v>
      </c>
      <c r="BH301" s="324">
        <f>'DATA (Real)'!BH297*BH$4/$H$4</f>
        <v>81.583519113263463</v>
      </c>
      <c r="BI301" s="324">
        <f>'DATA (Real)'!BI297*BI$4/$H$4</f>
        <v>83.378356533755252</v>
      </c>
      <c r="BJ301" s="324">
        <f>'DATA (Real)'!BJ297*BJ$4/$H$4</f>
        <v>85.212680377497875</v>
      </c>
      <c r="BK301" s="324">
        <f>'DATA (Real)'!BK297*BK$4/$H$4</f>
        <v>87.087359345802838</v>
      </c>
      <c r="BL301" s="324">
        <f>'DATA (Real)'!BL297*BL$4/$H$4</f>
        <v>89.003281251410485</v>
      </c>
      <c r="BM301" s="324">
        <f>'DATA (Real)'!BM297*BM$4/$H$4</f>
        <v>90.961353438941529</v>
      </c>
      <c r="BN301" s="324">
        <f>'DATA (Real)'!BN297*BN$4/$H$4</f>
        <v>92.962503214598243</v>
      </c>
      <c r="BO301" s="324">
        <f>'DATA (Real)'!BO297*BO$4/$H$4</f>
        <v>95.007678285319415</v>
      </c>
      <c r="BP301" s="324">
        <f>'DATA (Real)'!BP297*BP$4/$H$4</f>
        <v>97.097847207596431</v>
      </c>
      <c r="BQ301" s="324">
        <f>'DATA (Real)'!BQ297*BQ$4/$H$4</f>
        <v>99.233999846163556</v>
      </c>
      <c r="BR301" s="324">
        <f>'DATA (Real)'!BR297*BR$4/$H$4</f>
        <v>101.41714784277917</v>
      </c>
      <c r="BS301" s="324">
        <f>'DATA (Real)'!BS297*BS$4/$H$4</f>
        <v>103.6483250953203</v>
      </c>
      <c r="BT301" s="324">
        <f>'DATA (Real)'!BT297*BT$4/$H$4</f>
        <v>105.92858824741737</v>
      </c>
      <c r="BU301" s="324">
        <f>'DATA (Real)'!BU297*BU$4/$H$4</f>
        <v>108.25901718886054</v>
      </c>
      <c r="BV301" s="324">
        <f>'DATA (Real)'!BV297*BV$4/$H$4</f>
        <v>110.64071556701549</v>
      </c>
      <c r="BW301" s="324">
        <f>'DATA (Real)'!BW297*BW$4/$H$4</f>
        <v>113.07481130948985</v>
      </c>
      <c r="BX301" s="324">
        <f>'DATA (Real)'!BX297*BX$4/$H$4</f>
        <v>115.5624571582986</v>
      </c>
    </row>
    <row r="302" spans="1:76" hidden="1" outlineLevel="1">
      <c r="B302" s="352"/>
      <c r="C302" s="352" t="str">
        <f>'DATA (Real)'!C298</f>
        <v>Inflation Reduction Act</v>
      </c>
      <c r="D302" s="352" t="str">
        <f>'DATA (Real)'!D298</f>
        <v>PTC Value ($/MWh)</v>
      </c>
      <c r="E302" s="352" t="str">
        <f>'DATA (Real)'!E298</f>
        <v>Existing Residential Solar + Storage</v>
      </c>
      <c r="F302" s="331"/>
      <c r="G302" s="331"/>
      <c r="H302" s="314">
        <f>'DATA (Real)'!H298*H$4/$H$4</f>
        <v>26</v>
      </c>
      <c r="I302" s="324">
        <f>'DATA (Real)'!I298*I$4/$H$4</f>
        <v>26.824720000000003</v>
      </c>
      <c r="J302" s="324">
        <f>'DATA (Real)'!J298*J$4/$H$4</f>
        <v>27.455715653166664</v>
      </c>
      <c r="K302" s="324">
        <f>'DATA (Real)'!K298*K$4/$H$4</f>
        <v>28.068893302754049</v>
      </c>
      <c r="L302" s="324">
        <f>'DATA (Real)'!L298*L$4/$H$4</f>
        <v>28.695765253182227</v>
      </c>
      <c r="M302" s="324">
        <f>'DATA (Real)'!M298*M$4/$H$4</f>
        <v>29.336637343836628</v>
      </c>
      <c r="N302" s="324">
        <f>'DATA (Real)'!N298*N$4/$H$4</f>
        <v>29.982043365401037</v>
      </c>
      <c r="O302" s="324">
        <f>'DATA (Real)'!O298*O$4/$H$4</f>
        <v>30.641648319439856</v>
      </c>
      <c r="P302" s="324">
        <f>'DATA (Real)'!P298*P$4/$H$4</f>
        <v>31.315764582467537</v>
      </c>
      <c r="Q302" s="324">
        <f>'DATA (Real)'!Q298*Q$4/$H$4</f>
        <v>32.004711403281817</v>
      </c>
      <c r="R302" s="324">
        <f>'DATA (Real)'!R298*R$4/$H$4</f>
        <v>32.708815054154023</v>
      </c>
      <c r="S302" s="324">
        <f>'DATA (Real)'!S298*S$4/$H$4</f>
        <v>33.428408985345413</v>
      </c>
      <c r="T302" s="324">
        <f>'DATA (Real)'!T298*T$4/$H$4</f>
        <v>34.163833983023011</v>
      </c>
      <c r="U302" s="324">
        <f>'DATA (Real)'!U298*U$4/$H$4</f>
        <v>34.915438330649515</v>
      </c>
      <c r="V302" s="324">
        <f>'DATA (Real)'!V298*V$4/$H$4</f>
        <v>35.683577973923803</v>
      </c>
      <c r="W302" s="324">
        <f>'DATA (Real)'!W298*W$4/$H$4</f>
        <v>36.468616689350128</v>
      </c>
      <c r="X302" s="324">
        <f>'DATA (Real)'!X298*X$4/$H$4</f>
        <v>37.270926256515828</v>
      </c>
      <c r="Y302" s="324">
        <f>'DATA (Real)'!Y298*Y$4/$H$4</f>
        <v>38.090886634159183</v>
      </c>
      <c r="Z302" s="324">
        <f>'DATA (Real)'!Z298*Z$4/$H$4</f>
        <v>38.928886140110684</v>
      </c>
      <c r="AA302" s="324">
        <f>'DATA (Real)'!AA298*AA$4/$H$4</f>
        <v>39.785321635193114</v>
      </c>
      <c r="AB302" s="324">
        <f>'DATA (Real)'!AB298*AB$4/$H$4</f>
        <v>40.660598711167367</v>
      </c>
      <c r="AC302" s="324">
        <f>'DATA (Real)'!AC298*AC$4/$H$4</f>
        <v>41.55513188281305</v>
      </c>
      <c r="AD302" s="324">
        <f>'DATA (Real)'!AD298*AD$4/$H$4</f>
        <v>42.469344784234934</v>
      </c>
      <c r="AE302" s="324">
        <f>'DATA (Real)'!AE298*AE$4/$H$4</f>
        <v>43.403670369488104</v>
      </c>
      <c r="AF302" s="324">
        <f>'DATA (Real)'!AF298*AF$4/$H$4</f>
        <v>44.358551117616848</v>
      </c>
      <c r="AG302" s="324">
        <f>'DATA (Real)'!AG298*AG$4/$H$4</f>
        <v>45.334439242204418</v>
      </c>
      <c r="AH302" s="324">
        <f>'DATA (Real)'!AH298*AH$4/$H$4</f>
        <v>46.331796905532912</v>
      </c>
      <c r="AI302" s="324">
        <f>'DATA (Real)'!AI298*AI$4/$H$4</f>
        <v>47.351096437454636</v>
      </c>
      <c r="AJ302" s="324">
        <f>'DATA (Real)'!AJ298*AJ$4/$H$4</f>
        <v>48.392820559078636</v>
      </c>
      <c r="AK302" s="324">
        <f>'DATA (Real)'!AK298*AK$4/$H$4</f>
        <v>49.457462611378361</v>
      </c>
      <c r="AL302" s="324">
        <f>'DATA (Real)'!AL298*AL$4/$H$4</f>
        <v>50.545526788828695</v>
      </c>
      <c r="AM302" s="324">
        <f>'DATA (Real)'!AM298*AM$4/$H$4</f>
        <v>51.657528378182924</v>
      </c>
      <c r="AN302" s="324">
        <f>'DATA (Real)'!AN298*AN$4/$H$4</f>
        <v>52.793994002502949</v>
      </c>
      <c r="AO302" s="324">
        <f>'DATA (Real)'!AO298*AO$4/$H$4</f>
        <v>53.955461870558018</v>
      </c>
      <c r="AP302" s="324">
        <f>'DATA (Real)'!AP298*AP$4/$H$4</f>
        <v>55.142482031710287</v>
      </c>
      <c r="AQ302" s="324">
        <f>'DATA (Real)'!AQ298*AQ$4/$H$4</f>
        <v>56.355616636407916</v>
      </c>
      <c r="AR302" s="324">
        <f>'DATA (Real)'!AR298*AR$4/$H$4</f>
        <v>57.595440202408888</v>
      </c>
      <c r="AS302" s="324">
        <f>'DATA (Real)'!AS298*AS$4/$H$4</f>
        <v>58.862539886861882</v>
      </c>
      <c r="AT302" s="324">
        <f>'DATA (Real)'!AT298*AT$4/$H$4</f>
        <v>60.157515764372846</v>
      </c>
      <c r="AU302" s="324">
        <f>'DATA (Real)'!AU298*AU$4/$H$4</f>
        <v>61.480981111189045</v>
      </c>
      <c r="AV302" s="324">
        <f>'DATA (Real)'!AV298*AV$4/$H$4</f>
        <v>62.833562695635202</v>
      </c>
      <c r="AW302" s="324">
        <f>'DATA (Real)'!AW298*AW$4/$H$4</f>
        <v>64.215901074939183</v>
      </c>
      <c r="AX302" s="324">
        <f>'DATA (Real)'!AX298*AX$4/$H$4</f>
        <v>65.62865089858785</v>
      </c>
      <c r="AY302" s="324">
        <f>'DATA (Real)'!AY298*AY$4/$H$4</f>
        <v>67.072481218356785</v>
      </c>
      <c r="AZ302" s="324">
        <f>'DATA (Real)'!AZ298*AZ$4/$H$4</f>
        <v>68.548075805160636</v>
      </c>
      <c r="BA302" s="324">
        <f>'DATA (Real)'!BA298*BA$4/$H$4</f>
        <v>70.05613347287418</v>
      </c>
      <c r="BB302" s="324">
        <f>'DATA (Real)'!BB298*BB$4/$H$4</f>
        <v>71.597368409277408</v>
      </c>
      <c r="BC302" s="324">
        <f>'DATA (Real)'!BC298*BC$4/$H$4</f>
        <v>73.172510514281512</v>
      </c>
      <c r="BD302" s="324">
        <f>'DATA (Real)'!BD298*BD$4/$H$4</f>
        <v>74.782305745595707</v>
      </c>
      <c r="BE302" s="324">
        <f>'DATA (Real)'!BE298*BE$4/$H$4</f>
        <v>76.4275164719988</v>
      </c>
      <c r="BF302" s="324">
        <f>'DATA (Real)'!BF298*BF$4/$H$4</f>
        <v>78.108921834382784</v>
      </c>
      <c r="BG302" s="324">
        <f>'DATA (Real)'!BG298*BG$4/$H$4</f>
        <v>79.827318114739185</v>
      </c>
      <c r="BH302" s="324">
        <f>'DATA (Real)'!BH298*BH$4/$H$4</f>
        <v>81.583519113263463</v>
      </c>
      <c r="BI302" s="324">
        <f>'DATA (Real)'!BI298*BI$4/$H$4</f>
        <v>83.378356533755252</v>
      </c>
      <c r="BJ302" s="324">
        <f>'DATA (Real)'!BJ298*BJ$4/$H$4</f>
        <v>85.212680377497875</v>
      </c>
      <c r="BK302" s="324">
        <f>'DATA (Real)'!BK298*BK$4/$H$4</f>
        <v>87.087359345802838</v>
      </c>
      <c r="BL302" s="324">
        <f>'DATA (Real)'!BL298*BL$4/$H$4</f>
        <v>89.003281251410485</v>
      </c>
      <c r="BM302" s="324">
        <f>'DATA (Real)'!BM298*BM$4/$H$4</f>
        <v>90.961353438941529</v>
      </c>
      <c r="BN302" s="324">
        <f>'DATA (Real)'!BN298*BN$4/$H$4</f>
        <v>92.962503214598243</v>
      </c>
      <c r="BO302" s="324">
        <f>'DATA (Real)'!BO298*BO$4/$H$4</f>
        <v>95.007678285319415</v>
      </c>
      <c r="BP302" s="324">
        <f>'DATA (Real)'!BP298*BP$4/$H$4</f>
        <v>97.097847207596431</v>
      </c>
      <c r="BQ302" s="324">
        <f>'DATA (Real)'!BQ298*BQ$4/$H$4</f>
        <v>99.233999846163556</v>
      </c>
      <c r="BR302" s="324">
        <f>'DATA (Real)'!BR298*BR$4/$H$4</f>
        <v>101.41714784277917</v>
      </c>
      <c r="BS302" s="324">
        <f>'DATA (Real)'!BS298*BS$4/$H$4</f>
        <v>103.6483250953203</v>
      </c>
      <c r="BT302" s="324">
        <f>'DATA (Real)'!BT298*BT$4/$H$4</f>
        <v>105.92858824741737</v>
      </c>
      <c r="BU302" s="324">
        <f>'DATA (Real)'!BU298*BU$4/$H$4</f>
        <v>108.25901718886054</v>
      </c>
      <c r="BV302" s="324">
        <f>'DATA (Real)'!BV298*BV$4/$H$4</f>
        <v>110.64071556701549</v>
      </c>
      <c r="BW302" s="324">
        <f>'DATA (Real)'!BW298*BW$4/$H$4</f>
        <v>113.07481130948985</v>
      </c>
      <c r="BX302" s="324">
        <f>'DATA (Real)'!BX298*BX$4/$H$4</f>
        <v>115.5624571582986</v>
      </c>
    </row>
    <row r="303" spans="1:76" hidden="1" outlineLevel="1">
      <c r="B303" s="352"/>
      <c r="C303" s="352" t="str">
        <f>'DATA (Real)'!C299</f>
        <v>Inflation Reduction Act</v>
      </c>
      <c r="D303" s="352" t="str">
        <f>'DATA (Real)'!D299</f>
        <v>PTC Value ($/MWh)</v>
      </c>
      <c r="E303" s="352" t="str">
        <f>'DATA (Real)'!E299</f>
        <v>Commercial Solar</v>
      </c>
      <c r="F303" s="331"/>
      <c r="G303" s="331"/>
      <c r="H303" s="314">
        <f>'DATA (Real)'!H299*H$4/$H$4</f>
        <v>26</v>
      </c>
      <c r="I303" s="324">
        <f>'DATA (Real)'!I299*I$4/$H$4</f>
        <v>26.824720000000003</v>
      </c>
      <c r="J303" s="324">
        <f>'DATA (Real)'!J299*J$4/$H$4</f>
        <v>27.455715653166664</v>
      </c>
      <c r="K303" s="324">
        <f>'DATA (Real)'!K299*K$4/$H$4</f>
        <v>28.068893302754049</v>
      </c>
      <c r="L303" s="324">
        <f>'DATA (Real)'!L299*L$4/$H$4</f>
        <v>28.695765253182227</v>
      </c>
      <c r="M303" s="324">
        <f>'DATA (Real)'!M299*M$4/$H$4</f>
        <v>29.336637343836628</v>
      </c>
      <c r="N303" s="324">
        <f>'DATA (Real)'!N299*N$4/$H$4</f>
        <v>29.982043365401037</v>
      </c>
      <c r="O303" s="324">
        <f>'DATA (Real)'!O299*O$4/$H$4</f>
        <v>30.641648319439856</v>
      </c>
      <c r="P303" s="324">
        <f>'DATA (Real)'!P299*P$4/$H$4</f>
        <v>31.315764582467537</v>
      </c>
      <c r="Q303" s="324">
        <f>'DATA (Real)'!Q299*Q$4/$H$4</f>
        <v>32.004711403281817</v>
      </c>
      <c r="R303" s="324">
        <f>'DATA (Real)'!R299*R$4/$H$4</f>
        <v>32.708815054154023</v>
      </c>
      <c r="S303" s="324">
        <f>'DATA (Real)'!S299*S$4/$H$4</f>
        <v>33.428408985345413</v>
      </c>
      <c r="T303" s="324">
        <f>'DATA (Real)'!T299*T$4/$H$4</f>
        <v>34.163833983023011</v>
      </c>
      <c r="U303" s="324">
        <f>'DATA (Real)'!U299*U$4/$H$4</f>
        <v>34.915438330649515</v>
      </c>
      <c r="V303" s="324">
        <f>'DATA (Real)'!V299*V$4/$H$4</f>
        <v>35.683577973923803</v>
      </c>
      <c r="W303" s="324">
        <f>'DATA (Real)'!W299*W$4/$H$4</f>
        <v>36.468616689350128</v>
      </c>
      <c r="X303" s="324">
        <f>'DATA (Real)'!X299*X$4/$H$4</f>
        <v>37.270926256515828</v>
      </c>
      <c r="Y303" s="324">
        <f>'DATA (Real)'!Y299*Y$4/$H$4</f>
        <v>38.090886634159183</v>
      </c>
      <c r="Z303" s="324">
        <f>'DATA (Real)'!Z299*Z$4/$H$4</f>
        <v>38.928886140110684</v>
      </c>
      <c r="AA303" s="324">
        <f>'DATA (Real)'!AA299*AA$4/$H$4</f>
        <v>39.785321635193114</v>
      </c>
      <c r="AB303" s="324">
        <f>'DATA (Real)'!AB299*AB$4/$H$4</f>
        <v>40.660598711167367</v>
      </c>
      <c r="AC303" s="324">
        <f>'DATA (Real)'!AC299*AC$4/$H$4</f>
        <v>41.55513188281305</v>
      </c>
      <c r="AD303" s="324">
        <f>'DATA (Real)'!AD299*AD$4/$H$4</f>
        <v>42.469344784234934</v>
      </c>
      <c r="AE303" s="324">
        <f>'DATA (Real)'!AE299*AE$4/$H$4</f>
        <v>43.403670369488104</v>
      </c>
      <c r="AF303" s="324">
        <f>'DATA (Real)'!AF299*AF$4/$H$4</f>
        <v>44.358551117616848</v>
      </c>
      <c r="AG303" s="324">
        <f>'DATA (Real)'!AG299*AG$4/$H$4</f>
        <v>45.334439242204418</v>
      </c>
      <c r="AH303" s="324">
        <f>'DATA (Real)'!AH299*AH$4/$H$4</f>
        <v>46.331796905532912</v>
      </c>
      <c r="AI303" s="324">
        <f>'DATA (Real)'!AI299*AI$4/$H$4</f>
        <v>47.351096437454636</v>
      </c>
      <c r="AJ303" s="324">
        <f>'DATA (Real)'!AJ299*AJ$4/$H$4</f>
        <v>48.392820559078636</v>
      </c>
      <c r="AK303" s="324">
        <f>'DATA (Real)'!AK299*AK$4/$H$4</f>
        <v>49.457462611378361</v>
      </c>
      <c r="AL303" s="324">
        <f>'DATA (Real)'!AL299*AL$4/$H$4</f>
        <v>50.545526788828695</v>
      </c>
      <c r="AM303" s="324">
        <f>'DATA (Real)'!AM299*AM$4/$H$4</f>
        <v>51.657528378182924</v>
      </c>
      <c r="AN303" s="324">
        <f>'DATA (Real)'!AN299*AN$4/$H$4</f>
        <v>52.793994002502949</v>
      </c>
      <c r="AO303" s="324">
        <f>'DATA (Real)'!AO299*AO$4/$H$4</f>
        <v>53.955461870558018</v>
      </c>
      <c r="AP303" s="324">
        <f>'DATA (Real)'!AP299*AP$4/$H$4</f>
        <v>55.142482031710287</v>
      </c>
      <c r="AQ303" s="324">
        <f>'DATA (Real)'!AQ299*AQ$4/$H$4</f>
        <v>56.355616636407916</v>
      </c>
      <c r="AR303" s="324">
        <f>'DATA (Real)'!AR299*AR$4/$H$4</f>
        <v>57.595440202408888</v>
      </c>
      <c r="AS303" s="324">
        <f>'DATA (Real)'!AS299*AS$4/$H$4</f>
        <v>58.862539886861882</v>
      </c>
      <c r="AT303" s="324">
        <f>'DATA (Real)'!AT299*AT$4/$H$4</f>
        <v>60.157515764372846</v>
      </c>
      <c r="AU303" s="324">
        <f>'DATA (Real)'!AU299*AU$4/$H$4</f>
        <v>61.480981111189045</v>
      </c>
      <c r="AV303" s="324">
        <f>'DATA (Real)'!AV299*AV$4/$H$4</f>
        <v>62.833562695635202</v>
      </c>
      <c r="AW303" s="324">
        <f>'DATA (Real)'!AW299*AW$4/$H$4</f>
        <v>64.215901074939183</v>
      </c>
      <c r="AX303" s="324">
        <f>'DATA (Real)'!AX299*AX$4/$H$4</f>
        <v>65.62865089858785</v>
      </c>
      <c r="AY303" s="324">
        <f>'DATA (Real)'!AY299*AY$4/$H$4</f>
        <v>67.072481218356785</v>
      </c>
      <c r="AZ303" s="324">
        <f>'DATA (Real)'!AZ299*AZ$4/$H$4</f>
        <v>68.548075805160636</v>
      </c>
      <c r="BA303" s="324">
        <f>'DATA (Real)'!BA299*BA$4/$H$4</f>
        <v>70.05613347287418</v>
      </c>
      <c r="BB303" s="324">
        <f>'DATA (Real)'!BB299*BB$4/$H$4</f>
        <v>71.597368409277408</v>
      </c>
      <c r="BC303" s="324">
        <f>'DATA (Real)'!BC299*BC$4/$H$4</f>
        <v>73.172510514281512</v>
      </c>
      <c r="BD303" s="324">
        <f>'DATA (Real)'!BD299*BD$4/$H$4</f>
        <v>74.782305745595707</v>
      </c>
      <c r="BE303" s="324">
        <f>'DATA (Real)'!BE299*BE$4/$H$4</f>
        <v>76.4275164719988</v>
      </c>
      <c r="BF303" s="324">
        <f>'DATA (Real)'!BF299*BF$4/$H$4</f>
        <v>78.108921834382784</v>
      </c>
      <c r="BG303" s="324">
        <f>'DATA (Real)'!BG299*BG$4/$H$4</f>
        <v>79.827318114739185</v>
      </c>
      <c r="BH303" s="324">
        <f>'DATA (Real)'!BH299*BH$4/$H$4</f>
        <v>81.583519113263463</v>
      </c>
      <c r="BI303" s="324">
        <f>'DATA (Real)'!BI299*BI$4/$H$4</f>
        <v>83.378356533755252</v>
      </c>
      <c r="BJ303" s="324">
        <f>'DATA (Real)'!BJ299*BJ$4/$H$4</f>
        <v>85.212680377497875</v>
      </c>
      <c r="BK303" s="324">
        <f>'DATA (Real)'!BK299*BK$4/$H$4</f>
        <v>87.087359345802838</v>
      </c>
      <c r="BL303" s="324">
        <f>'DATA (Real)'!BL299*BL$4/$H$4</f>
        <v>89.003281251410485</v>
      </c>
      <c r="BM303" s="324">
        <f>'DATA (Real)'!BM299*BM$4/$H$4</f>
        <v>90.961353438941529</v>
      </c>
      <c r="BN303" s="324">
        <f>'DATA (Real)'!BN299*BN$4/$H$4</f>
        <v>92.962503214598243</v>
      </c>
      <c r="BO303" s="324">
        <f>'DATA (Real)'!BO299*BO$4/$H$4</f>
        <v>95.007678285319415</v>
      </c>
      <c r="BP303" s="324">
        <f>'DATA (Real)'!BP299*BP$4/$H$4</f>
        <v>97.097847207596431</v>
      </c>
      <c r="BQ303" s="324">
        <f>'DATA (Real)'!BQ299*BQ$4/$H$4</f>
        <v>99.233999846163556</v>
      </c>
      <c r="BR303" s="324">
        <f>'DATA (Real)'!BR299*BR$4/$H$4</f>
        <v>101.41714784277917</v>
      </c>
      <c r="BS303" s="324">
        <f>'DATA (Real)'!BS299*BS$4/$H$4</f>
        <v>103.6483250953203</v>
      </c>
      <c r="BT303" s="324">
        <f>'DATA (Real)'!BT299*BT$4/$H$4</f>
        <v>105.92858824741737</v>
      </c>
      <c r="BU303" s="324">
        <f>'DATA (Real)'!BU299*BU$4/$H$4</f>
        <v>108.25901718886054</v>
      </c>
      <c r="BV303" s="324">
        <f>'DATA (Real)'!BV299*BV$4/$H$4</f>
        <v>110.64071556701549</v>
      </c>
      <c r="BW303" s="324">
        <f>'DATA (Real)'!BW299*BW$4/$H$4</f>
        <v>113.07481130948985</v>
      </c>
      <c r="BX303" s="324">
        <f>'DATA (Real)'!BX299*BX$4/$H$4</f>
        <v>115.5624571582986</v>
      </c>
    </row>
    <row r="304" spans="1:76" hidden="1" outlineLevel="1">
      <c r="B304" s="352"/>
      <c r="C304" s="352" t="str">
        <f>'DATA (Real)'!C300</f>
        <v>Inflation Reduction Act</v>
      </c>
      <c r="D304" s="352" t="str">
        <f>'DATA (Real)'!D300</f>
        <v>PTC Value ($/MWh)</v>
      </c>
      <c r="E304" s="352" t="str">
        <f>'DATA (Real)'!E300</f>
        <v>Commercial Solar + Storage</v>
      </c>
      <c r="F304" s="331"/>
      <c r="G304" s="331"/>
      <c r="H304" s="314">
        <f>'DATA (Real)'!H300*H$4/$H$4</f>
        <v>26</v>
      </c>
      <c r="I304" s="324">
        <f>'DATA (Real)'!I300*I$4/$H$4</f>
        <v>26.824720000000003</v>
      </c>
      <c r="J304" s="324">
        <f>'DATA (Real)'!J300*J$4/$H$4</f>
        <v>27.455715653166664</v>
      </c>
      <c r="K304" s="324">
        <f>'DATA (Real)'!K300*K$4/$H$4</f>
        <v>28.068893302754049</v>
      </c>
      <c r="L304" s="324">
        <f>'DATA (Real)'!L300*L$4/$H$4</f>
        <v>28.695765253182227</v>
      </c>
      <c r="M304" s="324">
        <f>'DATA (Real)'!M300*M$4/$H$4</f>
        <v>29.336637343836628</v>
      </c>
      <c r="N304" s="324">
        <f>'DATA (Real)'!N300*N$4/$H$4</f>
        <v>29.982043365401037</v>
      </c>
      <c r="O304" s="324">
        <f>'DATA (Real)'!O300*O$4/$H$4</f>
        <v>30.641648319439856</v>
      </c>
      <c r="P304" s="324">
        <f>'DATA (Real)'!P300*P$4/$H$4</f>
        <v>31.315764582467537</v>
      </c>
      <c r="Q304" s="324">
        <f>'DATA (Real)'!Q300*Q$4/$H$4</f>
        <v>32.004711403281817</v>
      </c>
      <c r="R304" s="324">
        <f>'DATA (Real)'!R300*R$4/$H$4</f>
        <v>32.708815054154023</v>
      </c>
      <c r="S304" s="324">
        <f>'DATA (Real)'!S300*S$4/$H$4</f>
        <v>33.428408985345413</v>
      </c>
      <c r="T304" s="324">
        <f>'DATA (Real)'!T300*T$4/$H$4</f>
        <v>34.163833983023011</v>
      </c>
      <c r="U304" s="324">
        <f>'DATA (Real)'!U300*U$4/$H$4</f>
        <v>34.915438330649515</v>
      </c>
      <c r="V304" s="324">
        <f>'DATA (Real)'!V300*V$4/$H$4</f>
        <v>35.683577973923803</v>
      </c>
      <c r="W304" s="324">
        <f>'DATA (Real)'!W300*W$4/$H$4</f>
        <v>36.468616689350128</v>
      </c>
      <c r="X304" s="324">
        <f>'DATA (Real)'!X300*X$4/$H$4</f>
        <v>37.270926256515828</v>
      </c>
      <c r="Y304" s="324">
        <f>'DATA (Real)'!Y300*Y$4/$H$4</f>
        <v>38.090886634159183</v>
      </c>
      <c r="Z304" s="324">
        <f>'DATA (Real)'!Z300*Z$4/$H$4</f>
        <v>38.928886140110684</v>
      </c>
      <c r="AA304" s="324">
        <f>'DATA (Real)'!AA300*AA$4/$H$4</f>
        <v>39.785321635193114</v>
      </c>
      <c r="AB304" s="324">
        <f>'DATA (Real)'!AB300*AB$4/$H$4</f>
        <v>40.660598711167367</v>
      </c>
      <c r="AC304" s="324">
        <f>'DATA (Real)'!AC300*AC$4/$H$4</f>
        <v>41.55513188281305</v>
      </c>
      <c r="AD304" s="324">
        <f>'DATA (Real)'!AD300*AD$4/$H$4</f>
        <v>42.469344784234934</v>
      </c>
      <c r="AE304" s="324">
        <f>'DATA (Real)'!AE300*AE$4/$H$4</f>
        <v>43.403670369488104</v>
      </c>
      <c r="AF304" s="324">
        <f>'DATA (Real)'!AF300*AF$4/$H$4</f>
        <v>44.358551117616848</v>
      </c>
      <c r="AG304" s="324">
        <f>'DATA (Real)'!AG300*AG$4/$H$4</f>
        <v>45.334439242204418</v>
      </c>
      <c r="AH304" s="324">
        <f>'DATA (Real)'!AH300*AH$4/$H$4</f>
        <v>46.331796905532912</v>
      </c>
      <c r="AI304" s="324">
        <f>'DATA (Real)'!AI300*AI$4/$H$4</f>
        <v>47.351096437454636</v>
      </c>
      <c r="AJ304" s="324">
        <f>'DATA (Real)'!AJ300*AJ$4/$H$4</f>
        <v>48.392820559078636</v>
      </c>
      <c r="AK304" s="324">
        <f>'DATA (Real)'!AK300*AK$4/$H$4</f>
        <v>49.457462611378361</v>
      </c>
      <c r="AL304" s="324">
        <f>'DATA (Real)'!AL300*AL$4/$H$4</f>
        <v>50.545526788828695</v>
      </c>
      <c r="AM304" s="324">
        <f>'DATA (Real)'!AM300*AM$4/$H$4</f>
        <v>51.657528378182924</v>
      </c>
      <c r="AN304" s="324">
        <f>'DATA (Real)'!AN300*AN$4/$H$4</f>
        <v>52.793994002502949</v>
      </c>
      <c r="AO304" s="324">
        <f>'DATA (Real)'!AO300*AO$4/$H$4</f>
        <v>53.955461870558018</v>
      </c>
      <c r="AP304" s="324">
        <f>'DATA (Real)'!AP300*AP$4/$H$4</f>
        <v>55.142482031710287</v>
      </c>
      <c r="AQ304" s="324">
        <f>'DATA (Real)'!AQ300*AQ$4/$H$4</f>
        <v>56.355616636407916</v>
      </c>
      <c r="AR304" s="324">
        <f>'DATA (Real)'!AR300*AR$4/$H$4</f>
        <v>57.595440202408888</v>
      </c>
      <c r="AS304" s="324">
        <f>'DATA (Real)'!AS300*AS$4/$H$4</f>
        <v>58.862539886861882</v>
      </c>
      <c r="AT304" s="324">
        <f>'DATA (Real)'!AT300*AT$4/$H$4</f>
        <v>60.157515764372846</v>
      </c>
      <c r="AU304" s="324">
        <f>'DATA (Real)'!AU300*AU$4/$H$4</f>
        <v>61.480981111189045</v>
      </c>
      <c r="AV304" s="324">
        <f>'DATA (Real)'!AV300*AV$4/$H$4</f>
        <v>62.833562695635202</v>
      </c>
      <c r="AW304" s="324">
        <f>'DATA (Real)'!AW300*AW$4/$H$4</f>
        <v>64.215901074939183</v>
      </c>
      <c r="AX304" s="324">
        <f>'DATA (Real)'!AX300*AX$4/$H$4</f>
        <v>65.62865089858785</v>
      </c>
      <c r="AY304" s="324">
        <f>'DATA (Real)'!AY300*AY$4/$H$4</f>
        <v>67.072481218356785</v>
      </c>
      <c r="AZ304" s="324">
        <f>'DATA (Real)'!AZ300*AZ$4/$H$4</f>
        <v>68.548075805160636</v>
      </c>
      <c r="BA304" s="324">
        <f>'DATA (Real)'!BA300*BA$4/$H$4</f>
        <v>70.05613347287418</v>
      </c>
      <c r="BB304" s="324">
        <f>'DATA (Real)'!BB300*BB$4/$H$4</f>
        <v>71.597368409277408</v>
      </c>
      <c r="BC304" s="324">
        <f>'DATA (Real)'!BC300*BC$4/$H$4</f>
        <v>73.172510514281512</v>
      </c>
      <c r="BD304" s="324">
        <f>'DATA (Real)'!BD300*BD$4/$H$4</f>
        <v>74.782305745595707</v>
      </c>
      <c r="BE304" s="324">
        <f>'DATA (Real)'!BE300*BE$4/$H$4</f>
        <v>76.4275164719988</v>
      </c>
      <c r="BF304" s="324">
        <f>'DATA (Real)'!BF300*BF$4/$H$4</f>
        <v>78.108921834382784</v>
      </c>
      <c r="BG304" s="324">
        <f>'DATA (Real)'!BG300*BG$4/$H$4</f>
        <v>79.827318114739185</v>
      </c>
      <c r="BH304" s="324">
        <f>'DATA (Real)'!BH300*BH$4/$H$4</f>
        <v>81.583519113263463</v>
      </c>
      <c r="BI304" s="324">
        <f>'DATA (Real)'!BI300*BI$4/$H$4</f>
        <v>83.378356533755252</v>
      </c>
      <c r="BJ304" s="324">
        <f>'DATA (Real)'!BJ300*BJ$4/$H$4</f>
        <v>85.212680377497875</v>
      </c>
      <c r="BK304" s="324">
        <f>'DATA (Real)'!BK300*BK$4/$H$4</f>
        <v>87.087359345802838</v>
      </c>
      <c r="BL304" s="324">
        <f>'DATA (Real)'!BL300*BL$4/$H$4</f>
        <v>89.003281251410485</v>
      </c>
      <c r="BM304" s="324">
        <f>'DATA (Real)'!BM300*BM$4/$H$4</f>
        <v>90.961353438941529</v>
      </c>
      <c r="BN304" s="324">
        <f>'DATA (Real)'!BN300*BN$4/$H$4</f>
        <v>92.962503214598243</v>
      </c>
      <c r="BO304" s="324">
        <f>'DATA (Real)'!BO300*BO$4/$H$4</f>
        <v>95.007678285319415</v>
      </c>
      <c r="BP304" s="324">
        <f>'DATA (Real)'!BP300*BP$4/$H$4</f>
        <v>97.097847207596431</v>
      </c>
      <c r="BQ304" s="324">
        <f>'DATA (Real)'!BQ300*BQ$4/$H$4</f>
        <v>99.233999846163556</v>
      </c>
      <c r="BR304" s="324">
        <f>'DATA (Real)'!BR300*BR$4/$H$4</f>
        <v>101.41714784277917</v>
      </c>
      <c r="BS304" s="324">
        <f>'DATA (Real)'!BS300*BS$4/$H$4</f>
        <v>103.6483250953203</v>
      </c>
      <c r="BT304" s="324">
        <f>'DATA (Real)'!BT300*BT$4/$H$4</f>
        <v>105.92858824741737</v>
      </c>
      <c r="BU304" s="324">
        <f>'DATA (Real)'!BU300*BU$4/$H$4</f>
        <v>108.25901718886054</v>
      </c>
      <c r="BV304" s="324">
        <f>'DATA (Real)'!BV300*BV$4/$H$4</f>
        <v>110.64071556701549</v>
      </c>
      <c r="BW304" s="324">
        <f>'DATA (Real)'!BW300*BW$4/$H$4</f>
        <v>113.07481130948985</v>
      </c>
      <c r="BX304" s="324">
        <f>'DATA (Real)'!BX300*BX$4/$H$4</f>
        <v>115.5624571582986</v>
      </c>
    </row>
    <row r="305" spans="2:76" hidden="1" outlineLevel="1">
      <c r="B305" s="352"/>
      <c r="C305" s="352" t="str">
        <f>'DATA (Real)'!C301</f>
        <v>Inflation Reduction Act</v>
      </c>
      <c r="D305" s="352" t="str">
        <f>'DATA (Real)'!D301</f>
        <v>PTC Value ($/MWh)</v>
      </c>
      <c r="E305" s="352" t="str">
        <f>'DATA (Real)'!E301</f>
        <v>Solar Photovoltaic Fixed Array (5 MW AC)</v>
      </c>
      <c r="F305" s="331"/>
      <c r="G305" s="331"/>
      <c r="H305" s="314">
        <f>'DATA (Real)'!H301*H$4/$H$4</f>
        <v>26</v>
      </c>
      <c r="I305" s="324">
        <f>'DATA (Real)'!I301*I$4/$H$4</f>
        <v>26.824720000000003</v>
      </c>
      <c r="J305" s="324">
        <f>'DATA (Real)'!J301*J$4/$H$4</f>
        <v>27.455715653166664</v>
      </c>
      <c r="K305" s="324">
        <f>'DATA (Real)'!K301*K$4/$H$4</f>
        <v>28.068893302754049</v>
      </c>
      <c r="L305" s="324">
        <f>'DATA (Real)'!L301*L$4/$H$4</f>
        <v>28.695765253182227</v>
      </c>
      <c r="M305" s="324">
        <f>'DATA (Real)'!M301*M$4/$H$4</f>
        <v>29.336637343836628</v>
      </c>
      <c r="N305" s="324">
        <f>'DATA (Real)'!N301*N$4/$H$4</f>
        <v>29.982043365401037</v>
      </c>
      <c r="O305" s="324">
        <f>'DATA (Real)'!O301*O$4/$H$4</f>
        <v>30.641648319439856</v>
      </c>
      <c r="P305" s="324">
        <f>'DATA (Real)'!P301*P$4/$H$4</f>
        <v>31.315764582467537</v>
      </c>
      <c r="Q305" s="324">
        <f>'DATA (Real)'!Q301*Q$4/$H$4</f>
        <v>32.004711403281817</v>
      </c>
      <c r="R305" s="324">
        <f>'DATA (Real)'!R301*R$4/$H$4</f>
        <v>32.708815054154023</v>
      </c>
      <c r="S305" s="324">
        <f>'DATA (Real)'!S301*S$4/$H$4</f>
        <v>33.428408985345413</v>
      </c>
      <c r="T305" s="324">
        <f>'DATA (Real)'!T301*T$4/$H$4</f>
        <v>34.163833983023011</v>
      </c>
      <c r="U305" s="324">
        <f>'DATA (Real)'!U301*U$4/$H$4</f>
        <v>34.915438330649515</v>
      </c>
      <c r="V305" s="324">
        <f>'DATA (Real)'!V301*V$4/$H$4</f>
        <v>35.683577973923803</v>
      </c>
      <c r="W305" s="324">
        <f>'DATA (Real)'!W301*W$4/$H$4</f>
        <v>36.468616689350128</v>
      </c>
      <c r="X305" s="324">
        <f>'DATA (Real)'!X301*X$4/$H$4</f>
        <v>37.270926256515828</v>
      </c>
      <c r="Y305" s="324">
        <f>'DATA (Real)'!Y301*Y$4/$H$4</f>
        <v>38.090886634159183</v>
      </c>
      <c r="Z305" s="324">
        <f>'DATA (Real)'!Z301*Z$4/$H$4</f>
        <v>38.928886140110684</v>
      </c>
      <c r="AA305" s="324">
        <f>'DATA (Real)'!AA301*AA$4/$H$4</f>
        <v>39.785321635193114</v>
      </c>
      <c r="AB305" s="324">
        <f>'DATA (Real)'!AB301*AB$4/$H$4</f>
        <v>40.660598711167367</v>
      </c>
      <c r="AC305" s="324">
        <f>'DATA (Real)'!AC301*AC$4/$H$4</f>
        <v>41.55513188281305</v>
      </c>
      <c r="AD305" s="324">
        <f>'DATA (Real)'!AD301*AD$4/$H$4</f>
        <v>42.469344784234934</v>
      </c>
      <c r="AE305" s="324">
        <f>'DATA (Real)'!AE301*AE$4/$H$4</f>
        <v>43.403670369488104</v>
      </c>
      <c r="AF305" s="324">
        <f>'DATA (Real)'!AF301*AF$4/$H$4</f>
        <v>44.358551117616848</v>
      </c>
      <c r="AG305" s="324">
        <f>'DATA (Real)'!AG301*AG$4/$H$4</f>
        <v>45.334439242204418</v>
      </c>
      <c r="AH305" s="324">
        <f>'DATA (Real)'!AH301*AH$4/$H$4</f>
        <v>46.331796905532912</v>
      </c>
      <c r="AI305" s="324">
        <f>'DATA (Real)'!AI301*AI$4/$H$4</f>
        <v>47.351096437454636</v>
      </c>
      <c r="AJ305" s="324">
        <f>'DATA (Real)'!AJ301*AJ$4/$H$4</f>
        <v>48.392820559078636</v>
      </c>
      <c r="AK305" s="324">
        <f>'DATA (Real)'!AK301*AK$4/$H$4</f>
        <v>49.457462611378361</v>
      </c>
      <c r="AL305" s="324">
        <f>'DATA (Real)'!AL301*AL$4/$H$4</f>
        <v>50.545526788828695</v>
      </c>
      <c r="AM305" s="324">
        <f>'DATA (Real)'!AM301*AM$4/$H$4</f>
        <v>51.657528378182924</v>
      </c>
      <c r="AN305" s="324">
        <f>'DATA (Real)'!AN301*AN$4/$H$4</f>
        <v>52.793994002502949</v>
      </c>
      <c r="AO305" s="324">
        <f>'DATA (Real)'!AO301*AO$4/$H$4</f>
        <v>53.955461870558018</v>
      </c>
      <c r="AP305" s="324">
        <f>'DATA (Real)'!AP301*AP$4/$H$4</f>
        <v>55.142482031710287</v>
      </c>
      <c r="AQ305" s="324">
        <f>'DATA (Real)'!AQ301*AQ$4/$H$4</f>
        <v>56.355616636407916</v>
      </c>
      <c r="AR305" s="324">
        <f>'DATA (Real)'!AR301*AR$4/$H$4</f>
        <v>57.595440202408888</v>
      </c>
      <c r="AS305" s="324">
        <f>'DATA (Real)'!AS301*AS$4/$H$4</f>
        <v>58.862539886861882</v>
      </c>
      <c r="AT305" s="324">
        <f>'DATA (Real)'!AT301*AT$4/$H$4</f>
        <v>60.157515764372846</v>
      </c>
      <c r="AU305" s="324">
        <f>'DATA (Real)'!AU301*AU$4/$H$4</f>
        <v>61.480981111189045</v>
      </c>
      <c r="AV305" s="324">
        <f>'DATA (Real)'!AV301*AV$4/$H$4</f>
        <v>62.833562695635202</v>
      </c>
      <c r="AW305" s="324">
        <f>'DATA (Real)'!AW301*AW$4/$H$4</f>
        <v>64.215901074939183</v>
      </c>
      <c r="AX305" s="324">
        <f>'DATA (Real)'!AX301*AX$4/$H$4</f>
        <v>65.62865089858785</v>
      </c>
      <c r="AY305" s="324">
        <f>'DATA (Real)'!AY301*AY$4/$H$4</f>
        <v>67.072481218356785</v>
      </c>
      <c r="AZ305" s="324">
        <f>'DATA (Real)'!AZ301*AZ$4/$H$4</f>
        <v>68.548075805160636</v>
      </c>
      <c r="BA305" s="324">
        <f>'DATA (Real)'!BA301*BA$4/$H$4</f>
        <v>70.05613347287418</v>
      </c>
      <c r="BB305" s="324">
        <f>'DATA (Real)'!BB301*BB$4/$H$4</f>
        <v>71.597368409277408</v>
      </c>
      <c r="BC305" s="324">
        <f>'DATA (Real)'!BC301*BC$4/$H$4</f>
        <v>73.172510514281512</v>
      </c>
      <c r="BD305" s="324">
        <f>'DATA (Real)'!BD301*BD$4/$H$4</f>
        <v>74.782305745595707</v>
      </c>
      <c r="BE305" s="324">
        <f>'DATA (Real)'!BE301*BE$4/$H$4</f>
        <v>76.4275164719988</v>
      </c>
      <c r="BF305" s="324">
        <f>'DATA (Real)'!BF301*BF$4/$H$4</f>
        <v>78.108921834382784</v>
      </c>
      <c r="BG305" s="324">
        <f>'DATA (Real)'!BG301*BG$4/$H$4</f>
        <v>79.827318114739185</v>
      </c>
      <c r="BH305" s="324">
        <f>'DATA (Real)'!BH301*BH$4/$H$4</f>
        <v>81.583519113263463</v>
      </c>
      <c r="BI305" s="324">
        <f>'DATA (Real)'!BI301*BI$4/$H$4</f>
        <v>83.378356533755252</v>
      </c>
      <c r="BJ305" s="324">
        <f>'DATA (Real)'!BJ301*BJ$4/$H$4</f>
        <v>85.212680377497875</v>
      </c>
      <c r="BK305" s="324">
        <f>'DATA (Real)'!BK301*BK$4/$H$4</f>
        <v>87.087359345802838</v>
      </c>
      <c r="BL305" s="324">
        <f>'DATA (Real)'!BL301*BL$4/$H$4</f>
        <v>89.003281251410485</v>
      </c>
      <c r="BM305" s="324">
        <f>'DATA (Real)'!BM301*BM$4/$H$4</f>
        <v>90.961353438941529</v>
      </c>
      <c r="BN305" s="324">
        <f>'DATA (Real)'!BN301*BN$4/$H$4</f>
        <v>92.962503214598243</v>
      </c>
      <c r="BO305" s="324">
        <f>'DATA (Real)'!BO301*BO$4/$H$4</f>
        <v>95.007678285319415</v>
      </c>
      <c r="BP305" s="324">
        <f>'DATA (Real)'!BP301*BP$4/$H$4</f>
        <v>97.097847207596431</v>
      </c>
      <c r="BQ305" s="324">
        <f>'DATA (Real)'!BQ301*BQ$4/$H$4</f>
        <v>99.233999846163556</v>
      </c>
      <c r="BR305" s="324">
        <f>'DATA (Real)'!BR301*BR$4/$H$4</f>
        <v>101.41714784277917</v>
      </c>
      <c r="BS305" s="324">
        <f>'DATA (Real)'!BS301*BS$4/$H$4</f>
        <v>103.6483250953203</v>
      </c>
      <c r="BT305" s="324">
        <f>'DATA (Real)'!BT301*BT$4/$H$4</f>
        <v>105.92858824741737</v>
      </c>
      <c r="BU305" s="324">
        <f>'DATA (Real)'!BU301*BU$4/$H$4</f>
        <v>108.25901718886054</v>
      </c>
      <c r="BV305" s="324">
        <f>'DATA (Real)'!BV301*BV$4/$H$4</f>
        <v>110.64071556701549</v>
      </c>
      <c r="BW305" s="324">
        <f>'DATA (Real)'!BW301*BW$4/$H$4</f>
        <v>113.07481130948985</v>
      </c>
      <c r="BX305" s="324">
        <f>'DATA (Real)'!BX301*BX$4/$H$4</f>
        <v>115.5624571582986</v>
      </c>
    </row>
    <row r="306" spans="2:76" hidden="1" outlineLevel="1">
      <c r="B306" s="352"/>
      <c r="C306" s="352" t="str">
        <f>'DATA (Real)'!C302</f>
        <v>Inflation Reduction Act</v>
      </c>
      <c r="D306" s="352" t="str">
        <f>'DATA (Real)'!D302</f>
        <v>PTC Value ($/MWh)</v>
      </c>
      <c r="E306" s="352" t="str">
        <f>'DATA (Real)'!E302</f>
        <v>Solar Photovoltaic Fixed Array (5 MW AC) + Storage</v>
      </c>
      <c r="F306" s="331"/>
      <c r="G306" s="331"/>
      <c r="H306" s="314">
        <f>'DATA (Real)'!H302*H$4/$H$4</f>
        <v>26</v>
      </c>
      <c r="I306" s="324">
        <f>'DATA (Real)'!I302*I$4/$H$4</f>
        <v>26.824720000000003</v>
      </c>
      <c r="J306" s="324">
        <f>'DATA (Real)'!J302*J$4/$H$4</f>
        <v>27.455715653166664</v>
      </c>
      <c r="K306" s="324">
        <f>'DATA (Real)'!K302*K$4/$H$4</f>
        <v>28.068893302754049</v>
      </c>
      <c r="L306" s="324">
        <f>'DATA (Real)'!L302*L$4/$H$4</f>
        <v>28.695765253182227</v>
      </c>
      <c r="M306" s="324">
        <f>'DATA (Real)'!M302*M$4/$H$4</f>
        <v>29.336637343836628</v>
      </c>
      <c r="N306" s="324">
        <f>'DATA (Real)'!N302*N$4/$H$4</f>
        <v>29.982043365401037</v>
      </c>
      <c r="O306" s="324">
        <f>'DATA (Real)'!O302*O$4/$H$4</f>
        <v>30.641648319439856</v>
      </c>
      <c r="P306" s="324">
        <f>'DATA (Real)'!P302*P$4/$H$4</f>
        <v>31.315764582467537</v>
      </c>
      <c r="Q306" s="324">
        <f>'DATA (Real)'!Q302*Q$4/$H$4</f>
        <v>32.004711403281817</v>
      </c>
      <c r="R306" s="324">
        <f>'DATA (Real)'!R302*R$4/$H$4</f>
        <v>32.708815054154023</v>
      </c>
      <c r="S306" s="324">
        <f>'DATA (Real)'!S302*S$4/$H$4</f>
        <v>33.428408985345413</v>
      </c>
      <c r="T306" s="324">
        <f>'DATA (Real)'!T302*T$4/$H$4</f>
        <v>34.163833983023011</v>
      </c>
      <c r="U306" s="324">
        <f>'DATA (Real)'!U302*U$4/$H$4</f>
        <v>34.915438330649515</v>
      </c>
      <c r="V306" s="324">
        <f>'DATA (Real)'!V302*V$4/$H$4</f>
        <v>35.683577973923803</v>
      </c>
      <c r="W306" s="324">
        <f>'DATA (Real)'!W302*W$4/$H$4</f>
        <v>36.468616689350128</v>
      </c>
      <c r="X306" s="324">
        <f>'DATA (Real)'!X302*X$4/$H$4</f>
        <v>37.270926256515828</v>
      </c>
      <c r="Y306" s="324">
        <f>'DATA (Real)'!Y302*Y$4/$H$4</f>
        <v>38.090886634159183</v>
      </c>
      <c r="Z306" s="324">
        <f>'DATA (Real)'!Z302*Z$4/$H$4</f>
        <v>38.928886140110684</v>
      </c>
      <c r="AA306" s="324">
        <f>'DATA (Real)'!AA302*AA$4/$H$4</f>
        <v>39.785321635193114</v>
      </c>
      <c r="AB306" s="324">
        <f>'DATA (Real)'!AB302*AB$4/$H$4</f>
        <v>40.660598711167367</v>
      </c>
      <c r="AC306" s="324">
        <f>'DATA (Real)'!AC302*AC$4/$H$4</f>
        <v>41.55513188281305</v>
      </c>
      <c r="AD306" s="324">
        <f>'DATA (Real)'!AD302*AD$4/$H$4</f>
        <v>42.469344784234934</v>
      </c>
      <c r="AE306" s="324">
        <f>'DATA (Real)'!AE302*AE$4/$H$4</f>
        <v>43.403670369488104</v>
      </c>
      <c r="AF306" s="324">
        <f>'DATA (Real)'!AF302*AF$4/$H$4</f>
        <v>44.358551117616848</v>
      </c>
      <c r="AG306" s="324">
        <f>'DATA (Real)'!AG302*AG$4/$H$4</f>
        <v>45.334439242204418</v>
      </c>
      <c r="AH306" s="324">
        <f>'DATA (Real)'!AH302*AH$4/$H$4</f>
        <v>46.331796905532912</v>
      </c>
      <c r="AI306" s="324">
        <f>'DATA (Real)'!AI302*AI$4/$H$4</f>
        <v>47.351096437454636</v>
      </c>
      <c r="AJ306" s="324">
        <f>'DATA (Real)'!AJ302*AJ$4/$H$4</f>
        <v>48.392820559078636</v>
      </c>
      <c r="AK306" s="324">
        <f>'DATA (Real)'!AK302*AK$4/$H$4</f>
        <v>49.457462611378361</v>
      </c>
      <c r="AL306" s="324">
        <f>'DATA (Real)'!AL302*AL$4/$H$4</f>
        <v>50.545526788828695</v>
      </c>
      <c r="AM306" s="324">
        <f>'DATA (Real)'!AM302*AM$4/$H$4</f>
        <v>51.657528378182924</v>
      </c>
      <c r="AN306" s="324">
        <f>'DATA (Real)'!AN302*AN$4/$H$4</f>
        <v>52.793994002502949</v>
      </c>
      <c r="AO306" s="324">
        <f>'DATA (Real)'!AO302*AO$4/$H$4</f>
        <v>53.955461870558018</v>
      </c>
      <c r="AP306" s="324">
        <f>'DATA (Real)'!AP302*AP$4/$H$4</f>
        <v>55.142482031710287</v>
      </c>
      <c r="AQ306" s="324">
        <f>'DATA (Real)'!AQ302*AQ$4/$H$4</f>
        <v>56.355616636407916</v>
      </c>
      <c r="AR306" s="324">
        <f>'DATA (Real)'!AR302*AR$4/$H$4</f>
        <v>57.595440202408888</v>
      </c>
      <c r="AS306" s="324">
        <f>'DATA (Real)'!AS302*AS$4/$H$4</f>
        <v>58.862539886861882</v>
      </c>
      <c r="AT306" s="324">
        <f>'DATA (Real)'!AT302*AT$4/$H$4</f>
        <v>60.157515764372846</v>
      </c>
      <c r="AU306" s="324">
        <f>'DATA (Real)'!AU302*AU$4/$H$4</f>
        <v>61.480981111189045</v>
      </c>
      <c r="AV306" s="324">
        <f>'DATA (Real)'!AV302*AV$4/$H$4</f>
        <v>62.833562695635202</v>
      </c>
      <c r="AW306" s="324">
        <f>'DATA (Real)'!AW302*AW$4/$H$4</f>
        <v>64.215901074939183</v>
      </c>
      <c r="AX306" s="324">
        <f>'DATA (Real)'!AX302*AX$4/$H$4</f>
        <v>65.62865089858785</v>
      </c>
      <c r="AY306" s="324">
        <f>'DATA (Real)'!AY302*AY$4/$H$4</f>
        <v>67.072481218356785</v>
      </c>
      <c r="AZ306" s="324">
        <f>'DATA (Real)'!AZ302*AZ$4/$H$4</f>
        <v>68.548075805160636</v>
      </c>
      <c r="BA306" s="324">
        <f>'DATA (Real)'!BA302*BA$4/$H$4</f>
        <v>70.05613347287418</v>
      </c>
      <c r="BB306" s="324">
        <f>'DATA (Real)'!BB302*BB$4/$H$4</f>
        <v>71.597368409277408</v>
      </c>
      <c r="BC306" s="324">
        <f>'DATA (Real)'!BC302*BC$4/$H$4</f>
        <v>73.172510514281512</v>
      </c>
      <c r="BD306" s="324">
        <f>'DATA (Real)'!BD302*BD$4/$H$4</f>
        <v>74.782305745595707</v>
      </c>
      <c r="BE306" s="324">
        <f>'DATA (Real)'!BE302*BE$4/$H$4</f>
        <v>76.4275164719988</v>
      </c>
      <c r="BF306" s="324">
        <f>'DATA (Real)'!BF302*BF$4/$H$4</f>
        <v>78.108921834382784</v>
      </c>
      <c r="BG306" s="324">
        <f>'DATA (Real)'!BG302*BG$4/$H$4</f>
        <v>79.827318114739185</v>
      </c>
      <c r="BH306" s="324">
        <f>'DATA (Real)'!BH302*BH$4/$H$4</f>
        <v>81.583519113263463</v>
      </c>
      <c r="BI306" s="324">
        <f>'DATA (Real)'!BI302*BI$4/$H$4</f>
        <v>83.378356533755252</v>
      </c>
      <c r="BJ306" s="324">
        <f>'DATA (Real)'!BJ302*BJ$4/$H$4</f>
        <v>85.212680377497875</v>
      </c>
      <c r="BK306" s="324">
        <f>'DATA (Real)'!BK302*BK$4/$H$4</f>
        <v>87.087359345802838</v>
      </c>
      <c r="BL306" s="324">
        <f>'DATA (Real)'!BL302*BL$4/$H$4</f>
        <v>89.003281251410485</v>
      </c>
      <c r="BM306" s="324">
        <f>'DATA (Real)'!BM302*BM$4/$H$4</f>
        <v>90.961353438941529</v>
      </c>
      <c r="BN306" s="324">
        <f>'DATA (Real)'!BN302*BN$4/$H$4</f>
        <v>92.962503214598243</v>
      </c>
      <c r="BO306" s="324">
        <f>'DATA (Real)'!BO302*BO$4/$H$4</f>
        <v>95.007678285319415</v>
      </c>
      <c r="BP306" s="324">
        <f>'DATA (Real)'!BP302*BP$4/$H$4</f>
        <v>97.097847207596431</v>
      </c>
      <c r="BQ306" s="324">
        <f>'DATA (Real)'!BQ302*BQ$4/$H$4</f>
        <v>99.233999846163556</v>
      </c>
      <c r="BR306" s="324">
        <f>'DATA (Real)'!BR302*BR$4/$H$4</f>
        <v>101.41714784277917</v>
      </c>
      <c r="BS306" s="324">
        <f>'DATA (Real)'!BS302*BS$4/$H$4</f>
        <v>103.6483250953203</v>
      </c>
      <c r="BT306" s="324">
        <f>'DATA (Real)'!BT302*BT$4/$H$4</f>
        <v>105.92858824741737</v>
      </c>
      <c r="BU306" s="324">
        <f>'DATA (Real)'!BU302*BU$4/$H$4</f>
        <v>108.25901718886054</v>
      </c>
      <c r="BV306" s="324">
        <f>'DATA (Real)'!BV302*BV$4/$H$4</f>
        <v>110.64071556701549</v>
      </c>
      <c r="BW306" s="324">
        <f>'DATA (Real)'!BW302*BW$4/$H$4</f>
        <v>113.07481130948985</v>
      </c>
      <c r="BX306" s="324">
        <f>'DATA (Real)'!BX302*BX$4/$H$4</f>
        <v>115.5624571582986</v>
      </c>
    </row>
    <row r="307" spans="2:76" hidden="1" outlineLevel="1">
      <c r="B307" s="352"/>
      <c r="C307" s="352" t="str">
        <f>'DATA (Real)'!C303</f>
        <v>Inflation Reduction Act</v>
      </c>
      <c r="D307" s="352" t="str">
        <f>'DATA (Real)'!D303</f>
        <v>PTC Value ($/MWh)</v>
      </c>
      <c r="E307" s="352" t="str">
        <f>'DATA (Real)'!E303</f>
        <v>Solar Photovoltaic w/Single Axis Tracking (100 MW AC)</v>
      </c>
      <c r="F307" s="331"/>
      <c r="G307" s="331"/>
      <c r="H307" s="314">
        <f>'DATA (Real)'!H303*H$4/$H$4</f>
        <v>26</v>
      </c>
      <c r="I307" s="324">
        <f>'DATA (Real)'!I303*I$4/$H$4</f>
        <v>26.824720000000003</v>
      </c>
      <c r="J307" s="324">
        <f>'DATA (Real)'!J303*J$4/$H$4</f>
        <v>27.455715653166664</v>
      </c>
      <c r="K307" s="324">
        <f>'DATA (Real)'!K303*K$4/$H$4</f>
        <v>28.068893302754049</v>
      </c>
      <c r="L307" s="324">
        <f>'DATA (Real)'!L303*L$4/$H$4</f>
        <v>28.695765253182227</v>
      </c>
      <c r="M307" s="324">
        <f>'DATA (Real)'!M303*M$4/$H$4</f>
        <v>29.336637343836628</v>
      </c>
      <c r="N307" s="324">
        <f>'DATA (Real)'!N303*N$4/$H$4</f>
        <v>29.982043365401037</v>
      </c>
      <c r="O307" s="324">
        <f>'DATA (Real)'!O303*O$4/$H$4</f>
        <v>30.641648319439856</v>
      </c>
      <c r="P307" s="324">
        <f>'DATA (Real)'!P303*P$4/$H$4</f>
        <v>31.315764582467537</v>
      </c>
      <c r="Q307" s="324">
        <f>'DATA (Real)'!Q303*Q$4/$H$4</f>
        <v>32.004711403281817</v>
      </c>
      <c r="R307" s="324">
        <f>'DATA (Real)'!R303*R$4/$H$4</f>
        <v>32.708815054154023</v>
      </c>
      <c r="S307" s="324">
        <f>'DATA (Real)'!S303*S$4/$H$4</f>
        <v>33.428408985345413</v>
      </c>
      <c r="T307" s="324">
        <f>'DATA (Real)'!T303*T$4/$H$4</f>
        <v>34.163833983023011</v>
      </c>
      <c r="U307" s="324">
        <f>'DATA (Real)'!U303*U$4/$H$4</f>
        <v>34.915438330649515</v>
      </c>
      <c r="V307" s="324">
        <f>'DATA (Real)'!V303*V$4/$H$4</f>
        <v>35.683577973923803</v>
      </c>
      <c r="W307" s="324">
        <f>'DATA (Real)'!W303*W$4/$H$4</f>
        <v>36.468616689350128</v>
      </c>
      <c r="X307" s="324">
        <f>'DATA (Real)'!X303*X$4/$H$4</f>
        <v>37.270926256515828</v>
      </c>
      <c r="Y307" s="324">
        <f>'DATA (Real)'!Y303*Y$4/$H$4</f>
        <v>38.090886634159183</v>
      </c>
      <c r="Z307" s="324">
        <f>'DATA (Real)'!Z303*Z$4/$H$4</f>
        <v>38.928886140110684</v>
      </c>
      <c r="AA307" s="324">
        <f>'DATA (Real)'!AA303*AA$4/$H$4</f>
        <v>39.785321635193114</v>
      </c>
      <c r="AB307" s="324">
        <f>'DATA (Real)'!AB303*AB$4/$H$4</f>
        <v>40.660598711167367</v>
      </c>
      <c r="AC307" s="324">
        <f>'DATA (Real)'!AC303*AC$4/$H$4</f>
        <v>41.55513188281305</v>
      </c>
      <c r="AD307" s="324">
        <f>'DATA (Real)'!AD303*AD$4/$H$4</f>
        <v>42.469344784234934</v>
      </c>
      <c r="AE307" s="324">
        <f>'DATA (Real)'!AE303*AE$4/$H$4</f>
        <v>43.403670369488104</v>
      </c>
      <c r="AF307" s="324">
        <f>'DATA (Real)'!AF303*AF$4/$H$4</f>
        <v>44.358551117616848</v>
      </c>
      <c r="AG307" s="324">
        <f>'DATA (Real)'!AG303*AG$4/$H$4</f>
        <v>45.334439242204418</v>
      </c>
      <c r="AH307" s="324">
        <f>'DATA (Real)'!AH303*AH$4/$H$4</f>
        <v>46.331796905532912</v>
      </c>
      <c r="AI307" s="324">
        <f>'DATA (Real)'!AI303*AI$4/$H$4</f>
        <v>47.351096437454636</v>
      </c>
      <c r="AJ307" s="324">
        <f>'DATA (Real)'!AJ303*AJ$4/$H$4</f>
        <v>48.392820559078636</v>
      </c>
      <c r="AK307" s="324">
        <f>'DATA (Real)'!AK303*AK$4/$H$4</f>
        <v>49.457462611378361</v>
      </c>
      <c r="AL307" s="324">
        <f>'DATA (Real)'!AL303*AL$4/$H$4</f>
        <v>50.545526788828695</v>
      </c>
      <c r="AM307" s="324">
        <f>'DATA (Real)'!AM303*AM$4/$H$4</f>
        <v>51.657528378182924</v>
      </c>
      <c r="AN307" s="324">
        <f>'DATA (Real)'!AN303*AN$4/$H$4</f>
        <v>52.793994002502949</v>
      </c>
      <c r="AO307" s="324">
        <f>'DATA (Real)'!AO303*AO$4/$H$4</f>
        <v>53.955461870558018</v>
      </c>
      <c r="AP307" s="324">
        <f>'DATA (Real)'!AP303*AP$4/$H$4</f>
        <v>55.142482031710287</v>
      </c>
      <c r="AQ307" s="324">
        <f>'DATA (Real)'!AQ303*AQ$4/$H$4</f>
        <v>56.355616636407916</v>
      </c>
      <c r="AR307" s="324">
        <f>'DATA (Real)'!AR303*AR$4/$H$4</f>
        <v>57.595440202408888</v>
      </c>
      <c r="AS307" s="324">
        <f>'DATA (Real)'!AS303*AS$4/$H$4</f>
        <v>58.862539886861882</v>
      </c>
      <c r="AT307" s="324">
        <f>'DATA (Real)'!AT303*AT$4/$H$4</f>
        <v>60.157515764372846</v>
      </c>
      <c r="AU307" s="324">
        <f>'DATA (Real)'!AU303*AU$4/$H$4</f>
        <v>61.480981111189045</v>
      </c>
      <c r="AV307" s="324">
        <f>'DATA (Real)'!AV303*AV$4/$H$4</f>
        <v>62.833562695635202</v>
      </c>
      <c r="AW307" s="324">
        <f>'DATA (Real)'!AW303*AW$4/$H$4</f>
        <v>64.215901074939183</v>
      </c>
      <c r="AX307" s="324">
        <f>'DATA (Real)'!AX303*AX$4/$H$4</f>
        <v>65.62865089858785</v>
      </c>
      <c r="AY307" s="324">
        <f>'DATA (Real)'!AY303*AY$4/$H$4</f>
        <v>67.072481218356785</v>
      </c>
      <c r="AZ307" s="324">
        <f>'DATA (Real)'!AZ303*AZ$4/$H$4</f>
        <v>68.548075805160636</v>
      </c>
      <c r="BA307" s="324">
        <f>'DATA (Real)'!BA303*BA$4/$H$4</f>
        <v>70.05613347287418</v>
      </c>
      <c r="BB307" s="324">
        <f>'DATA (Real)'!BB303*BB$4/$H$4</f>
        <v>71.597368409277408</v>
      </c>
      <c r="BC307" s="324">
        <f>'DATA (Real)'!BC303*BC$4/$H$4</f>
        <v>73.172510514281512</v>
      </c>
      <c r="BD307" s="324">
        <f>'DATA (Real)'!BD303*BD$4/$H$4</f>
        <v>74.782305745595707</v>
      </c>
      <c r="BE307" s="324">
        <f>'DATA (Real)'!BE303*BE$4/$H$4</f>
        <v>76.4275164719988</v>
      </c>
      <c r="BF307" s="324">
        <f>'DATA (Real)'!BF303*BF$4/$H$4</f>
        <v>78.108921834382784</v>
      </c>
      <c r="BG307" s="324">
        <f>'DATA (Real)'!BG303*BG$4/$H$4</f>
        <v>79.827318114739185</v>
      </c>
      <c r="BH307" s="324">
        <f>'DATA (Real)'!BH303*BH$4/$H$4</f>
        <v>81.583519113263463</v>
      </c>
      <c r="BI307" s="324">
        <f>'DATA (Real)'!BI303*BI$4/$H$4</f>
        <v>83.378356533755252</v>
      </c>
      <c r="BJ307" s="324">
        <f>'DATA (Real)'!BJ303*BJ$4/$H$4</f>
        <v>85.212680377497875</v>
      </c>
      <c r="BK307" s="324">
        <f>'DATA (Real)'!BK303*BK$4/$H$4</f>
        <v>87.087359345802838</v>
      </c>
      <c r="BL307" s="324">
        <f>'DATA (Real)'!BL303*BL$4/$H$4</f>
        <v>89.003281251410485</v>
      </c>
      <c r="BM307" s="324">
        <f>'DATA (Real)'!BM303*BM$4/$H$4</f>
        <v>90.961353438941529</v>
      </c>
      <c r="BN307" s="324">
        <f>'DATA (Real)'!BN303*BN$4/$H$4</f>
        <v>92.962503214598243</v>
      </c>
      <c r="BO307" s="324">
        <f>'DATA (Real)'!BO303*BO$4/$H$4</f>
        <v>95.007678285319415</v>
      </c>
      <c r="BP307" s="324">
        <f>'DATA (Real)'!BP303*BP$4/$H$4</f>
        <v>97.097847207596431</v>
      </c>
      <c r="BQ307" s="324">
        <f>'DATA (Real)'!BQ303*BQ$4/$H$4</f>
        <v>99.233999846163556</v>
      </c>
      <c r="BR307" s="324">
        <f>'DATA (Real)'!BR303*BR$4/$H$4</f>
        <v>101.41714784277917</v>
      </c>
      <c r="BS307" s="324">
        <f>'DATA (Real)'!BS303*BS$4/$H$4</f>
        <v>103.6483250953203</v>
      </c>
      <c r="BT307" s="324">
        <f>'DATA (Real)'!BT303*BT$4/$H$4</f>
        <v>105.92858824741737</v>
      </c>
      <c r="BU307" s="324">
        <f>'DATA (Real)'!BU303*BU$4/$H$4</f>
        <v>108.25901718886054</v>
      </c>
      <c r="BV307" s="324">
        <f>'DATA (Real)'!BV303*BV$4/$H$4</f>
        <v>110.64071556701549</v>
      </c>
      <c r="BW307" s="324">
        <f>'DATA (Real)'!BW303*BW$4/$H$4</f>
        <v>113.07481130948985</v>
      </c>
      <c r="BX307" s="324">
        <f>'DATA (Real)'!BX303*BX$4/$H$4</f>
        <v>115.5624571582986</v>
      </c>
    </row>
    <row r="308" spans="2:76" hidden="1" outlineLevel="1">
      <c r="B308" s="352"/>
      <c r="C308" s="352" t="str">
        <f>'DATA (Real)'!C304</f>
        <v>Inflation Reduction Act</v>
      </c>
      <c r="D308" s="352" t="str">
        <f>'DATA (Real)'!D304</f>
        <v>PTC Value ($/MWh)</v>
      </c>
      <c r="E308" s="352" t="str">
        <f>'DATA (Real)'!E304</f>
        <v>Southern NW Solar Photovoltaic w/ Single Axis Tracking (100 MW AC)</v>
      </c>
      <c r="F308" s="331"/>
      <c r="G308" s="331"/>
      <c r="H308" s="314">
        <f>'DATA (Real)'!H304*H$4/$H$4</f>
        <v>26</v>
      </c>
      <c r="I308" s="324">
        <f>'DATA (Real)'!I304*I$4/$H$4</f>
        <v>26.824720000000003</v>
      </c>
      <c r="J308" s="324">
        <f>'DATA (Real)'!J304*J$4/$H$4</f>
        <v>27.455715653166664</v>
      </c>
      <c r="K308" s="324">
        <f>'DATA (Real)'!K304*K$4/$H$4</f>
        <v>28.068893302754049</v>
      </c>
      <c r="L308" s="324">
        <f>'DATA (Real)'!L304*L$4/$H$4</f>
        <v>28.695765253182227</v>
      </c>
      <c r="M308" s="324">
        <f>'DATA (Real)'!M304*M$4/$H$4</f>
        <v>29.336637343836628</v>
      </c>
      <c r="N308" s="324">
        <f>'DATA (Real)'!N304*N$4/$H$4</f>
        <v>29.982043365401037</v>
      </c>
      <c r="O308" s="324">
        <f>'DATA (Real)'!O304*O$4/$H$4</f>
        <v>30.641648319439856</v>
      </c>
      <c r="P308" s="324">
        <f>'DATA (Real)'!P304*P$4/$H$4</f>
        <v>31.315764582467537</v>
      </c>
      <c r="Q308" s="324">
        <f>'DATA (Real)'!Q304*Q$4/$H$4</f>
        <v>32.004711403281817</v>
      </c>
      <c r="R308" s="324">
        <f>'DATA (Real)'!R304*R$4/$H$4</f>
        <v>32.708815054154023</v>
      </c>
      <c r="S308" s="324">
        <f>'DATA (Real)'!S304*S$4/$H$4</f>
        <v>33.428408985345413</v>
      </c>
      <c r="T308" s="324">
        <f>'DATA (Real)'!T304*T$4/$H$4</f>
        <v>34.163833983023011</v>
      </c>
      <c r="U308" s="324">
        <f>'DATA (Real)'!U304*U$4/$H$4</f>
        <v>34.915438330649515</v>
      </c>
      <c r="V308" s="324">
        <f>'DATA (Real)'!V304*V$4/$H$4</f>
        <v>35.683577973923803</v>
      </c>
      <c r="W308" s="324">
        <f>'DATA (Real)'!W304*W$4/$H$4</f>
        <v>36.468616689350128</v>
      </c>
      <c r="X308" s="324">
        <f>'DATA (Real)'!X304*X$4/$H$4</f>
        <v>37.270926256515828</v>
      </c>
      <c r="Y308" s="324">
        <f>'DATA (Real)'!Y304*Y$4/$H$4</f>
        <v>38.090886634159183</v>
      </c>
      <c r="Z308" s="324">
        <f>'DATA (Real)'!Z304*Z$4/$H$4</f>
        <v>38.928886140110684</v>
      </c>
      <c r="AA308" s="324">
        <f>'DATA (Real)'!AA304*AA$4/$H$4</f>
        <v>39.785321635193114</v>
      </c>
      <c r="AB308" s="324">
        <f>'DATA (Real)'!AB304*AB$4/$H$4</f>
        <v>40.660598711167367</v>
      </c>
      <c r="AC308" s="324">
        <f>'DATA (Real)'!AC304*AC$4/$H$4</f>
        <v>41.55513188281305</v>
      </c>
      <c r="AD308" s="324">
        <f>'DATA (Real)'!AD304*AD$4/$H$4</f>
        <v>42.469344784234934</v>
      </c>
      <c r="AE308" s="324">
        <f>'DATA (Real)'!AE304*AE$4/$H$4</f>
        <v>43.403670369488104</v>
      </c>
      <c r="AF308" s="324">
        <f>'DATA (Real)'!AF304*AF$4/$H$4</f>
        <v>44.358551117616848</v>
      </c>
      <c r="AG308" s="324">
        <f>'DATA (Real)'!AG304*AG$4/$H$4</f>
        <v>45.334439242204418</v>
      </c>
      <c r="AH308" s="324">
        <f>'DATA (Real)'!AH304*AH$4/$H$4</f>
        <v>46.331796905532912</v>
      </c>
      <c r="AI308" s="324">
        <f>'DATA (Real)'!AI304*AI$4/$H$4</f>
        <v>47.351096437454636</v>
      </c>
      <c r="AJ308" s="324">
        <f>'DATA (Real)'!AJ304*AJ$4/$H$4</f>
        <v>48.392820559078636</v>
      </c>
      <c r="AK308" s="324">
        <f>'DATA (Real)'!AK304*AK$4/$H$4</f>
        <v>49.457462611378361</v>
      </c>
      <c r="AL308" s="324">
        <f>'DATA (Real)'!AL304*AL$4/$H$4</f>
        <v>50.545526788828695</v>
      </c>
      <c r="AM308" s="324">
        <f>'DATA (Real)'!AM304*AM$4/$H$4</f>
        <v>51.657528378182924</v>
      </c>
      <c r="AN308" s="324">
        <f>'DATA (Real)'!AN304*AN$4/$H$4</f>
        <v>52.793994002502949</v>
      </c>
      <c r="AO308" s="324">
        <f>'DATA (Real)'!AO304*AO$4/$H$4</f>
        <v>53.955461870558018</v>
      </c>
      <c r="AP308" s="324">
        <f>'DATA (Real)'!AP304*AP$4/$H$4</f>
        <v>55.142482031710287</v>
      </c>
      <c r="AQ308" s="324">
        <f>'DATA (Real)'!AQ304*AQ$4/$H$4</f>
        <v>56.355616636407916</v>
      </c>
      <c r="AR308" s="324">
        <f>'DATA (Real)'!AR304*AR$4/$H$4</f>
        <v>57.595440202408888</v>
      </c>
      <c r="AS308" s="324">
        <f>'DATA (Real)'!AS304*AS$4/$H$4</f>
        <v>58.862539886861882</v>
      </c>
      <c r="AT308" s="324">
        <f>'DATA (Real)'!AT304*AT$4/$H$4</f>
        <v>60.157515764372846</v>
      </c>
      <c r="AU308" s="324">
        <f>'DATA (Real)'!AU304*AU$4/$H$4</f>
        <v>61.480981111189045</v>
      </c>
      <c r="AV308" s="324">
        <f>'DATA (Real)'!AV304*AV$4/$H$4</f>
        <v>62.833562695635202</v>
      </c>
      <c r="AW308" s="324">
        <f>'DATA (Real)'!AW304*AW$4/$H$4</f>
        <v>64.215901074939183</v>
      </c>
      <c r="AX308" s="324">
        <f>'DATA (Real)'!AX304*AX$4/$H$4</f>
        <v>65.62865089858785</v>
      </c>
      <c r="AY308" s="324">
        <f>'DATA (Real)'!AY304*AY$4/$H$4</f>
        <v>67.072481218356785</v>
      </c>
      <c r="AZ308" s="324">
        <f>'DATA (Real)'!AZ304*AZ$4/$H$4</f>
        <v>68.548075805160636</v>
      </c>
      <c r="BA308" s="324">
        <f>'DATA (Real)'!BA304*BA$4/$H$4</f>
        <v>70.05613347287418</v>
      </c>
      <c r="BB308" s="324">
        <f>'DATA (Real)'!BB304*BB$4/$H$4</f>
        <v>71.597368409277408</v>
      </c>
      <c r="BC308" s="324">
        <f>'DATA (Real)'!BC304*BC$4/$H$4</f>
        <v>73.172510514281512</v>
      </c>
      <c r="BD308" s="324">
        <f>'DATA (Real)'!BD304*BD$4/$H$4</f>
        <v>74.782305745595707</v>
      </c>
      <c r="BE308" s="324">
        <f>'DATA (Real)'!BE304*BE$4/$H$4</f>
        <v>76.4275164719988</v>
      </c>
      <c r="BF308" s="324">
        <f>'DATA (Real)'!BF304*BF$4/$H$4</f>
        <v>78.108921834382784</v>
      </c>
      <c r="BG308" s="324">
        <f>'DATA (Real)'!BG304*BG$4/$H$4</f>
        <v>79.827318114739185</v>
      </c>
      <c r="BH308" s="324">
        <f>'DATA (Real)'!BH304*BH$4/$H$4</f>
        <v>81.583519113263463</v>
      </c>
      <c r="BI308" s="324">
        <f>'DATA (Real)'!BI304*BI$4/$H$4</f>
        <v>83.378356533755252</v>
      </c>
      <c r="BJ308" s="324">
        <f>'DATA (Real)'!BJ304*BJ$4/$H$4</f>
        <v>85.212680377497875</v>
      </c>
      <c r="BK308" s="324">
        <f>'DATA (Real)'!BK304*BK$4/$H$4</f>
        <v>87.087359345802838</v>
      </c>
      <c r="BL308" s="324">
        <f>'DATA (Real)'!BL304*BL$4/$H$4</f>
        <v>89.003281251410485</v>
      </c>
      <c r="BM308" s="324">
        <f>'DATA (Real)'!BM304*BM$4/$H$4</f>
        <v>90.961353438941529</v>
      </c>
      <c r="BN308" s="324">
        <f>'DATA (Real)'!BN304*BN$4/$H$4</f>
        <v>92.962503214598243</v>
      </c>
      <c r="BO308" s="324">
        <f>'DATA (Real)'!BO304*BO$4/$H$4</f>
        <v>95.007678285319415</v>
      </c>
      <c r="BP308" s="324">
        <f>'DATA (Real)'!BP304*BP$4/$H$4</f>
        <v>97.097847207596431</v>
      </c>
      <c r="BQ308" s="324">
        <f>'DATA (Real)'!BQ304*BQ$4/$H$4</f>
        <v>99.233999846163556</v>
      </c>
      <c r="BR308" s="324">
        <f>'DATA (Real)'!BR304*BR$4/$H$4</f>
        <v>101.41714784277917</v>
      </c>
      <c r="BS308" s="324">
        <f>'DATA (Real)'!BS304*BS$4/$H$4</f>
        <v>103.6483250953203</v>
      </c>
      <c r="BT308" s="324">
        <f>'DATA (Real)'!BT304*BT$4/$H$4</f>
        <v>105.92858824741737</v>
      </c>
      <c r="BU308" s="324">
        <f>'DATA (Real)'!BU304*BU$4/$H$4</f>
        <v>108.25901718886054</v>
      </c>
      <c r="BV308" s="324">
        <f>'DATA (Real)'!BV304*BV$4/$H$4</f>
        <v>110.64071556701549</v>
      </c>
      <c r="BW308" s="324">
        <f>'DATA (Real)'!BW304*BW$4/$H$4</f>
        <v>113.07481130948985</v>
      </c>
      <c r="BX308" s="324">
        <f>'DATA (Real)'!BX304*BX$4/$H$4</f>
        <v>115.5624571582986</v>
      </c>
    </row>
    <row r="309" spans="2:76" hidden="1" outlineLevel="1">
      <c r="B309" s="352"/>
      <c r="C309" s="352" t="str">
        <f>'DATA (Real)'!C305</f>
        <v>Inflation Reduction Act</v>
      </c>
      <c r="D309" s="352" t="str">
        <f>'DATA (Real)'!D305</f>
        <v>PTC Value ($/MWh)</v>
      </c>
      <c r="E309" s="352" t="str">
        <f>'DATA (Real)'!E305</f>
        <v>100 MW/400 MWh Lithium-ion w/Solar</v>
      </c>
      <c r="F309" s="331"/>
      <c r="G309" s="331"/>
      <c r="H309" s="314">
        <f>'DATA (Real)'!H305*H$4/$H$4</f>
        <v>26</v>
      </c>
      <c r="I309" s="324">
        <f>'DATA (Real)'!I305*I$4/$H$4</f>
        <v>26.824720000000003</v>
      </c>
      <c r="J309" s="324">
        <f>'DATA (Real)'!J305*J$4/$H$4</f>
        <v>27.455715653166664</v>
      </c>
      <c r="K309" s="324">
        <f>'DATA (Real)'!K305*K$4/$H$4</f>
        <v>28.068893302754049</v>
      </c>
      <c r="L309" s="324">
        <f>'DATA (Real)'!L305*L$4/$H$4</f>
        <v>28.695765253182227</v>
      </c>
      <c r="M309" s="324">
        <f>'DATA (Real)'!M305*M$4/$H$4</f>
        <v>29.336637343836628</v>
      </c>
      <c r="N309" s="324">
        <f>'DATA (Real)'!N305*N$4/$H$4</f>
        <v>29.982043365401037</v>
      </c>
      <c r="O309" s="324">
        <f>'DATA (Real)'!O305*O$4/$H$4</f>
        <v>30.641648319439856</v>
      </c>
      <c r="P309" s="324">
        <f>'DATA (Real)'!P305*P$4/$H$4</f>
        <v>31.315764582467537</v>
      </c>
      <c r="Q309" s="324">
        <f>'DATA (Real)'!Q305*Q$4/$H$4</f>
        <v>32.004711403281817</v>
      </c>
      <c r="R309" s="324">
        <f>'DATA (Real)'!R305*R$4/$H$4</f>
        <v>32.708815054154023</v>
      </c>
      <c r="S309" s="324">
        <f>'DATA (Real)'!S305*S$4/$H$4</f>
        <v>33.428408985345413</v>
      </c>
      <c r="T309" s="324">
        <f>'DATA (Real)'!T305*T$4/$H$4</f>
        <v>34.163833983023011</v>
      </c>
      <c r="U309" s="324">
        <f>'DATA (Real)'!U305*U$4/$H$4</f>
        <v>34.915438330649515</v>
      </c>
      <c r="V309" s="324">
        <f>'DATA (Real)'!V305*V$4/$H$4</f>
        <v>35.683577973923803</v>
      </c>
      <c r="W309" s="324">
        <f>'DATA (Real)'!W305*W$4/$H$4</f>
        <v>36.468616689350128</v>
      </c>
      <c r="X309" s="324">
        <f>'DATA (Real)'!X305*X$4/$H$4</f>
        <v>37.270926256515828</v>
      </c>
      <c r="Y309" s="324">
        <f>'DATA (Real)'!Y305*Y$4/$H$4</f>
        <v>38.090886634159183</v>
      </c>
      <c r="Z309" s="324">
        <f>'DATA (Real)'!Z305*Z$4/$H$4</f>
        <v>38.928886140110684</v>
      </c>
      <c r="AA309" s="324">
        <f>'DATA (Real)'!AA305*AA$4/$H$4</f>
        <v>39.785321635193114</v>
      </c>
      <c r="AB309" s="324">
        <f>'DATA (Real)'!AB305*AB$4/$H$4</f>
        <v>40.660598711167367</v>
      </c>
      <c r="AC309" s="324">
        <f>'DATA (Real)'!AC305*AC$4/$H$4</f>
        <v>41.55513188281305</v>
      </c>
      <c r="AD309" s="324">
        <f>'DATA (Real)'!AD305*AD$4/$H$4</f>
        <v>42.469344784234934</v>
      </c>
      <c r="AE309" s="324">
        <f>'DATA (Real)'!AE305*AE$4/$H$4</f>
        <v>43.403670369488104</v>
      </c>
      <c r="AF309" s="324">
        <f>'DATA (Real)'!AF305*AF$4/$H$4</f>
        <v>44.358551117616848</v>
      </c>
      <c r="AG309" s="324">
        <f>'DATA (Real)'!AG305*AG$4/$H$4</f>
        <v>45.334439242204418</v>
      </c>
      <c r="AH309" s="324">
        <f>'DATA (Real)'!AH305*AH$4/$H$4</f>
        <v>46.331796905532912</v>
      </c>
      <c r="AI309" s="324">
        <f>'DATA (Real)'!AI305*AI$4/$H$4</f>
        <v>47.351096437454636</v>
      </c>
      <c r="AJ309" s="324">
        <f>'DATA (Real)'!AJ305*AJ$4/$H$4</f>
        <v>48.392820559078636</v>
      </c>
      <c r="AK309" s="324">
        <f>'DATA (Real)'!AK305*AK$4/$H$4</f>
        <v>49.457462611378361</v>
      </c>
      <c r="AL309" s="324">
        <f>'DATA (Real)'!AL305*AL$4/$H$4</f>
        <v>50.545526788828695</v>
      </c>
      <c r="AM309" s="324">
        <f>'DATA (Real)'!AM305*AM$4/$H$4</f>
        <v>51.657528378182924</v>
      </c>
      <c r="AN309" s="324">
        <f>'DATA (Real)'!AN305*AN$4/$H$4</f>
        <v>52.793994002502949</v>
      </c>
      <c r="AO309" s="324">
        <f>'DATA (Real)'!AO305*AO$4/$H$4</f>
        <v>53.955461870558018</v>
      </c>
      <c r="AP309" s="324">
        <f>'DATA (Real)'!AP305*AP$4/$H$4</f>
        <v>55.142482031710287</v>
      </c>
      <c r="AQ309" s="324">
        <f>'DATA (Real)'!AQ305*AQ$4/$H$4</f>
        <v>56.355616636407916</v>
      </c>
      <c r="AR309" s="324">
        <f>'DATA (Real)'!AR305*AR$4/$H$4</f>
        <v>57.595440202408888</v>
      </c>
      <c r="AS309" s="324">
        <f>'DATA (Real)'!AS305*AS$4/$H$4</f>
        <v>58.862539886861882</v>
      </c>
      <c r="AT309" s="324">
        <f>'DATA (Real)'!AT305*AT$4/$H$4</f>
        <v>60.157515764372846</v>
      </c>
      <c r="AU309" s="324">
        <f>'DATA (Real)'!AU305*AU$4/$H$4</f>
        <v>61.480981111189045</v>
      </c>
      <c r="AV309" s="324">
        <f>'DATA (Real)'!AV305*AV$4/$H$4</f>
        <v>62.833562695635202</v>
      </c>
      <c r="AW309" s="324">
        <f>'DATA (Real)'!AW305*AW$4/$H$4</f>
        <v>64.215901074939183</v>
      </c>
      <c r="AX309" s="324">
        <f>'DATA (Real)'!AX305*AX$4/$H$4</f>
        <v>65.62865089858785</v>
      </c>
      <c r="AY309" s="324">
        <f>'DATA (Real)'!AY305*AY$4/$H$4</f>
        <v>67.072481218356785</v>
      </c>
      <c r="AZ309" s="324">
        <f>'DATA (Real)'!AZ305*AZ$4/$H$4</f>
        <v>68.548075805160636</v>
      </c>
      <c r="BA309" s="324">
        <f>'DATA (Real)'!BA305*BA$4/$H$4</f>
        <v>70.05613347287418</v>
      </c>
      <c r="BB309" s="324">
        <f>'DATA (Real)'!BB305*BB$4/$H$4</f>
        <v>71.597368409277408</v>
      </c>
      <c r="BC309" s="324">
        <f>'DATA (Real)'!BC305*BC$4/$H$4</f>
        <v>73.172510514281512</v>
      </c>
      <c r="BD309" s="324">
        <f>'DATA (Real)'!BD305*BD$4/$H$4</f>
        <v>74.782305745595707</v>
      </c>
      <c r="BE309" s="324">
        <f>'DATA (Real)'!BE305*BE$4/$H$4</f>
        <v>76.4275164719988</v>
      </c>
      <c r="BF309" s="324">
        <f>'DATA (Real)'!BF305*BF$4/$H$4</f>
        <v>78.108921834382784</v>
      </c>
      <c r="BG309" s="324">
        <f>'DATA (Real)'!BG305*BG$4/$H$4</f>
        <v>79.827318114739185</v>
      </c>
      <c r="BH309" s="324">
        <f>'DATA (Real)'!BH305*BH$4/$H$4</f>
        <v>81.583519113263463</v>
      </c>
      <c r="BI309" s="324">
        <f>'DATA (Real)'!BI305*BI$4/$H$4</f>
        <v>83.378356533755252</v>
      </c>
      <c r="BJ309" s="324">
        <f>'DATA (Real)'!BJ305*BJ$4/$H$4</f>
        <v>85.212680377497875</v>
      </c>
      <c r="BK309" s="324">
        <f>'DATA (Real)'!BK305*BK$4/$H$4</f>
        <v>87.087359345802838</v>
      </c>
      <c r="BL309" s="324">
        <f>'DATA (Real)'!BL305*BL$4/$H$4</f>
        <v>89.003281251410485</v>
      </c>
      <c r="BM309" s="324">
        <f>'DATA (Real)'!BM305*BM$4/$H$4</f>
        <v>90.961353438941529</v>
      </c>
      <c r="BN309" s="324">
        <f>'DATA (Real)'!BN305*BN$4/$H$4</f>
        <v>92.962503214598243</v>
      </c>
      <c r="BO309" s="324">
        <f>'DATA (Real)'!BO305*BO$4/$H$4</f>
        <v>95.007678285319415</v>
      </c>
      <c r="BP309" s="324">
        <f>'DATA (Real)'!BP305*BP$4/$H$4</f>
        <v>97.097847207596431</v>
      </c>
      <c r="BQ309" s="324">
        <f>'DATA (Real)'!BQ305*BQ$4/$H$4</f>
        <v>99.233999846163556</v>
      </c>
      <c r="BR309" s="324">
        <f>'DATA (Real)'!BR305*BR$4/$H$4</f>
        <v>101.41714784277917</v>
      </c>
      <c r="BS309" s="324">
        <f>'DATA (Real)'!BS305*BS$4/$H$4</f>
        <v>103.6483250953203</v>
      </c>
      <c r="BT309" s="324">
        <f>'DATA (Real)'!BT305*BT$4/$H$4</f>
        <v>105.92858824741737</v>
      </c>
      <c r="BU309" s="324">
        <f>'DATA (Real)'!BU305*BU$4/$H$4</f>
        <v>108.25901718886054</v>
      </c>
      <c r="BV309" s="324">
        <f>'DATA (Real)'!BV305*BV$4/$H$4</f>
        <v>110.64071556701549</v>
      </c>
      <c r="BW309" s="324">
        <f>'DATA (Real)'!BW305*BW$4/$H$4</f>
        <v>113.07481130948985</v>
      </c>
      <c r="BX309" s="324">
        <f>'DATA (Real)'!BX305*BX$4/$H$4</f>
        <v>115.5624571582986</v>
      </c>
    </row>
    <row r="310" spans="2:76" hidden="1" outlineLevel="1">
      <c r="B310" s="352"/>
      <c r="C310" s="352" t="str">
        <f>'DATA (Real)'!C306</f>
        <v>Inflation Reduction Act</v>
      </c>
      <c r="D310" s="352" t="str">
        <f>'DATA (Real)'!D306</f>
        <v>PTC Value ($/MWh)</v>
      </c>
      <c r="E310" s="352" t="str">
        <f>'DATA (Real)'!E306</f>
        <v>100 MW/200 MWh Lithium-ion w/Solar</v>
      </c>
      <c r="F310" s="331"/>
      <c r="G310" s="331"/>
      <c r="H310" s="314">
        <f>'DATA (Real)'!H306*H$4/$H$4</f>
        <v>26</v>
      </c>
      <c r="I310" s="324">
        <f>'DATA (Real)'!I306*I$4/$H$4</f>
        <v>26.824720000000003</v>
      </c>
      <c r="J310" s="324">
        <f>'DATA (Real)'!J306*J$4/$H$4</f>
        <v>27.455715653166664</v>
      </c>
      <c r="K310" s="324">
        <f>'DATA (Real)'!K306*K$4/$H$4</f>
        <v>28.068893302754049</v>
      </c>
      <c r="L310" s="324">
        <f>'DATA (Real)'!L306*L$4/$H$4</f>
        <v>28.695765253182227</v>
      </c>
      <c r="M310" s="324">
        <f>'DATA (Real)'!M306*M$4/$H$4</f>
        <v>29.336637343836628</v>
      </c>
      <c r="N310" s="324">
        <f>'DATA (Real)'!N306*N$4/$H$4</f>
        <v>29.982043365401037</v>
      </c>
      <c r="O310" s="324">
        <f>'DATA (Real)'!O306*O$4/$H$4</f>
        <v>30.641648319439856</v>
      </c>
      <c r="P310" s="324">
        <f>'DATA (Real)'!P306*P$4/$H$4</f>
        <v>31.315764582467537</v>
      </c>
      <c r="Q310" s="324">
        <f>'DATA (Real)'!Q306*Q$4/$H$4</f>
        <v>32.004711403281817</v>
      </c>
      <c r="R310" s="324">
        <f>'DATA (Real)'!R306*R$4/$H$4</f>
        <v>32.708815054154023</v>
      </c>
      <c r="S310" s="324">
        <f>'DATA (Real)'!S306*S$4/$H$4</f>
        <v>33.428408985345413</v>
      </c>
      <c r="T310" s="324">
        <f>'DATA (Real)'!T306*T$4/$H$4</f>
        <v>34.163833983023011</v>
      </c>
      <c r="U310" s="324">
        <f>'DATA (Real)'!U306*U$4/$H$4</f>
        <v>34.915438330649515</v>
      </c>
      <c r="V310" s="324">
        <f>'DATA (Real)'!V306*V$4/$H$4</f>
        <v>35.683577973923803</v>
      </c>
      <c r="W310" s="324">
        <f>'DATA (Real)'!W306*W$4/$H$4</f>
        <v>36.468616689350128</v>
      </c>
      <c r="X310" s="324">
        <f>'DATA (Real)'!X306*X$4/$H$4</f>
        <v>37.270926256515828</v>
      </c>
      <c r="Y310" s="324">
        <f>'DATA (Real)'!Y306*Y$4/$H$4</f>
        <v>38.090886634159183</v>
      </c>
      <c r="Z310" s="324">
        <f>'DATA (Real)'!Z306*Z$4/$H$4</f>
        <v>38.928886140110684</v>
      </c>
      <c r="AA310" s="324">
        <f>'DATA (Real)'!AA306*AA$4/$H$4</f>
        <v>39.785321635193114</v>
      </c>
      <c r="AB310" s="324">
        <f>'DATA (Real)'!AB306*AB$4/$H$4</f>
        <v>40.660598711167367</v>
      </c>
      <c r="AC310" s="324">
        <f>'DATA (Real)'!AC306*AC$4/$H$4</f>
        <v>41.55513188281305</v>
      </c>
      <c r="AD310" s="324">
        <f>'DATA (Real)'!AD306*AD$4/$H$4</f>
        <v>42.469344784234934</v>
      </c>
      <c r="AE310" s="324">
        <f>'DATA (Real)'!AE306*AE$4/$H$4</f>
        <v>43.403670369488104</v>
      </c>
      <c r="AF310" s="324">
        <f>'DATA (Real)'!AF306*AF$4/$H$4</f>
        <v>44.358551117616848</v>
      </c>
      <c r="AG310" s="324">
        <f>'DATA (Real)'!AG306*AG$4/$H$4</f>
        <v>45.334439242204418</v>
      </c>
      <c r="AH310" s="324">
        <f>'DATA (Real)'!AH306*AH$4/$H$4</f>
        <v>46.331796905532912</v>
      </c>
      <c r="AI310" s="324">
        <f>'DATA (Real)'!AI306*AI$4/$H$4</f>
        <v>47.351096437454636</v>
      </c>
      <c r="AJ310" s="324">
        <f>'DATA (Real)'!AJ306*AJ$4/$H$4</f>
        <v>48.392820559078636</v>
      </c>
      <c r="AK310" s="324">
        <f>'DATA (Real)'!AK306*AK$4/$H$4</f>
        <v>49.457462611378361</v>
      </c>
      <c r="AL310" s="324">
        <f>'DATA (Real)'!AL306*AL$4/$H$4</f>
        <v>50.545526788828695</v>
      </c>
      <c r="AM310" s="324">
        <f>'DATA (Real)'!AM306*AM$4/$H$4</f>
        <v>51.657528378182924</v>
      </c>
      <c r="AN310" s="324">
        <f>'DATA (Real)'!AN306*AN$4/$H$4</f>
        <v>52.793994002502949</v>
      </c>
      <c r="AO310" s="324">
        <f>'DATA (Real)'!AO306*AO$4/$H$4</f>
        <v>53.955461870558018</v>
      </c>
      <c r="AP310" s="324">
        <f>'DATA (Real)'!AP306*AP$4/$H$4</f>
        <v>55.142482031710287</v>
      </c>
      <c r="AQ310" s="324">
        <f>'DATA (Real)'!AQ306*AQ$4/$H$4</f>
        <v>56.355616636407916</v>
      </c>
      <c r="AR310" s="324">
        <f>'DATA (Real)'!AR306*AR$4/$H$4</f>
        <v>57.595440202408888</v>
      </c>
      <c r="AS310" s="324">
        <f>'DATA (Real)'!AS306*AS$4/$H$4</f>
        <v>58.862539886861882</v>
      </c>
      <c r="AT310" s="324">
        <f>'DATA (Real)'!AT306*AT$4/$H$4</f>
        <v>60.157515764372846</v>
      </c>
      <c r="AU310" s="324">
        <f>'DATA (Real)'!AU306*AU$4/$H$4</f>
        <v>61.480981111189045</v>
      </c>
      <c r="AV310" s="324">
        <f>'DATA (Real)'!AV306*AV$4/$H$4</f>
        <v>62.833562695635202</v>
      </c>
      <c r="AW310" s="324">
        <f>'DATA (Real)'!AW306*AW$4/$H$4</f>
        <v>64.215901074939183</v>
      </c>
      <c r="AX310" s="324">
        <f>'DATA (Real)'!AX306*AX$4/$H$4</f>
        <v>65.62865089858785</v>
      </c>
      <c r="AY310" s="324">
        <f>'DATA (Real)'!AY306*AY$4/$H$4</f>
        <v>67.072481218356785</v>
      </c>
      <c r="AZ310" s="324">
        <f>'DATA (Real)'!AZ306*AZ$4/$H$4</f>
        <v>68.548075805160636</v>
      </c>
      <c r="BA310" s="324">
        <f>'DATA (Real)'!BA306*BA$4/$H$4</f>
        <v>70.05613347287418</v>
      </c>
      <c r="BB310" s="324">
        <f>'DATA (Real)'!BB306*BB$4/$H$4</f>
        <v>71.597368409277408</v>
      </c>
      <c r="BC310" s="324">
        <f>'DATA (Real)'!BC306*BC$4/$H$4</f>
        <v>73.172510514281512</v>
      </c>
      <c r="BD310" s="324">
        <f>'DATA (Real)'!BD306*BD$4/$H$4</f>
        <v>74.782305745595707</v>
      </c>
      <c r="BE310" s="324">
        <f>'DATA (Real)'!BE306*BE$4/$H$4</f>
        <v>76.4275164719988</v>
      </c>
      <c r="BF310" s="324">
        <f>'DATA (Real)'!BF306*BF$4/$H$4</f>
        <v>78.108921834382784</v>
      </c>
      <c r="BG310" s="324">
        <f>'DATA (Real)'!BG306*BG$4/$H$4</f>
        <v>79.827318114739185</v>
      </c>
      <c r="BH310" s="324">
        <f>'DATA (Real)'!BH306*BH$4/$H$4</f>
        <v>81.583519113263463</v>
      </c>
      <c r="BI310" s="324">
        <f>'DATA (Real)'!BI306*BI$4/$H$4</f>
        <v>83.378356533755252</v>
      </c>
      <c r="BJ310" s="324">
        <f>'DATA (Real)'!BJ306*BJ$4/$H$4</f>
        <v>85.212680377497875</v>
      </c>
      <c r="BK310" s="324">
        <f>'DATA (Real)'!BK306*BK$4/$H$4</f>
        <v>87.087359345802838</v>
      </c>
      <c r="BL310" s="324">
        <f>'DATA (Real)'!BL306*BL$4/$H$4</f>
        <v>89.003281251410485</v>
      </c>
      <c r="BM310" s="324">
        <f>'DATA (Real)'!BM306*BM$4/$H$4</f>
        <v>90.961353438941529</v>
      </c>
      <c r="BN310" s="324">
        <f>'DATA (Real)'!BN306*BN$4/$H$4</f>
        <v>92.962503214598243</v>
      </c>
      <c r="BO310" s="324">
        <f>'DATA (Real)'!BO306*BO$4/$H$4</f>
        <v>95.007678285319415</v>
      </c>
      <c r="BP310" s="324">
        <f>'DATA (Real)'!BP306*BP$4/$H$4</f>
        <v>97.097847207596431</v>
      </c>
      <c r="BQ310" s="324">
        <f>'DATA (Real)'!BQ306*BQ$4/$H$4</f>
        <v>99.233999846163556</v>
      </c>
      <c r="BR310" s="324">
        <f>'DATA (Real)'!BR306*BR$4/$H$4</f>
        <v>101.41714784277917</v>
      </c>
      <c r="BS310" s="324">
        <f>'DATA (Real)'!BS306*BS$4/$H$4</f>
        <v>103.6483250953203</v>
      </c>
      <c r="BT310" s="324">
        <f>'DATA (Real)'!BT306*BT$4/$H$4</f>
        <v>105.92858824741737</v>
      </c>
      <c r="BU310" s="324">
        <f>'DATA (Real)'!BU306*BU$4/$H$4</f>
        <v>108.25901718886054</v>
      </c>
      <c r="BV310" s="324">
        <f>'DATA (Real)'!BV306*BV$4/$H$4</f>
        <v>110.64071556701549</v>
      </c>
      <c r="BW310" s="324">
        <f>'DATA (Real)'!BW306*BW$4/$H$4</f>
        <v>113.07481130948985</v>
      </c>
      <c r="BX310" s="324">
        <f>'DATA (Real)'!BX306*BX$4/$H$4</f>
        <v>115.5624571582986</v>
      </c>
    </row>
    <row r="311" spans="2:76" hidden="1" outlineLevel="1">
      <c r="B311" s="352"/>
      <c r="C311" s="352" t="str">
        <f>'DATA (Real)'!C307</f>
        <v>Inflation Reduction Act</v>
      </c>
      <c r="D311" s="352" t="str">
        <f>'DATA (Real)'!D307</f>
        <v>PTC Value ($/MWh)</v>
      </c>
      <c r="E311" s="352" t="str">
        <f>'DATA (Real)'!E307</f>
        <v>50 MW/200 MWh Lithium-ion w/Solar</v>
      </c>
      <c r="F311" s="331"/>
      <c r="G311" s="331"/>
      <c r="H311" s="314">
        <f>'DATA (Real)'!H307*H$4/$H$4</f>
        <v>26</v>
      </c>
      <c r="I311" s="324">
        <f>'DATA (Real)'!I307*I$4/$H$4</f>
        <v>26.824720000000003</v>
      </c>
      <c r="J311" s="324">
        <f>'DATA (Real)'!J307*J$4/$H$4</f>
        <v>27.455715653166664</v>
      </c>
      <c r="K311" s="324">
        <f>'DATA (Real)'!K307*K$4/$H$4</f>
        <v>28.068893302754049</v>
      </c>
      <c r="L311" s="324">
        <f>'DATA (Real)'!L307*L$4/$H$4</f>
        <v>28.695765253182227</v>
      </c>
      <c r="M311" s="324">
        <f>'DATA (Real)'!M307*M$4/$H$4</f>
        <v>29.336637343836628</v>
      </c>
      <c r="N311" s="324">
        <f>'DATA (Real)'!N307*N$4/$H$4</f>
        <v>29.982043365401037</v>
      </c>
      <c r="O311" s="324">
        <f>'DATA (Real)'!O307*O$4/$H$4</f>
        <v>30.641648319439856</v>
      </c>
      <c r="P311" s="324">
        <f>'DATA (Real)'!P307*P$4/$H$4</f>
        <v>31.315764582467537</v>
      </c>
      <c r="Q311" s="324">
        <f>'DATA (Real)'!Q307*Q$4/$H$4</f>
        <v>32.004711403281817</v>
      </c>
      <c r="R311" s="324">
        <f>'DATA (Real)'!R307*R$4/$H$4</f>
        <v>32.708815054154023</v>
      </c>
      <c r="S311" s="324">
        <f>'DATA (Real)'!S307*S$4/$H$4</f>
        <v>33.428408985345413</v>
      </c>
      <c r="T311" s="324">
        <f>'DATA (Real)'!T307*T$4/$H$4</f>
        <v>34.163833983023011</v>
      </c>
      <c r="U311" s="324">
        <f>'DATA (Real)'!U307*U$4/$H$4</f>
        <v>34.915438330649515</v>
      </c>
      <c r="V311" s="324">
        <f>'DATA (Real)'!V307*V$4/$H$4</f>
        <v>35.683577973923803</v>
      </c>
      <c r="W311" s="324">
        <f>'DATA (Real)'!W307*W$4/$H$4</f>
        <v>36.468616689350128</v>
      </c>
      <c r="X311" s="324">
        <f>'DATA (Real)'!X307*X$4/$H$4</f>
        <v>37.270926256515828</v>
      </c>
      <c r="Y311" s="324">
        <f>'DATA (Real)'!Y307*Y$4/$H$4</f>
        <v>38.090886634159183</v>
      </c>
      <c r="Z311" s="324">
        <f>'DATA (Real)'!Z307*Z$4/$H$4</f>
        <v>38.928886140110684</v>
      </c>
      <c r="AA311" s="324">
        <f>'DATA (Real)'!AA307*AA$4/$H$4</f>
        <v>39.785321635193114</v>
      </c>
      <c r="AB311" s="324">
        <f>'DATA (Real)'!AB307*AB$4/$H$4</f>
        <v>40.660598711167367</v>
      </c>
      <c r="AC311" s="324">
        <f>'DATA (Real)'!AC307*AC$4/$H$4</f>
        <v>41.55513188281305</v>
      </c>
      <c r="AD311" s="324">
        <f>'DATA (Real)'!AD307*AD$4/$H$4</f>
        <v>42.469344784234934</v>
      </c>
      <c r="AE311" s="324">
        <f>'DATA (Real)'!AE307*AE$4/$H$4</f>
        <v>43.403670369488104</v>
      </c>
      <c r="AF311" s="324">
        <f>'DATA (Real)'!AF307*AF$4/$H$4</f>
        <v>44.358551117616848</v>
      </c>
      <c r="AG311" s="324">
        <f>'DATA (Real)'!AG307*AG$4/$H$4</f>
        <v>45.334439242204418</v>
      </c>
      <c r="AH311" s="324">
        <f>'DATA (Real)'!AH307*AH$4/$H$4</f>
        <v>46.331796905532912</v>
      </c>
      <c r="AI311" s="324">
        <f>'DATA (Real)'!AI307*AI$4/$H$4</f>
        <v>47.351096437454636</v>
      </c>
      <c r="AJ311" s="324">
        <f>'DATA (Real)'!AJ307*AJ$4/$H$4</f>
        <v>48.392820559078636</v>
      </c>
      <c r="AK311" s="324">
        <f>'DATA (Real)'!AK307*AK$4/$H$4</f>
        <v>49.457462611378361</v>
      </c>
      <c r="AL311" s="324">
        <f>'DATA (Real)'!AL307*AL$4/$H$4</f>
        <v>50.545526788828695</v>
      </c>
      <c r="AM311" s="324">
        <f>'DATA (Real)'!AM307*AM$4/$H$4</f>
        <v>51.657528378182924</v>
      </c>
      <c r="AN311" s="324">
        <f>'DATA (Real)'!AN307*AN$4/$H$4</f>
        <v>52.793994002502949</v>
      </c>
      <c r="AO311" s="324">
        <f>'DATA (Real)'!AO307*AO$4/$H$4</f>
        <v>53.955461870558018</v>
      </c>
      <c r="AP311" s="324">
        <f>'DATA (Real)'!AP307*AP$4/$H$4</f>
        <v>55.142482031710287</v>
      </c>
      <c r="AQ311" s="324">
        <f>'DATA (Real)'!AQ307*AQ$4/$H$4</f>
        <v>56.355616636407916</v>
      </c>
      <c r="AR311" s="324">
        <f>'DATA (Real)'!AR307*AR$4/$H$4</f>
        <v>57.595440202408888</v>
      </c>
      <c r="AS311" s="324">
        <f>'DATA (Real)'!AS307*AS$4/$H$4</f>
        <v>58.862539886861882</v>
      </c>
      <c r="AT311" s="324">
        <f>'DATA (Real)'!AT307*AT$4/$H$4</f>
        <v>60.157515764372846</v>
      </c>
      <c r="AU311" s="324">
        <f>'DATA (Real)'!AU307*AU$4/$H$4</f>
        <v>61.480981111189045</v>
      </c>
      <c r="AV311" s="324">
        <f>'DATA (Real)'!AV307*AV$4/$H$4</f>
        <v>62.833562695635202</v>
      </c>
      <c r="AW311" s="324">
        <f>'DATA (Real)'!AW307*AW$4/$H$4</f>
        <v>64.215901074939183</v>
      </c>
      <c r="AX311" s="324">
        <f>'DATA (Real)'!AX307*AX$4/$H$4</f>
        <v>65.62865089858785</v>
      </c>
      <c r="AY311" s="324">
        <f>'DATA (Real)'!AY307*AY$4/$H$4</f>
        <v>67.072481218356785</v>
      </c>
      <c r="AZ311" s="324">
        <f>'DATA (Real)'!AZ307*AZ$4/$H$4</f>
        <v>68.548075805160636</v>
      </c>
      <c r="BA311" s="324">
        <f>'DATA (Real)'!BA307*BA$4/$H$4</f>
        <v>70.05613347287418</v>
      </c>
      <c r="BB311" s="324">
        <f>'DATA (Real)'!BB307*BB$4/$H$4</f>
        <v>71.597368409277408</v>
      </c>
      <c r="BC311" s="324">
        <f>'DATA (Real)'!BC307*BC$4/$H$4</f>
        <v>73.172510514281512</v>
      </c>
      <c r="BD311" s="324">
        <f>'DATA (Real)'!BD307*BD$4/$H$4</f>
        <v>74.782305745595707</v>
      </c>
      <c r="BE311" s="324">
        <f>'DATA (Real)'!BE307*BE$4/$H$4</f>
        <v>76.4275164719988</v>
      </c>
      <c r="BF311" s="324">
        <f>'DATA (Real)'!BF307*BF$4/$H$4</f>
        <v>78.108921834382784</v>
      </c>
      <c r="BG311" s="324">
        <f>'DATA (Real)'!BG307*BG$4/$H$4</f>
        <v>79.827318114739185</v>
      </c>
      <c r="BH311" s="324">
        <f>'DATA (Real)'!BH307*BH$4/$H$4</f>
        <v>81.583519113263463</v>
      </c>
      <c r="BI311" s="324">
        <f>'DATA (Real)'!BI307*BI$4/$H$4</f>
        <v>83.378356533755252</v>
      </c>
      <c r="BJ311" s="324">
        <f>'DATA (Real)'!BJ307*BJ$4/$H$4</f>
        <v>85.212680377497875</v>
      </c>
      <c r="BK311" s="324">
        <f>'DATA (Real)'!BK307*BK$4/$H$4</f>
        <v>87.087359345802838</v>
      </c>
      <c r="BL311" s="324">
        <f>'DATA (Real)'!BL307*BL$4/$H$4</f>
        <v>89.003281251410485</v>
      </c>
      <c r="BM311" s="324">
        <f>'DATA (Real)'!BM307*BM$4/$H$4</f>
        <v>90.961353438941529</v>
      </c>
      <c r="BN311" s="324">
        <f>'DATA (Real)'!BN307*BN$4/$H$4</f>
        <v>92.962503214598243</v>
      </c>
      <c r="BO311" s="324">
        <f>'DATA (Real)'!BO307*BO$4/$H$4</f>
        <v>95.007678285319415</v>
      </c>
      <c r="BP311" s="324">
        <f>'DATA (Real)'!BP307*BP$4/$H$4</f>
        <v>97.097847207596431</v>
      </c>
      <c r="BQ311" s="324">
        <f>'DATA (Real)'!BQ307*BQ$4/$H$4</f>
        <v>99.233999846163556</v>
      </c>
      <c r="BR311" s="324">
        <f>'DATA (Real)'!BR307*BR$4/$H$4</f>
        <v>101.41714784277917</v>
      </c>
      <c r="BS311" s="324">
        <f>'DATA (Real)'!BS307*BS$4/$H$4</f>
        <v>103.6483250953203</v>
      </c>
      <c r="BT311" s="324">
        <f>'DATA (Real)'!BT307*BT$4/$H$4</f>
        <v>105.92858824741737</v>
      </c>
      <c r="BU311" s="324">
        <f>'DATA (Real)'!BU307*BU$4/$H$4</f>
        <v>108.25901718886054</v>
      </c>
      <c r="BV311" s="324">
        <f>'DATA (Real)'!BV307*BV$4/$H$4</f>
        <v>110.64071556701549</v>
      </c>
      <c r="BW311" s="324">
        <f>'DATA (Real)'!BW307*BW$4/$H$4</f>
        <v>113.07481130948985</v>
      </c>
      <c r="BX311" s="324">
        <f>'DATA (Real)'!BX307*BX$4/$H$4</f>
        <v>115.5624571582986</v>
      </c>
    </row>
    <row r="312" spans="2:76" s="355" customFormat="1" hidden="1" outlineLevel="1">
      <c r="B312" s="353"/>
      <c r="C312" s="353" t="str">
        <f>'DATA (Real)'!C308</f>
        <v>Inflation Reduction Act</v>
      </c>
      <c r="D312" s="353" t="str">
        <f>'DATA (Real)'!D308</f>
        <v>PTC Value ($/MWh)</v>
      </c>
      <c r="E312" s="353" t="str">
        <f>'DATA (Real)'!E308</f>
        <v>7F.04 CT Frame Greenfield</v>
      </c>
      <c r="F312" s="331"/>
      <c r="G312" s="331"/>
      <c r="H312" s="314">
        <f>'DATA (Real)'!H308*H$4/$H$4</f>
        <v>0</v>
      </c>
      <c r="I312" s="324">
        <f>'DATA (Real)'!I308*I$4/$H$4</f>
        <v>0</v>
      </c>
      <c r="J312" s="324">
        <f>'DATA (Real)'!J308*J$4/$H$4</f>
        <v>0</v>
      </c>
      <c r="K312" s="324">
        <f>'DATA (Real)'!K308*K$4/$H$4</f>
        <v>0</v>
      </c>
      <c r="L312" s="324">
        <f>'DATA (Real)'!L308*L$4/$H$4</f>
        <v>0</v>
      </c>
      <c r="M312" s="324">
        <f>'DATA (Real)'!M308*M$4/$H$4</f>
        <v>0</v>
      </c>
      <c r="N312" s="324">
        <f>'DATA (Real)'!N308*N$4/$H$4</f>
        <v>0</v>
      </c>
      <c r="O312" s="324">
        <f>'DATA (Real)'!O308*O$4/$H$4</f>
        <v>0</v>
      </c>
      <c r="P312" s="324">
        <f>'DATA (Real)'!P308*P$4/$H$4</f>
        <v>0</v>
      </c>
      <c r="Q312" s="324">
        <f>'DATA (Real)'!Q308*Q$4/$H$4</f>
        <v>0</v>
      </c>
      <c r="R312" s="324">
        <f>'DATA (Real)'!R308*R$4/$H$4</f>
        <v>0</v>
      </c>
      <c r="S312" s="324">
        <f>'DATA (Real)'!S308*S$4/$H$4</f>
        <v>0</v>
      </c>
      <c r="T312" s="324">
        <f>'DATA (Real)'!T308*T$4/$H$4</f>
        <v>0</v>
      </c>
      <c r="U312" s="324">
        <f>'DATA (Real)'!U308*U$4/$H$4</f>
        <v>0</v>
      </c>
      <c r="V312" s="324">
        <f>'DATA (Real)'!V308*V$4/$H$4</f>
        <v>0</v>
      </c>
      <c r="W312" s="324">
        <f>'DATA (Real)'!W308*W$4/$H$4</f>
        <v>0</v>
      </c>
      <c r="X312" s="324">
        <f>'DATA (Real)'!X308*X$4/$H$4</f>
        <v>0</v>
      </c>
      <c r="Y312" s="324">
        <f>'DATA (Real)'!Y308*Y$4/$H$4</f>
        <v>0</v>
      </c>
      <c r="Z312" s="324">
        <f>'DATA (Real)'!Z308*Z$4/$H$4</f>
        <v>0</v>
      </c>
      <c r="AA312" s="324">
        <f>'DATA (Real)'!AA308*AA$4/$H$4</f>
        <v>0</v>
      </c>
      <c r="AB312" s="324">
        <f>'DATA (Real)'!AB308*AB$4/$H$4</f>
        <v>0</v>
      </c>
      <c r="AC312" s="324">
        <f>'DATA (Real)'!AC308*AC$4/$H$4</f>
        <v>0</v>
      </c>
      <c r="AD312" s="324">
        <f>'DATA (Real)'!AD308*AD$4/$H$4</f>
        <v>0</v>
      </c>
      <c r="AE312" s="324">
        <f>'DATA (Real)'!AE308*AE$4/$H$4</f>
        <v>0</v>
      </c>
      <c r="AF312" s="324">
        <f>'DATA (Real)'!AF308*AF$4/$H$4</f>
        <v>0</v>
      </c>
      <c r="AG312" s="324">
        <f>'DATA (Real)'!AG308*AG$4/$H$4</f>
        <v>0</v>
      </c>
      <c r="AH312" s="324">
        <f>'DATA (Real)'!AH308*AH$4/$H$4</f>
        <v>0</v>
      </c>
      <c r="AI312" s="324">
        <f>'DATA (Real)'!AI308*AI$4/$H$4</f>
        <v>0</v>
      </c>
      <c r="AJ312" s="324">
        <f>'DATA (Real)'!AJ308*AJ$4/$H$4</f>
        <v>0</v>
      </c>
      <c r="AK312" s="324">
        <f>'DATA (Real)'!AK308*AK$4/$H$4</f>
        <v>0</v>
      </c>
      <c r="AL312" s="324">
        <f>'DATA (Real)'!AL308*AL$4/$H$4</f>
        <v>0</v>
      </c>
      <c r="AM312" s="324">
        <f>'DATA (Real)'!AM308*AM$4/$H$4</f>
        <v>0</v>
      </c>
      <c r="AN312" s="324">
        <f>'DATA (Real)'!AN308*AN$4/$H$4</f>
        <v>0</v>
      </c>
      <c r="AO312" s="324">
        <f>'DATA (Real)'!AO308*AO$4/$H$4</f>
        <v>0</v>
      </c>
      <c r="AP312" s="324">
        <f>'DATA (Real)'!AP308*AP$4/$H$4</f>
        <v>0</v>
      </c>
      <c r="AQ312" s="324">
        <f>'DATA (Real)'!AQ308*AQ$4/$H$4</f>
        <v>0</v>
      </c>
      <c r="AR312" s="324">
        <f>'DATA (Real)'!AR308*AR$4/$H$4</f>
        <v>0</v>
      </c>
      <c r="AS312" s="324">
        <f>'DATA (Real)'!AS308*AS$4/$H$4</f>
        <v>0</v>
      </c>
      <c r="AT312" s="324">
        <f>'DATA (Real)'!AT308*AT$4/$H$4</f>
        <v>0</v>
      </c>
      <c r="AU312" s="324">
        <f>'DATA (Real)'!AU308*AU$4/$H$4</f>
        <v>0</v>
      </c>
      <c r="AV312" s="324">
        <f>'DATA (Real)'!AV308*AV$4/$H$4</f>
        <v>0</v>
      </c>
      <c r="AW312" s="324">
        <f>'DATA (Real)'!AW308*AW$4/$H$4</f>
        <v>0</v>
      </c>
      <c r="AX312" s="324">
        <f>'DATA (Real)'!AX308*AX$4/$H$4</f>
        <v>0</v>
      </c>
      <c r="AY312" s="324">
        <f>'DATA (Real)'!AY308*AY$4/$H$4</f>
        <v>0</v>
      </c>
      <c r="AZ312" s="324">
        <f>'DATA (Real)'!AZ308*AZ$4/$H$4</f>
        <v>0</v>
      </c>
      <c r="BA312" s="324">
        <f>'DATA (Real)'!BA308*BA$4/$H$4</f>
        <v>0</v>
      </c>
      <c r="BB312" s="324">
        <f>'DATA (Real)'!BB308*BB$4/$H$4</f>
        <v>0</v>
      </c>
      <c r="BC312" s="324">
        <f>'DATA (Real)'!BC308*BC$4/$H$4</f>
        <v>0</v>
      </c>
      <c r="BD312" s="324">
        <f>'DATA (Real)'!BD308*BD$4/$H$4</f>
        <v>0</v>
      </c>
      <c r="BE312" s="324">
        <f>'DATA (Real)'!BE308*BE$4/$H$4</f>
        <v>0</v>
      </c>
      <c r="BF312" s="324">
        <f>'DATA (Real)'!BF308*BF$4/$H$4</f>
        <v>0</v>
      </c>
      <c r="BG312" s="324">
        <f>'DATA (Real)'!BG308*BG$4/$H$4</f>
        <v>0</v>
      </c>
      <c r="BH312" s="324">
        <f>'DATA (Real)'!BH308*BH$4/$H$4</f>
        <v>0</v>
      </c>
      <c r="BI312" s="324">
        <f>'DATA (Real)'!BI308*BI$4/$H$4</f>
        <v>0</v>
      </c>
      <c r="BJ312" s="324">
        <f>'DATA (Real)'!BJ308*BJ$4/$H$4</f>
        <v>0</v>
      </c>
      <c r="BK312" s="324">
        <f>'DATA (Real)'!BK308*BK$4/$H$4</f>
        <v>0</v>
      </c>
      <c r="BL312" s="324">
        <f>'DATA (Real)'!BL308*BL$4/$H$4</f>
        <v>0</v>
      </c>
      <c r="BM312" s="324">
        <f>'DATA (Real)'!BM308*BM$4/$H$4</f>
        <v>0</v>
      </c>
      <c r="BN312" s="324">
        <f>'DATA (Real)'!BN308*BN$4/$H$4</f>
        <v>0</v>
      </c>
      <c r="BO312" s="324">
        <f>'DATA (Real)'!BO308*BO$4/$H$4</f>
        <v>0</v>
      </c>
      <c r="BP312" s="324">
        <f>'DATA (Real)'!BP308*BP$4/$H$4</f>
        <v>0</v>
      </c>
      <c r="BQ312" s="324">
        <f>'DATA (Real)'!BQ308*BQ$4/$H$4</f>
        <v>0</v>
      </c>
      <c r="BR312" s="324">
        <f>'DATA (Real)'!BR308*BR$4/$H$4</f>
        <v>0</v>
      </c>
      <c r="BS312" s="324">
        <f>'DATA (Real)'!BS308*BS$4/$H$4</f>
        <v>0</v>
      </c>
      <c r="BT312" s="324">
        <f>'DATA (Real)'!BT308*BT$4/$H$4</f>
        <v>0</v>
      </c>
      <c r="BU312" s="324">
        <f>'DATA (Real)'!BU308*BU$4/$H$4</f>
        <v>0</v>
      </c>
      <c r="BV312" s="324">
        <f>'DATA (Real)'!BV308*BV$4/$H$4</f>
        <v>0</v>
      </c>
      <c r="BW312" s="324">
        <f>'DATA (Real)'!BW308*BW$4/$H$4</f>
        <v>0</v>
      </c>
      <c r="BX312" s="324">
        <f>'DATA (Real)'!BX308*BX$4/$H$4</f>
        <v>0</v>
      </c>
    </row>
    <row r="313" spans="2:76" s="355" customFormat="1" hidden="1" outlineLevel="1">
      <c r="B313" s="353"/>
      <c r="C313" s="353" t="str">
        <f>'DATA (Real)'!C309</f>
        <v>Inflation Reduction Act</v>
      </c>
      <c r="D313" s="353" t="str">
        <f>'DATA (Real)'!D309</f>
        <v>PTC Value ($/MWh)</v>
      </c>
      <c r="E313" s="353" t="str">
        <f>'DATA (Real)'!E309</f>
        <v>Reciprocating Engine (ICE) Machine</v>
      </c>
      <c r="F313" s="331"/>
      <c r="G313" s="331"/>
      <c r="H313" s="314">
        <f>'DATA (Real)'!H309*H$4/$H$4</f>
        <v>0</v>
      </c>
      <c r="I313" s="324">
        <f>'DATA (Real)'!I309*I$4/$H$4</f>
        <v>0</v>
      </c>
      <c r="J313" s="324">
        <f>'DATA (Real)'!J309*J$4/$H$4</f>
        <v>0</v>
      </c>
      <c r="K313" s="324">
        <f>'DATA (Real)'!K309*K$4/$H$4</f>
        <v>0</v>
      </c>
      <c r="L313" s="324">
        <f>'DATA (Real)'!L309*L$4/$H$4</f>
        <v>0</v>
      </c>
      <c r="M313" s="324">
        <f>'DATA (Real)'!M309*M$4/$H$4</f>
        <v>0</v>
      </c>
      <c r="N313" s="324">
        <f>'DATA (Real)'!N309*N$4/$H$4</f>
        <v>0</v>
      </c>
      <c r="O313" s="324">
        <f>'DATA (Real)'!O309*O$4/$H$4</f>
        <v>0</v>
      </c>
      <c r="P313" s="324">
        <f>'DATA (Real)'!P309*P$4/$H$4</f>
        <v>0</v>
      </c>
      <c r="Q313" s="324">
        <f>'DATA (Real)'!Q309*Q$4/$H$4</f>
        <v>0</v>
      </c>
      <c r="R313" s="324">
        <f>'DATA (Real)'!R309*R$4/$H$4</f>
        <v>0</v>
      </c>
      <c r="S313" s="324">
        <f>'DATA (Real)'!S309*S$4/$H$4</f>
        <v>0</v>
      </c>
      <c r="T313" s="324">
        <f>'DATA (Real)'!T309*T$4/$H$4</f>
        <v>0</v>
      </c>
      <c r="U313" s="324">
        <f>'DATA (Real)'!U309*U$4/$H$4</f>
        <v>0</v>
      </c>
      <c r="V313" s="324">
        <f>'DATA (Real)'!V309*V$4/$H$4</f>
        <v>0</v>
      </c>
      <c r="W313" s="324">
        <f>'DATA (Real)'!W309*W$4/$H$4</f>
        <v>0</v>
      </c>
      <c r="X313" s="324">
        <f>'DATA (Real)'!X309*X$4/$H$4</f>
        <v>0</v>
      </c>
      <c r="Y313" s="324">
        <f>'DATA (Real)'!Y309*Y$4/$H$4</f>
        <v>0</v>
      </c>
      <c r="Z313" s="324">
        <f>'DATA (Real)'!Z309*Z$4/$H$4</f>
        <v>0</v>
      </c>
      <c r="AA313" s="324">
        <f>'DATA (Real)'!AA309*AA$4/$H$4</f>
        <v>0</v>
      </c>
      <c r="AB313" s="324">
        <f>'DATA (Real)'!AB309*AB$4/$H$4</f>
        <v>0</v>
      </c>
      <c r="AC313" s="324">
        <f>'DATA (Real)'!AC309*AC$4/$H$4</f>
        <v>0</v>
      </c>
      <c r="AD313" s="324">
        <f>'DATA (Real)'!AD309*AD$4/$H$4</f>
        <v>0</v>
      </c>
      <c r="AE313" s="324">
        <f>'DATA (Real)'!AE309*AE$4/$H$4</f>
        <v>0</v>
      </c>
      <c r="AF313" s="324">
        <f>'DATA (Real)'!AF309*AF$4/$H$4</f>
        <v>0</v>
      </c>
      <c r="AG313" s="324">
        <f>'DATA (Real)'!AG309*AG$4/$H$4</f>
        <v>0</v>
      </c>
      <c r="AH313" s="324">
        <f>'DATA (Real)'!AH309*AH$4/$H$4</f>
        <v>0</v>
      </c>
      <c r="AI313" s="324">
        <f>'DATA (Real)'!AI309*AI$4/$H$4</f>
        <v>0</v>
      </c>
      <c r="AJ313" s="324">
        <f>'DATA (Real)'!AJ309*AJ$4/$H$4</f>
        <v>0</v>
      </c>
      <c r="AK313" s="324">
        <f>'DATA (Real)'!AK309*AK$4/$H$4</f>
        <v>0</v>
      </c>
      <c r="AL313" s="324">
        <f>'DATA (Real)'!AL309*AL$4/$H$4</f>
        <v>0</v>
      </c>
      <c r="AM313" s="324">
        <f>'DATA (Real)'!AM309*AM$4/$H$4</f>
        <v>0</v>
      </c>
      <c r="AN313" s="324">
        <f>'DATA (Real)'!AN309*AN$4/$H$4</f>
        <v>0</v>
      </c>
      <c r="AO313" s="324">
        <f>'DATA (Real)'!AO309*AO$4/$H$4</f>
        <v>0</v>
      </c>
      <c r="AP313" s="324">
        <f>'DATA (Real)'!AP309*AP$4/$H$4</f>
        <v>0</v>
      </c>
      <c r="AQ313" s="324">
        <f>'DATA (Real)'!AQ309*AQ$4/$H$4</f>
        <v>0</v>
      </c>
      <c r="AR313" s="324">
        <f>'DATA (Real)'!AR309*AR$4/$H$4</f>
        <v>0</v>
      </c>
      <c r="AS313" s="324">
        <f>'DATA (Real)'!AS309*AS$4/$H$4</f>
        <v>0</v>
      </c>
      <c r="AT313" s="324">
        <f>'DATA (Real)'!AT309*AT$4/$H$4</f>
        <v>0</v>
      </c>
      <c r="AU313" s="324">
        <f>'DATA (Real)'!AU309*AU$4/$H$4</f>
        <v>0</v>
      </c>
      <c r="AV313" s="324">
        <f>'DATA (Real)'!AV309*AV$4/$H$4</f>
        <v>0</v>
      </c>
      <c r="AW313" s="324">
        <f>'DATA (Real)'!AW309*AW$4/$H$4</f>
        <v>0</v>
      </c>
      <c r="AX313" s="324">
        <f>'DATA (Real)'!AX309*AX$4/$H$4</f>
        <v>0</v>
      </c>
      <c r="AY313" s="324">
        <f>'DATA (Real)'!AY309*AY$4/$H$4</f>
        <v>0</v>
      </c>
      <c r="AZ313" s="324">
        <f>'DATA (Real)'!AZ309*AZ$4/$H$4</f>
        <v>0</v>
      </c>
      <c r="BA313" s="324">
        <f>'DATA (Real)'!BA309*BA$4/$H$4</f>
        <v>0</v>
      </c>
      <c r="BB313" s="324">
        <f>'DATA (Real)'!BB309*BB$4/$H$4</f>
        <v>0</v>
      </c>
      <c r="BC313" s="324">
        <f>'DATA (Real)'!BC309*BC$4/$H$4</f>
        <v>0</v>
      </c>
      <c r="BD313" s="324">
        <f>'DATA (Real)'!BD309*BD$4/$H$4</f>
        <v>0</v>
      </c>
      <c r="BE313" s="324">
        <f>'DATA (Real)'!BE309*BE$4/$H$4</f>
        <v>0</v>
      </c>
      <c r="BF313" s="324">
        <f>'DATA (Real)'!BF309*BF$4/$H$4</f>
        <v>0</v>
      </c>
      <c r="BG313" s="324">
        <f>'DATA (Real)'!BG309*BG$4/$H$4</f>
        <v>0</v>
      </c>
      <c r="BH313" s="324">
        <f>'DATA (Real)'!BH309*BH$4/$H$4</f>
        <v>0</v>
      </c>
      <c r="BI313" s="324">
        <f>'DATA (Real)'!BI309*BI$4/$H$4</f>
        <v>0</v>
      </c>
      <c r="BJ313" s="324">
        <f>'DATA (Real)'!BJ309*BJ$4/$H$4</f>
        <v>0</v>
      </c>
      <c r="BK313" s="324">
        <f>'DATA (Real)'!BK309*BK$4/$H$4</f>
        <v>0</v>
      </c>
      <c r="BL313" s="324">
        <f>'DATA (Real)'!BL309*BL$4/$H$4</f>
        <v>0</v>
      </c>
      <c r="BM313" s="324">
        <f>'DATA (Real)'!BM309*BM$4/$H$4</f>
        <v>0</v>
      </c>
      <c r="BN313" s="324">
        <f>'DATA (Real)'!BN309*BN$4/$H$4</f>
        <v>0</v>
      </c>
      <c r="BO313" s="324">
        <f>'DATA (Real)'!BO309*BO$4/$H$4</f>
        <v>0</v>
      </c>
      <c r="BP313" s="324">
        <f>'DATA (Real)'!BP309*BP$4/$H$4</f>
        <v>0</v>
      </c>
      <c r="BQ313" s="324">
        <f>'DATA (Real)'!BQ309*BQ$4/$H$4</f>
        <v>0</v>
      </c>
      <c r="BR313" s="324">
        <f>'DATA (Real)'!BR309*BR$4/$H$4</f>
        <v>0</v>
      </c>
      <c r="BS313" s="324">
        <f>'DATA (Real)'!BS309*BS$4/$H$4</f>
        <v>0</v>
      </c>
      <c r="BT313" s="324">
        <f>'DATA (Real)'!BT309*BT$4/$H$4</f>
        <v>0</v>
      </c>
      <c r="BU313" s="324">
        <f>'DATA (Real)'!BU309*BU$4/$H$4</f>
        <v>0</v>
      </c>
      <c r="BV313" s="324">
        <f>'DATA (Real)'!BV309*BV$4/$H$4</f>
        <v>0</v>
      </c>
      <c r="BW313" s="324">
        <f>'DATA (Real)'!BW309*BW$4/$H$4</f>
        <v>0</v>
      </c>
      <c r="BX313" s="324">
        <f>'DATA (Real)'!BX309*BX$4/$H$4</f>
        <v>0</v>
      </c>
    </row>
    <row r="314" spans="2:76" s="355" customFormat="1" hidden="1" outlineLevel="1">
      <c r="B314" s="353"/>
      <c r="C314" s="353" t="str">
        <f>'DATA (Real)'!C310</f>
        <v>Inflation Reduction Act</v>
      </c>
      <c r="D314" s="353" t="str">
        <f>'DATA (Real)'!D310</f>
        <v>PTC Value ($/MWh)</v>
      </c>
      <c r="E314" s="353" t="str">
        <f>'DATA (Real)'!E310</f>
        <v>NG CCCT (1x1 w/DF)</v>
      </c>
      <c r="F314" s="331"/>
      <c r="G314" s="331"/>
      <c r="H314" s="314">
        <f>'DATA (Real)'!H310*H$4/$H$4</f>
        <v>0</v>
      </c>
      <c r="I314" s="324">
        <f>'DATA (Real)'!I310*I$4/$H$4</f>
        <v>0</v>
      </c>
      <c r="J314" s="324">
        <f>'DATA (Real)'!J310*J$4/$H$4</f>
        <v>0</v>
      </c>
      <c r="K314" s="324">
        <f>'DATA (Real)'!K310*K$4/$H$4</f>
        <v>0</v>
      </c>
      <c r="L314" s="324">
        <f>'DATA (Real)'!L310*L$4/$H$4</f>
        <v>0</v>
      </c>
      <c r="M314" s="324">
        <f>'DATA (Real)'!M310*M$4/$H$4</f>
        <v>0</v>
      </c>
      <c r="N314" s="324">
        <f>'DATA (Real)'!N310*N$4/$H$4</f>
        <v>0</v>
      </c>
      <c r="O314" s="324">
        <f>'DATA (Real)'!O310*O$4/$H$4</f>
        <v>0</v>
      </c>
      <c r="P314" s="324">
        <f>'DATA (Real)'!P310*P$4/$H$4</f>
        <v>0</v>
      </c>
      <c r="Q314" s="324">
        <f>'DATA (Real)'!Q310*Q$4/$H$4</f>
        <v>0</v>
      </c>
      <c r="R314" s="324">
        <f>'DATA (Real)'!R310*R$4/$H$4</f>
        <v>0</v>
      </c>
      <c r="S314" s="324">
        <f>'DATA (Real)'!S310*S$4/$H$4</f>
        <v>0</v>
      </c>
      <c r="T314" s="324">
        <f>'DATA (Real)'!T310*T$4/$H$4</f>
        <v>0</v>
      </c>
      <c r="U314" s="324">
        <f>'DATA (Real)'!U310*U$4/$H$4</f>
        <v>0</v>
      </c>
      <c r="V314" s="324">
        <f>'DATA (Real)'!V310*V$4/$H$4</f>
        <v>0</v>
      </c>
      <c r="W314" s="324">
        <f>'DATA (Real)'!W310*W$4/$H$4</f>
        <v>0</v>
      </c>
      <c r="X314" s="324">
        <f>'DATA (Real)'!X310*X$4/$H$4</f>
        <v>0</v>
      </c>
      <c r="Y314" s="324">
        <f>'DATA (Real)'!Y310*Y$4/$H$4</f>
        <v>0</v>
      </c>
      <c r="Z314" s="324">
        <f>'DATA (Real)'!Z310*Z$4/$H$4</f>
        <v>0</v>
      </c>
      <c r="AA314" s="324">
        <f>'DATA (Real)'!AA310*AA$4/$H$4</f>
        <v>0</v>
      </c>
      <c r="AB314" s="324">
        <f>'DATA (Real)'!AB310*AB$4/$H$4</f>
        <v>0</v>
      </c>
      <c r="AC314" s="324">
        <f>'DATA (Real)'!AC310*AC$4/$H$4</f>
        <v>0</v>
      </c>
      <c r="AD314" s="324">
        <f>'DATA (Real)'!AD310*AD$4/$H$4</f>
        <v>0</v>
      </c>
      <c r="AE314" s="324">
        <f>'DATA (Real)'!AE310*AE$4/$H$4</f>
        <v>0</v>
      </c>
      <c r="AF314" s="324">
        <f>'DATA (Real)'!AF310*AF$4/$H$4</f>
        <v>0</v>
      </c>
      <c r="AG314" s="324">
        <f>'DATA (Real)'!AG310*AG$4/$H$4</f>
        <v>0</v>
      </c>
      <c r="AH314" s="324">
        <f>'DATA (Real)'!AH310*AH$4/$H$4</f>
        <v>0</v>
      </c>
      <c r="AI314" s="324">
        <f>'DATA (Real)'!AI310*AI$4/$H$4</f>
        <v>0</v>
      </c>
      <c r="AJ314" s="324">
        <f>'DATA (Real)'!AJ310*AJ$4/$H$4</f>
        <v>0</v>
      </c>
      <c r="AK314" s="324">
        <f>'DATA (Real)'!AK310*AK$4/$H$4</f>
        <v>0</v>
      </c>
      <c r="AL314" s="324">
        <f>'DATA (Real)'!AL310*AL$4/$H$4</f>
        <v>0</v>
      </c>
      <c r="AM314" s="324">
        <f>'DATA (Real)'!AM310*AM$4/$H$4</f>
        <v>0</v>
      </c>
      <c r="AN314" s="324">
        <f>'DATA (Real)'!AN310*AN$4/$H$4</f>
        <v>0</v>
      </c>
      <c r="AO314" s="324">
        <f>'DATA (Real)'!AO310*AO$4/$H$4</f>
        <v>0</v>
      </c>
      <c r="AP314" s="324">
        <f>'DATA (Real)'!AP310*AP$4/$H$4</f>
        <v>0</v>
      </c>
      <c r="AQ314" s="324">
        <f>'DATA (Real)'!AQ310*AQ$4/$H$4</f>
        <v>0</v>
      </c>
      <c r="AR314" s="324">
        <f>'DATA (Real)'!AR310*AR$4/$H$4</f>
        <v>0</v>
      </c>
      <c r="AS314" s="324">
        <f>'DATA (Real)'!AS310*AS$4/$H$4</f>
        <v>0</v>
      </c>
      <c r="AT314" s="324">
        <f>'DATA (Real)'!AT310*AT$4/$H$4</f>
        <v>0</v>
      </c>
      <c r="AU314" s="324">
        <f>'DATA (Real)'!AU310*AU$4/$H$4</f>
        <v>0</v>
      </c>
      <c r="AV314" s="324">
        <f>'DATA (Real)'!AV310*AV$4/$H$4</f>
        <v>0</v>
      </c>
      <c r="AW314" s="324">
        <f>'DATA (Real)'!AW310*AW$4/$H$4</f>
        <v>0</v>
      </c>
      <c r="AX314" s="324">
        <f>'DATA (Real)'!AX310*AX$4/$H$4</f>
        <v>0</v>
      </c>
      <c r="AY314" s="324">
        <f>'DATA (Real)'!AY310*AY$4/$H$4</f>
        <v>0</v>
      </c>
      <c r="AZ314" s="324">
        <f>'DATA (Real)'!AZ310*AZ$4/$H$4</f>
        <v>0</v>
      </c>
      <c r="BA314" s="324">
        <f>'DATA (Real)'!BA310*BA$4/$H$4</f>
        <v>0</v>
      </c>
      <c r="BB314" s="324">
        <f>'DATA (Real)'!BB310*BB$4/$H$4</f>
        <v>0</v>
      </c>
      <c r="BC314" s="324">
        <f>'DATA (Real)'!BC310*BC$4/$H$4</f>
        <v>0</v>
      </c>
      <c r="BD314" s="324">
        <f>'DATA (Real)'!BD310*BD$4/$H$4</f>
        <v>0</v>
      </c>
      <c r="BE314" s="324">
        <f>'DATA (Real)'!BE310*BE$4/$H$4</f>
        <v>0</v>
      </c>
      <c r="BF314" s="324">
        <f>'DATA (Real)'!BF310*BF$4/$H$4</f>
        <v>0</v>
      </c>
      <c r="BG314" s="324">
        <f>'DATA (Real)'!BG310*BG$4/$H$4</f>
        <v>0</v>
      </c>
      <c r="BH314" s="324">
        <f>'DATA (Real)'!BH310*BH$4/$H$4</f>
        <v>0</v>
      </c>
      <c r="BI314" s="324">
        <f>'DATA (Real)'!BI310*BI$4/$H$4</f>
        <v>0</v>
      </c>
      <c r="BJ314" s="324">
        <f>'DATA (Real)'!BJ310*BJ$4/$H$4</f>
        <v>0</v>
      </c>
      <c r="BK314" s="324">
        <f>'DATA (Real)'!BK310*BK$4/$H$4</f>
        <v>0</v>
      </c>
      <c r="BL314" s="324">
        <f>'DATA (Real)'!BL310*BL$4/$H$4</f>
        <v>0</v>
      </c>
      <c r="BM314" s="324">
        <f>'DATA (Real)'!BM310*BM$4/$H$4</f>
        <v>0</v>
      </c>
      <c r="BN314" s="324">
        <f>'DATA (Real)'!BN310*BN$4/$H$4</f>
        <v>0</v>
      </c>
      <c r="BO314" s="324">
        <f>'DATA (Real)'!BO310*BO$4/$H$4</f>
        <v>0</v>
      </c>
      <c r="BP314" s="324">
        <f>'DATA (Real)'!BP310*BP$4/$H$4</f>
        <v>0</v>
      </c>
      <c r="BQ314" s="324">
        <f>'DATA (Real)'!BQ310*BQ$4/$H$4</f>
        <v>0</v>
      </c>
      <c r="BR314" s="324">
        <f>'DATA (Real)'!BR310*BR$4/$H$4</f>
        <v>0</v>
      </c>
      <c r="BS314" s="324">
        <f>'DATA (Real)'!BS310*BS$4/$H$4</f>
        <v>0</v>
      </c>
      <c r="BT314" s="324">
        <f>'DATA (Real)'!BT310*BT$4/$H$4</f>
        <v>0</v>
      </c>
      <c r="BU314" s="324">
        <f>'DATA (Real)'!BU310*BU$4/$H$4</f>
        <v>0</v>
      </c>
      <c r="BV314" s="324">
        <f>'DATA (Real)'!BV310*BV$4/$H$4</f>
        <v>0</v>
      </c>
      <c r="BW314" s="324">
        <f>'DATA (Real)'!BW310*BW$4/$H$4</f>
        <v>0</v>
      </c>
      <c r="BX314" s="324">
        <f>'DATA (Real)'!BX310*BX$4/$H$4</f>
        <v>0</v>
      </c>
    </row>
    <row r="315" spans="2:76" s="355" customFormat="1" hidden="1" outlineLevel="1">
      <c r="B315" s="353"/>
      <c r="C315" s="353" t="str">
        <f>'DATA (Real)'!C311</f>
        <v>Inflation Reduction Act</v>
      </c>
      <c r="D315" s="353" t="str">
        <f>'DATA (Real)'!D311</f>
        <v>PTC Value ($/MWh)</v>
      </c>
      <c r="E315" s="353" t="str">
        <f>'DATA (Real)'!E311</f>
        <v xml:space="preserve">Hydrogen Fuel Cell with 40 hrs Storage </v>
      </c>
      <c r="F315" s="331"/>
      <c r="G315" s="331"/>
      <c r="H315" s="314">
        <f>'DATA (Real)'!H311*H$4/$H$4</f>
        <v>0</v>
      </c>
      <c r="I315" s="324">
        <f>'DATA (Real)'!I311*I$4/$H$4</f>
        <v>0</v>
      </c>
      <c r="J315" s="324">
        <f>'DATA (Real)'!J311*J$4/$H$4</f>
        <v>0</v>
      </c>
      <c r="K315" s="324">
        <f>'DATA (Real)'!K311*K$4/$H$4</f>
        <v>0</v>
      </c>
      <c r="L315" s="324">
        <f>'DATA (Real)'!L311*L$4/$H$4</f>
        <v>0</v>
      </c>
      <c r="M315" s="324">
        <f>'DATA (Real)'!M311*M$4/$H$4</f>
        <v>0</v>
      </c>
      <c r="N315" s="324">
        <f>'DATA (Real)'!N311*N$4/$H$4</f>
        <v>0</v>
      </c>
      <c r="O315" s="324">
        <f>'DATA (Real)'!O311*O$4/$H$4</f>
        <v>0</v>
      </c>
      <c r="P315" s="324">
        <f>'DATA (Real)'!P311*P$4/$H$4</f>
        <v>0</v>
      </c>
      <c r="Q315" s="324">
        <f>'DATA (Real)'!Q311*Q$4/$H$4</f>
        <v>0</v>
      </c>
      <c r="R315" s="324">
        <f>'DATA (Real)'!R311*R$4/$H$4</f>
        <v>0</v>
      </c>
      <c r="S315" s="324">
        <f>'DATA (Real)'!S311*S$4/$H$4</f>
        <v>0</v>
      </c>
      <c r="T315" s="324">
        <f>'DATA (Real)'!T311*T$4/$H$4</f>
        <v>0</v>
      </c>
      <c r="U315" s="324">
        <f>'DATA (Real)'!U311*U$4/$H$4</f>
        <v>0</v>
      </c>
      <c r="V315" s="324">
        <f>'DATA (Real)'!V311*V$4/$H$4</f>
        <v>0</v>
      </c>
      <c r="W315" s="324">
        <f>'DATA (Real)'!W311*W$4/$H$4</f>
        <v>0</v>
      </c>
      <c r="X315" s="324">
        <f>'DATA (Real)'!X311*X$4/$H$4</f>
        <v>0</v>
      </c>
      <c r="Y315" s="324">
        <f>'DATA (Real)'!Y311*Y$4/$H$4</f>
        <v>0</v>
      </c>
      <c r="Z315" s="324">
        <f>'DATA (Real)'!Z311*Z$4/$H$4</f>
        <v>0</v>
      </c>
      <c r="AA315" s="324">
        <f>'DATA (Real)'!AA311*AA$4/$H$4</f>
        <v>0</v>
      </c>
      <c r="AB315" s="324">
        <f>'DATA (Real)'!AB311*AB$4/$H$4</f>
        <v>0</v>
      </c>
      <c r="AC315" s="324">
        <f>'DATA (Real)'!AC311*AC$4/$H$4</f>
        <v>0</v>
      </c>
      <c r="AD315" s="324">
        <f>'DATA (Real)'!AD311*AD$4/$H$4</f>
        <v>0</v>
      </c>
      <c r="AE315" s="324">
        <f>'DATA (Real)'!AE311*AE$4/$H$4</f>
        <v>0</v>
      </c>
      <c r="AF315" s="324">
        <f>'DATA (Real)'!AF311*AF$4/$H$4</f>
        <v>0</v>
      </c>
      <c r="AG315" s="324">
        <f>'DATA (Real)'!AG311*AG$4/$H$4</f>
        <v>0</v>
      </c>
      <c r="AH315" s="324">
        <f>'DATA (Real)'!AH311*AH$4/$H$4</f>
        <v>0</v>
      </c>
      <c r="AI315" s="324">
        <f>'DATA (Real)'!AI311*AI$4/$H$4</f>
        <v>0</v>
      </c>
      <c r="AJ315" s="324">
        <f>'DATA (Real)'!AJ311*AJ$4/$H$4</f>
        <v>0</v>
      </c>
      <c r="AK315" s="324">
        <f>'DATA (Real)'!AK311*AK$4/$H$4</f>
        <v>0</v>
      </c>
      <c r="AL315" s="324">
        <f>'DATA (Real)'!AL311*AL$4/$H$4</f>
        <v>0</v>
      </c>
      <c r="AM315" s="324">
        <f>'DATA (Real)'!AM311*AM$4/$H$4</f>
        <v>0</v>
      </c>
      <c r="AN315" s="324">
        <f>'DATA (Real)'!AN311*AN$4/$H$4</f>
        <v>0</v>
      </c>
      <c r="AO315" s="324">
        <f>'DATA (Real)'!AO311*AO$4/$H$4</f>
        <v>0</v>
      </c>
      <c r="AP315" s="324">
        <f>'DATA (Real)'!AP311*AP$4/$H$4</f>
        <v>0</v>
      </c>
      <c r="AQ315" s="324">
        <f>'DATA (Real)'!AQ311*AQ$4/$H$4</f>
        <v>0</v>
      </c>
      <c r="AR315" s="324">
        <f>'DATA (Real)'!AR311*AR$4/$H$4</f>
        <v>0</v>
      </c>
      <c r="AS315" s="324">
        <f>'DATA (Real)'!AS311*AS$4/$H$4</f>
        <v>0</v>
      </c>
      <c r="AT315" s="324">
        <f>'DATA (Real)'!AT311*AT$4/$H$4</f>
        <v>0</v>
      </c>
      <c r="AU315" s="324">
        <f>'DATA (Real)'!AU311*AU$4/$H$4</f>
        <v>0</v>
      </c>
      <c r="AV315" s="324">
        <f>'DATA (Real)'!AV311*AV$4/$H$4</f>
        <v>0</v>
      </c>
      <c r="AW315" s="324">
        <f>'DATA (Real)'!AW311*AW$4/$H$4</f>
        <v>0</v>
      </c>
      <c r="AX315" s="324">
        <f>'DATA (Real)'!AX311*AX$4/$H$4</f>
        <v>0</v>
      </c>
      <c r="AY315" s="324">
        <f>'DATA (Real)'!AY311*AY$4/$H$4</f>
        <v>0</v>
      </c>
      <c r="AZ315" s="324">
        <f>'DATA (Real)'!AZ311*AZ$4/$H$4</f>
        <v>0</v>
      </c>
      <c r="BA315" s="324">
        <f>'DATA (Real)'!BA311*BA$4/$H$4</f>
        <v>0</v>
      </c>
      <c r="BB315" s="324">
        <f>'DATA (Real)'!BB311*BB$4/$H$4</f>
        <v>0</v>
      </c>
      <c r="BC315" s="324">
        <f>'DATA (Real)'!BC311*BC$4/$H$4</f>
        <v>0</v>
      </c>
      <c r="BD315" s="324">
        <f>'DATA (Real)'!BD311*BD$4/$H$4</f>
        <v>0</v>
      </c>
      <c r="BE315" s="324">
        <f>'DATA (Real)'!BE311*BE$4/$H$4</f>
        <v>0</v>
      </c>
      <c r="BF315" s="324">
        <f>'DATA (Real)'!BF311*BF$4/$H$4</f>
        <v>0</v>
      </c>
      <c r="BG315" s="324">
        <f>'DATA (Real)'!BG311*BG$4/$H$4</f>
        <v>0</v>
      </c>
      <c r="BH315" s="324">
        <f>'DATA (Real)'!BH311*BH$4/$H$4</f>
        <v>0</v>
      </c>
      <c r="BI315" s="324">
        <f>'DATA (Real)'!BI311*BI$4/$H$4</f>
        <v>0</v>
      </c>
      <c r="BJ315" s="324">
        <f>'DATA (Real)'!BJ311*BJ$4/$H$4</f>
        <v>0</v>
      </c>
      <c r="BK315" s="324">
        <f>'DATA (Real)'!BK311*BK$4/$H$4</f>
        <v>0</v>
      </c>
      <c r="BL315" s="324">
        <f>'DATA (Real)'!BL311*BL$4/$H$4</f>
        <v>0</v>
      </c>
      <c r="BM315" s="324">
        <f>'DATA (Real)'!BM311*BM$4/$H$4</f>
        <v>0</v>
      </c>
      <c r="BN315" s="324">
        <f>'DATA (Real)'!BN311*BN$4/$H$4</f>
        <v>0</v>
      </c>
      <c r="BO315" s="324">
        <f>'DATA (Real)'!BO311*BO$4/$H$4</f>
        <v>0</v>
      </c>
      <c r="BP315" s="324">
        <f>'DATA (Real)'!BP311*BP$4/$H$4</f>
        <v>0</v>
      </c>
      <c r="BQ315" s="324">
        <f>'DATA (Real)'!BQ311*BQ$4/$H$4</f>
        <v>0</v>
      </c>
      <c r="BR315" s="324">
        <f>'DATA (Real)'!BR311*BR$4/$H$4</f>
        <v>0</v>
      </c>
      <c r="BS315" s="324">
        <f>'DATA (Real)'!BS311*BS$4/$H$4</f>
        <v>0</v>
      </c>
      <c r="BT315" s="324">
        <f>'DATA (Real)'!BT311*BT$4/$H$4</f>
        <v>0</v>
      </c>
      <c r="BU315" s="324">
        <f>'DATA (Real)'!BU311*BU$4/$H$4</f>
        <v>0</v>
      </c>
      <c r="BV315" s="324">
        <f>'DATA (Real)'!BV311*BV$4/$H$4</f>
        <v>0</v>
      </c>
      <c r="BW315" s="324">
        <f>'DATA (Real)'!BW311*BW$4/$H$4</f>
        <v>0</v>
      </c>
      <c r="BX315" s="324">
        <f>'DATA (Real)'!BX311*BX$4/$H$4</f>
        <v>0</v>
      </c>
    </row>
    <row r="316" spans="2:76" s="355" customFormat="1" hidden="1" outlineLevel="1">
      <c r="B316" s="353"/>
      <c r="C316" s="353" t="str">
        <f>'DATA (Real)'!C312</f>
        <v>Inflation Reduction Act</v>
      </c>
      <c r="D316" s="353" t="str">
        <f>'DATA (Real)'!D312</f>
        <v>PTC Value ($/MWh)</v>
      </c>
      <c r="E316" s="353" t="str">
        <f>'DATA (Real)'!E312</f>
        <v>7F.04 CT Frame Greenfield + amonia + storage</v>
      </c>
      <c r="F316" s="331"/>
      <c r="G316" s="331"/>
      <c r="H316" s="314">
        <f>'DATA (Real)'!H312*H$4/$H$4</f>
        <v>0</v>
      </c>
      <c r="I316" s="324">
        <f>'DATA (Real)'!I312*I$4/$H$4</f>
        <v>0</v>
      </c>
      <c r="J316" s="324">
        <f>'DATA (Real)'!J312*J$4/$H$4</f>
        <v>0</v>
      </c>
      <c r="K316" s="324">
        <f>'DATA (Real)'!K312*K$4/$H$4</f>
        <v>0</v>
      </c>
      <c r="L316" s="324">
        <f>'DATA (Real)'!L312*L$4/$H$4</f>
        <v>0</v>
      </c>
      <c r="M316" s="324">
        <f>'DATA (Real)'!M312*M$4/$H$4</f>
        <v>0</v>
      </c>
      <c r="N316" s="324">
        <f>'DATA (Real)'!N312*N$4/$H$4</f>
        <v>0</v>
      </c>
      <c r="O316" s="324">
        <f>'DATA (Real)'!O312*O$4/$H$4</f>
        <v>0</v>
      </c>
      <c r="P316" s="324">
        <f>'DATA (Real)'!P312*P$4/$H$4</f>
        <v>0</v>
      </c>
      <c r="Q316" s="324">
        <f>'DATA (Real)'!Q312*Q$4/$H$4</f>
        <v>0</v>
      </c>
      <c r="R316" s="324">
        <f>'DATA (Real)'!R312*R$4/$H$4</f>
        <v>0</v>
      </c>
      <c r="S316" s="324">
        <f>'DATA (Real)'!S312*S$4/$H$4</f>
        <v>0</v>
      </c>
      <c r="T316" s="324">
        <f>'DATA (Real)'!T312*T$4/$H$4</f>
        <v>0</v>
      </c>
      <c r="U316" s="324">
        <f>'DATA (Real)'!U312*U$4/$H$4</f>
        <v>0</v>
      </c>
      <c r="V316" s="324">
        <f>'DATA (Real)'!V312*V$4/$H$4</f>
        <v>0</v>
      </c>
      <c r="W316" s="324">
        <f>'DATA (Real)'!W312*W$4/$H$4</f>
        <v>0</v>
      </c>
      <c r="X316" s="324">
        <f>'DATA (Real)'!X312*X$4/$H$4</f>
        <v>0</v>
      </c>
      <c r="Y316" s="324">
        <f>'DATA (Real)'!Y312*Y$4/$H$4</f>
        <v>0</v>
      </c>
      <c r="Z316" s="324">
        <f>'DATA (Real)'!Z312*Z$4/$H$4</f>
        <v>0</v>
      </c>
      <c r="AA316" s="324">
        <f>'DATA (Real)'!AA312*AA$4/$H$4</f>
        <v>0</v>
      </c>
      <c r="AB316" s="324">
        <f>'DATA (Real)'!AB312*AB$4/$H$4</f>
        <v>0</v>
      </c>
      <c r="AC316" s="324">
        <f>'DATA (Real)'!AC312*AC$4/$H$4</f>
        <v>0</v>
      </c>
      <c r="AD316" s="324">
        <f>'DATA (Real)'!AD312*AD$4/$H$4</f>
        <v>0</v>
      </c>
      <c r="AE316" s="324">
        <f>'DATA (Real)'!AE312*AE$4/$H$4</f>
        <v>0</v>
      </c>
      <c r="AF316" s="324">
        <f>'DATA (Real)'!AF312*AF$4/$H$4</f>
        <v>0</v>
      </c>
      <c r="AG316" s="324">
        <f>'DATA (Real)'!AG312*AG$4/$H$4</f>
        <v>0</v>
      </c>
      <c r="AH316" s="324">
        <f>'DATA (Real)'!AH312*AH$4/$H$4</f>
        <v>0</v>
      </c>
      <c r="AI316" s="324">
        <f>'DATA (Real)'!AI312*AI$4/$H$4</f>
        <v>0</v>
      </c>
      <c r="AJ316" s="324">
        <f>'DATA (Real)'!AJ312*AJ$4/$H$4</f>
        <v>0</v>
      </c>
      <c r="AK316" s="324">
        <f>'DATA (Real)'!AK312*AK$4/$H$4</f>
        <v>0</v>
      </c>
      <c r="AL316" s="324">
        <f>'DATA (Real)'!AL312*AL$4/$H$4</f>
        <v>0</v>
      </c>
      <c r="AM316" s="324">
        <f>'DATA (Real)'!AM312*AM$4/$H$4</f>
        <v>0</v>
      </c>
      <c r="AN316" s="324">
        <f>'DATA (Real)'!AN312*AN$4/$H$4</f>
        <v>0</v>
      </c>
      <c r="AO316" s="324">
        <f>'DATA (Real)'!AO312*AO$4/$H$4</f>
        <v>0</v>
      </c>
      <c r="AP316" s="324">
        <f>'DATA (Real)'!AP312*AP$4/$H$4</f>
        <v>0</v>
      </c>
      <c r="AQ316" s="324">
        <f>'DATA (Real)'!AQ312*AQ$4/$H$4</f>
        <v>0</v>
      </c>
      <c r="AR316" s="324">
        <f>'DATA (Real)'!AR312*AR$4/$H$4</f>
        <v>0</v>
      </c>
      <c r="AS316" s="324">
        <f>'DATA (Real)'!AS312*AS$4/$H$4</f>
        <v>0</v>
      </c>
      <c r="AT316" s="324">
        <f>'DATA (Real)'!AT312*AT$4/$H$4</f>
        <v>0</v>
      </c>
      <c r="AU316" s="324">
        <f>'DATA (Real)'!AU312*AU$4/$H$4</f>
        <v>0</v>
      </c>
      <c r="AV316" s="324">
        <f>'DATA (Real)'!AV312*AV$4/$H$4</f>
        <v>0</v>
      </c>
      <c r="AW316" s="324">
        <f>'DATA (Real)'!AW312*AW$4/$H$4</f>
        <v>0</v>
      </c>
      <c r="AX316" s="324">
        <f>'DATA (Real)'!AX312*AX$4/$H$4</f>
        <v>0</v>
      </c>
      <c r="AY316" s="324">
        <f>'DATA (Real)'!AY312*AY$4/$H$4</f>
        <v>0</v>
      </c>
      <c r="AZ316" s="324">
        <f>'DATA (Real)'!AZ312*AZ$4/$H$4</f>
        <v>0</v>
      </c>
      <c r="BA316" s="324">
        <f>'DATA (Real)'!BA312*BA$4/$H$4</f>
        <v>0</v>
      </c>
      <c r="BB316" s="324">
        <f>'DATA (Real)'!BB312*BB$4/$H$4</f>
        <v>0</v>
      </c>
      <c r="BC316" s="324">
        <f>'DATA (Real)'!BC312*BC$4/$H$4</f>
        <v>0</v>
      </c>
      <c r="BD316" s="324">
        <f>'DATA (Real)'!BD312*BD$4/$H$4</f>
        <v>0</v>
      </c>
      <c r="BE316" s="324">
        <f>'DATA (Real)'!BE312*BE$4/$H$4</f>
        <v>0</v>
      </c>
      <c r="BF316" s="324">
        <f>'DATA (Real)'!BF312*BF$4/$H$4</f>
        <v>0</v>
      </c>
      <c r="BG316" s="324">
        <f>'DATA (Real)'!BG312*BG$4/$H$4</f>
        <v>0</v>
      </c>
      <c r="BH316" s="324">
        <f>'DATA (Real)'!BH312*BH$4/$H$4</f>
        <v>0</v>
      </c>
      <c r="BI316" s="324">
        <f>'DATA (Real)'!BI312*BI$4/$H$4</f>
        <v>0</v>
      </c>
      <c r="BJ316" s="324">
        <f>'DATA (Real)'!BJ312*BJ$4/$H$4</f>
        <v>0</v>
      </c>
      <c r="BK316" s="324">
        <f>'DATA (Real)'!BK312*BK$4/$H$4</f>
        <v>0</v>
      </c>
      <c r="BL316" s="324">
        <f>'DATA (Real)'!BL312*BL$4/$H$4</f>
        <v>0</v>
      </c>
      <c r="BM316" s="324">
        <f>'DATA (Real)'!BM312*BM$4/$H$4</f>
        <v>0</v>
      </c>
      <c r="BN316" s="324">
        <f>'DATA (Real)'!BN312*BN$4/$H$4</f>
        <v>0</v>
      </c>
      <c r="BO316" s="324">
        <f>'DATA (Real)'!BO312*BO$4/$H$4</f>
        <v>0</v>
      </c>
      <c r="BP316" s="324">
        <f>'DATA (Real)'!BP312*BP$4/$H$4</f>
        <v>0</v>
      </c>
      <c r="BQ316" s="324">
        <f>'DATA (Real)'!BQ312*BQ$4/$H$4</f>
        <v>0</v>
      </c>
      <c r="BR316" s="324">
        <f>'DATA (Real)'!BR312*BR$4/$H$4</f>
        <v>0</v>
      </c>
      <c r="BS316" s="324">
        <f>'DATA (Real)'!BS312*BS$4/$H$4</f>
        <v>0</v>
      </c>
      <c r="BT316" s="324">
        <f>'DATA (Real)'!BT312*BT$4/$H$4</f>
        <v>0</v>
      </c>
      <c r="BU316" s="324">
        <f>'DATA (Real)'!BU312*BU$4/$H$4</f>
        <v>0</v>
      </c>
      <c r="BV316" s="324">
        <f>'DATA (Real)'!BV312*BV$4/$H$4</f>
        <v>0</v>
      </c>
      <c r="BW316" s="324">
        <f>'DATA (Real)'!BW312*BW$4/$H$4</f>
        <v>0</v>
      </c>
      <c r="BX316" s="324">
        <f>'DATA (Real)'!BX312*BX$4/$H$4</f>
        <v>0</v>
      </c>
    </row>
    <row r="317" spans="2:76" collapsed="1"/>
    <row r="318" spans="2:76">
      <c r="B318" s="259" t="str">
        <f>D318</f>
        <v>Forced Outage (%)</v>
      </c>
      <c r="D318" s="259" t="str">
        <f>'DATA (Real)'!D314</f>
        <v>Forced Outage (%)</v>
      </c>
      <c r="F318" s="318"/>
      <c r="G318" s="318"/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  <c r="AA318" s="318"/>
      <c r="AB318" s="318"/>
      <c r="AC318" s="318"/>
      <c r="AD318" s="318"/>
      <c r="AE318" s="318"/>
      <c r="AF318" s="318"/>
      <c r="AG318" s="318"/>
      <c r="AH318" s="318"/>
      <c r="AI318" s="318"/>
      <c r="AJ318" s="318"/>
      <c r="AK318" s="318"/>
      <c r="AL318" s="318"/>
      <c r="AM318" s="318"/>
      <c r="AN318" s="318"/>
      <c r="AO318" s="318"/>
      <c r="AP318" s="318"/>
      <c r="AQ318" s="318"/>
      <c r="AR318" s="318"/>
      <c r="AS318" s="318"/>
      <c r="AT318" s="318"/>
      <c r="AU318" s="318"/>
      <c r="AV318" s="318"/>
      <c r="AW318" s="318"/>
      <c r="AX318" s="318"/>
      <c r="AY318" s="318"/>
      <c r="AZ318" s="318"/>
      <c r="BA318" s="318"/>
      <c r="BB318" s="318"/>
      <c r="BC318" s="318"/>
      <c r="BD318" s="318"/>
      <c r="BE318" s="318"/>
      <c r="BF318" s="318"/>
      <c r="BG318" s="318"/>
      <c r="BH318" s="318"/>
      <c r="BI318" s="318"/>
      <c r="BJ318" s="318"/>
      <c r="BK318" s="318"/>
      <c r="BL318" s="318"/>
      <c r="BM318" s="318"/>
      <c r="BN318" s="318"/>
      <c r="BO318" s="318"/>
      <c r="BP318" s="318"/>
      <c r="BQ318" s="318"/>
      <c r="BR318" s="318"/>
      <c r="BS318" s="318"/>
      <c r="BT318" s="318"/>
      <c r="BU318" s="318"/>
      <c r="BV318" s="318"/>
      <c r="BW318" s="318"/>
      <c r="BX318" s="318"/>
    </row>
    <row r="319" spans="2:76" hidden="1" outlineLevel="1">
      <c r="B319" s="353"/>
      <c r="C319" s="353" t="str">
        <f>'DATA (Real)'!C315</f>
        <v>Internal</v>
      </c>
      <c r="D319" s="353" t="str">
        <f>'DATA (Real)'!D315</f>
        <v>Forced Outage (%)</v>
      </c>
      <c r="E319" s="353" t="str">
        <f>'DATA (Real)'!E315</f>
        <v>7F.04 CT Frame Greenfield</v>
      </c>
      <c r="F319" s="316">
        <f>'DATA (Real)'!F315</f>
        <v>0</v>
      </c>
      <c r="G319" s="316">
        <f>'DATA (Real)'!G315</f>
        <v>0</v>
      </c>
      <c r="H319" s="316">
        <f>'DATA (Real)'!H315</f>
        <v>0.03</v>
      </c>
      <c r="I319" s="316">
        <f>'DATA (Real)'!I315</f>
        <v>0.03</v>
      </c>
      <c r="J319" s="316">
        <f>'DATA (Real)'!J315</f>
        <v>0.03</v>
      </c>
      <c r="K319" s="316">
        <f>'DATA (Real)'!K315</f>
        <v>0.03</v>
      </c>
      <c r="L319" s="316">
        <f>'DATA (Real)'!L315</f>
        <v>0.03</v>
      </c>
      <c r="M319" s="316">
        <f>'DATA (Real)'!M315</f>
        <v>0.03</v>
      </c>
      <c r="N319" s="316">
        <f>'DATA (Real)'!N315</f>
        <v>0.03</v>
      </c>
      <c r="O319" s="316">
        <f>'DATA (Real)'!O315</f>
        <v>0.03</v>
      </c>
      <c r="P319" s="316">
        <f>'DATA (Real)'!P315</f>
        <v>0.03</v>
      </c>
      <c r="Q319" s="316">
        <f>'DATA (Real)'!Q315</f>
        <v>0.03</v>
      </c>
      <c r="R319" s="316">
        <f>'DATA (Real)'!R315</f>
        <v>0.03</v>
      </c>
      <c r="S319" s="316">
        <f>'DATA (Real)'!S315</f>
        <v>0.03</v>
      </c>
      <c r="T319" s="316">
        <f>'DATA (Real)'!T315</f>
        <v>0.03</v>
      </c>
      <c r="U319" s="316">
        <f>'DATA (Real)'!U315</f>
        <v>0.03</v>
      </c>
      <c r="V319" s="316">
        <f>'DATA (Real)'!V315</f>
        <v>0.03</v>
      </c>
      <c r="W319" s="316">
        <f>'DATA (Real)'!W315</f>
        <v>0.03</v>
      </c>
      <c r="X319" s="316">
        <f>'DATA (Real)'!X315</f>
        <v>0.03</v>
      </c>
      <c r="Y319" s="316">
        <f>'DATA (Real)'!Y315</f>
        <v>0.03</v>
      </c>
      <c r="Z319" s="316">
        <f>'DATA (Real)'!Z315</f>
        <v>0.03</v>
      </c>
      <c r="AA319" s="316">
        <f>'DATA (Real)'!AA315</f>
        <v>0.03</v>
      </c>
      <c r="AB319" s="316">
        <f>'DATA (Real)'!AB315</f>
        <v>0.03</v>
      </c>
      <c r="AC319" s="316">
        <f>'DATA (Real)'!AC315</f>
        <v>0.03</v>
      </c>
      <c r="AD319" s="316">
        <f>'DATA (Real)'!AD315</f>
        <v>0.03</v>
      </c>
      <c r="AE319" s="316">
        <f>'DATA (Real)'!AE315</f>
        <v>0.03</v>
      </c>
      <c r="AF319" s="316">
        <f>'DATA (Real)'!AF315</f>
        <v>0.03</v>
      </c>
      <c r="AG319" s="316">
        <f>'DATA (Real)'!AG315</f>
        <v>0.03</v>
      </c>
      <c r="AH319" s="316">
        <f>'DATA (Real)'!AH315</f>
        <v>0.03</v>
      </c>
      <c r="AI319" s="316">
        <f>'DATA (Real)'!AI315</f>
        <v>0.03</v>
      </c>
      <c r="AJ319" s="316">
        <f>'DATA (Real)'!AJ315</f>
        <v>0.03</v>
      </c>
      <c r="AK319" s="316">
        <f>'DATA (Real)'!AK315</f>
        <v>0.03</v>
      </c>
      <c r="AL319" s="316">
        <f>'DATA (Real)'!AL315</f>
        <v>0.03</v>
      </c>
      <c r="AM319" s="316">
        <f>'DATA (Real)'!AM315</f>
        <v>0.03</v>
      </c>
      <c r="AN319" s="316">
        <f>'DATA (Real)'!AN315</f>
        <v>0.03</v>
      </c>
      <c r="AO319" s="316">
        <f>'DATA (Real)'!AO315</f>
        <v>0.03</v>
      </c>
      <c r="AP319" s="316">
        <f>'DATA (Real)'!AP315</f>
        <v>0.03</v>
      </c>
      <c r="AQ319" s="316">
        <f>'DATA (Real)'!AQ315</f>
        <v>0.03</v>
      </c>
      <c r="AR319" s="316">
        <f>'DATA (Real)'!AR315</f>
        <v>0.03</v>
      </c>
      <c r="AS319" s="316">
        <f>'DATA (Real)'!AS315</f>
        <v>0.03</v>
      </c>
      <c r="AT319" s="316">
        <f>'DATA (Real)'!AT315</f>
        <v>0.03</v>
      </c>
      <c r="AU319" s="316">
        <f>'DATA (Real)'!AU315</f>
        <v>0.03</v>
      </c>
      <c r="AV319" s="316">
        <f>'DATA (Real)'!AV315</f>
        <v>0.03</v>
      </c>
      <c r="AW319" s="316">
        <f>'DATA (Real)'!AW315</f>
        <v>0.03</v>
      </c>
      <c r="AX319" s="316">
        <f>'DATA (Real)'!AX315</f>
        <v>0.03</v>
      </c>
      <c r="AY319" s="316">
        <f>'DATA (Real)'!AY315</f>
        <v>0.03</v>
      </c>
      <c r="AZ319" s="316">
        <f>'DATA (Real)'!AZ315</f>
        <v>0.03</v>
      </c>
      <c r="BA319" s="316">
        <f>'DATA (Real)'!BA315</f>
        <v>0.03</v>
      </c>
      <c r="BB319" s="316">
        <f>'DATA (Real)'!BB315</f>
        <v>0.03</v>
      </c>
      <c r="BC319" s="316">
        <f>'DATA (Real)'!BC315</f>
        <v>0.03</v>
      </c>
      <c r="BD319" s="316">
        <f>'DATA (Real)'!BD315</f>
        <v>0.03</v>
      </c>
      <c r="BE319" s="316">
        <f>'DATA (Real)'!BE315</f>
        <v>0.03</v>
      </c>
      <c r="BF319" s="316">
        <f>'DATA (Real)'!BF315</f>
        <v>0.03</v>
      </c>
      <c r="BG319" s="316">
        <f>'DATA (Real)'!BG315</f>
        <v>0.03</v>
      </c>
      <c r="BH319" s="316">
        <f>'DATA (Real)'!BH315</f>
        <v>0.03</v>
      </c>
      <c r="BI319" s="316">
        <f>'DATA (Real)'!BI315</f>
        <v>0.03</v>
      </c>
      <c r="BJ319" s="316">
        <f>'DATA (Real)'!BJ315</f>
        <v>0.03</v>
      </c>
      <c r="BK319" s="316">
        <f>'DATA (Real)'!BK315</f>
        <v>0.03</v>
      </c>
      <c r="BL319" s="316">
        <f>'DATA (Real)'!BL315</f>
        <v>0.03</v>
      </c>
      <c r="BM319" s="316">
        <f>'DATA (Real)'!BM315</f>
        <v>0.03</v>
      </c>
      <c r="BN319" s="316">
        <f>'DATA (Real)'!BN315</f>
        <v>0.03</v>
      </c>
      <c r="BO319" s="316">
        <f>'DATA (Real)'!BO315</f>
        <v>0.03</v>
      </c>
      <c r="BP319" s="316">
        <f>'DATA (Real)'!BP315</f>
        <v>0.03</v>
      </c>
      <c r="BQ319" s="316">
        <f>'DATA (Real)'!BQ315</f>
        <v>0.03</v>
      </c>
      <c r="BR319" s="316">
        <f>'DATA (Real)'!BR315</f>
        <v>0.03</v>
      </c>
      <c r="BS319" s="316">
        <f>'DATA (Real)'!BS315</f>
        <v>0.03</v>
      </c>
      <c r="BT319" s="316">
        <f>'DATA (Real)'!BT315</f>
        <v>0.03</v>
      </c>
      <c r="BU319" s="316">
        <f>'DATA (Real)'!BU315</f>
        <v>0.03</v>
      </c>
      <c r="BV319" s="316">
        <f>'DATA (Real)'!BV315</f>
        <v>0.03</v>
      </c>
      <c r="BW319" s="316">
        <f>'DATA (Real)'!BW315</f>
        <v>0.03</v>
      </c>
      <c r="BX319" s="316">
        <f>'DATA (Real)'!BX315</f>
        <v>0.03</v>
      </c>
    </row>
    <row r="320" spans="2:76" hidden="1" outlineLevel="1">
      <c r="B320" s="353"/>
      <c r="C320" s="353" t="str">
        <f>'DATA (Real)'!C316</f>
        <v>Internal</v>
      </c>
      <c r="D320" s="353" t="str">
        <f>'DATA (Real)'!D316</f>
        <v>Forced Outage (%)</v>
      </c>
      <c r="E320" s="353" t="str">
        <f>'DATA (Real)'!E316</f>
        <v>Reciprocating Engine (ICE) Machine</v>
      </c>
      <c r="F320" s="316">
        <f>'DATA (Real)'!F316</f>
        <v>0</v>
      </c>
      <c r="G320" s="316">
        <f>'DATA (Real)'!G316</f>
        <v>0</v>
      </c>
      <c r="H320" s="316">
        <f>'DATA (Real)'!H316</f>
        <v>0.03</v>
      </c>
      <c r="I320" s="316">
        <f>'DATA (Real)'!I316</f>
        <v>0.03</v>
      </c>
      <c r="J320" s="316">
        <f>'DATA (Real)'!J316</f>
        <v>0.03</v>
      </c>
      <c r="K320" s="316">
        <f>'DATA (Real)'!K316</f>
        <v>0.03</v>
      </c>
      <c r="L320" s="316">
        <f>'DATA (Real)'!L316</f>
        <v>0.03</v>
      </c>
      <c r="M320" s="316">
        <f>'DATA (Real)'!M316</f>
        <v>0.03</v>
      </c>
      <c r="N320" s="316">
        <f>'DATA (Real)'!N316</f>
        <v>0.03</v>
      </c>
      <c r="O320" s="316">
        <f>'DATA (Real)'!O316</f>
        <v>0.03</v>
      </c>
      <c r="P320" s="316">
        <f>'DATA (Real)'!P316</f>
        <v>0.03</v>
      </c>
      <c r="Q320" s="316">
        <f>'DATA (Real)'!Q316</f>
        <v>0.03</v>
      </c>
      <c r="R320" s="316">
        <f>'DATA (Real)'!R316</f>
        <v>0.03</v>
      </c>
      <c r="S320" s="316">
        <f>'DATA (Real)'!S316</f>
        <v>0.03</v>
      </c>
      <c r="T320" s="316">
        <f>'DATA (Real)'!T316</f>
        <v>0.03</v>
      </c>
      <c r="U320" s="316">
        <f>'DATA (Real)'!U316</f>
        <v>0.03</v>
      </c>
      <c r="V320" s="316">
        <f>'DATA (Real)'!V316</f>
        <v>0.03</v>
      </c>
      <c r="W320" s="316">
        <f>'DATA (Real)'!W316</f>
        <v>0.03</v>
      </c>
      <c r="X320" s="316">
        <f>'DATA (Real)'!X316</f>
        <v>0.03</v>
      </c>
      <c r="Y320" s="316">
        <f>'DATA (Real)'!Y316</f>
        <v>0.03</v>
      </c>
      <c r="Z320" s="316">
        <f>'DATA (Real)'!Z316</f>
        <v>0.03</v>
      </c>
      <c r="AA320" s="316">
        <f>'DATA (Real)'!AA316</f>
        <v>0.03</v>
      </c>
      <c r="AB320" s="316">
        <f>'DATA (Real)'!AB316</f>
        <v>0.03</v>
      </c>
      <c r="AC320" s="316">
        <f>'DATA (Real)'!AC316</f>
        <v>0.03</v>
      </c>
      <c r="AD320" s="316">
        <f>'DATA (Real)'!AD316</f>
        <v>0.03</v>
      </c>
      <c r="AE320" s="316">
        <f>'DATA (Real)'!AE316</f>
        <v>0.03</v>
      </c>
      <c r="AF320" s="316">
        <f>'DATA (Real)'!AF316</f>
        <v>0.03</v>
      </c>
      <c r="AG320" s="316">
        <f>'DATA (Real)'!AG316</f>
        <v>0.03</v>
      </c>
      <c r="AH320" s="316">
        <f>'DATA (Real)'!AH316</f>
        <v>0.03</v>
      </c>
      <c r="AI320" s="316">
        <f>'DATA (Real)'!AI316</f>
        <v>0.03</v>
      </c>
      <c r="AJ320" s="316">
        <f>'DATA (Real)'!AJ316</f>
        <v>0.03</v>
      </c>
      <c r="AK320" s="316">
        <f>'DATA (Real)'!AK316</f>
        <v>0.03</v>
      </c>
      <c r="AL320" s="316">
        <f>'DATA (Real)'!AL316</f>
        <v>0.03</v>
      </c>
      <c r="AM320" s="316">
        <f>'DATA (Real)'!AM316</f>
        <v>0.03</v>
      </c>
      <c r="AN320" s="316">
        <f>'DATA (Real)'!AN316</f>
        <v>0.03</v>
      </c>
      <c r="AO320" s="316">
        <f>'DATA (Real)'!AO316</f>
        <v>0.03</v>
      </c>
      <c r="AP320" s="316">
        <f>'DATA (Real)'!AP316</f>
        <v>0.03</v>
      </c>
      <c r="AQ320" s="316">
        <f>'DATA (Real)'!AQ316</f>
        <v>0.03</v>
      </c>
      <c r="AR320" s="316">
        <f>'DATA (Real)'!AR316</f>
        <v>0.03</v>
      </c>
      <c r="AS320" s="316">
        <f>'DATA (Real)'!AS316</f>
        <v>0.03</v>
      </c>
      <c r="AT320" s="316">
        <f>'DATA (Real)'!AT316</f>
        <v>0.03</v>
      </c>
      <c r="AU320" s="316">
        <f>'DATA (Real)'!AU316</f>
        <v>0.03</v>
      </c>
      <c r="AV320" s="316">
        <f>'DATA (Real)'!AV316</f>
        <v>0.03</v>
      </c>
      <c r="AW320" s="316">
        <f>'DATA (Real)'!AW316</f>
        <v>0.03</v>
      </c>
      <c r="AX320" s="316">
        <f>'DATA (Real)'!AX316</f>
        <v>0.03</v>
      </c>
      <c r="AY320" s="316">
        <f>'DATA (Real)'!AY316</f>
        <v>0.03</v>
      </c>
      <c r="AZ320" s="316">
        <f>'DATA (Real)'!AZ316</f>
        <v>0.03</v>
      </c>
      <c r="BA320" s="316">
        <f>'DATA (Real)'!BA316</f>
        <v>0.03</v>
      </c>
      <c r="BB320" s="316">
        <f>'DATA (Real)'!BB316</f>
        <v>0.03</v>
      </c>
      <c r="BC320" s="316">
        <f>'DATA (Real)'!BC316</f>
        <v>0.03</v>
      </c>
      <c r="BD320" s="316">
        <f>'DATA (Real)'!BD316</f>
        <v>0.03</v>
      </c>
      <c r="BE320" s="316">
        <f>'DATA (Real)'!BE316</f>
        <v>0.03</v>
      </c>
      <c r="BF320" s="316">
        <f>'DATA (Real)'!BF316</f>
        <v>0.03</v>
      </c>
      <c r="BG320" s="316">
        <f>'DATA (Real)'!BG316</f>
        <v>0.03</v>
      </c>
      <c r="BH320" s="316">
        <f>'DATA (Real)'!BH316</f>
        <v>0.03</v>
      </c>
      <c r="BI320" s="316">
        <f>'DATA (Real)'!BI316</f>
        <v>0.03</v>
      </c>
      <c r="BJ320" s="316">
        <f>'DATA (Real)'!BJ316</f>
        <v>0.03</v>
      </c>
      <c r="BK320" s="316">
        <f>'DATA (Real)'!BK316</f>
        <v>0.03</v>
      </c>
      <c r="BL320" s="316">
        <f>'DATA (Real)'!BL316</f>
        <v>0.03</v>
      </c>
      <c r="BM320" s="316">
        <f>'DATA (Real)'!BM316</f>
        <v>0.03</v>
      </c>
      <c r="BN320" s="316">
        <f>'DATA (Real)'!BN316</f>
        <v>0.03</v>
      </c>
      <c r="BO320" s="316">
        <f>'DATA (Real)'!BO316</f>
        <v>0.03</v>
      </c>
      <c r="BP320" s="316">
        <f>'DATA (Real)'!BP316</f>
        <v>0.03</v>
      </c>
      <c r="BQ320" s="316">
        <f>'DATA (Real)'!BQ316</f>
        <v>0.03</v>
      </c>
      <c r="BR320" s="316">
        <f>'DATA (Real)'!BR316</f>
        <v>0.03</v>
      </c>
      <c r="BS320" s="316">
        <f>'DATA (Real)'!BS316</f>
        <v>0.03</v>
      </c>
      <c r="BT320" s="316">
        <f>'DATA (Real)'!BT316</f>
        <v>0.03</v>
      </c>
      <c r="BU320" s="316">
        <f>'DATA (Real)'!BU316</f>
        <v>0.03</v>
      </c>
      <c r="BV320" s="316">
        <f>'DATA (Real)'!BV316</f>
        <v>0.03</v>
      </c>
      <c r="BW320" s="316">
        <f>'DATA (Real)'!BW316</f>
        <v>0.03</v>
      </c>
      <c r="BX320" s="316">
        <f>'DATA (Real)'!BX316</f>
        <v>0.03</v>
      </c>
    </row>
    <row r="321" spans="2:76" hidden="1" outlineLevel="1">
      <c r="B321" s="353"/>
      <c r="C321" s="353" t="str">
        <f>'DATA (Real)'!C317</f>
        <v>Internal</v>
      </c>
      <c r="D321" s="353" t="str">
        <f>'DATA (Real)'!D317</f>
        <v>Forced Outage (%)</v>
      </c>
      <c r="E321" s="353" t="str">
        <f>'DATA (Real)'!E317</f>
        <v>NG CCCT (1x1 w/DF)</v>
      </c>
      <c r="F321" s="316">
        <f>'DATA (Real)'!F317</f>
        <v>0</v>
      </c>
      <c r="G321" s="316">
        <f>'DATA (Real)'!G317</f>
        <v>0</v>
      </c>
      <c r="H321" s="316">
        <f>'DATA (Real)'!H317</f>
        <v>0.03</v>
      </c>
      <c r="I321" s="316">
        <f>'DATA (Real)'!I317</f>
        <v>0.03</v>
      </c>
      <c r="J321" s="316">
        <f>'DATA (Real)'!J317</f>
        <v>0.03</v>
      </c>
      <c r="K321" s="316">
        <f>'DATA (Real)'!K317</f>
        <v>0.03</v>
      </c>
      <c r="L321" s="316">
        <f>'DATA (Real)'!L317</f>
        <v>0.03</v>
      </c>
      <c r="M321" s="316">
        <f>'DATA (Real)'!M317</f>
        <v>0.03</v>
      </c>
      <c r="N321" s="316">
        <f>'DATA (Real)'!N317</f>
        <v>0.03</v>
      </c>
      <c r="O321" s="316">
        <f>'DATA (Real)'!O317</f>
        <v>0.03</v>
      </c>
      <c r="P321" s="316">
        <f>'DATA (Real)'!P317</f>
        <v>0.03</v>
      </c>
      <c r="Q321" s="316">
        <f>'DATA (Real)'!Q317</f>
        <v>0.03</v>
      </c>
      <c r="R321" s="316">
        <f>'DATA (Real)'!R317</f>
        <v>0.03</v>
      </c>
      <c r="S321" s="316">
        <f>'DATA (Real)'!S317</f>
        <v>0.03</v>
      </c>
      <c r="T321" s="316">
        <f>'DATA (Real)'!T317</f>
        <v>0.03</v>
      </c>
      <c r="U321" s="316">
        <f>'DATA (Real)'!U317</f>
        <v>0.03</v>
      </c>
      <c r="V321" s="316">
        <f>'DATA (Real)'!V317</f>
        <v>0.03</v>
      </c>
      <c r="W321" s="316">
        <f>'DATA (Real)'!W317</f>
        <v>0.03</v>
      </c>
      <c r="X321" s="316">
        <f>'DATA (Real)'!X317</f>
        <v>0.03</v>
      </c>
      <c r="Y321" s="316">
        <f>'DATA (Real)'!Y317</f>
        <v>0.03</v>
      </c>
      <c r="Z321" s="316">
        <f>'DATA (Real)'!Z317</f>
        <v>0.03</v>
      </c>
      <c r="AA321" s="316">
        <f>'DATA (Real)'!AA317</f>
        <v>0.03</v>
      </c>
      <c r="AB321" s="316">
        <f>'DATA (Real)'!AB317</f>
        <v>0.03</v>
      </c>
      <c r="AC321" s="316">
        <f>'DATA (Real)'!AC317</f>
        <v>0.03</v>
      </c>
      <c r="AD321" s="316">
        <f>'DATA (Real)'!AD317</f>
        <v>0.03</v>
      </c>
      <c r="AE321" s="316">
        <f>'DATA (Real)'!AE317</f>
        <v>0.03</v>
      </c>
      <c r="AF321" s="316">
        <f>'DATA (Real)'!AF317</f>
        <v>0.03</v>
      </c>
      <c r="AG321" s="316">
        <f>'DATA (Real)'!AG317</f>
        <v>0.03</v>
      </c>
      <c r="AH321" s="316">
        <f>'DATA (Real)'!AH317</f>
        <v>0.03</v>
      </c>
      <c r="AI321" s="316">
        <f>'DATA (Real)'!AI317</f>
        <v>0.03</v>
      </c>
      <c r="AJ321" s="316">
        <f>'DATA (Real)'!AJ317</f>
        <v>0.03</v>
      </c>
      <c r="AK321" s="316">
        <f>'DATA (Real)'!AK317</f>
        <v>0.03</v>
      </c>
      <c r="AL321" s="316">
        <f>'DATA (Real)'!AL317</f>
        <v>0.03</v>
      </c>
      <c r="AM321" s="316">
        <f>'DATA (Real)'!AM317</f>
        <v>0.03</v>
      </c>
      <c r="AN321" s="316">
        <f>'DATA (Real)'!AN317</f>
        <v>0.03</v>
      </c>
      <c r="AO321" s="316">
        <f>'DATA (Real)'!AO317</f>
        <v>0.03</v>
      </c>
      <c r="AP321" s="316">
        <f>'DATA (Real)'!AP317</f>
        <v>0.03</v>
      </c>
      <c r="AQ321" s="316">
        <f>'DATA (Real)'!AQ317</f>
        <v>0.03</v>
      </c>
      <c r="AR321" s="316">
        <f>'DATA (Real)'!AR317</f>
        <v>0.03</v>
      </c>
      <c r="AS321" s="316">
        <f>'DATA (Real)'!AS317</f>
        <v>0.03</v>
      </c>
      <c r="AT321" s="316">
        <f>'DATA (Real)'!AT317</f>
        <v>0.03</v>
      </c>
      <c r="AU321" s="316">
        <f>'DATA (Real)'!AU317</f>
        <v>0.03</v>
      </c>
      <c r="AV321" s="316">
        <f>'DATA (Real)'!AV317</f>
        <v>0.03</v>
      </c>
      <c r="AW321" s="316">
        <f>'DATA (Real)'!AW317</f>
        <v>0.03</v>
      </c>
      <c r="AX321" s="316">
        <f>'DATA (Real)'!AX317</f>
        <v>0.03</v>
      </c>
      <c r="AY321" s="316">
        <f>'DATA (Real)'!AY317</f>
        <v>0.03</v>
      </c>
      <c r="AZ321" s="316">
        <f>'DATA (Real)'!AZ317</f>
        <v>0.03</v>
      </c>
      <c r="BA321" s="316">
        <f>'DATA (Real)'!BA317</f>
        <v>0.03</v>
      </c>
      <c r="BB321" s="316">
        <f>'DATA (Real)'!BB317</f>
        <v>0.03</v>
      </c>
      <c r="BC321" s="316">
        <f>'DATA (Real)'!BC317</f>
        <v>0.03</v>
      </c>
      <c r="BD321" s="316">
        <f>'DATA (Real)'!BD317</f>
        <v>0.03</v>
      </c>
      <c r="BE321" s="316">
        <f>'DATA (Real)'!BE317</f>
        <v>0.03</v>
      </c>
      <c r="BF321" s="316">
        <f>'DATA (Real)'!BF317</f>
        <v>0.03</v>
      </c>
      <c r="BG321" s="316">
        <f>'DATA (Real)'!BG317</f>
        <v>0.03</v>
      </c>
      <c r="BH321" s="316">
        <f>'DATA (Real)'!BH317</f>
        <v>0.03</v>
      </c>
      <c r="BI321" s="316">
        <f>'DATA (Real)'!BI317</f>
        <v>0.03</v>
      </c>
      <c r="BJ321" s="316">
        <f>'DATA (Real)'!BJ317</f>
        <v>0.03</v>
      </c>
      <c r="BK321" s="316">
        <f>'DATA (Real)'!BK317</f>
        <v>0.03</v>
      </c>
      <c r="BL321" s="316">
        <f>'DATA (Real)'!BL317</f>
        <v>0.03</v>
      </c>
      <c r="BM321" s="316">
        <f>'DATA (Real)'!BM317</f>
        <v>0.03</v>
      </c>
      <c r="BN321" s="316">
        <f>'DATA (Real)'!BN317</f>
        <v>0.03</v>
      </c>
      <c r="BO321" s="316">
        <f>'DATA (Real)'!BO317</f>
        <v>0.03</v>
      </c>
      <c r="BP321" s="316">
        <f>'DATA (Real)'!BP317</f>
        <v>0.03</v>
      </c>
      <c r="BQ321" s="316">
        <f>'DATA (Real)'!BQ317</f>
        <v>0.03</v>
      </c>
      <c r="BR321" s="316">
        <f>'DATA (Real)'!BR317</f>
        <v>0.03</v>
      </c>
      <c r="BS321" s="316">
        <f>'DATA (Real)'!BS317</f>
        <v>0.03</v>
      </c>
      <c r="BT321" s="316">
        <f>'DATA (Real)'!BT317</f>
        <v>0.03</v>
      </c>
      <c r="BU321" s="316">
        <f>'DATA (Real)'!BU317</f>
        <v>0.03</v>
      </c>
      <c r="BV321" s="316">
        <f>'DATA (Real)'!BV317</f>
        <v>0.03</v>
      </c>
      <c r="BW321" s="316">
        <f>'DATA (Real)'!BW317</f>
        <v>0.03</v>
      </c>
      <c r="BX321" s="316">
        <f>'DATA (Real)'!BX317</f>
        <v>0.03</v>
      </c>
    </row>
    <row r="322" spans="2:76" hidden="1" outlineLevel="1">
      <c r="B322" s="353"/>
      <c r="C322" s="353" t="str">
        <f>'DATA (Real)'!C318</f>
        <v>Internal</v>
      </c>
      <c r="D322" s="353" t="str">
        <f>'DATA (Real)'!D318</f>
        <v>Forced Outage (%)</v>
      </c>
      <c r="E322" s="353" t="str">
        <f>'DATA (Real)'!E318</f>
        <v xml:space="preserve">Hydrogen Fuel Cell with 40 hrs Storage </v>
      </c>
      <c r="F322" s="316">
        <f>'DATA (Real)'!F318</f>
        <v>0</v>
      </c>
      <c r="G322" s="316">
        <f>'DATA (Real)'!G318</f>
        <v>0</v>
      </c>
      <c r="H322" s="316">
        <f>'DATA (Real)'!H318</f>
        <v>0.03</v>
      </c>
      <c r="I322" s="316">
        <f>'DATA (Real)'!I318</f>
        <v>0.03</v>
      </c>
      <c r="J322" s="316">
        <f>'DATA (Real)'!J318</f>
        <v>0.03</v>
      </c>
      <c r="K322" s="316">
        <f>'DATA (Real)'!K318</f>
        <v>0.03</v>
      </c>
      <c r="L322" s="316">
        <f>'DATA (Real)'!L318</f>
        <v>0.03</v>
      </c>
      <c r="M322" s="316">
        <f>'DATA (Real)'!M318</f>
        <v>0.03</v>
      </c>
      <c r="N322" s="316">
        <f>'DATA (Real)'!N318</f>
        <v>0.03</v>
      </c>
      <c r="O322" s="316">
        <f>'DATA (Real)'!O318</f>
        <v>0.03</v>
      </c>
      <c r="P322" s="316">
        <f>'DATA (Real)'!P318</f>
        <v>0.03</v>
      </c>
      <c r="Q322" s="316">
        <f>'DATA (Real)'!Q318</f>
        <v>0.03</v>
      </c>
      <c r="R322" s="316">
        <f>'DATA (Real)'!R318</f>
        <v>0.03</v>
      </c>
      <c r="S322" s="316">
        <f>'DATA (Real)'!S318</f>
        <v>0.03</v>
      </c>
      <c r="T322" s="316">
        <f>'DATA (Real)'!T318</f>
        <v>0.03</v>
      </c>
      <c r="U322" s="316">
        <f>'DATA (Real)'!U318</f>
        <v>0.03</v>
      </c>
      <c r="V322" s="316">
        <f>'DATA (Real)'!V318</f>
        <v>0.03</v>
      </c>
      <c r="W322" s="316">
        <f>'DATA (Real)'!W318</f>
        <v>0.03</v>
      </c>
      <c r="X322" s="316">
        <f>'DATA (Real)'!X318</f>
        <v>0.03</v>
      </c>
      <c r="Y322" s="316">
        <f>'DATA (Real)'!Y318</f>
        <v>0.03</v>
      </c>
      <c r="Z322" s="316">
        <f>'DATA (Real)'!Z318</f>
        <v>0.03</v>
      </c>
      <c r="AA322" s="316">
        <f>'DATA (Real)'!AA318</f>
        <v>0.03</v>
      </c>
      <c r="AB322" s="316">
        <f>'DATA (Real)'!AB318</f>
        <v>0.03</v>
      </c>
      <c r="AC322" s="316">
        <f>'DATA (Real)'!AC318</f>
        <v>0.03</v>
      </c>
      <c r="AD322" s="316">
        <f>'DATA (Real)'!AD318</f>
        <v>0.03</v>
      </c>
      <c r="AE322" s="316">
        <f>'DATA (Real)'!AE318</f>
        <v>0.03</v>
      </c>
      <c r="AF322" s="316">
        <f>'DATA (Real)'!AF318</f>
        <v>0.03</v>
      </c>
      <c r="AG322" s="316">
        <f>'DATA (Real)'!AG318</f>
        <v>0.03</v>
      </c>
      <c r="AH322" s="316">
        <f>'DATA (Real)'!AH318</f>
        <v>0.03</v>
      </c>
      <c r="AI322" s="316">
        <f>'DATA (Real)'!AI318</f>
        <v>0.03</v>
      </c>
      <c r="AJ322" s="316">
        <f>'DATA (Real)'!AJ318</f>
        <v>0.03</v>
      </c>
      <c r="AK322" s="316">
        <f>'DATA (Real)'!AK318</f>
        <v>0.03</v>
      </c>
      <c r="AL322" s="316">
        <f>'DATA (Real)'!AL318</f>
        <v>0.03</v>
      </c>
      <c r="AM322" s="316">
        <f>'DATA (Real)'!AM318</f>
        <v>0.03</v>
      </c>
      <c r="AN322" s="316">
        <f>'DATA (Real)'!AN318</f>
        <v>0.03</v>
      </c>
      <c r="AO322" s="316">
        <f>'DATA (Real)'!AO318</f>
        <v>0.03</v>
      </c>
      <c r="AP322" s="316">
        <f>'DATA (Real)'!AP318</f>
        <v>0.03</v>
      </c>
      <c r="AQ322" s="316">
        <f>'DATA (Real)'!AQ318</f>
        <v>0.03</v>
      </c>
      <c r="AR322" s="316">
        <f>'DATA (Real)'!AR318</f>
        <v>0.03</v>
      </c>
      <c r="AS322" s="316">
        <f>'DATA (Real)'!AS318</f>
        <v>0.03</v>
      </c>
      <c r="AT322" s="316">
        <f>'DATA (Real)'!AT318</f>
        <v>0.03</v>
      </c>
      <c r="AU322" s="316">
        <f>'DATA (Real)'!AU318</f>
        <v>0.03</v>
      </c>
      <c r="AV322" s="316">
        <f>'DATA (Real)'!AV318</f>
        <v>0.03</v>
      </c>
      <c r="AW322" s="316">
        <f>'DATA (Real)'!AW318</f>
        <v>0.03</v>
      </c>
      <c r="AX322" s="316">
        <f>'DATA (Real)'!AX318</f>
        <v>0.03</v>
      </c>
      <c r="AY322" s="316">
        <f>'DATA (Real)'!AY318</f>
        <v>0.03</v>
      </c>
      <c r="AZ322" s="316">
        <f>'DATA (Real)'!AZ318</f>
        <v>0.03</v>
      </c>
      <c r="BA322" s="316">
        <f>'DATA (Real)'!BA318</f>
        <v>0.03</v>
      </c>
      <c r="BB322" s="316">
        <f>'DATA (Real)'!BB318</f>
        <v>0.03</v>
      </c>
      <c r="BC322" s="316">
        <f>'DATA (Real)'!BC318</f>
        <v>0.03</v>
      </c>
      <c r="BD322" s="316">
        <f>'DATA (Real)'!BD318</f>
        <v>0.03</v>
      </c>
      <c r="BE322" s="316">
        <f>'DATA (Real)'!BE318</f>
        <v>0.03</v>
      </c>
      <c r="BF322" s="316">
        <f>'DATA (Real)'!BF318</f>
        <v>0.03</v>
      </c>
      <c r="BG322" s="316">
        <f>'DATA (Real)'!BG318</f>
        <v>0.03</v>
      </c>
      <c r="BH322" s="316">
        <f>'DATA (Real)'!BH318</f>
        <v>0.03</v>
      </c>
      <c r="BI322" s="316">
        <f>'DATA (Real)'!BI318</f>
        <v>0.03</v>
      </c>
      <c r="BJ322" s="316">
        <f>'DATA (Real)'!BJ318</f>
        <v>0.03</v>
      </c>
      <c r="BK322" s="316">
        <f>'DATA (Real)'!BK318</f>
        <v>0.03</v>
      </c>
      <c r="BL322" s="316">
        <f>'DATA (Real)'!BL318</f>
        <v>0.03</v>
      </c>
      <c r="BM322" s="316">
        <f>'DATA (Real)'!BM318</f>
        <v>0.03</v>
      </c>
      <c r="BN322" s="316">
        <f>'DATA (Real)'!BN318</f>
        <v>0.03</v>
      </c>
      <c r="BO322" s="316">
        <f>'DATA (Real)'!BO318</f>
        <v>0.03</v>
      </c>
      <c r="BP322" s="316">
        <f>'DATA (Real)'!BP318</f>
        <v>0.03</v>
      </c>
      <c r="BQ322" s="316">
        <f>'DATA (Real)'!BQ318</f>
        <v>0.03</v>
      </c>
      <c r="BR322" s="316">
        <f>'DATA (Real)'!BR318</f>
        <v>0.03</v>
      </c>
      <c r="BS322" s="316">
        <f>'DATA (Real)'!BS318</f>
        <v>0.03</v>
      </c>
      <c r="BT322" s="316">
        <f>'DATA (Real)'!BT318</f>
        <v>0.03</v>
      </c>
      <c r="BU322" s="316">
        <f>'DATA (Real)'!BU318</f>
        <v>0.03</v>
      </c>
      <c r="BV322" s="316">
        <f>'DATA (Real)'!BV318</f>
        <v>0.03</v>
      </c>
      <c r="BW322" s="316">
        <f>'DATA (Real)'!BW318</f>
        <v>0.03</v>
      </c>
      <c r="BX322" s="316">
        <f>'DATA (Real)'!BX318</f>
        <v>0.03</v>
      </c>
    </row>
    <row r="323" spans="2:76" hidden="1" outlineLevel="1">
      <c r="B323" s="353"/>
      <c r="C323" s="353" t="str">
        <f>'DATA (Real)'!C319</f>
        <v>Internal</v>
      </c>
      <c r="D323" s="353" t="str">
        <f>'DATA (Real)'!D319</f>
        <v>Forced Outage (%)</v>
      </c>
      <c r="E323" s="353" t="str">
        <f>'DATA (Real)'!E319</f>
        <v>7F.04 CT Frame Greenfield + amonia + storage</v>
      </c>
      <c r="F323" s="316">
        <f>'DATA (Real)'!F319</f>
        <v>0</v>
      </c>
      <c r="G323" s="316">
        <f>'DATA (Real)'!G319</f>
        <v>0</v>
      </c>
      <c r="H323" s="316">
        <f>'DATA (Real)'!H319</f>
        <v>0.03</v>
      </c>
      <c r="I323" s="316">
        <f>'DATA (Real)'!I319</f>
        <v>0.03</v>
      </c>
      <c r="J323" s="316">
        <f>'DATA (Real)'!J319</f>
        <v>0.03</v>
      </c>
      <c r="K323" s="316">
        <f>'DATA (Real)'!K319</f>
        <v>0.03</v>
      </c>
      <c r="L323" s="316">
        <f>'DATA (Real)'!L319</f>
        <v>0.03</v>
      </c>
      <c r="M323" s="316">
        <f>'DATA (Real)'!M319</f>
        <v>0.03</v>
      </c>
      <c r="N323" s="316">
        <f>'DATA (Real)'!N319</f>
        <v>0.03</v>
      </c>
      <c r="O323" s="316">
        <f>'DATA (Real)'!O319</f>
        <v>0.03</v>
      </c>
      <c r="P323" s="316">
        <f>'DATA (Real)'!P319</f>
        <v>0.03</v>
      </c>
      <c r="Q323" s="316">
        <f>'DATA (Real)'!Q319</f>
        <v>0.03</v>
      </c>
      <c r="R323" s="316">
        <f>'DATA (Real)'!R319</f>
        <v>0.03</v>
      </c>
      <c r="S323" s="316">
        <f>'DATA (Real)'!S319</f>
        <v>0.03</v>
      </c>
      <c r="T323" s="316">
        <f>'DATA (Real)'!T319</f>
        <v>0.03</v>
      </c>
      <c r="U323" s="316">
        <f>'DATA (Real)'!U319</f>
        <v>0.03</v>
      </c>
      <c r="V323" s="316">
        <f>'DATA (Real)'!V319</f>
        <v>0.03</v>
      </c>
      <c r="W323" s="316">
        <f>'DATA (Real)'!W319</f>
        <v>0.03</v>
      </c>
      <c r="X323" s="316">
        <f>'DATA (Real)'!X319</f>
        <v>0.03</v>
      </c>
      <c r="Y323" s="316">
        <f>'DATA (Real)'!Y319</f>
        <v>0.03</v>
      </c>
      <c r="Z323" s="316">
        <f>'DATA (Real)'!Z319</f>
        <v>0.03</v>
      </c>
      <c r="AA323" s="316">
        <f>'DATA (Real)'!AA319</f>
        <v>0.03</v>
      </c>
      <c r="AB323" s="316">
        <f>'DATA (Real)'!AB319</f>
        <v>0.03</v>
      </c>
      <c r="AC323" s="316">
        <f>'DATA (Real)'!AC319</f>
        <v>0.03</v>
      </c>
      <c r="AD323" s="316">
        <f>'DATA (Real)'!AD319</f>
        <v>0.03</v>
      </c>
      <c r="AE323" s="316">
        <f>'DATA (Real)'!AE319</f>
        <v>0.03</v>
      </c>
      <c r="AF323" s="316">
        <f>'DATA (Real)'!AF319</f>
        <v>0.03</v>
      </c>
      <c r="AG323" s="316">
        <f>'DATA (Real)'!AG319</f>
        <v>0.03</v>
      </c>
      <c r="AH323" s="316">
        <f>'DATA (Real)'!AH319</f>
        <v>0.03</v>
      </c>
      <c r="AI323" s="316">
        <f>'DATA (Real)'!AI319</f>
        <v>0.03</v>
      </c>
      <c r="AJ323" s="316">
        <f>'DATA (Real)'!AJ319</f>
        <v>0.03</v>
      </c>
      <c r="AK323" s="316">
        <f>'DATA (Real)'!AK319</f>
        <v>0.03</v>
      </c>
      <c r="AL323" s="316">
        <f>'DATA (Real)'!AL319</f>
        <v>0.03</v>
      </c>
      <c r="AM323" s="316">
        <f>'DATA (Real)'!AM319</f>
        <v>0.03</v>
      </c>
      <c r="AN323" s="316">
        <f>'DATA (Real)'!AN319</f>
        <v>0.03</v>
      </c>
      <c r="AO323" s="316">
        <f>'DATA (Real)'!AO319</f>
        <v>0.03</v>
      </c>
      <c r="AP323" s="316">
        <f>'DATA (Real)'!AP319</f>
        <v>0.03</v>
      </c>
      <c r="AQ323" s="316">
        <f>'DATA (Real)'!AQ319</f>
        <v>0.03</v>
      </c>
      <c r="AR323" s="316">
        <f>'DATA (Real)'!AR319</f>
        <v>0.03</v>
      </c>
      <c r="AS323" s="316">
        <f>'DATA (Real)'!AS319</f>
        <v>0.03</v>
      </c>
      <c r="AT323" s="316">
        <f>'DATA (Real)'!AT319</f>
        <v>0.03</v>
      </c>
      <c r="AU323" s="316">
        <f>'DATA (Real)'!AU319</f>
        <v>0.03</v>
      </c>
      <c r="AV323" s="316">
        <f>'DATA (Real)'!AV319</f>
        <v>0.03</v>
      </c>
      <c r="AW323" s="316">
        <f>'DATA (Real)'!AW319</f>
        <v>0.03</v>
      </c>
      <c r="AX323" s="316">
        <f>'DATA (Real)'!AX319</f>
        <v>0.03</v>
      </c>
      <c r="AY323" s="316">
        <f>'DATA (Real)'!AY319</f>
        <v>0.03</v>
      </c>
      <c r="AZ323" s="316">
        <f>'DATA (Real)'!AZ319</f>
        <v>0.03</v>
      </c>
      <c r="BA323" s="316">
        <f>'DATA (Real)'!BA319</f>
        <v>0.03</v>
      </c>
      <c r="BB323" s="316">
        <f>'DATA (Real)'!BB319</f>
        <v>0.03</v>
      </c>
      <c r="BC323" s="316">
        <f>'DATA (Real)'!BC319</f>
        <v>0.03</v>
      </c>
      <c r="BD323" s="316">
        <f>'DATA (Real)'!BD319</f>
        <v>0.03</v>
      </c>
      <c r="BE323" s="316">
        <f>'DATA (Real)'!BE319</f>
        <v>0.03</v>
      </c>
      <c r="BF323" s="316">
        <f>'DATA (Real)'!BF319</f>
        <v>0.03</v>
      </c>
      <c r="BG323" s="316">
        <f>'DATA (Real)'!BG319</f>
        <v>0.03</v>
      </c>
      <c r="BH323" s="316">
        <f>'DATA (Real)'!BH319</f>
        <v>0.03</v>
      </c>
      <c r="BI323" s="316">
        <f>'DATA (Real)'!BI319</f>
        <v>0.03</v>
      </c>
      <c r="BJ323" s="316">
        <f>'DATA (Real)'!BJ319</f>
        <v>0.03</v>
      </c>
      <c r="BK323" s="316">
        <f>'DATA (Real)'!BK319</f>
        <v>0.03</v>
      </c>
      <c r="BL323" s="316">
        <f>'DATA (Real)'!BL319</f>
        <v>0.03</v>
      </c>
      <c r="BM323" s="316">
        <f>'DATA (Real)'!BM319</f>
        <v>0.03</v>
      </c>
      <c r="BN323" s="316">
        <f>'DATA (Real)'!BN319</f>
        <v>0.03</v>
      </c>
      <c r="BO323" s="316">
        <f>'DATA (Real)'!BO319</f>
        <v>0.03</v>
      </c>
      <c r="BP323" s="316">
        <f>'DATA (Real)'!BP319</f>
        <v>0.03</v>
      </c>
      <c r="BQ323" s="316">
        <f>'DATA (Real)'!BQ319</f>
        <v>0.03</v>
      </c>
      <c r="BR323" s="316">
        <f>'DATA (Real)'!BR319</f>
        <v>0.03</v>
      </c>
      <c r="BS323" s="316">
        <f>'DATA (Real)'!BS319</f>
        <v>0.03</v>
      </c>
      <c r="BT323" s="316">
        <f>'DATA (Real)'!BT319</f>
        <v>0.03</v>
      </c>
      <c r="BU323" s="316">
        <f>'DATA (Real)'!BU319</f>
        <v>0.03</v>
      </c>
      <c r="BV323" s="316">
        <f>'DATA (Real)'!BV319</f>
        <v>0.03</v>
      </c>
      <c r="BW323" s="316">
        <f>'DATA (Real)'!BW319</f>
        <v>0.03</v>
      </c>
      <c r="BX323" s="316">
        <f>'DATA (Real)'!BX319</f>
        <v>0.03</v>
      </c>
    </row>
    <row r="324" spans="2:76" collapsed="1"/>
    <row r="325" spans="2:76">
      <c r="B325" s="259" t="str">
        <f>D325</f>
        <v>B&amp;O Tax Rate</v>
      </c>
      <c r="D325" s="259" t="str">
        <f>'DATA (Real)'!D321</f>
        <v>B&amp;O Tax Rate</v>
      </c>
      <c r="F325" s="318"/>
      <c r="G325" s="318"/>
      <c r="H325" s="318"/>
      <c r="I325" s="318"/>
      <c r="J325" s="318"/>
      <c r="K325" s="318"/>
      <c r="L325" s="318"/>
      <c r="M325" s="318"/>
      <c r="N325" s="318"/>
      <c r="O325" s="318"/>
      <c r="P325" s="318"/>
      <c r="Q325" s="318"/>
      <c r="R325" s="318"/>
      <c r="S325" s="318"/>
      <c r="T325" s="318"/>
      <c r="U325" s="318"/>
      <c r="V325" s="318"/>
      <c r="W325" s="318"/>
      <c r="X325" s="318"/>
      <c r="Y325" s="318"/>
      <c r="Z325" s="318"/>
      <c r="AA325" s="318"/>
      <c r="AB325" s="318"/>
      <c r="AC325" s="318"/>
      <c r="AD325" s="318"/>
      <c r="AE325" s="318"/>
      <c r="AF325" s="318"/>
      <c r="AG325" s="318"/>
      <c r="AH325" s="318"/>
      <c r="AI325" s="318"/>
      <c r="AJ325" s="318"/>
      <c r="AK325" s="318"/>
      <c r="AL325" s="318"/>
      <c r="AM325" s="318"/>
      <c r="AN325" s="318"/>
      <c r="AO325" s="318"/>
      <c r="AP325" s="318"/>
      <c r="AQ325" s="318"/>
      <c r="AR325" s="318"/>
      <c r="AS325" s="318"/>
      <c r="AT325" s="318"/>
      <c r="AU325" s="318"/>
      <c r="AV325" s="318"/>
      <c r="AW325" s="318"/>
      <c r="AX325" s="318"/>
      <c r="AY325" s="318"/>
      <c r="AZ325" s="318"/>
      <c r="BA325" s="318"/>
      <c r="BB325" s="318"/>
      <c r="BC325" s="318"/>
      <c r="BD325" s="318"/>
      <c r="BE325" s="318"/>
      <c r="BF325" s="318"/>
      <c r="BG325" s="318"/>
      <c r="BH325" s="318"/>
      <c r="BI325" s="318"/>
      <c r="BJ325" s="318"/>
      <c r="BK325" s="318"/>
      <c r="BL325" s="318"/>
      <c r="BM325" s="318"/>
      <c r="BN325" s="318"/>
      <c r="BO325" s="318"/>
      <c r="BP325" s="318"/>
      <c r="BQ325" s="318"/>
      <c r="BR325" s="318"/>
      <c r="BS325" s="318"/>
      <c r="BT325" s="318"/>
      <c r="BU325" s="318"/>
      <c r="BV325" s="318"/>
      <c r="BW325" s="318"/>
      <c r="BX325" s="318"/>
    </row>
    <row r="326" spans="2:76" hidden="1" outlineLevel="1">
      <c r="B326" s="352"/>
      <c r="C326" s="352" t="str">
        <f>'DATA (Real)'!C322</f>
        <v>Internal</v>
      </c>
      <c r="D326" s="352" t="str">
        <f>'DATA (Real)'!D322</f>
        <v>B&amp;O Tax Rate</v>
      </c>
      <c r="E326" s="352" t="str">
        <f>'DATA (Real)'!E322</f>
        <v>New Residential Solar</v>
      </c>
      <c r="F326" s="315">
        <f>'DATA (Real)'!F322</f>
        <v>0</v>
      </c>
      <c r="G326" s="315">
        <f>'DATA (Real)'!G322</f>
        <v>0</v>
      </c>
      <c r="H326" s="315">
        <f>'DATA (Real)'!H322</f>
        <v>0</v>
      </c>
      <c r="I326" s="315">
        <f>'DATA (Real)'!I322</f>
        <v>0</v>
      </c>
      <c r="J326" s="315">
        <f>'DATA (Real)'!J322</f>
        <v>0</v>
      </c>
      <c r="K326" s="315">
        <f>'DATA (Real)'!K322</f>
        <v>0</v>
      </c>
      <c r="L326" s="315">
        <f>'DATA (Real)'!L322</f>
        <v>0</v>
      </c>
      <c r="M326" s="315">
        <f>'DATA (Real)'!M322</f>
        <v>0</v>
      </c>
      <c r="N326" s="315">
        <f>'DATA (Real)'!N322</f>
        <v>0</v>
      </c>
      <c r="O326" s="315">
        <f>'DATA (Real)'!O322</f>
        <v>0</v>
      </c>
      <c r="P326" s="315">
        <f>'DATA (Real)'!P322</f>
        <v>0</v>
      </c>
      <c r="Q326" s="315">
        <f>'DATA (Real)'!Q322</f>
        <v>0</v>
      </c>
      <c r="R326" s="315">
        <f>'DATA (Real)'!R322</f>
        <v>0</v>
      </c>
      <c r="S326" s="315">
        <f>'DATA (Real)'!S322</f>
        <v>0</v>
      </c>
      <c r="T326" s="315">
        <f>'DATA (Real)'!T322</f>
        <v>0</v>
      </c>
      <c r="U326" s="315">
        <f>'DATA (Real)'!U322</f>
        <v>0</v>
      </c>
      <c r="V326" s="315">
        <f>'DATA (Real)'!V322</f>
        <v>0</v>
      </c>
      <c r="W326" s="315">
        <f>'DATA (Real)'!W322</f>
        <v>0</v>
      </c>
      <c r="X326" s="315">
        <f>'DATA (Real)'!X322</f>
        <v>0</v>
      </c>
      <c r="Y326" s="315">
        <f>'DATA (Real)'!Y322</f>
        <v>0</v>
      </c>
      <c r="Z326" s="315">
        <f>'DATA (Real)'!Z322</f>
        <v>0</v>
      </c>
      <c r="AA326" s="315">
        <f>'DATA (Real)'!AA322</f>
        <v>0</v>
      </c>
      <c r="AB326" s="315">
        <f>'DATA (Real)'!AB322</f>
        <v>0</v>
      </c>
      <c r="AC326" s="315">
        <f>'DATA (Real)'!AC322</f>
        <v>0</v>
      </c>
      <c r="AD326" s="315">
        <f>'DATA (Real)'!AD322</f>
        <v>0</v>
      </c>
      <c r="AE326" s="315">
        <f>'DATA (Real)'!AE322</f>
        <v>0</v>
      </c>
      <c r="AF326" s="315">
        <f>'DATA (Real)'!AF322</f>
        <v>0</v>
      </c>
      <c r="AG326" s="315">
        <f>'DATA (Real)'!AG322</f>
        <v>0</v>
      </c>
      <c r="AH326" s="315">
        <f>'DATA (Real)'!AH322</f>
        <v>0</v>
      </c>
      <c r="AI326" s="315">
        <f>'DATA (Real)'!AI322</f>
        <v>0</v>
      </c>
      <c r="AJ326" s="315">
        <f>'DATA (Real)'!AJ322</f>
        <v>0</v>
      </c>
      <c r="AK326" s="315">
        <f>'DATA (Real)'!AK322</f>
        <v>0</v>
      </c>
      <c r="AL326" s="315">
        <f>'DATA (Real)'!AL322</f>
        <v>0</v>
      </c>
      <c r="AM326" s="315">
        <f>'DATA (Real)'!AM322</f>
        <v>0</v>
      </c>
      <c r="AN326" s="315">
        <f>'DATA (Real)'!AN322</f>
        <v>0</v>
      </c>
      <c r="AO326" s="315">
        <f>'DATA (Real)'!AO322</f>
        <v>0</v>
      </c>
      <c r="AP326" s="315">
        <f>'DATA (Real)'!AP322</f>
        <v>0</v>
      </c>
      <c r="AQ326" s="315">
        <f>'DATA (Real)'!AQ322</f>
        <v>0</v>
      </c>
      <c r="AR326" s="315">
        <f>'DATA (Real)'!AR322</f>
        <v>0</v>
      </c>
      <c r="AS326" s="315">
        <f>'DATA (Real)'!AS322</f>
        <v>0</v>
      </c>
      <c r="AT326" s="315">
        <f>'DATA (Real)'!AT322</f>
        <v>0</v>
      </c>
      <c r="AU326" s="315">
        <f>'DATA (Real)'!AU322</f>
        <v>0</v>
      </c>
      <c r="AV326" s="315">
        <f>'DATA (Real)'!AV322</f>
        <v>0</v>
      </c>
      <c r="AW326" s="315">
        <f>'DATA (Real)'!AW322</f>
        <v>0</v>
      </c>
      <c r="AX326" s="315">
        <f>'DATA (Real)'!AX322</f>
        <v>0</v>
      </c>
      <c r="AY326" s="315">
        <f>'DATA (Real)'!AY322</f>
        <v>0</v>
      </c>
      <c r="AZ326" s="315">
        <f>'DATA (Real)'!AZ322</f>
        <v>0</v>
      </c>
      <c r="BA326" s="315">
        <f>'DATA (Real)'!BA322</f>
        <v>0</v>
      </c>
      <c r="BB326" s="315">
        <f>'DATA (Real)'!BB322</f>
        <v>0</v>
      </c>
      <c r="BC326" s="315">
        <f>'DATA (Real)'!BC322</f>
        <v>0</v>
      </c>
      <c r="BD326" s="315">
        <f>'DATA (Real)'!BD322</f>
        <v>0</v>
      </c>
      <c r="BE326" s="315">
        <f>'DATA (Real)'!BE322</f>
        <v>0</v>
      </c>
      <c r="BF326" s="315">
        <f>'DATA (Real)'!BF322</f>
        <v>0</v>
      </c>
      <c r="BG326" s="315">
        <f>'DATA (Real)'!BG322</f>
        <v>0</v>
      </c>
      <c r="BH326" s="315">
        <f>'DATA (Real)'!BH322</f>
        <v>0</v>
      </c>
      <c r="BI326" s="315">
        <f>'DATA (Real)'!BI322</f>
        <v>0</v>
      </c>
      <c r="BJ326" s="315">
        <f>'DATA (Real)'!BJ322</f>
        <v>0</v>
      </c>
      <c r="BK326" s="315">
        <f>'DATA (Real)'!BK322</f>
        <v>0</v>
      </c>
      <c r="BL326" s="315">
        <f>'DATA (Real)'!BL322</f>
        <v>0</v>
      </c>
      <c r="BM326" s="315">
        <f>'DATA (Real)'!BM322</f>
        <v>0</v>
      </c>
      <c r="BN326" s="315">
        <f>'DATA (Real)'!BN322</f>
        <v>0</v>
      </c>
      <c r="BO326" s="315">
        <f>'DATA (Real)'!BO322</f>
        <v>0</v>
      </c>
      <c r="BP326" s="315">
        <f>'DATA (Real)'!BP322</f>
        <v>0</v>
      </c>
      <c r="BQ326" s="315">
        <f>'DATA (Real)'!BQ322</f>
        <v>0</v>
      </c>
      <c r="BR326" s="315">
        <f>'DATA (Real)'!BR322</f>
        <v>0</v>
      </c>
      <c r="BS326" s="315">
        <f>'DATA (Real)'!BS322</f>
        <v>0</v>
      </c>
      <c r="BT326" s="315">
        <f>'DATA (Real)'!BT322</f>
        <v>0</v>
      </c>
      <c r="BU326" s="315">
        <f>'DATA (Real)'!BU322</f>
        <v>0</v>
      </c>
      <c r="BV326" s="315">
        <f>'DATA (Real)'!BV322</f>
        <v>0</v>
      </c>
      <c r="BW326" s="315">
        <f>'DATA (Real)'!BW322</f>
        <v>0</v>
      </c>
      <c r="BX326" s="315">
        <f>'DATA (Real)'!BX322</f>
        <v>0</v>
      </c>
    </row>
    <row r="327" spans="2:76" hidden="1" outlineLevel="1">
      <c r="B327" s="352"/>
      <c r="C327" s="352" t="str">
        <f>'DATA (Real)'!C323</f>
        <v>Internal</v>
      </c>
      <c r="D327" s="352" t="str">
        <f>'DATA (Real)'!D323</f>
        <v>B&amp;O Tax Rate</v>
      </c>
      <c r="E327" s="352" t="str">
        <f>'DATA (Real)'!E323</f>
        <v>New Residential Solar + Storage</v>
      </c>
      <c r="F327" s="315">
        <f>'DATA (Real)'!F323</f>
        <v>0</v>
      </c>
      <c r="G327" s="315">
        <f>'DATA (Real)'!G323</f>
        <v>0</v>
      </c>
      <c r="H327" s="315">
        <f>'DATA (Real)'!H323</f>
        <v>0</v>
      </c>
      <c r="I327" s="315">
        <f>'DATA (Real)'!I323</f>
        <v>0</v>
      </c>
      <c r="J327" s="315">
        <f>'DATA (Real)'!J323</f>
        <v>0</v>
      </c>
      <c r="K327" s="315">
        <f>'DATA (Real)'!K323</f>
        <v>0</v>
      </c>
      <c r="L327" s="315">
        <f>'DATA (Real)'!L323</f>
        <v>0</v>
      </c>
      <c r="M327" s="315">
        <f>'DATA (Real)'!M323</f>
        <v>0</v>
      </c>
      <c r="N327" s="315">
        <f>'DATA (Real)'!N323</f>
        <v>0</v>
      </c>
      <c r="O327" s="315">
        <f>'DATA (Real)'!O323</f>
        <v>0</v>
      </c>
      <c r="P327" s="315">
        <f>'DATA (Real)'!P323</f>
        <v>0</v>
      </c>
      <c r="Q327" s="315">
        <f>'DATA (Real)'!Q323</f>
        <v>0</v>
      </c>
      <c r="R327" s="315">
        <f>'DATA (Real)'!R323</f>
        <v>0</v>
      </c>
      <c r="S327" s="315">
        <f>'DATA (Real)'!S323</f>
        <v>0</v>
      </c>
      <c r="T327" s="315">
        <f>'DATA (Real)'!T323</f>
        <v>0</v>
      </c>
      <c r="U327" s="315">
        <f>'DATA (Real)'!U323</f>
        <v>0</v>
      </c>
      <c r="V327" s="315">
        <f>'DATA (Real)'!V323</f>
        <v>0</v>
      </c>
      <c r="W327" s="315">
        <f>'DATA (Real)'!W323</f>
        <v>0</v>
      </c>
      <c r="X327" s="315">
        <f>'DATA (Real)'!X323</f>
        <v>0</v>
      </c>
      <c r="Y327" s="315">
        <f>'DATA (Real)'!Y323</f>
        <v>0</v>
      </c>
      <c r="Z327" s="315">
        <f>'DATA (Real)'!Z323</f>
        <v>0</v>
      </c>
      <c r="AA327" s="315">
        <f>'DATA (Real)'!AA323</f>
        <v>0</v>
      </c>
      <c r="AB327" s="315">
        <f>'DATA (Real)'!AB323</f>
        <v>0</v>
      </c>
      <c r="AC327" s="315">
        <f>'DATA (Real)'!AC323</f>
        <v>0</v>
      </c>
      <c r="AD327" s="315">
        <f>'DATA (Real)'!AD323</f>
        <v>0</v>
      </c>
      <c r="AE327" s="315">
        <f>'DATA (Real)'!AE323</f>
        <v>0</v>
      </c>
      <c r="AF327" s="315">
        <f>'DATA (Real)'!AF323</f>
        <v>0</v>
      </c>
      <c r="AG327" s="315">
        <f>'DATA (Real)'!AG323</f>
        <v>0</v>
      </c>
      <c r="AH327" s="315">
        <f>'DATA (Real)'!AH323</f>
        <v>0</v>
      </c>
      <c r="AI327" s="315">
        <f>'DATA (Real)'!AI323</f>
        <v>0</v>
      </c>
      <c r="AJ327" s="315">
        <f>'DATA (Real)'!AJ323</f>
        <v>0</v>
      </c>
      <c r="AK327" s="315">
        <f>'DATA (Real)'!AK323</f>
        <v>0</v>
      </c>
      <c r="AL327" s="315">
        <f>'DATA (Real)'!AL323</f>
        <v>0</v>
      </c>
      <c r="AM327" s="315">
        <f>'DATA (Real)'!AM323</f>
        <v>0</v>
      </c>
      <c r="AN327" s="315">
        <f>'DATA (Real)'!AN323</f>
        <v>0</v>
      </c>
      <c r="AO327" s="315">
        <f>'DATA (Real)'!AO323</f>
        <v>0</v>
      </c>
      <c r="AP327" s="315">
        <f>'DATA (Real)'!AP323</f>
        <v>0</v>
      </c>
      <c r="AQ327" s="315">
        <f>'DATA (Real)'!AQ323</f>
        <v>0</v>
      </c>
      <c r="AR327" s="315">
        <f>'DATA (Real)'!AR323</f>
        <v>0</v>
      </c>
      <c r="AS327" s="315">
        <f>'DATA (Real)'!AS323</f>
        <v>0</v>
      </c>
      <c r="AT327" s="315">
        <f>'DATA (Real)'!AT323</f>
        <v>0</v>
      </c>
      <c r="AU327" s="315">
        <f>'DATA (Real)'!AU323</f>
        <v>0</v>
      </c>
      <c r="AV327" s="315">
        <f>'DATA (Real)'!AV323</f>
        <v>0</v>
      </c>
      <c r="AW327" s="315">
        <f>'DATA (Real)'!AW323</f>
        <v>0</v>
      </c>
      <c r="AX327" s="315">
        <f>'DATA (Real)'!AX323</f>
        <v>0</v>
      </c>
      <c r="AY327" s="315">
        <f>'DATA (Real)'!AY323</f>
        <v>0</v>
      </c>
      <c r="AZ327" s="315">
        <f>'DATA (Real)'!AZ323</f>
        <v>0</v>
      </c>
      <c r="BA327" s="315">
        <f>'DATA (Real)'!BA323</f>
        <v>0</v>
      </c>
      <c r="BB327" s="315">
        <f>'DATA (Real)'!BB323</f>
        <v>0</v>
      </c>
      <c r="BC327" s="315">
        <f>'DATA (Real)'!BC323</f>
        <v>0</v>
      </c>
      <c r="BD327" s="315">
        <f>'DATA (Real)'!BD323</f>
        <v>0</v>
      </c>
      <c r="BE327" s="315">
        <f>'DATA (Real)'!BE323</f>
        <v>0</v>
      </c>
      <c r="BF327" s="315">
        <f>'DATA (Real)'!BF323</f>
        <v>0</v>
      </c>
      <c r="BG327" s="315">
        <f>'DATA (Real)'!BG323</f>
        <v>0</v>
      </c>
      <c r="BH327" s="315">
        <f>'DATA (Real)'!BH323</f>
        <v>0</v>
      </c>
      <c r="BI327" s="315">
        <f>'DATA (Real)'!BI323</f>
        <v>0</v>
      </c>
      <c r="BJ327" s="315">
        <f>'DATA (Real)'!BJ323</f>
        <v>0</v>
      </c>
      <c r="BK327" s="315">
        <f>'DATA (Real)'!BK323</f>
        <v>0</v>
      </c>
      <c r="BL327" s="315">
        <f>'DATA (Real)'!BL323</f>
        <v>0</v>
      </c>
      <c r="BM327" s="315">
        <f>'DATA (Real)'!BM323</f>
        <v>0</v>
      </c>
      <c r="BN327" s="315">
        <f>'DATA (Real)'!BN323</f>
        <v>0</v>
      </c>
      <c r="BO327" s="315">
        <f>'DATA (Real)'!BO323</f>
        <v>0</v>
      </c>
      <c r="BP327" s="315">
        <f>'DATA (Real)'!BP323</f>
        <v>0</v>
      </c>
      <c r="BQ327" s="315">
        <f>'DATA (Real)'!BQ323</f>
        <v>0</v>
      </c>
      <c r="BR327" s="315">
        <f>'DATA (Real)'!BR323</f>
        <v>0</v>
      </c>
      <c r="BS327" s="315">
        <f>'DATA (Real)'!BS323</f>
        <v>0</v>
      </c>
      <c r="BT327" s="315">
        <f>'DATA (Real)'!BT323</f>
        <v>0</v>
      </c>
      <c r="BU327" s="315">
        <f>'DATA (Real)'!BU323</f>
        <v>0</v>
      </c>
      <c r="BV327" s="315">
        <f>'DATA (Real)'!BV323</f>
        <v>0</v>
      </c>
      <c r="BW327" s="315">
        <f>'DATA (Real)'!BW323</f>
        <v>0</v>
      </c>
      <c r="BX327" s="315">
        <f>'DATA (Real)'!BX323</f>
        <v>0</v>
      </c>
    </row>
    <row r="328" spans="2:76" hidden="1" outlineLevel="1">
      <c r="B328" s="352"/>
      <c r="C328" s="352" t="str">
        <f>'DATA (Real)'!C324</f>
        <v>Internal</v>
      </c>
      <c r="D328" s="352" t="str">
        <f>'DATA (Real)'!D324</f>
        <v>B&amp;O Tax Rate</v>
      </c>
      <c r="E328" s="352" t="str">
        <f>'DATA (Real)'!E324</f>
        <v>Existing Residential Solar</v>
      </c>
      <c r="F328" s="315">
        <f>'DATA (Real)'!F324</f>
        <v>0</v>
      </c>
      <c r="G328" s="315">
        <f>'DATA (Real)'!G324</f>
        <v>0</v>
      </c>
      <c r="H328" s="315">
        <f>'DATA (Real)'!H324</f>
        <v>0</v>
      </c>
      <c r="I328" s="315">
        <f>'DATA (Real)'!I324</f>
        <v>0</v>
      </c>
      <c r="J328" s="315">
        <f>'DATA (Real)'!J324</f>
        <v>0</v>
      </c>
      <c r="K328" s="315">
        <f>'DATA (Real)'!K324</f>
        <v>0</v>
      </c>
      <c r="L328" s="315">
        <f>'DATA (Real)'!L324</f>
        <v>0</v>
      </c>
      <c r="M328" s="315">
        <f>'DATA (Real)'!M324</f>
        <v>0</v>
      </c>
      <c r="N328" s="315">
        <f>'DATA (Real)'!N324</f>
        <v>0</v>
      </c>
      <c r="O328" s="315">
        <f>'DATA (Real)'!O324</f>
        <v>0</v>
      </c>
      <c r="P328" s="315">
        <f>'DATA (Real)'!P324</f>
        <v>0</v>
      </c>
      <c r="Q328" s="315">
        <f>'DATA (Real)'!Q324</f>
        <v>0</v>
      </c>
      <c r="R328" s="315">
        <f>'DATA (Real)'!R324</f>
        <v>0</v>
      </c>
      <c r="S328" s="315">
        <f>'DATA (Real)'!S324</f>
        <v>0</v>
      </c>
      <c r="T328" s="315">
        <f>'DATA (Real)'!T324</f>
        <v>0</v>
      </c>
      <c r="U328" s="315">
        <f>'DATA (Real)'!U324</f>
        <v>0</v>
      </c>
      <c r="V328" s="315">
        <f>'DATA (Real)'!V324</f>
        <v>0</v>
      </c>
      <c r="W328" s="315">
        <f>'DATA (Real)'!W324</f>
        <v>0</v>
      </c>
      <c r="X328" s="315">
        <f>'DATA (Real)'!X324</f>
        <v>0</v>
      </c>
      <c r="Y328" s="315">
        <f>'DATA (Real)'!Y324</f>
        <v>0</v>
      </c>
      <c r="Z328" s="315">
        <f>'DATA (Real)'!Z324</f>
        <v>0</v>
      </c>
      <c r="AA328" s="315">
        <f>'DATA (Real)'!AA324</f>
        <v>0</v>
      </c>
      <c r="AB328" s="315">
        <f>'DATA (Real)'!AB324</f>
        <v>0</v>
      </c>
      <c r="AC328" s="315">
        <f>'DATA (Real)'!AC324</f>
        <v>0</v>
      </c>
      <c r="AD328" s="315">
        <f>'DATA (Real)'!AD324</f>
        <v>0</v>
      </c>
      <c r="AE328" s="315">
        <f>'DATA (Real)'!AE324</f>
        <v>0</v>
      </c>
      <c r="AF328" s="315">
        <f>'DATA (Real)'!AF324</f>
        <v>0</v>
      </c>
      <c r="AG328" s="315">
        <f>'DATA (Real)'!AG324</f>
        <v>0</v>
      </c>
      <c r="AH328" s="315">
        <f>'DATA (Real)'!AH324</f>
        <v>0</v>
      </c>
      <c r="AI328" s="315">
        <f>'DATA (Real)'!AI324</f>
        <v>0</v>
      </c>
      <c r="AJ328" s="315">
        <f>'DATA (Real)'!AJ324</f>
        <v>0</v>
      </c>
      <c r="AK328" s="315">
        <f>'DATA (Real)'!AK324</f>
        <v>0</v>
      </c>
      <c r="AL328" s="315">
        <f>'DATA (Real)'!AL324</f>
        <v>0</v>
      </c>
      <c r="AM328" s="315">
        <f>'DATA (Real)'!AM324</f>
        <v>0</v>
      </c>
      <c r="AN328" s="315">
        <f>'DATA (Real)'!AN324</f>
        <v>0</v>
      </c>
      <c r="AO328" s="315">
        <f>'DATA (Real)'!AO324</f>
        <v>0</v>
      </c>
      <c r="AP328" s="315">
        <f>'DATA (Real)'!AP324</f>
        <v>0</v>
      </c>
      <c r="AQ328" s="315">
        <f>'DATA (Real)'!AQ324</f>
        <v>0</v>
      </c>
      <c r="AR328" s="315">
        <f>'DATA (Real)'!AR324</f>
        <v>0</v>
      </c>
      <c r="AS328" s="315">
        <f>'DATA (Real)'!AS324</f>
        <v>0</v>
      </c>
      <c r="AT328" s="315">
        <f>'DATA (Real)'!AT324</f>
        <v>0</v>
      </c>
      <c r="AU328" s="315">
        <f>'DATA (Real)'!AU324</f>
        <v>0</v>
      </c>
      <c r="AV328" s="315">
        <f>'DATA (Real)'!AV324</f>
        <v>0</v>
      </c>
      <c r="AW328" s="315">
        <f>'DATA (Real)'!AW324</f>
        <v>0</v>
      </c>
      <c r="AX328" s="315">
        <f>'DATA (Real)'!AX324</f>
        <v>0</v>
      </c>
      <c r="AY328" s="315">
        <f>'DATA (Real)'!AY324</f>
        <v>0</v>
      </c>
      <c r="AZ328" s="315">
        <f>'DATA (Real)'!AZ324</f>
        <v>0</v>
      </c>
      <c r="BA328" s="315">
        <f>'DATA (Real)'!BA324</f>
        <v>0</v>
      </c>
      <c r="BB328" s="315">
        <f>'DATA (Real)'!BB324</f>
        <v>0</v>
      </c>
      <c r="BC328" s="315">
        <f>'DATA (Real)'!BC324</f>
        <v>0</v>
      </c>
      <c r="BD328" s="315">
        <f>'DATA (Real)'!BD324</f>
        <v>0</v>
      </c>
      <c r="BE328" s="315">
        <f>'DATA (Real)'!BE324</f>
        <v>0</v>
      </c>
      <c r="BF328" s="315">
        <f>'DATA (Real)'!BF324</f>
        <v>0</v>
      </c>
      <c r="BG328" s="315">
        <f>'DATA (Real)'!BG324</f>
        <v>0</v>
      </c>
      <c r="BH328" s="315">
        <f>'DATA (Real)'!BH324</f>
        <v>0</v>
      </c>
      <c r="BI328" s="315">
        <f>'DATA (Real)'!BI324</f>
        <v>0</v>
      </c>
      <c r="BJ328" s="315">
        <f>'DATA (Real)'!BJ324</f>
        <v>0</v>
      </c>
      <c r="BK328" s="315">
        <f>'DATA (Real)'!BK324</f>
        <v>0</v>
      </c>
      <c r="BL328" s="315">
        <f>'DATA (Real)'!BL324</f>
        <v>0</v>
      </c>
      <c r="BM328" s="315">
        <f>'DATA (Real)'!BM324</f>
        <v>0</v>
      </c>
      <c r="BN328" s="315">
        <f>'DATA (Real)'!BN324</f>
        <v>0</v>
      </c>
      <c r="BO328" s="315">
        <f>'DATA (Real)'!BO324</f>
        <v>0</v>
      </c>
      <c r="BP328" s="315">
        <f>'DATA (Real)'!BP324</f>
        <v>0</v>
      </c>
      <c r="BQ328" s="315">
        <f>'DATA (Real)'!BQ324</f>
        <v>0</v>
      </c>
      <c r="BR328" s="315">
        <f>'DATA (Real)'!BR324</f>
        <v>0</v>
      </c>
      <c r="BS328" s="315">
        <f>'DATA (Real)'!BS324</f>
        <v>0</v>
      </c>
      <c r="BT328" s="315">
        <f>'DATA (Real)'!BT324</f>
        <v>0</v>
      </c>
      <c r="BU328" s="315">
        <f>'DATA (Real)'!BU324</f>
        <v>0</v>
      </c>
      <c r="BV328" s="315">
        <f>'DATA (Real)'!BV324</f>
        <v>0</v>
      </c>
      <c r="BW328" s="315">
        <f>'DATA (Real)'!BW324</f>
        <v>0</v>
      </c>
      <c r="BX328" s="315">
        <f>'DATA (Real)'!BX324</f>
        <v>0</v>
      </c>
    </row>
    <row r="329" spans="2:76" hidden="1" outlineLevel="1">
      <c r="B329" s="352"/>
      <c r="C329" s="352" t="str">
        <f>'DATA (Real)'!C325</f>
        <v>Internal</v>
      </c>
      <c r="D329" s="352" t="str">
        <f>'DATA (Real)'!D325</f>
        <v>B&amp;O Tax Rate</v>
      </c>
      <c r="E329" s="352" t="str">
        <f>'DATA (Real)'!E325</f>
        <v>Existing Residential Solar + Storage</v>
      </c>
      <c r="F329" s="315">
        <f>'DATA (Real)'!F325</f>
        <v>0</v>
      </c>
      <c r="G329" s="315">
        <f>'DATA (Real)'!G325</f>
        <v>0</v>
      </c>
      <c r="H329" s="315">
        <f>'DATA (Real)'!H325</f>
        <v>0</v>
      </c>
      <c r="I329" s="315">
        <f>'DATA (Real)'!I325</f>
        <v>0</v>
      </c>
      <c r="J329" s="315">
        <f>'DATA (Real)'!J325</f>
        <v>0</v>
      </c>
      <c r="K329" s="315">
        <f>'DATA (Real)'!K325</f>
        <v>0</v>
      </c>
      <c r="L329" s="315">
        <f>'DATA (Real)'!L325</f>
        <v>0</v>
      </c>
      <c r="M329" s="315">
        <f>'DATA (Real)'!M325</f>
        <v>0</v>
      </c>
      <c r="N329" s="315">
        <f>'DATA (Real)'!N325</f>
        <v>0</v>
      </c>
      <c r="O329" s="315">
        <f>'DATA (Real)'!O325</f>
        <v>0</v>
      </c>
      <c r="P329" s="315">
        <f>'DATA (Real)'!P325</f>
        <v>0</v>
      </c>
      <c r="Q329" s="315">
        <f>'DATA (Real)'!Q325</f>
        <v>0</v>
      </c>
      <c r="R329" s="315">
        <f>'DATA (Real)'!R325</f>
        <v>0</v>
      </c>
      <c r="S329" s="315">
        <f>'DATA (Real)'!S325</f>
        <v>0</v>
      </c>
      <c r="T329" s="315">
        <f>'DATA (Real)'!T325</f>
        <v>0</v>
      </c>
      <c r="U329" s="315">
        <f>'DATA (Real)'!U325</f>
        <v>0</v>
      </c>
      <c r="V329" s="315">
        <f>'DATA (Real)'!V325</f>
        <v>0</v>
      </c>
      <c r="W329" s="315">
        <f>'DATA (Real)'!W325</f>
        <v>0</v>
      </c>
      <c r="X329" s="315">
        <f>'DATA (Real)'!X325</f>
        <v>0</v>
      </c>
      <c r="Y329" s="315">
        <f>'DATA (Real)'!Y325</f>
        <v>0</v>
      </c>
      <c r="Z329" s="315">
        <f>'DATA (Real)'!Z325</f>
        <v>0</v>
      </c>
      <c r="AA329" s="315">
        <f>'DATA (Real)'!AA325</f>
        <v>0</v>
      </c>
      <c r="AB329" s="315">
        <f>'DATA (Real)'!AB325</f>
        <v>0</v>
      </c>
      <c r="AC329" s="315">
        <f>'DATA (Real)'!AC325</f>
        <v>0</v>
      </c>
      <c r="AD329" s="315">
        <f>'DATA (Real)'!AD325</f>
        <v>0</v>
      </c>
      <c r="AE329" s="315">
        <f>'DATA (Real)'!AE325</f>
        <v>0</v>
      </c>
      <c r="AF329" s="315">
        <f>'DATA (Real)'!AF325</f>
        <v>0</v>
      </c>
      <c r="AG329" s="315">
        <f>'DATA (Real)'!AG325</f>
        <v>0</v>
      </c>
      <c r="AH329" s="315">
        <f>'DATA (Real)'!AH325</f>
        <v>0</v>
      </c>
      <c r="AI329" s="315">
        <f>'DATA (Real)'!AI325</f>
        <v>0</v>
      </c>
      <c r="AJ329" s="315">
        <f>'DATA (Real)'!AJ325</f>
        <v>0</v>
      </c>
      <c r="AK329" s="315">
        <f>'DATA (Real)'!AK325</f>
        <v>0</v>
      </c>
      <c r="AL329" s="315">
        <f>'DATA (Real)'!AL325</f>
        <v>0</v>
      </c>
      <c r="AM329" s="315">
        <f>'DATA (Real)'!AM325</f>
        <v>0</v>
      </c>
      <c r="AN329" s="315">
        <f>'DATA (Real)'!AN325</f>
        <v>0</v>
      </c>
      <c r="AO329" s="315">
        <f>'DATA (Real)'!AO325</f>
        <v>0</v>
      </c>
      <c r="AP329" s="315">
        <f>'DATA (Real)'!AP325</f>
        <v>0</v>
      </c>
      <c r="AQ329" s="315">
        <f>'DATA (Real)'!AQ325</f>
        <v>0</v>
      </c>
      <c r="AR329" s="315">
        <f>'DATA (Real)'!AR325</f>
        <v>0</v>
      </c>
      <c r="AS329" s="315">
        <f>'DATA (Real)'!AS325</f>
        <v>0</v>
      </c>
      <c r="AT329" s="315">
        <f>'DATA (Real)'!AT325</f>
        <v>0</v>
      </c>
      <c r="AU329" s="315">
        <f>'DATA (Real)'!AU325</f>
        <v>0</v>
      </c>
      <c r="AV329" s="315">
        <f>'DATA (Real)'!AV325</f>
        <v>0</v>
      </c>
      <c r="AW329" s="315">
        <f>'DATA (Real)'!AW325</f>
        <v>0</v>
      </c>
      <c r="AX329" s="315">
        <f>'DATA (Real)'!AX325</f>
        <v>0</v>
      </c>
      <c r="AY329" s="315">
        <f>'DATA (Real)'!AY325</f>
        <v>0</v>
      </c>
      <c r="AZ329" s="315">
        <f>'DATA (Real)'!AZ325</f>
        <v>0</v>
      </c>
      <c r="BA329" s="315">
        <f>'DATA (Real)'!BA325</f>
        <v>0</v>
      </c>
      <c r="BB329" s="315">
        <f>'DATA (Real)'!BB325</f>
        <v>0</v>
      </c>
      <c r="BC329" s="315">
        <f>'DATA (Real)'!BC325</f>
        <v>0</v>
      </c>
      <c r="BD329" s="315">
        <f>'DATA (Real)'!BD325</f>
        <v>0</v>
      </c>
      <c r="BE329" s="315">
        <f>'DATA (Real)'!BE325</f>
        <v>0</v>
      </c>
      <c r="BF329" s="315">
        <f>'DATA (Real)'!BF325</f>
        <v>0</v>
      </c>
      <c r="BG329" s="315">
        <f>'DATA (Real)'!BG325</f>
        <v>0</v>
      </c>
      <c r="BH329" s="315">
        <f>'DATA (Real)'!BH325</f>
        <v>0</v>
      </c>
      <c r="BI329" s="315">
        <f>'DATA (Real)'!BI325</f>
        <v>0</v>
      </c>
      <c r="BJ329" s="315">
        <f>'DATA (Real)'!BJ325</f>
        <v>0</v>
      </c>
      <c r="BK329" s="315">
        <f>'DATA (Real)'!BK325</f>
        <v>0</v>
      </c>
      <c r="BL329" s="315">
        <f>'DATA (Real)'!BL325</f>
        <v>0</v>
      </c>
      <c r="BM329" s="315">
        <f>'DATA (Real)'!BM325</f>
        <v>0</v>
      </c>
      <c r="BN329" s="315">
        <f>'DATA (Real)'!BN325</f>
        <v>0</v>
      </c>
      <c r="BO329" s="315">
        <f>'DATA (Real)'!BO325</f>
        <v>0</v>
      </c>
      <c r="BP329" s="315">
        <f>'DATA (Real)'!BP325</f>
        <v>0</v>
      </c>
      <c r="BQ329" s="315">
        <f>'DATA (Real)'!BQ325</f>
        <v>0</v>
      </c>
      <c r="BR329" s="315">
        <f>'DATA (Real)'!BR325</f>
        <v>0</v>
      </c>
      <c r="BS329" s="315">
        <f>'DATA (Real)'!BS325</f>
        <v>0</v>
      </c>
      <c r="BT329" s="315">
        <f>'DATA (Real)'!BT325</f>
        <v>0</v>
      </c>
      <c r="BU329" s="315">
        <f>'DATA (Real)'!BU325</f>
        <v>0</v>
      </c>
      <c r="BV329" s="315">
        <f>'DATA (Real)'!BV325</f>
        <v>0</v>
      </c>
      <c r="BW329" s="315">
        <f>'DATA (Real)'!BW325</f>
        <v>0</v>
      </c>
      <c r="BX329" s="315">
        <f>'DATA (Real)'!BX325</f>
        <v>0</v>
      </c>
    </row>
    <row r="330" spans="2:76" hidden="1" outlineLevel="1">
      <c r="B330" s="352"/>
      <c r="C330" s="352" t="str">
        <f>'DATA (Real)'!C326</f>
        <v>Internal</v>
      </c>
      <c r="D330" s="352" t="str">
        <f>'DATA (Real)'!D326</f>
        <v>B&amp;O Tax Rate</v>
      </c>
      <c r="E330" s="352" t="str">
        <f>'DATA (Real)'!E326</f>
        <v>Commercial Solar</v>
      </c>
      <c r="F330" s="315">
        <f>'DATA (Real)'!F326</f>
        <v>0</v>
      </c>
      <c r="G330" s="315">
        <f>'DATA (Real)'!G326</f>
        <v>0</v>
      </c>
      <c r="H330" s="315">
        <f>'DATA (Real)'!H326</f>
        <v>0</v>
      </c>
      <c r="I330" s="315">
        <f>'DATA (Real)'!I326</f>
        <v>0</v>
      </c>
      <c r="J330" s="315">
        <f>'DATA (Real)'!J326</f>
        <v>0</v>
      </c>
      <c r="K330" s="315">
        <f>'DATA (Real)'!K326</f>
        <v>0</v>
      </c>
      <c r="L330" s="315">
        <f>'DATA (Real)'!L326</f>
        <v>0</v>
      </c>
      <c r="M330" s="315">
        <f>'DATA (Real)'!M326</f>
        <v>0</v>
      </c>
      <c r="N330" s="315">
        <f>'DATA (Real)'!N326</f>
        <v>0</v>
      </c>
      <c r="O330" s="315">
        <f>'DATA (Real)'!O326</f>
        <v>0</v>
      </c>
      <c r="P330" s="315">
        <f>'DATA (Real)'!P326</f>
        <v>0</v>
      </c>
      <c r="Q330" s="315">
        <f>'DATA (Real)'!Q326</f>
        <v>0</v>
      </c>
      <c r="R330" s="315">
        <f>'DATA (Real)'!R326</f>
        <v>0</v>
      </c>
      <c r="S330" s="315">
        <f>'DATA (Real)'!S326</f>
        <v>0</v>
      </c>
      <c r="T330" s="315">
        <f>'DATA (Real)'!T326</f>
        <v>0</v>
      </c>
      <c r="U330" s="315">
        <f>'DATA (Real)'!U326</f>
        <v>0</v>
      </c>
      <c r="V330" s="315">
        <f>'DATA (Real)'!V326</f>
        <v>0</v>
      </c>
      <c r="W330" s="315">
        <f>'DATA (Real)'!W326</f>
        <v>0</v>
      </c>
      <c r="X330" s="315">
        <f>'DATA (Real)'!X326</f>
        <v>0</v>
      </c>
      <c r="Y330" s="315">
        <f>'DATA (Real)'!Y326</f>
        <v>0</v>
      </c>
      <c r="Z330" s="315">
        <f>'DATA (Real)'!Z326</f>
        <v>0</v>
      </c>
      <c r="AA330" s="315">
        <f>'DATA (Real)'!AA326</f>
        <v>0</v>
      </c>
      <c r="AB330" s="315">
        <f>'DATA (Real)'!AB326</f>
        <v>0</v>
      </c>
      <c r="AC330" s="315">
        <f>'DATA (Real)'!AC326</f>
        <v>0</v>
      </c>
      <c r="AD330" s="315">
        <f>'DATA (Real)'!AD326</f>
        <v>0</v>
      </c>
      <c r="AE330" s="315">
        <f>'DATA (Real)'!AE326</f>
        <v>0</v>
      </c>
      <c r="AF330" s="315">
        <f>'DATA (Real)'!AF326</f>
        <v>0</v>
      </c>
      <c r="AG330" s="315">
        <f>'DATA (Real)'!AG326</f>
        <v>0</v>
      </c>
      <c r="AH330" s="315">
        <f>'DATA (Real)'!AH326</f>
        <v>0</v>
      </c>
      <c r="AI330" s="315">
        <f>'DATA (Real)'!AI326</f>
        <v>0</v>
      </c>
      <c r="AJ330" s="315">
        <f>'DATA (Real)'!AJ326</f>
        <v>0</v>
      </c>
      <c r="AK330" s="315">
        <f>'DATA (Real)'!AK326</f>
        <v>0</v>
      </c>
      <c r="AL330" s="315">
        <f>'DATA (Real)'!AL326</f>
        <v>0</v>
      </c>
      <c r="AM330" s="315">
        <f>'DATA (Real)'!AM326</f>
        <v>0</v>
      </c>
      <c r="AN330" s="315">
        <f>'DATA (Real)'!AN326</f>
        <v>0</v>
      </c>
      <c r="AO330" s="315">
        <f>'DATA (Real)'!AO326</f>
        <v>0</v>
      </c>
      <c r="AP330" s="315">
        <f>'DATA (Real)'!AP326</f>
        <v>0</v>
      </c>
      <c r="AQ330" s="315">
        <f>'DATA (Real)'!AQ326</f>
        <v>0</v>
      </c>
      <c r="AR330" s="315">
        <f>'DATA (Real)'!AR326</f>
        <v>0</v>
      </c>
      <c r="AS330" s="315">
        <f>'DATA (Real)'!AS326</f>
        <v>0</v>
      </c>
      <c r="AT330" s="315">
        <f>'DATA (Real)'!AT326</f>
        <v>0</v>
      </c>
      <c r="AU330" s="315">
        <f>'DATA (Real)'!AU326</f>
        <v>0</v>
      </c>
      <c r="AV330" s="315">
        <f>'DATA (Real)'!AV326</f>
        <v>0</v>
      </c>
      <c r="AW330" s="315">
        <f>'DATA (Real)'!AW326</f>
        <v>0</v>
      </c>
      <c r="AX330" s="315">
        <f>'DATA (Real)'!AX326</f>
        <v>0</v>
      </c>
      <c r="AY330" s="315">
        <f>'DATA (Real)'!AY326</f>
        <v>0</v>
      </c>
      <c r="AZ330" s="315">
        <f>'DATA (Real)'!AZ326</f>
        <v>0</v>
      </c>
      <c r="BA330" s="315">
        <f>'DATA (Real)'!BA326</f>
        <v>0</v>
      </c>
      <c r="BB330" s="315">
        <f>'DATA (Real)'!BB326</f>
        <v>0</v>
      </c>
      <c r="BC330" s="315">
        <f>'DATA (Real)'!BC326</f>
        <v>0</v>
      </c>
      <c r="BD330" s="315">
        <f>'DATA (Real)'!BD326</f>
        <v>0</v>
      </c>
      <c r="BE330" s="315">
        <f>'DATA (Real)'!BE326</f>
        <v>0</v>
      </c>
      <c r="BF330" s="315">
        <f>'DATA (Real)'!BF326</f>
        <v>0</v>
      </c>
      <c r="BG330" s="315">
        <f>'DATA (Real)'!BG326</f>
        <v>0</v>
      </c>
      <c r="BH330" s="315">
        <f>'DATA (Real)'!BH326</f>
        <v>0</v>
      </c>
      <c r="BI330" s="315">
        <f>'DATA (Real)'!BI326</f>
        <v>0</v>
      </c>
      <c r="BJ330" s="315">
        <f>'DATA (Real)'!BJ326</f>
        <v>0</v>
      </c>
      <c r="BK330" s="315">
        <f>'DATA (Real)'!BK326</f>
        <v>0</v>
      </c>
      <c r="BL330" s="315">
        <f>'DATA (Real)'!BL326</f>
        <v>0</v>
      </c>
      <c r="BM330" s="315">
        <f>'DATA (Real)'!BM326</f>
        <v>0</v>
      </c>
      <c r="BN330" s="315">
        <f>'DATA (Real)'!BN326</f>
        <v>0</v>
      </c>
      <c r="BO330" s="315">
        <f>'DATA (Real)'!BO326</f>
        <v>0</v>
      </c>
      <c r="BP330" s="315">
        <f>'DATA (Real)'!BP326</f>
        <v>0</v>
      </c>
      <c r="BQ330" s="315">
        <f>'DATA (Real)'!BQ326</f>
        <v>0</v>
      </c>
      <c r="BR330" s="315">
        <f>'DATA (Real)'!BR326</f>
        <v>0</v>
      </c>
      <c r="BS330" s="315">
        <f>'DATA (Real)'!BS326</f>
        <v>0</v>
      </c>
      <c r="BT330" s="315">
        <f>'DATA (Real)'!BT326</f>
        <v>0</v>
      </c>
      <c r="BU330" s="315">
        <f>'DATA (Real)'!BU326</f>
        <v>0</v>
      </c>
      <c r="BV330" s="315">
        <f>'DATA (Real)'!BV326</f>
        <v>0</v>
      </c>
      <c r="BW330" s="315">
        <f>'DATA (Real)'!BW326</f>
        <v>0</v>
      </c>
      <c r="BX330" s="315">
        <f>'DATA (Real)'!BX326</f>
        <v>0</v>
      </c>
    </row>
    <row r="331" spans="2:76" hidden="1" outlineLevel="1">
      <c r="B331" s="352"/>
      <c r="C331" s="352" t="str">
        <f>'DATA (Real)'!C327</f>
        <v>Internal</v>
      </c>
      <c r="D331" s="352" t="str">
        <f>'DATA (Real)'!D327</f>
        <v>B&amp;O Tax Rate</v>
      </c>
      <c r="E331" s="352" t="str">
        <f>'DATA (Real)'!E327</f>
        <v>Commercial Solar + Storage</v>
      </c>
      <c r="F331" s="315">
        <f>'DATA (Real)'!F327</f>
        <v>0</v>
      </c>
      <c r="G331" s="315">
        <f>'DATA (Real)'!G327</f>
        <v>0</v>
      </c>
      <c r="H331" s="315">
        <f>'DATA (Real)'!H327</f>
        <v>0</v>
      </c>
      <c r="I331" s="315">
        <f>'DATA (Real)'!I327</f>
        <v>0</v>
      </c>
      <c r="J331" s="315">
        <f>'DATA (Real)'!J327</f>
        <v>0</v>
      </c>
      <c r="K331" s="315">
        <f>'DATA (Real)'!K327</f>
        <v>0</v>
      </c>
      <c r="L331" s="315">
        <f>'DATA (Real)'!L327</f>
        <v>0</v>
      </c>
      <c r="M331" s="315">
        <f>'DATA (Real)'!M327</f>
        <v>0</v>
      </c>
      <c r="N331" s="315">
        <f>'DATA (Real)'!N327</f>
        <v>0</v>
      </c>
      <c r="O331" s="315">
        <f>'DATA (Real)'!O327</f>
        <v>0</v>
      </c>
      <c r="P331" s="315">
        <f>'DATA (Real)'!P327</f>
        <v>0</v>
      </c>
      <c r="Q331" s="315">
        <f>'DATA (Real)'!Q327</f>
        <v>0</v>
      </c>
      <c r="R331" s="315">
        <f>'DATA (Real)'!R327</f>
        <v>0</v>
      </c>
      <c r="S331" s="315">
        <f>'DATA (Real)'!S327</f>
        <v>0</v>
      </c>
      <c r="T331" s="315">
        <f>'DATA (Real)'!T327</f>
        <v>0</v>
      </c>
      <c r="U331" s="315">
        <f>'DATA (Real)'!U327</f>
        <v>0</v>
      </c>
      <c r="V331" s="315">
        <f>'DATA (Real)'!V327</f>
        <v>0</v>
      </c>
      <c r="W331" s="315">
        <f>'DATA (Real)'!W327</f>
        <v>0</v>
      </c>
      <c r="X331" s="315">
        <f>'DATA (Real)'!X327</f>
        <v>0</v>
      </c>
      <c r="Y331" s="315">
        <f>'DATA (Real)'!Y327</f>
        <v>0</v>
      </c>
      <c r="Z331" s="315">
        <f>'DATA (Real)'!Z327</f>
        <v>0</v>
      </c>
      <c r="AA331" s="315">
        <f>'DATA (Real)'!AA327</f>
        <v>0</v>
      </c>
      <c r="AB331" s="315">
        <f>'DATA (Real)'!AB327</f>
        <v>0</v>
      </c>
      <c r="AC331" s="315">
        <f>'DATA (Real)'!AC327</f>
        <v>0</v>
      </c>
      <c r="AD331" s="315">
        <f>'DATA (Real)'!AD327</f>
        <v>0</v>
      </c>
      <c r="AE331" s="315">
        <f>'DATA (Real)'!AE327</f>
        <v>0</v>
      </c>
      <c r="AF331" s="315">
        <f>'DATA (Real)'!AF327</f>
        <v>0</v>
      </c>
      <c r="AG331" s="315">
        <f>'DATA (Real)'!AG327</f>
        <v>0</v>
      </c>
      <c r="AH331" s="315">
        <f>'DATA (Real)'!AH327</f>
        <v>0</v>
      </c>
      <c r="AI331" s="315">
        <f>'DATA (Real)'!AI327</f>
        <v>0</v>
      </c>
      <c r="AJ331" s="315">
        <f>'DATA (Real)'!AJ327</f>
        <v>0</v>
      </c>
      <c r="AK331" s="315">
        <f>'DATA (Real)'!AK327</f>
        <v>0</v>
      </c>
      <c r="AL331" s="315">
        <f>'DATA (Real)'!AL327</f>
        <v>0</v>
      </c>
      <c r="AM331" s="315">
        <f>'DATA (Real)'!AM327</f>
        <v>0</v>
      </c>
      <c r="AN331" s="315">
        <f>'DATA (Real)'!AN327</f>
        <v>0</v>
      </c>
      <c r="AO331" s="315">
        <f>'DATA (Real)'!AO327</f>
        <v>0</v>
      </c>
      <c r="AP331" s="315">
        <f>'DATA (Real)'!AP327</f>
        <v>0</v>
      </c>
      <c r="AQ331" s="315">
        <f>'DATA (Real)'!AQ327</f>
        <v>0</v>
      </c>
      <c r="AR331" s="315">
        <f>'DATA (Real)'!AR327</f>
        <v>0</v>
      </c>
      <c r="AS331" s="315">
        <f>'DATA (Real)'!AS327</f>
        <v>0</v>
      </c>
      <c r="AT331" s="315">
        <f>'DATA (Real)'!AT327</f>
        <v>0</v>
      </c>
      <c r="AU331" s="315">
        <f>'DATA (Real)'!AU327</f>
        <v>0</v>
      </c>
      <c r="AV331" s="315">
        <f>'DATA (Real)'!AV327</f>
        <v>0</v>
      </c>
      <c r="AW331" s="315">
        <f>'DATA (Real)'!AW327</f>
        <v>0</v>
      </c>
      <c r="AX331" s="315">
        <f>'DATA (Real)'!AX327</f>
        <v>0</v>
      </c>
      <c r="AY331" s="315">
        <f>'DATA (Real)'!AY327</f>
        <v>0</v>
      </c>
      <c r="AZ331" s="315">
        <f>'DATA (Real)'!AZ327</f>
        <v>0</v>
      </c>
      <c r="BA331" s="315">
        <f>'DATA (Real)'!BA327</f>
        <v>0</v>
      </c>
      <c r="BB331" s="315">
        <f>'DATA (Real)'!BB327</f>
        <v>0</v>
      </c>
      <c r="BC331" s="315">
        <f>'DATA (Real)'!BC327</f>
        <v>0</v>
      </c>
      <c r="BD331" s="315">
        <f>'DATA (Real)'!BD327</f>
        <v>0</v>
      </c>
      <c r="BE331" s="315">
        <f>'DATA (Real)'!BE327</f>
        <v>0</v>
      </c>
      <c r="BF331" s="315">
        <f>'DATA (Real)'!BF327</f>
        <v>0</v>
      </c>
      <c r="BG331" s="315">
        <f>'DATA (Real)'!BG327</f>
        <v>0</v>
      </c>
      <c r="BH331" s="315">
        <f>'DATA (Real)'!BH327</f>
        <v>0</v>
      </c>
      <c r="BI331" s="315">
        <f>'DATA (Real)'!BI327</f>
        <v>0</v>
      </c>
      <c r="BJ331" s="315">
        <f>'DATA (Real)'!BJ327</f>
        <v>0</v>
      </c>
      <c r="BK331" s="315">
        <f>'DATA (Real)'!BK327</f>
        <v>0</v>
      </c>
      <c r="BL331" s="315">
        <f>'DATA (Real)'!BL327</f>
        <v>0</v>
      </c>
      <c r="BM331" s="315">
        <f>'DATA (Real)'!BM327</f>
        <v>0</v>
      </c>
      <c r="BN331" s="315">
        <f>'DATA (Real)'!BN327</f>
        <v>0</v>
      </c>
      <c r="BO331" s="315">
        <f>'DATA (Real)'!BO327</f>
        <v>0</v>
      </c>
      <c r="BP331" s="315">
        <f>'DATA (Real)'!BP327</f>
        <v>0</v>
      </c>
      <c r="BQ331" s="315">
        <f>'DATA (Real)'!BQ327</f>
        <v>0</v>
      </c>
      <c r="BR331" s="315">
        <f>'DATA (Real)'!BR327</f>
        <v>0</v>
      </c>
      <c r="BS331" s="315">
        <f>'DATA (Real)'!BS327</f>
        <v>0</v>
      </c>
      <c r="BT331" s="315">
        <f>'DATA (Real)'!BT327</f>
        <v>0</v>
      </c>
      <c r="BU331" s="315">
        <f>'DATA (Real)'!BU327</f>
        <v>0</v>
      </c>
      <c r="BV331" s="315">
        <f>'DATA (Real)'!BV327</f>
        <v>0</v>
      </c>
      <c r="BW331" s="315">
        <f>'DATA (Real)'!BW327</f>
        <v>0</v>
      </c>
      <c r="BX331" s="315">
        <f>'DATA (Real)'!BX327</f>
        <v>0</v>
      </c>
    </row>
    <row r="332" spans="2:76" hidden="1" outlineLevel="1">
      <c r="B332" s="352"/>
      <c r="C332" s="352" t="str">
        <f>'DATA (Real)'!C328</f>
        <v>Internal</v>
      </c>
      <c r="D332" s="352" t="str">
        <f>'DATA (Real)'!D328</f>
        <v>B&amp;O Tax Rate</v>
      </c>
      <c r="E332" s="352" t="str">
        <f>'DATA (Real)'!E328</f>
        <v>Solar Photovoltaic Fixed Array (5 MW AC)</v>
      </c>
      <c r="F332" s="315">
        <f>'DATA (Real)'!F328</f>
        <v>2.7499999999999998E-3</v>
      </c>
      <c r="G332" s="315">
        <f>'DATA (Real)'!G328</f>
        <v>2.7499999999999998E-3</v>
      </c>
      <c r="H332" s="315">
        <f>'DATA (Real)'!H328</f>
        <v>2.7499999999999998E-3</v>
      </c>
      <c r="I332" s="315">
        <f>'DATA (Real)'!I328</f>
        <v>2.7499999999999998E-3</v>
      </c>
      <c r="J332" s="315">
        <f>'DATA (Real)'!J328</f>
        <v>2.7499999999999998E-3</v>
      </c>
      <c r="K332" s="315">
        <f>'DATA (Real)'!K328</f>
        <v>2.7499999999999998E-3</v>
      </c>
      <c r="L332" s="315">
        <f>'DATA (Real)'!L328</f>
        <v>2.7499999999999998E-3</v>
      </c>
      <c r="M332" s="315">
        <f>'DATA (Real)'!M328</f>
        <v>2.7499999999999998E-3</v>
      </c>
      <c r="N332" s="315">
        <f>'DATA (Real)'!N328</f>
        <v>2.7499999999999998E-3</v>
      </c>
      <c r="O332" s="315">
        <f>'DATA (Real)'!O328</f>
        <v>2.7499999999999998E-3</v>
      </c>
      <c r="P332" s="315">
        <f>'DATA (Real)'!P328</f>
        <v>2.7499999999999998E-3</v>
      </c>
      <c r="Q332" s="315">
        <f>'DATA (Real)'!Q328</f>
        <v>2.7499999999999998E-3</v>
      </c>
      <c r="R332" s="315">
        <f>'DATA (Real)'!R328</f>
        <v>2.7499999999999998E-3</v>
      </c>
      <c r="S332" s="315">
        <f>'DATA (Real)'!S328</f>
        <v>2.7499999999999998E-3</v>
      </c>
      <c r="T332" s="315">
        <f>'DATA (Real)'!T328</f>
        <v>2.7499999999999998E-3</v>
      </c>
      <c r="U332" s="315">
        <f>'DATA (Real)'!U328</f>
        <v>2.7499999999999998E-3</v>
      </c>
      <c r="V332" s="315">
        <f>'DATA (Real)'!V328</f>
        <v>2.7499999999999998E-3</v>
      </c>
      <c r="W332" s="315">
        <f>'DATA (Real)'!W328</f>
        <v>2.7499999999999998E-3</v>
      </c>
      <c r="X332" s="315">
        <f>'DATA (Real)'!X328</f>
        <v>2.7499999999999998E-3</v>
      </c>
      <c r="Y332" s="315">
        <f>'DATA (Real)'!Y328</f>
        <v>2.7499999999999998E-3</v>
      </c>
      <c r="Z332" s="315">
        <f>'DATA (Real)'!Z328</f>
        <v>2.7499999999999998E-3</v>
      </c>
      <c r="AA332" s="315">
        <f>'DATA (Real)'!AA328</f>
        <v>2.7499999999999998E-3</v>
      </c>
      <c r="AB332" s="315">
        <f>'DATA (Real)'!AB328</f>
        <v>2.7499999999999998E-3</v>
      </c>
      <c r="AC332" s="315">
        <f>'DATA (Real)'!AC328</f>
        <v>2.7499999999999998E-3</v>
      </c>
      <c r="AD332" s="315">
        <f>'DATA (Real)'!AD328</f>
        <v>2.7499999999999998E-3</v>
      </c>
      <c r="AE332" s="315">
        <f>'DATA (Real)'!AE328</f>
        <v>2.7499999999999998E-3</v>
      </c>
      <c r="AF332" s="315">
        <f>'DATA (Real)'!AF328</f>
        <v>2.7499999999999998E-3</v>
      </c>
      <c r="AG332" s="315">
        <f>'DATA (Real)'!AG328</f>
        <v>2.7499999999999998E-3</v>
      </c>
      <c r="AH332" s="315">
        <f>'DATA (Real)'!AH328</f>
        <v>2.7499999999999998E-3</v>
      </c>
      <c r="AI332" s="315">
        <f>'DATA (Real)'!AI328</f>
        <v>2.7499999999999998E-3</v>
      </c>
      <c r="AJ332" s="315">
        <f>'DATA (Real)'!AJ328</f>
        <v>2.7499999999999998E-3</v>
      </c>
      <c r="AK332" s="315">
        <f>'DATA (Real)'!AK328</f>
        <v>2.7499999999999998E-3</v>
      </c>
      <c r="AL332" s="315">
        <f>'DATA (Real)'!AL328</f>
        <v>2.7499999999999998E-3</v>
      </c>
      <c r="AM332" s="315">
        <f>'DATA (Real)'!AM328</f>
        <v>2.7499999999999998E-3</v>
      </c>
      <c r="AN332" s="315">
        <f>'DATA (Real)'!AN328</f>
        <v>2.7499999999999998E-3</v>
      </c>
      <c r="AO332" s="315">
        <f>'DATA (Real)'!AO328</f>
        <v>2.7499999999999998E-3</v>
      </c>
      <c r="AP332" s="315">
        <f>'DATA (Real)'!AP328</f>
        <v>2.7499999999999998E-3</v>
      </c>
      <c r="AQ332" s="315">
        <f>'DATA (Real)'!AQ328</f>
        <v>2.7499999999999998E-3</v>
      </c>
      <c r="AR332" s="315">
        <f>'DATA (Real)'!AR328</f>
        <v>2.7499999999999998E-3</v>
      </c>
      <c r="AS332" s="315">
        <f>'DATA (Real)'!AS328</f>
        <v>2.7499999999999998E-3</v>
      </c>
      <c r="AT332" s="315">
        <f>'DATA (Real)'!AT328</f>
        <v>2.7499999999999998E-3</v>
      </c>
      <c r="AU332" s="315">
        <f>'DATA (Real)'!AU328</f>
        <v>2.7499999999999998E-3</v>
      </c>
      <c r="AV332" s="315">
        <f>'DATA (Real)'!AV328</f>
        <v>2.7499999999999998E-3</v>
      </c>
      <c r="AW332" s="315">
        <f>'DATA (Real)'!AW328</f>
        <v>2.7499999999999998E-3</v>
      </c>
      <c r="AX332" s="315">
        <f>'DATA (Real)'!AX328</f>
        <v>2.7499999999999998E-3</v>
      </c>
      <c r="AY332" s="315">
        <f>'DATA (Real)'!AY328</f>
        <v>2.7499999999999998E-3</v>
      </c>
      <c r="AZ332" s="315">
        <f>'DATA (Real)'!AZ328</f>
        <v>2.7499999999999998E-3</v>
      </c>
      <c r="BA332" s="315">
        <f>'DATA (Real)'!BA328</f>
        <v>2.7499999999999998E-3</v>
      </c>
      <c r="BB332" s="315">
        <f>'DATA (Real)'!BB328</f>
        <v>2.7499999999999998E-3</v>
      </c>
      <c r="BC332" s="315">
        <f>'DATA (Real)'!BC328</f>
        <v>2.7499999999999998E-3</v>
      </c>
      <c r="BD332" s="315">
        <f>'DATA (Real)'!BD328</f>
        <v>2.7499999999999998E-3</v>
      </c>
      <c r="BE332" s="315">
        <f>'DATA (Real)'!BE328</f>
        <v>2.7499999999999998E-3</v>
      </c>
      <c r="BF332" s="315">
        <f>'DATA (Real)'!BF328</f>
        <v>2.7499999999999998E-3</v>
      </c>
      <c r="BG332" s="315">
        <f>'DATA (Real)'!BG328</f>
        <v>2.7499999999999998E-3</v>
      </c>
      <c r="BH332" s="315">
        <f>'DATA (Real)'!BH328</f>
        <v>2.7499999999999998E-3</v>
      </c>
      <c r="BI332" s="315">
        <f>'DATA (Real)'!BI328</f>
        <v>2.7499999999999998E-3</v>
      </c>
      <c r="BJ332" s="315">
        <f>'DATA (Real)'!BJ328</f>
        <v>2.7499999999999998E-3</v>
      </c>
      <c r="BK332" s="315">
        <f>'DATA (Real)'!BK328</f>
        <v>2.7499999999999998E-3</v>
      </c>
      <c r="BL332" s="315">
        <f>'DATA (Real)'!BL328</f>
        <v>2.7499999999999998E-3</v>
      </c>
      <c r="BM332" s="315">
        <f>'DATA (Real)'!BM328</f>
        <v>2.7499999999999998E-3</v>
      </c>
      <c r="BN332" s="315">
        <f>'DATA (Real)'!BN328</f>
        <v>2.7499999999999998E-3</v>
      </c>
      <c r="BO332" s="315">
        <f>'DATA (Real)'!BO328</f>
        <v>2.7499999999999998E-3</v>
      </c>
      <c r="BP332" s="315">
        <f>'DATA (Real)'!BP328</f>
        <v>2.7499999999999998E-3</v>
      </c>
      <c r="BQ332" s="315">
        <f>'DATA (Real)'!BQ328</f>
        <v>2.7499999999999998E-3</v>
      </c>
      <c r="BR332" s="315">
        <f>'DATA (Real)'!BR328</f>
        <v>2.7499999999999998E-3</v>
      </c>
      <c r="BS332" s="315">
        <f>'DATA (Real)'!BS328</f>
        <v>2.7499999999999998E-3</v>
      </c>
      <c r="BT332" s="315">
        <f>'DATA (Real)'!BT328</f>
        <v>2.7499999999999998E-3</v>
      </c>
      <c r="BU332" s="315">
        <f>'DATA (Real)'!BU328</f>
        <v>2.7499999999999998E-3</v>
      </c>
      <c r="BV332" s="315">
        <f>'DATA (Real)'!BV328</f>
        <v>2.7499999999999998E-3</v>
      </c>
      <c r="BW332" s="315">
        <f>'DATA (Real)'!BW328</f>
        <v>2.7499999999999998E-3</v>
      </c>
      <c r="BX332" s="315">
        <f>'DATA (Real)'!BX328</f>
        <v>2.7499999999999998E-3</v>
      </c>
    </row>
    <row r="333" spans="2:76" hidden="1" outlineLevel="1">
      <c r="B333" s="352"/>
      <c r="C333" s="352" t="str">
        <f>'DATA (Real)'!C329</f>
        <v>Internal</v>
      </c>
      <c r="D333" s="352" t="str">
        <f>'DATA (Real)'!D329</f>
        <v>B&amp;O Tax Rate</v>
      </c>
      <c r="E333" s="352" t="str">
        <f>'DATA (Real)'!E329</f>
        <v>Solar Photovoltaic Fixed Array (5 MW AC) + Storage (Solar Only)</v>
      </c>
      <c r="F333" s="315">
        <f>'DATA (Real)'!F329</f>
        <v>2.7499999999999998E-3</v>
      </c>
      <c r="G333" s="315">
        <f>'DATA (Real)'!G329</f>
        <v>2.7499999999999998E-3</v>
      </c>
      <c r="H333" s="315">
        <f>'DATA (Real)'!H329</f>
        <v>2.7499999999999998E-3</v>
      </c>
      <c r="I333" s="315">
        <f>'DATA (Real)'!I329</f>
        <v>2.7499999999999998E-3</v>
      </c>
      <c r="J333" s="315">
        <f>'DATA (Real)'!J329</f>
        <v>2.7499999999999998E-3</v>
      </c>
      <c r="K333" s="315">
        <f>'DATA (Real)'!K329</f>
        <v>2.7499999999999998E-3</v>
      </c>
      <c r="L333" s="315">
        <f>'DATA (Real)'!L329</f>
        <v>2.7499999999999998E-3</v>
      </c>
      <c r="M333" s="315">
        <f>'DATA (Real)'!M329</f>
        <v>2.7499999999999998E-3</v>
      </c>
      <c r="N333" s="315">
        <f>'DATA (Real)'!N329</f>
        <v>2.7499999999999998E-3</v>
      </c>
      <c r="O333" s="315">
        <f>'DATA (Real)'!O329</f>
        <v>2.7499999999999998E-3</v>
      </c>
      <c r="P333" s="315">
        <f>'DATA (Real)'!P329</f>
        <v>2.7499999999999998E-3</v>
      </c>
      <c r="Q333" s="315">
        <f>'DATA (Real)'!Q329</f>
        <v>2.7499999999999998E-3</v>
      </c>
      <c r="R333" s="315">
        <f>'DATA (Real)'!R329</f>
        <v>2.7499999999999998E-3</v>
      </c>
      <c r="S333" s="315">
        <f>'DATA (Real)'!S329</f>
        <v>2.7499999999999998E-3</v>
      </c>
      <c r="T333" s="315">
        <f>'DATA (Real)'!T329</f>
        <v>2.7499999999999998E-3</v>
      </c>
      <c r="U333" s="315">
        <f>'DATA (Real)'!U329</f>
        <v>2.7499999999999998E-3</v>
      </c>
      <c r="V333" s="315">
        <f>'DATA (Real)'!V329</f>
        <v>2.7499999999999998E-3</v>
      </c>
      <c r="W333" s="315">
        <f>'DATA (Real)'!W329</f>
        <v>2.7499999999999998E-3</v>
      </c>
      <c r="X333" s="315">
        <f>'DATA (Real)'!X329</f>
        <v>2.7499999999999998E-3</v>
      </c>
      <c r="Y333" s="315">
        <f>'DATA (Real)'!Y329</f>
        <v>2.7499999999999998E-3</v>
      </c>
      <c r="Z333" s="315">
        <f>'DATA (Real)'!Z329</f>
        <v>2.7499999999999998E-3</v>
      </c>
      <c r="AA333" s="315">
        <f>'DATA (Real)'!AA329</f>
        <v>2.7499999999999998E-3</v>
      </c>
      <c r="AB333" s="315">
        <f>'DATA (Real)'!AB329</f>
        <v>2.7499999999999998E-3</v>
      </c>
      <c r="AC333" s="315">
        <f>'DATA (Real)'!AC329</f>
        <v>2.7499999999999998E-3</v>
      </c>
      <c r="AD333" s="315">
        <f>'DATA (Real)'!AD329</f>
        <v>2.7499999999999998E-3</v>
      </c>
      <c r="AE333" s="315">
        <f>'DATA (Real)'!AE329</f>
        <v>2.7499999999999998E-3</v>
      </c>
      <c r="AF333" s="315">
        <f>'DATA (Real)'!AF329</f>
        <v>2.7499999999999998E-3</v>
      </c>
      <c r="AG333" s="315">
        <f>'DATA (Real)'!AG329</f>
        <v>2.7499999999999998E-3</v>
      </c>
      <c r="AH333" s="315">
        <f>'DATA (Real)'!AH329</f>
        <v>2.7499999999999998E-3</v>
      </c>
      <c r="AI333" s="315">
        <f>'DATA (Real)'!AI329</f>
        <v>2.7499999999999998E-3</v>
      </c>
      <c r="AJ333" s="315">
        <f>'DATA (Real)'!AJ329</f>
        <v>2.7499999999999998E-3</v>
      </c>
      <c r="AK333" s="315">
        <f>'DATA (Real)'!AK329</f>
        <v>2.7499999999999998E-3</v>
      </c>
      <c r="AL333" s="315">
        <f>'DATA (Real)'!AL329</f>
        <v>2.7499999999999998E-3</v>
      </c>
      <c r="AM333" s="315">
        <f>'DATA (Real)'!AM329</f>
        <v>2.7499999999999998E-3</v>
      </c>
      <c r="AN333" s="315">
        <f>'DATA (Real)'!AN329</f>
        <v>2.7499999999999998E-3</v>
      </c>
      <c r="AO333" s="315">
        <f>'DATA (Real)'!AO329</f>
        <v>2.7499999999999998E-3</v>
      </c>
      <c r="AP333" s="315">
        <f>'DATA (Real)'!AP329</f>
        <v>2.7499999999999998E-3</v>
      </c>
      <c r="AQ333" s="315">
        <f>'DATA (Real)'!AQ329</f>
        <v>2.7499999999999998E-3</v>
      </c>
      <c r="AR333" s="315">
        <f>'DATA (Real)'!AR329</f>
        <v>2.7499999999999998E-3</v>
      </c>
      <c r="AS333" s="315">
        <f>'DATA (Real)'!AS329</f>
        <v>2.7499999999999998E-3</v>
      </c>
      <c r="AT333" s="315">
        <f>'DATA (Real)'!AT329</f>
        <v>2.7499999999999998E-3</v>
      </c>
      <c r="AU333" s="315">
        <f>'DATA (Real)'!AU329</f>
        <v>2.7499999999999998E-3</v>
      </c>
      <c r="AV333" s="315">
        <f>'DATA (Real)'!AV329</f>
        <v>2.7499999999999998E-3</v>
      </c>
      <c r="AW333" s="315">
        <f>'DATA (Real)'!AW329</f>
        <v>2.7499999999999998E-3</v>
      </c>
      <c r="AX333" s="315">
        <f>'DATA (Real)'!AX329</f>
        <v>2.7499999999999998E-3</v>
      </c>
      <c r="AY333" s="315">
        <f>'DATA (Real)'!AY329</f>
        <v>2.7499999999999998E-3</v>
      </c>
      <c r="AZ333" s="315">
        <f>'DATA (Real)'!AZ329</f>
        <v>2.7499999999999998E-3</v>
      </c>
      <c r="BA333" s="315">
        <f>'DATA (Real)'!BA329</f>
        <v>2.7499999999999998E-3</v>
      </c>
      <c r="BB333" s="315">
        <f>'DATA (Real)'!BB329</f>
        <v>2.7499999999999998E-3</v>
      </c>
      <c r="BC333" s="315">
        <f>'DATA (Real)'!BC329</f>
        <v>2.7499999999999998E-3</v>
      </c>
      <c r="BD333" s="315">
        <f>'DATA (Real)'!BD329</f>
        <v>2.7499999999999998E-3</v>
      </c>
      <c r="BE333" s="315">
        <f>'DATA (Real)'!BE329</f>
        <v>2.7499999999999998E-3</v>
      </c>
      <c r="BF333" s="315">
        <f>'DATA (Real)'!BF329</f>
        <v>2.7499999999999998E-3</v>
      </c>
      <c r="BG333" s="315">
        <f>'DATA (Real)'!BG329</f>
        <v>2.7499999999999998E-3</v>
      </c>
      <c r="BH333" s="315">
        <f>'DATA (Real)'!BH329</f>
        <v>2.7499999999999998E-3</v>
      </c>
      <c r="BI333" s="315">
        <f>'DATA (Real)'!BI329</f>
        <v>2.7499999999999998E-3</v>
      </c>
      <c r="BJ333" s="315">
        <f>'DATA (Real)'!BJ329</f>
        <v>2.7499999999999998E-3</v>
      </c>
      <c r="BK333" s="315">
        <f>'DATA (Real)'!BK329</f>
        <v>2.7499999999999998E-3</v>
      </c>
      <c r="BL333" s="315">
        <f>'DATA (Real)'!BL329</f>
        <v>2.7499999999999998E-3</v>
      </c>
      <c r="BM333" s="315">
        <f>'DATA (Real)'!BM329</f>
        <v>2.7499999999999998E-3</v>
      </c>
      <c r="BN333" s="315">
        <f>'DATA (Real)'!BN329</f>
        <v>2.7499999999999998E-3</v>
      </c>
      <c r="BO333" s="315">
        <f>'DATA (Real)'!BO329</f>
        <v>2.7499999999999998E-3</v>
      </c>
      <c r="BP333" s="315">
        <f>'DATA (Real)'!BP329</f>
        <v>2.7499999999999998E-3</v>
      </c>
      <c r="BQ333" s="315">
        <f>'DATA (Real)'!BQ329</f>
        <v>2.7499999999999998E-3</v>
      </c>
      <c r="BR333" s="315">
        <f>'DATA (Real)'!BR329</f>
        <v>2.7499999999999998E-3</v>
      </c>
      <c r="BS333" s="315">
        <f>'DATA (Real)'!BS329</f>
        <v>2.7499999999999998E-3</v>
      </c>
      <c r="BT333" s="315">
        <f>'DATA (Real)'!BT329</f>
        <v>2.7499999999999998E-3</v>
      </c>
      <c r="BU333" s="315">
        <f>'DATA (Real)'!BU329</f>
        <v>2.7499999999999998E-3</v>
      </c>
      <c r="BV333" s="315">
        <f>'DATA (Real)'!BV329</f>
        <v>2.7499999999999998E-3</v>
      </c>
      <c r="BW333" s="315">
        <f>'DATA (Real)'!BW329</f>
        <v>2.7499999999999998E-3</v>
      </c>
      <c r="BX333" s="315">
        <f>'DATA (Real)'!BX329</f>
        <v>2.7499999999999998E-3</v>
      </c>
    </row>
    <row r="334" spans="2:76" hidden="1" outlineLevel="1">
      <c r="B334" s="352"/>
      <c r="C334" s="352" t="str">
        <f>'DATA (Real)'!C330</f>
        <v>Internal</v>
      </c>
      <c r="D334" s="352" t="str">
        <f>'DATA (Real)'!D330</f>
        <v>B&amp;O Tax Rate</v>
      </c>
      <c r="E334" s="352" t="str">
        <f>'DATA (Real)'!E330</f>
        <v>Solar Photovoltaic w/Single Axis Tracking (100 MW AC)</v>
      </c>
      <c r="F334" s="315">
        <f>'DATA (Real)'!F330</f>
        <v>2.7499999999999998E-3</v>
      </c>
      <c r="G334" s="315">
        <f>'DATA (Real)'!G330</f>
        <v>2.7499999999999998E-3</v>
      </c>
      <c r="H334" s="315">
        <f>'DATA (Real)'!H330</f>
        <v>2.7499999999999998E-3</v>
      </c>
      <c r="I334" s="315">
        <f>'DATA (Real)'!I330</f>
        <v>2.7499999999999998E-3</v>
      </c>
      <c r="J334" s="315">
        <f>'DATA (Real)'!J330</f>
        <v>2.7499999999999998E-3</v>
      </c>
      <c r="K334" s="315">
        <f>'DATA (Real)'!K330</f>
        <v>2.7499999999999998E-3</v>
      </c>
      <c r="L334" s="315">
        <f>'DATA (Real)'!L330</f>
        <v>2.7499999999999998E-3</v>
      </c>
      <c r="M334" s="315">
        <f>'DATA (Real)'!M330</f>
        <v>2.7499999999999998E-3</v>
      </c>
      <c r="N334" s="315">
        <f>'DATA (Real)'!N330</f>
        <v>2.7499999999999998E-3</v>
      </c>
      <c r="O334" s="315">
        <f>'DATA (Real)'!O330</f>
        <v>2.7499999999999998E-3</v>
      </c>
      <c r="P334" s="315">
        <f>'DATA (Real)'!P330</f>
        <v>2.7499999999999998E-3</v>
      </c>
      <c r="Q334" s="315">
        <f>'DATA (Real)'!Q330</f>
        <v>2.7499999999999998E-3</v>
      </c>
      <c r="R334" s="315">
        <f>'DATA (Real)'!R330</f>
        <v>2.7499999999999998E-3</v>
      </c>
      <c r="S334" s="315">
        <f>'DATA (Real)'!S330</f>
        <v>2.7499999999999998E-3</v>
      </c>
      <c r="T334" s="315">
        <f>'DATA (Real)'!T330</f>
        <v>2.7499999999999998E-3</v>
      </c>
      <c r="U334" s="315">
        <f>'DATA (Real)'!U330</f>
        <v>2.7499999999999998E-3</v>
      </c>
      <c r="V334" s="315">
        <f>'DATA (Real)'!V330</f>
        <v>2.7499999999999998E-3</v>
      </c>
      <c r="W334" s="315">
        <f>'DATA (Real)'!W330</f>
        <v>2.7499999999999998E-3</v>
      </c>
      <c r="X334" s="315">
        <f>'DATA (Real)'!X330</f>
        <v>2.7499999999999998E-3</v>
      </c>
      <c r="Y334" s="315">
        <f>'DATA (Real)'!Y330</f>
        <v>2.7499999999999998E-3</v>
      </c>
      <c r="Z334" s="315">
        <f>'DATA (Real)'!Z330</f>
        <v>2.7499999999999998E-3</v>
      </c>
      <c r="AA334" s="315">
        <f>'DATA (Real)'!AA330</f>
        <v>2.7499999999999998E-3</v>
      </c>
      <c r="AB334" s="315">
        <f>'DATA (Real)'!AB330</f>
        <v>2.7499999999999998E-3</v>
      </c>
      <c r="AC334" s="315">
        <f>'DATA (Real)'!AC330</f>
        <v>2.7499999999999998E-3</v>
      </c>
      <c r="AD334" s="315">
        <f>'DATA (Real)'!AD330</f>
        <v>2.7499999999999998E-3</v>
      </c>
      <c r="AE334" s="315">
        <f>'DATA (Real)'!AE330</f>
        <v>2.7499999999999998E-3</v>
      </c>
      <c r="AF334" s="315">
        <f>'DATA (Real)'!AF330</f>
        <v>2.7499999999999998E-3</v>
      </c>
      <c r="AG334" s="315">
        <f>'DATA (Real)'!AG330</f>
        <v>2.7499999999999998E-3</v>
      </c>
      <c r="AH334" s="315">
        <f>'DATA (Real)'!AH330</f>
        <v>2.7499999999999998E-3</v>
      </c>
      <c r="AI334" s="315">
        <f>'DATA (Real)'!AI330</f>
        <v>2.7499999999999998E-3</v>
      </c>
      <c r="AJ334" s="315">
        <f>'DATA (Real)'!AJ330</f>
        <v>2.7499999999999998E-3</v>
      </c>
      <c r="AK334" s="315">
        <f>'DATA (Real)'!AK330</f>
        <v>2.7499999999999998E-3</v>
      </c>
      <c r="AL334" s="315">
        <f>'DATA (Real)'!AL330</f>
        <v>2.7499999999999998E-3</v>
      </c>
      <c r="AM334" s="315">
        <f>'DATA (Real)'!AM330</f>
        <v>2.7499999999999998E-3</v>
      </c>
      <c r="AN334" s="315">
        <f>'DATA (Real)'!AN330</f>
        <v>2.7499999999999998E-3</v>
      </c>
      <c r="AO334" s="315">
        <f>'DATA (Real)'!AO330</f>
        <v>2.7499999999999998E-3</v>
      </c>
      <c r="AP334" s="315">
        <f>'DATA (Real)'!AP330</f>
        <v>2.7499999999999998E-3</v>
      </c>
      <c r="AQ334" s="315">
        <f>'DATA (Real)'!AQ330</f>
        <v>2.7499999999999998E-3</v>
      </c>
      <c r="AR334" s="315">
        <f>'DATA (Real)'!AR330</f>
        <v>2.7499999999999998E-3</v>
      </c>
      <c r="AS334" s="315">
        <f>'DATA (Real)'!AS330</f>
        <v>2.7499999999999998E-3</v>
      </c>
      <c r="AT334" s="315">
        <f>'DATA (Real)'!AT330</f>
        <v>2.7499999999999998E-3</v>
      </c>
      <c r="AU334" s="315">
        <f>'DATA (Real)'!AU330</f>
        <v>2.7499999999999998E-3</v>
      </c>
      <c r="AV334" s="315">
        <f>'DATA (Real)'!AV330</f>
        <v>2.7499999999999998E-3</v>
      </c>
      <c r="AW334" s="315">
        <f>'DATA (Real)'!AW330</f>
        <v>2.7499999999999998E-3</v>
      </c>
      <c r="AX334" s="315">
        <f>'DATA (Real)'!AX330</f>
        <v>2.7499999999999998E-3</v>
      </c>
      <c r="AY334" s="315">
        <f>'DATA (Real)'!AY330</f>
        <v>2.7499999999999998E-3</v>
      </c>
      <c r="AZ334" s="315">
        <f>'DATA (Real)'!AZ330</f>
        <v>2.7499999999999998E-3</v>
      </c>
      <c r="BA334" s="315">
        <f>'DATA (Real)'!BA330</f>
        <v>2.7499999999999998E-3</v>
      </c>
      <c r="BB334" s="315">
        <f>'DATA (Real)'!BB330</f>
        <v>2.7499999999999998E-3</v>
      </c>
      <c r="BC334" s="315">
        <f>'DATA (Real)'!BC330</f>
        <v>2.7499999999999998E-3</v>
      </c>
      <c r="BD334" s="315">
        <f>'DATA (Real)'!BD330</f>
        <v>2.7499999999999998E-3</v>
      </c>
      <c r="BE334" s="315">
        <f>'DATA (Real)'!BE330</f>
        <v>2.7499999999999998E-3</v>
      </c>
      <c r="BF334" s="315">
        <f>'DATA (Real)'!BF330</f>
        <v>2.7499999999999998E-3</v>
      </c>
      <c r="BG334" s="315">
        <f>'DATA (Real)'!BG330</f>
        <v>2.7499999999999998E-3</v>
      </c>
      <c r="BH334" s="315">
        <f>'DATA (Real)'!BH330</f>
        <v>2.7499999999999998E-3</v>
      </c>
      <c r="BI334" s="315">
        <f>'DATA (Real)'!BI330</f>
        <v>2.7499999999999998E-3</v>
      </c>
      <c r="BJ334" s="315">
        <f>'DATA (Real)'!BJ330</f>
        <v>2.7499999999999998E-3</v>
      </c>
      <c r="BK334" s="315">
        <f>'DATA (Real)'!BK330</f>
        <v>2.7499999999999998E-3</v>
      </c>
      <c r="BL334" s="315">
        <f>'DATA (Real)'!BL330</f>
        <v>2.7499999999999998E-3</v>
      </c>
      <c r="BM334" s="315">
        <f>'DATA (Real)'!BM330</f>
        <v>2.7499999999999998E-3</v>
      </c>
      <c r="BN334" s="315">
        <f>'DATA (Real)'!BN330</f>
        <v>2.7499999999999998E-3</v>
      </c>
      <c r="BO334" s="315">
        <f>'DATA (Real)'!BO330</f>
        <v>2.7499999999999998E-3</v>
      </c>
      <c r="BP334" s="315">
        <f>'DATA (Real)'!BP330</f>
        <v>2.7499999999999998E-3</v>
      </c>
      <c r="BQ334" s="315">
        <f>'DATA (Real)'!BQ330</f>
        <v>2.7499999999999998E-3</v>
      </c>
      <c r="BR334" s="315">
        <f>'DATA (Real)'!BR330</f>
        <v>2.7499999999999998E-3</v>
      </c>
      <c r="BS334" s="315">
        <f>'DATA (Real)'!BS330</f>
        <v>2.7499999999999998E-3</v>
      </c>
      <c r="BT334" s="315">
        <f>'DATA (Real)'!BT330</f>
        <v>2.7499999999999998E-3</v>
      </c>
      <c r="BU334" s="315">
        <f>'DATA (Real)'!BU330</f>
        <v>2.7499999999999998E-3</v>
      </c>
      <c r="BV334" s="315">
        <f>'DATA (Real)'!BV330</f>
        <v>2.7499999999999998E-3</v>
      </c>
      <c r="BW334" s="315">
        <f>'DATA (Real)'!BW330</f>
        <v>2.7499999999999998E-3</v>
      </c>
      <c r="BX334" s="315">
        <f>'DATA (Real)'!BX330</f>
        <v>2.7499999999999998E-3</v>
      </c>
    </row>
    <row r="335" spans="2:76" hidden="1" outlineLevel="1">
      <c r="B335" s="352"/>
      <c r="C335" s="352" t="str">
        <f>'DATA (Real)'!C331</f>
        <v>Internal</v>
      </c>
      <c r="D335" s="352" t="str">
        <f>'DATA (Real)'!D331</f>
        <v>B&amp;O Tax Rate</v>
      </c>
      <c r="E335" s="352" t="str">
        <f>'DATA (Real)'!E331</f>
        <v>Southern NW Solar Photovoltaic w/ Single Axis Tracking (100 MW AC)</v>
      </c>
      <c r="F335" s="315">
        <f>'DATA (Real)'!F331</f>
        <v>0</v>
      </c>
      <c r="G335" s="315">
        <f>'DATA (Real)'!G331</f>
        <v>0</v>
      </c>
      <c r="H335" s="315">
        <f>'DATA (Real)'!H331</f>
        <v>0</v>
      </c>
      <c r="I335" s="315">
        <f>'DATA (Real)'!I331</f>
        <v>0</v>
      </c>
      <c r="J335" s="315">
        <f>'DATA (Real)'!J331</f>
        <v>0</v>
      </c>
      <c r="K335" s="315">
        <f>'DATA (Real)'!K331</f>
        <v>0</v>
      </c>
      <c r="L335" s="315">
        <f>'DATA (Real)'!L331</f>
        <v>0</v>
      </c>
      <c r="M335" s="315">
        <f>'DATA (Real)'!M331</f>
        <v>0</v>
      </c>
      <c r="N335" s="315">
        <f>'DATA (Real)'!N331</f>
        <v>0</v>
      </c>
      <c r="O335" s="315">
        <f>'DATA (Real)'!O331</f>
        <v>0</v>
      </c>
      <c r="P335" s="315">
        <f>'DATA (Real)'!P331</f>
        <v>0</v>
      </c>
      <c r="Q335" s="315">
        <f>'DATA (Real)'!Q331</f>
        <v>0</v>
      </c>
      <c r="R335" s="315">
        <f>'DATA (Real)'!R331</f>
        <v>0</v>
      </c>
      <c r="S335" s="315">
        <f>'DATA (Real)'!S331</f>
        <v>0</v>
      </c>
      <c r="T335" s="315">
        <f>'DATA (Real)'!T331</f>
        <v>0</v>
      </c>
      <c r="U335" s="315">
        <f>'DATA (Real)'!U331</f>
        <v>0</v>
      </c>
      <c r="V335" s="315">
        <f>'DATA (Real)'!V331</f>
        <v>0</v>
      </c>
      <c r="W335" s="315">
        <f>'DATA (Real)'!W331</f>
        <v>0</v>
      </c>
      <c r="X335" s="315">
        <f>'DATA (Real)'!X331</f>
        <v>0</v>
      </c>
      <c r="Y335" s="315">
        <f>'DATA (Real)'!Y331</f>
        <v>0</v>
      </c>
      <c r="Z335" s="315">
        <f>'DATA (Real)'!Z331</f>
        <v>0</v>
      </c>
      <c r="AA335" s="315">
        <f>'DATA (Real)'!AA331</f>
        <v>0</v>
      </c>
      <c r="AB335" s="315">
        <f>'DATA (Real)'!AB331</f>
        <v>0</v>
      </c>
      <c r="AC335" s="315">
        <f>'DATA (Real)'!AC331</f>
        <v>0</v>
      </c>
      <c r="AD335" s="315">
        <f>'DATA (Real)'!AD331</f>
        <v>0</v>
      </c>
      <c r="AE335" s="315">
        <f>'DATA (Real)'!AE331</f>
        <v>0</v>
      </c>
      <c r="AF335" s="315">
        <f>'DATA (Real)'!AF331</f>
        <v>0</v>
      </c>
      <c r="AG335" s="315">
        <f>'DATA (Real)'!AG331</f>
        <v>0</v>
      </c>
      <c r="AH335" s="315">
        <f>'DATA (Real)'!AH331</f>
        <v>0</v>
      </c>
      <c r="AI335" s="315">
        <f>'DATA (Real)'!AI331</f>
        <v>0</v>
      </c>
      <c r="AJ335" s="315">
        <f>'DATA (Real)'!AJ331</f>
        <v>0</v>
      </c>
      <c r="AK335" s="315">
        <f>'DATA (Real)'!AK331</f>
        <v>0</v>
      </c>
      <c r="AL335" s="315">
        <f>'DATA (Real)'!AL331</f>
        <v>0</v>
      </c>
      <c r="AM335" s="315">
        <f>'DATA (Real)'!AM331</f>
        <v>0</v>
      </c>
      <c r="AN335" s="315">
        <f>'DATA (Real)'!AN331</f>
        <v>0</v>
      </c>
      <c r="AO335" s="315">
        <f>'DATA (Real)'!AO331</f>
        <v>0</v>
      </c>
      <c r="AP335" s="315">
        <f>'DATA (Real)'!AP331</f>
        <v>0</v>
      </c>
      <c r="AQ335" s="315">
        <f>'DATA (Real)'!AQ331</f>
        <v>0</v>
      </c>
      <c r="AR335" s="315">
        <f>'DATA (Real)'!AR331</f>
        <v>0</v>
      </c>
      <c r="AS335" s="315">
        <f>'DATA (Real)'!AS331</f>
        <v>0</v>
      </c>
      <c r="AT335" s="315">
        <f>'DATA (Real)'!AT331</f>
        <v>0</v>
      </c>
      <c r="AU335" s="315">
        <f>'DATA (Real)'!AU331</f>
        <v>0</v>
      </c>
      <c r="AV335" s="315">
        <f>'DATA (Real)'!AV331</f>
        <v>0</v>
      </c>
      <c r="AW335" s="315">
        <f>'DATA (Real)'!AW331</f>
        <v>0</v>
      </c>
      <c r="AX335" s="315">
        <f>'DATA (Real)'!AX331</f>
        <v>0</v>
      </c>
      <c r="AY335" s="315">
        <f>'DATA (Real)'!AY331</f>
        <v>0</v>
      </c>
      <c r="AZ335" s="315">
        <f>'DATA (Real)'!AZ331</f>
        <v>0</v>
      </c>
      <c r="BA335" s="315">
        <f>'DATA (Real)'!BA331</f>
        <v>0</v>
      </c>
      <c r="BB335" s="315">
        <f>'DATA (Real)'!BB331</f>
        <v>0</v>
      </c>
      <c r="BC335" s="315">
        <f>'DATA (Real)'!BC331</f>
        <v>0</v>
      </c>
      <c r="BD335" s="315">
        <f>'DATA (Real)'!BD331</f>
        <v>0</v>
      </c>
      <c r="BE335" s="315">
        <f>'DATA (Real)'!BE331</f>
        <v>0</v>
      </c>
      <c r="BF335" s="315">
        <f>'DATA (Real)'!BF331</f>
        <v>0</v>
      </c>
      <c r="BG335" s="315">
        <f>'DATA (Real)'!BG331</f>
        <v>0</v>
      </c>
      <c r="BH335" s="315">
        <f>'DATA (Real)'!BH331</f>
        <v>0</v>
      </c>
      <c r="BI335" s="315">
        <f>'DATA (Real)'!BI331</f>
        <v>0</v>
      </c>
      <c r="BJ335" s="315">
        <f>'DATA (Real)'!BJ331</f>
        <v>0</v>
      </c>
      <c r="BK335" s="315">
        <f>'DATA (Real)'!BK331</f>
        <v>0</v>
      </c>
      <c r="BL335" s="315">
        <f>'DATA (Real)'!BL331</f>
        <v>0</v>
      </c>
      <c r="BM335" s="315">
        <f>'DATA (Real)'!BM331</f>
        <v>0</v>
      </c>
      <c r="BN335" s="315">
        <f>'DATA (Real)'!BN331</f>
        <v>0</v>
      </c>
      <c r="BO335" s="315">
        <f>'DATA (Real)'!BO331</f>
        <v>0</v>
      </c>
      <c r="BP335" s="315">
        <f>'DATA (Real)'!BP331</f>
        <v>0</v>
      </c>
      <c r="BQ335" s="315">
        <f>'DATA (Real)'!BQ331</f>
        <v>0</v>
      </c>
      <c r="BR335" s="315">
        <f>'DATA (Real)'!BR331</f>
        <v>0</v>
      </c>
      <c r="BS335" s="315">
        <f>'DATA (Real)'!BS331</f>
        <v>0</v>
      </c>
      <c r="BT335" s="315">
        <f>'DATA (Real)'!BT331</f>
        <v>0</v>
      </c>
      <c r="BU335" s="315">
        <f>'DATA (Real)'!BU331</f>
        <v>0</v>
      </c>
      <c r="BV335" s="315">
        <f>'DATA (Real)'!BV331</f>
        <v>0</v>
      </c>
      <c r="BW335" s="315">
        <f>'DATA (Real)'!BW331</f>
        <v>0</v>
      </c>
      <c r="BX335" s="315">
        <f>'DATA (Real)'!BX331</f>
        <v>0</v>
      </c>
    </row>
    <row r="336" spans="2:76" hidden="1" outlineLevel="1">
      <c r="B336" s="352"/>
      <c r="C336" s="352" t="str">
        <f>'DATA (Real)'!C332</f>
        <v>Internal</v>
      </c>
      <c r="D336" s="352" t="str">
        <f>'DATA (Real)'!D332</f>
        <v>B&amp;O Tax Rate</v>
      </c>
      <c r="E336" s="352" t="str">
        <f>'DATA (Real)'!E332</f>
        <v>100 MW/400 MWh Lithium-ion w/Solar (Solar Only)</v>
      </c>
      <c r="F336" s="315">
        <f>'DATA (Real)'!F332</f>
        <v>2.7499999999999998E-3</v>
      </c>
      <c r="G336" s="315">
        <f>'DATA (Real)'!G332</f>
        <v>2.7499999999999998E-3</v>
      </c>
      <c r="H336" s="315">
        <f>'DATA (Real)'!H332</f>
        <v>2.7499999999999998E-3</v>
      </c>
      <c r="I336" s="315">
        <f>'DATA (Real)'!I332</f>
        <v>2.7499999999999998E-3</v>
      </c>
      <c r="J336" s="315">
        <f>'DATA (Real)'!J332</f>
        <v>2.7499999999999998E-3</v>
      </c>
      <c r="K336" s="315">
        <f>'DATA (Real)'!K332</f>
        <v>2.7499999999999998E-3</v>
      </c>
      <c r="L336" s="315">
        <f>'DATA (Real)'!L332</f>
        <v>2.7499999999999998E-3</v>
      </c>
      <c r="M336" s="315">
        <f>'DATA (Real)'!M332</f>
        <v>2.7499999999999998E-3</v>
      </c>
      <c r="N336" s="315">
        <f>'DATA (Real)'!N332</f>
        <v>2.7499999999999998E-3</v>
      </c>
      <c r="O336" s="315">
        <f>'DATA (Real)'!O332</f>
        <v>2.7499999999999998E-3</v>
      </c>
      <c r="P336" s="315">
        <f>'DATA (Real)'!P332</f>
        <v>2.7499999999999998E-3</v>
      </c>
      <c r="Q336" s="315">
        <f>'DATA (Real)'!Q332</f>
        <v>2.7499999999999998E-3</v>
      </c>
      <c r="R336" s="315">
        <f>'DATA (Real)'!R332</f>
        <v>2.7499999999999998E-3</v>
      </c>
      <c r="S336" s="315">
        <f>'DATA (Real)'!S332</f>
        <v>2.7499999999999998E-3</v>
      </c>
      <c r="T336" s="315">
        <f>'DATA (Real)'!T332</f>
        <v>2.7499999999999998E-3</v>
      </c>
      <c r="U336" s="315">
        <f>'DATA (Real)'!U332</f>
        <v>2.7499999999999998E-3</v>
      </c>
      <c r="V336" s="315">
        <f>'DATA (Real)'!V332</f>
        <v>2.7499999999999998E-3</v>
      </c>
      <c r="W336" s="315">
        <f>'DATA (Real)'!W332</f>
        <v>2.7499999999999998E-3</v>
      </c>
      <c r="X336" s="315">
        <f>'DATA (Real)'!X332</f>
        <v>2.7499999999999998E-3</v>
      </c>
      <c r="Y336" s="315">
        <f>'DATA (Real)'!Y332</f>
        <v>2.7499999999999998E-3</v>
      </c>
      <c r="Z336" s="315">
        <f>'DATA (Real)'!Z332</f>
        <v>2.7499999999999998E-3</v>
      </c>
      <c r="AA336" s="315">
        <f>'DATA (Real)'!AA332</f>
        <v>2.7499999999999998E-3</v>
      </c>
      <c r="AB336" s="315">
        <f>'DATA (Real)'!AB332</f>
        <v>2.7499999999999998E-3</v>
      </c>
      <c r="AC336" s="315">
        <f>'DATA (Real)'!AC332</f>
        <v>2.7499999999999998E-3</v>
      </c>
      <c r="AD336" s="315">
        <f>'DATA (Real)'!AD332</f>
        <v>2.7499999999999998E-3</v>
      </c>
      <c r="AE336" s="315">
        <f>'DATA (Real)'!AE332</f>
        <v>2.7499999999999998E-3</v>
      </c>
      <c r="AF336" s="315">
        <f>'DATA (Real)'!AF332</f>
        <v>2.7499999999999998E-3</v>
      </c>
      <c r="AG336" s="315">
        <f>'DATA (Real)'!AG332</f>
        <v>2.7499999999999998E-3</v>
      </c>
      <c r="AH336" s="315">
        <f>'DATA (Real)'!AH332</f>
        <v>2.7499999999999998E-3</v>
      </c>
      <c r="AI336" s="315">
        <f>'DATA (Real)'!AI332</f>
        <v>2.7499999999999998E-3</v>
      </c>
      <c r="AJ336" s="315">
        <f>'DATA (Real)'!AJ332</f>
        <v>2.7499999999999998E-3</v>
      </c>
      <c r="AK336" s="315">
        <f>'DATA (Real)'!AK332</f>
        <v>2.7499999999999998E-3</v>
      </c>
      <c r="AL336" s="315">
        <f>'DATA (Real)'!AL332</f>
        <v>2.7499999999999998E-3</v>
      </c>
      <c r="AM336" s="315">
        <f>'DATA (Real)'!AM332</f>
        <v>2.7499999999999998E-3</v>
      </c>
      <c r="AN336" s="315">
        <f>'DATA (Real)'!AN332</f>
        <v>2.7499999999999998E-3</v>
      </c>
      <c r="AO336" s="315">
        <f>'DATA (Real)'!AO332</f>
        <v>2.7499999999999998E-3</v>
      </c>
      <c r="AP336" s="315">
        <f>'DATA (Real)'!AP332</f>
        <v>2.7499999999999998E-3</v>
      </c>
      <c r="AQ336" s="315">
        <f>'DATA (Real)'!AQ332</f>
        <v>2.7499999999999998E-3</v>
      </c>
      <c r="AR336" s="315">
        <f>'DATA (Real)'!AR332</f>
        <v>2.7499999999999998E-3</v>
      </c>
      <c r="AS336" s="315">
        <f>'DATA (Real)'!AS332</f>
        <v>2.7499999999999998E-3</v>
      </c>
      <c r="AT336" s="315">
        <f>'DATA (Real)'!AT332</f>
        <v>2.7499999999999998E-3</v>
      </c>
      <c r="AU336" s="315">
        <f>'DATA (Real)'!AU332</f>
        <v>2.7499999999999998E-3</v>
      </c>
      <c r="AV336" s="315">
        <f>'DATA (Real)'!AV332</f>
        <v>2.7499999999999998E-3</v>
      </c>
      <c r="AW336" s="315">
        <f>'DATA (Real)'!AW332</f>
        <v>2.7499999999999998E-3</v>
      </c>
      <c r="AX336" s="315">
        <f>'DATA (Real)'!AX332</f>
        <v>2.7499999999999998E-3</v>
      </c>
      <c r="AY336" s="315">
        <f>'DATA (Real)'!AY332</f>
        <v>2.7499999999999998E-3</v>
      </c>
      <c r="AZ336" s="315">
        <f>'DATA (Real)'!AZ332</f>
        <v>2.7499999999999998E-3</v>
      </c>
      <c r="BA336" s="315">
        <f>'DATA (Real)'!BA332</f>
        <v>2.7499999999999998E-3</v>
      </c>
      <c r="BB336" s="315">
        <f>'DATA (Real)'!BB332</f>
        <v>2.7499999999999998E-3</v>
      </c>
      <c r="BC336" s="315">
        <f>'DATA (Real)'!BC332</f>
        <v>2.7499999999999998E-3</v>
      </c>
      <c r="BD336" s="315">
        <f>'DATA (Real)'!BD332</f>
        <v>2.7499999999999998E-3</v>
      </c>
      <c r="BE336" s="315">
        <f>'DATA (Real)'!BE332</f>
        <v>2.7499999999999998E-3</v>
      </c>
      <c r="BF336" s="315">
        <f>'DATA (Real)'!BF332</f>
        <v>2.7499999999999998E-3</v>
      </c>
      <c r="BG336" s="315">
        <f>'DATA (Real)'!BG332</f>
        <v>2.7499999999999998E-3</v>
      </c>
      <c r="BH336" s="315">
        <f>'DATA (Real)'!BH332</f>
        <v>2.7499999999999998E-3</v>
      </c>
      <c r="BI336" s="315">
        <f>'DATA (Real)'!BI332</f>
        <v>2.7499999999999998E-3</v>
      </c>
      <c r="BJ336" s="315">
        <f>'DATA (Real)'!BJ332</f>
        <v>2.7499999999999998E-3</v>
      </c>
      <c r="BK336" s="315">
        <f>'DATA (Real)'!BK332</f>
        <v>2.7499999999999998E-3</v>
      </c>
      <c r="BL336" s="315">
        <f>'DATA (Real)'!BL332</f>
        <v>2.7499999999999998E-3</v>
      </c>
      <c r="BM336" s="315">
        <f>'DATA (Real)'!BM332</f>
        <v>2.7499999999999998E-3</v>
      </c>
      <c r="BN336" s="315">
        <f>'DATA (Real)'!BN332</f>
        <v>2.7499999999999998E-3</v>
      </c>
      <c r="BO336" s="315">
        <f>'DATA (Real)'!BO332</f>
        <v>2.7499999999999998E-3</v>
      </c>
      <c r="BP336" s="315">
        <f>'DATA (Real)'!BP332</f>
        <v>2.7499999999999998E-3</v>
      </c>
      <c r="BQ336" s="315">
        <f>'DATA (Real)'!BQ332</f>
        <v>2.7499999999999998E-3</v>
      </c>
      <c r="BR336" s="315">
        <f>'DATA (Real)'!BR332</f>
        <v>2.7499999999999998E-3</v>
      </c>
      <c r="BS336" s="315">
        <f>'DATA (Real)'!BS332</f>
        <v>2.7499999999999998E-3</v>
      </c>
      <c r="BT336" s="315">
        <f>'DATA (Real)'!BT332</f>
        <v>2.7499999999999998E-3</v>
      </c>
      <c r="BU336" s="315">
        <f>'DATA (Real)'!BU332</f>
        <v>2.7499999999999998E-3</v>
      </c>
      <c r="BV336" s="315">
        <f>'DATA (Real)'!BV332</f>
        <v>2.7499999999999998E-3</v>
      </c>
      <c r="BW336" s="315">
        <f>'DATA (Real)'!BW332</f>
        <v>2.7499999999999998E-3</v>
      </c>
      <c r="BX336" s="315">
        <f>'DATA (Real)'!BX332</f>
        <v>2.7499999999999998E-3</v>
      </c>
    </row>
    <row r="337" spans="2:76" hidden="1" outlineLevel="1">
      <c r="B337" s="352"/>
      <c r="C337" s="352" t="str">
        <f>'DATA (Real)'!C333</f>
        <v>Internal</v>
      </c>
      <c r="D337" s="352" t="str">
        <f>'DATA (Real)'!D333</f>
        <v>B&amp;O Tax Rate</v>
      </c>
      <c r="E337" s="352" t="str">
        <f>'DATA (Real)'!E333</f>
        <v>100 MW/200 MWh Lithium-ion w/Solar (Solar Only)</v>
      </c>
      <c r="F337" s="315">
        <f>'DATA (Real)'!F333</f>
        <v>2.7499999999999998E-3</v>
      </c>
      <c r="G337" s="315">
        <f>'DATA (Real)'!G333</f>
        <v>2.7499999999999998E-3</v>
      </c>
      <c r="H337" s="315">
        <f>'DATA (Real)'!H333</f>
        <v>2.7499999999999998E-3</v>
      </c>
      <c r="I337" s="315">
        <f>'DATA (Real)'!I333</f>
        <v>2.7499999999999998E-3</v>
      </c>
      <c r="J337" s="315">
        <f>'DATA (Real)'!J333</f>
        <v>2.7499999999999998E-3</v>
      </c>
      <c r="K337" s="315">
        <f>'DATA (Real)'!K333</f>
        <v>2.7499999999999998E-3</v>
      </c>
      <c r="L337" s="315">
        <f>'DATA (Real)'!L333</f>
        <v>2.7499999999999998E-3</v>
      </c>
      <c r="M337" s="315">
        <f>'DATA (Real)'!M333</f>
        <v>2.7499999999999998E-3</v>
      </c>
      <c r="N337" s="315">
        <f>'DATA (Real)'!N333</f>
        <v>2.7499999999999998E-3</v>
      </c>
      <c r="O337" s="315">
        <f>'DATA (Real)'!O333</f>
        <v>2.7499999999999998E-3</v>
      </c>
      <c r="P337" s="315">
        <f>'DATA (Real)'!P333</f>
        <v>2.7499999999999998E-3</v>
      </c>
      <c r="Q337" s="315">
        <f>'DATA (Real)'!Q333</f>
        <v>2.7499999999999998E-3</v>
      </c>
      <c r="R337" s="315">
        <f>'DATA (Real)'!R333</f>
        <v>2.7499999999999998E-3</v>
      </c>
      <c r="S337" s="315">
        <f>'DATA (Real)'!S333</f>
        <v>2.7499999999999998E-3</v>
      </c>
      <c r="T337" s="315">
        <f>'DATA (Real)'!T333</f>
        <v>2.7499999999999998E-3</v>
      </c>
      <c r="U337" s="315">
        <f>'DATA (Real)'!U333</f>
        <v>2.7499999999999998E-3</v>
      </c>
      <c r="V337" s="315">
        <f>'DATA (Real)'!V333</f>
        <v>2.7499999999999998E-3</v>
      </c>
      <c r="W337" s="315">
        <f>'DATA (Real)'!W333</f>
        <v>2.7499999999999998E-3</v>
      </c>
      <c r="X337" s="315">
        <f>'DATA (Real)'!X333</f>
        <v>2.7499999999999998E-3</v>
      </c>
      <c r="Y337" s="315">
        <f>'DATA (Real)'!Y333</f>
        <v>2.7499999999999998E-3</v>
      </c>
      <c r="Z337" s="315">
        <f>'DATA (Real)'!Z333</f>
        <v>2.7499999999999998E-3</v>
      </c>
      <c r="AA337" s="315">
        <f>'DATA (Real)'!AA333</f>
        <v>2.7499999999999998E-3</v>
      </c>
      <c r="AB337" s="315">
        <f>'DATA (Real)'!AB333</f>
        <v>2.7499999999999998E-3</v>
      </c>
      <c r="AC337" s="315">
        <f>'DATA (Real)'!AC333</f>
        <v>2.7499999999999998E-3</v>
      </c>
      <c r="AD337" s="315">
        <f>'DATA (Real)'!AD333</f>
        <v>2.7499999999999998E-3</v>
      </c>
      <c r="AE337" s="315">
        <f>'DATA (Real)'!AE333</f>
        <v>2.7499999999999998E-3</v>
      </c>
      <c r="AF337" s="315">
        <f>'DATA (Real)'!AF333</f>
        <v>2.7499999999999998E-3</v>
      </c>
      <c r="AG337" s="315">
        <f>'DATA (Real)'!AG333</f>
        <v>2.7499999999999998E-3</v>
      </c>
      <c r="AH337" s="315">
        <f>'DATA (Real)'!AH333</f>
        <v>2.7499999999999998E-3</v>
      </c>
      <c r="AI337" s="315">
        <f>'DATA (Real)'!AI333</f>
        <v>2.7499999999999998E-3</v>
      </c>
      <c r="AJ337" s="315">
        <f>'DATA (Real)'!AJ333</f>
        <v>2.7499999999999998E-3</v>
      </c>
      <c r="AK337" s="315">
        <f>'DATA (Real)'!AK333</f>
        <v>2.7499999999999998E-3</v>
      </c>
      <c r="AL337" s="315">
        <f>'DATA (Real)'!AL333</f>
        <v>2.7499999999999998E-3</v>
      </c>
      <c r="AM337" s="315">
        <f>'DATA (Real)'!AM333</f>
        <v>2.7499999999999998E-3</v>
      </c>
      <c r="AN337" s="315">
        <f>'DATA (Real)'!AN333</f>
        <v>2.7499999999999998E-3</v>
      </c>
      <c r="AO337" s="315">
        <f>'DATA (Real)'!AO333</f>
        <v>2.7499999999999998E-3</v>
      </c>
      <c r="AP337" s="315">
        <f>'DATA (Real)'!AP333</f>
        <v>2.7499999999999998E-3</v>
      </c>
      <c r="AQ337" s="315">
        <f>'DATA (Real)'!AQ333</f>
        <v>2.7499999999999998E-3</v>
      </c>
      <c r="AR337" s="315">
        <f>'DATA (Real)'!AR333</f>
        <v>2.7499999999999998E-3</v>
      </c>
      <c r="AS337" s="315">
        <f>'DATA (Real)'!AS333</f>
        <v>2.7499999999999998E-3</v>
      </c>
      <c r="AT337" s="315">
        <f>'DATA (Real)'!AT333</f>
        <v>2.7499999999999998E-3</v>
      </c>
      <c r="AU337" s="315">
        <f>'DATA (Real)'!AU333</f>
        <v>2.7499999999999998E-3</v>
      </c>
      <c r="AV337" s="315">
        <f>'DATA (Real)'!AV333</f>
        <v>2.7499999999999998E-3</v>
      </c>
      <c r="AW337" s="315">
        <f>'DATA (Real)'!AW333</f>
        <v>2.7499999999999998E-3</v>
      </c>
      <c r="AX337" s="315">
        <f>'DATA (Real)'!AX333</f>
        <v>2.7499999999999998E-3</v>
      </c>
      <c r="AY337" s="315">
        <f>'DATA (Real)'!AY333</f>
        <v>2.7499999999999998E-3</v>
      </c>
      <c r="AZ337" s="315">
        <f>'DATA (Real)'!AZ333</f>
        <v>2.7499999999999998E-3</v>
      </c>
      <c r="BA337" s="315">
        <f>'DATA (Real)'!BA333</f>
        <v>2.7499999999999998E-3</v>
      </c>
      <c r="BB337" s="315">
        <f>'DATA (Real)'!BB333</f>
        <v>2.7499999999999998E-3</v>
      </c>
      <c r="BC337" s="315">
        <f>'DATA (Real)'!BC333</f>
        <v>2.7499999999999998E-3</v>
      </c>
      <c r="BD337" s="315">
        <f>'DATA (Real)'!BD333</f>
        <v>2.7499999999999998E-3</v>
      </c>
      <c r="BE337" s="315">
        <f>'DATA (Real)'!BE333</f>
        <v>2.7499999999999998E-3</v>
      </c>
      <c r="BF337" s="315">
        <f>'DATA (Real)'!BF333</f>
        <v>2.7499999999999998E-3</v>
      </c>
      <c r="BG337" s="315">
        <f>'DATA (Real)'!BG333</f>
        <v>2.7499999999999998E-3</v>
      </c>
      <c r="BH337" s="315">
        <f>'DATA (Real)'!BH333</f>
        <v>2.7499999999999998E-3</v>
      </c>
      <c r="BI337" s="315">
        <f>'DATA (Real)'!BI333</f>
        <v>2.7499999999999998E-3</v>
      </c>
      <c r="BJ337" s="315">
        <f>'DATA (Real)'!BJ333</f>
        <v>2.7499999999999998E-3</v>
      </c>
      <c r="BK337" s="315">
        <f>'DATA (Real)'!BK333</f>
        <v>2.7499999999999998E-3</v>
      </c>
      <c r="BL337" s="315">
        <f>'DATA (Real)'!BL333</f>
        <v>2.7499999999999998E-3</v>
      </c>
      <c r="BM337" s="315">
        <f>'DATA (Real)'!BM333</f>
        <v>2.7499999999999998E-3</v>
      </c>
      <c r="BN337" s="315">
        <f>'DATA (Real)'!BN333</f>
        <v>2.7499999999999998E-3</v>
      </c>
      <c r="BO337" s="315">
        <f>'DATA (Real)'!BO333</f>
        <v>2.7499999999999998E-3</v>
      </c>
      <c r="BP337" s="315">
        <f>'DATA (Real)'!BP333</f>
        <v>2.7499999999999998E-3</v>
      </c>
      <c r="BQ337" s="315">
        <f>'DATA (Real)'!BQ333</f>
        <v>2.7499999999999998E-3</v>
      </c>
      <c r="BR337" s="315">
        <f>'DATA (Real)'!BR333</f>
        <v>2.7499999999999998E-3</v>
      </c>
      <c r="BS337" s="315">
        <f>'DATA (Real)'!BS333</f>
        <v>2.7499999999999998E-3</v>
      </c>
      <c r="BT337" s="315">
        <f>'DATA (Real)'!BT333</f>
        <v>2.7499999999999998E-3</v>
      </c>
      <c r="BU337" s="315">
        <f>'DATA (Real)'!BU333</f>
        <v>2.7499999999999998E-3</v>
      </c>
      <c r="BV337" s="315">
        <f>'DATA (Real)'!BV333</f>
        <v>2.7499999999999998E-3</v>
      </c>
      <c r="BW337" s="315">
        <f>'DATA (Real)'!BW333</f>
        <v>2.7499999999999998E-3</v>
      </c>
      <c r="BX337" s="315">
        <f>'DATA (Real)'!BX333</f>
        <v>2.7499999999999998E-3</v>
      </c>
    </row>
    <row r="338" spans="2:76" hidden="1" outlineLevel="1">
      <c r="B338" s="352"/>
      <c r="C338" s="352" t="str">
        <f>'DATA (Real)'!C334</f>
        <v>Internal</v>
      </c>
      <c r="D338" s="352" t="str">
        <f>'DATA (Real)'!D334</f>
        <v>B&amp;O Tax Rate</v>
      </c>
      <c r="E338" s="352" t="str">
        <f>'DATA (Real)'!E334</f>
        <v>50 MW/200 MWh Lithium-ion w/Solar (Solar Only)</v>
      </c>
      <c r="F338" s="315">
        <f>'DATA (Real)'!F334</f>
        <v>2.7499999999999998E-3</v>
      </c>
      <c r="G338" s="315">
        <f>'DATA (Real)'!G334</f>
        <v>2.7499999999999998E-3</v>
      </c>
      <c r="H338" s="315">
        <f>'DATA (Real)'!H334</f>
        <v>2.7499999999999998E-3</v>
      </c>
      <c r="I338" s="315">
        <f>'DATA (Real)'!I334</f>
        <v>2.7499999999999998E-3</v>
      </c>
      <c r="J338" s="315">
        <f>'DATA (Real)'!J334</f>
        <v>2.7499999999999998E-3</v>
      </c>
      <c r="K338" s="315">
        <f>'DATA (Real)'!K334</f>
        <v>2.7499999999999998E-3</v>
      </c>
      <c r="L338" s="315">
        <f>'DATA (Real)'!L334</f>
        <v>2.7499999999999998E-3</v>
      </c>
      <c r="M338" s="315">
        <f>'DATA (Real)'!M334</f>
        <v>2.7499999999999998E-3</v>
      </c>
      <c r="N338" s="315">
        <f>'DATA (Real)'!N334</f>
        <v>2.7499999999999998E-3</v>
      </c>
      <c r="O338" s="315">
        <f>'DATA (Real)'!O334</f>
        <v>2.7499999999999998E-3</v>
      </c>
      <c r="P338" s="315">
        <f>'DATA (Real)'!P334</f>
        <v>2.7499999999999998E-3</v>
      </c>
      <c r="Q338" s="315">
        <f>'DATA (Real)'!Q334</f>
        <v>2.7499999999999998E-3</v>
      </c>
      <c r="R338" s="315">
        <f>'DATA (Real)'!R334</f>
        <v>2.7499999999999998E-3</v>
      </c>
      <c r="S338" s="315">
        <f>'DATA (Real)'!S334</f>
        <v>2.7499999999999998E-3</v>
      </c>
      <c r="T338" s="315">
        <f>'DATA (Real)'!T334</f>
        <v>2.7499999999999998E-3</v>
      </c>
      <c r="U338" s="315">
        <f>'DATA (Real)'!U334</f>
        <v>2.7499999999999998E-3</v>
      </c>
      <c r="V338" s="315">
        <f>'DATA (Real)'!V334</f>
        <v>2.7499999999999998E-3</v>
      </c>
      <c r="W338" s="315">
        <f>'DATA (Real)'!W334</f>
        <v>2.7499999999999998E-3</v>
      </c>
      <c r="X338" s="315">
        <f>'DATA (Real)'!X334</f>
        <v>2.7499999999999998E-3</v>
      </c>
      <c r="Y338" s="315">
        <f>'DATA (Real)'!Y334</f>
        <v>2.7499999999999998E-3</v>
      </c>
      <c r="Z338" s="315">
        <f>'DATA (Real)'!Z334</f>
        <v>2.7499999999999998E-3</v>
      </c>
      <c r="AA338" s="315">
        <f>'DATA (Real)'!AA334</f>
        <v>2.7499999999999998E-3</v>
      </c>
      <c r="AB338" s="315">
        <f>'DATA (Real)'!AB334</f>
        <v>2.7499999999999998E-3</v>
      </c>
      <c r="AC338" s="315">
        <f>'DATA (Real)'!AC334</f>
        <v>2.7499999999999998E-3</v>
      </c>
      <c r="AD338" s="315">
        <f>'DATA (Real)'!AD334</f>
        <v>2.7499999999999998E-3</v>
      </c>
      <c r="AE338" s="315">
        <f>'DATA (Real)'!AE334</f>
        <v>2.7499999999999998E-3</v>
      </c>
      <c r="AF338" s="315">
        <f>'DATA (Real)'!AF334</f>
        <v>2.7499999999999998E-3</v>
      </c>
      <c r="AG338" s="315">
        <f>'DATA (Real)'!AG334</f>
        <v>2.7499999999999998E-3</v>
      </c>
      <c r="AH338" s="315">
        <f>'DATA (Real)'!AH334</f>
        <v>2.7499999999999998E-3</v>
      </c>
      <c r="AI338" s="315">
        <f>'DATA (Real)'!AI334</f>
        <v>2.7499999999999998E-3</v>
      </c>
      <c r="AJ338" s="315">
        <f>'DATA (Real)'!AJ334</f>
        <v>2.7499999999999998E-3</v>
      </c>
      <c r="AK338" s="315">
        <f>'DATA (Real)'!AK334</f>
        <v>2.7499999999999998E-3</v>
      </c>
      <c r="AL338" s="315">
        <f>'DATA (Real)'!AL334</f>
        <v>2.7499999999999998E-3</v>
      </c>
      <c r="AM338" s="315">
        <f>'DATA (Real)'!AM334</f>
        <v>2.7499999999999998E-3</v>
      </c>
      <c r="AN338" s="315">
        <f>'DATA (Real)'!AN334</f>
        <v>2.7499999999999998E-3</v>
      </c>
      <c r="AO338" s="315">
        <f>'DATA (Real)'!AO334</f>
        <v>2.7499999999999998E-3</v>
      </c>
      <c r="AP338" s="315">
        <f>'DATA (Real)'!AP334</f>
        <v>2.7499999999999998E-3</v>
      </c>
      <c r="AQ338" s="315">
        <f>'DATA (Real)'!AQ334</f>
        <v>2.7499999999999998E-3</v>
      </c>
      <c r="AR338" s="315">
        <f>'DATA (Real)'!AR334</f>
        <v>2.7499999999999998E-3</v>
      </c>
      <c r="AS338" s="315">
        <f>'DATA (Real)'!AS334</f>
        <v>2.7499999999999998E-3</v>
      </c>
      <c r="AT338" s="315">
        <f>'DATA (Real)'!AT334</f>
        <v>2.7499999999999998E-3</v>
      </c>
      <c r="AU338" s="315">
        <f>'DATA (Real)'!AU334</f>
        <v>2.7499999999999998E-3</v>
      </c>
      <c r="AV338" s="315">
        <f>'DATA (Real)'!AV334</f>
        <v>2.7499999999999998E-3</v>
      </c>
      <c r="AW338" s="315">
        <f>'DATA (Real)'!AW334</f>
        <v>2.7499999999999998E-3</v>
      </c>
      <c r="AX338" s="315">
        <f>'DATA (Real)'!AX334</f>
        <v>2.7499999999999998E-3</v>
      </c>
      <c r="AY338" s="315">
        <f>'DATA (Real)'!AY334</f>
        <v>2.7499999999999998E-3</v>
      </c>
      <c r="AZ338" s="315">
        <f>'DATA (Real)'!AZ334</f>
        <v>2.7499999999999998E-3</v>
      </c>
      <c r="BA338" s="315">
        <f>'DATA (Real)'!BA334</f>
        <v>2.7499999999999998E-3</v>
      </c>
      <c r="BB338" s="315">
        <f>'DATA (Real)'!BB334</f>
        <v>2.7499999999999998E-3</v>
      </c>
      <c r="BC338" s="315">
        <f>'DATA (Real)'!BC334</f>
        <v>2.7499999999999998E-3</v>
      </c>
      <c r="BD338" s="315">
        <f>'DATA (Real)'!BD334</f>
        <v>2.7499999999999998E-3</v>
      </c>
      <c r="BE338" s="315">
        <f>'DATA (Real)'!BE334</f>
        <v>2.7499999999999998E-3</v>
      </c>
      <c r="BF338" s="315">
        <f>'DATA (Real)'!BF334</f>
        <v>2.7499999999999998E-3</v>
      </c>
      <c r="BG338" s="315">
        <f>'DATA (Real)'!BG334</f>
        <v>2.7499999999999998E-3</v>
      </c>
      <c r="BH338" s="315">
        <f>'DATA (Real)'!BH334</f>
        <v>2.7499999999999998E-3</v>
      </c>
      <c r="BI338" s="315">
        <f>'DATA (Real)'!BI334</f>
        <v>2.7499999999999998E-3</v>
      </c>
      <c r="BJ338" s="315">
        <f>'DATA (Real)'!BJ334</f>
        <v>2.7499999999999998E-3</v>
      </c>
      <c r="BK338" s="315">
        <f>'DATA (Real)'!BK334</f>
        <v>2.7499999999999998E-3</v>
      </c>
      <c r="BL338" s="315">
        <f>'DATA (Real)'!BL334</f>
        <v>2.7499999999999998E-3</v>
      </c>
      <c r="BM338" s="315">
        <f>'DATA (Real)'!BM334</f>
        <v>2.7499999999999998E-3</v>
      </c>
      <c r="BN338" s="315">
        <f>'DATA (Real)'!BN334</f>
        <v>2.7499999999999998E-3</v>
      </c>
      <c r="BO338" s="315">
        <f>'DATA (Real)'!BO334</f>
        <v>2.7499999999999998E-3</v>
      </c>
      <c r="BP338" s="315">
        <f>'DATA (Real)'!BP334</f>
        <v>2.7499999999999998E-3</v>
      </c>
      <c r="BQ338" s="315">
        <f>'DATA (Real)'!BQ334</f>
        <v>2.7499999999999998E-3</v>
      </c>
      <c r="BR338" s="315">
        <f>'DATA (Real)'!BR334</f>
        <v>2.7499999999999998E-3</v>
      </c>
      <c r="BS338" s="315">
        <f>'DATA (Real)'!BS334</f>
        <v>2.7499999999999998E-3</v>
      </c>
      <c r="BT338" s="315">
        <f>'DATA (Real)'!BT334</f>
        <v>2.7499999999999998E-3</v>
      </c>
      <c r="BU338" s="315">
        <f>'DATA (Real)'!BU334</f>
        <v>2.7499999999999998E-3</v>
      </c>
      <c r="BV338" s="315">
        <f>'DATA (Real)'!BV334</f>
        <v>2.7499999999999998E-3</v>
      </c>
      <c r="BW338" s="315">
        <f>'DATA (Real)'!BW334</f>
        <v>2.7499999999999998E-3</v>
      </c>
      <c r="BX338" s="315">
        <f>'DATA (Real)'!BX334</f>
        <v>2.7499999999999998E-3</v>
      </c>
    </row>
    <row r="339" spans="2:76" collapsed="1"/>
    <row r="340" spans="2:76">
      <c r="B340" s="259" t="str">
        <f>D340</f>
        <v>Tax Dep Rate</v>
      </c>
      <c r="D340" s="259" t="str">
        <f>'DATA (Real)'!D336</f>
        <v>Tax Dep Rate</v>
      </c>
      <c r="F340" s="318"/>
      <c r="G340" s="318"/>
      <c r="H340" s="318"/>
      <c r="I340" s="318"/>
      <c r="J340" s="318"/>
      <c r="K340" s="318"/>
      <c r="L340" s="318"/>
      <c r="M340" s="318"/>
      <c r="N340" s="318"/>
      <c r="O340" s="318"/>
      <c r="P340" s="318"/>
      <c r="Q340" s="318"/>
      <c r="R340" s="318"/>
      <c r="S340" s="318"/>
      <c r="T340" s="318"/>
      <c r="U340" s="318"/>
      <c r="V340" s="318"/>
      <c r="W340" s="318"/>
      <c r="X340" s="318"/>
      <c r="Y340" s="318"/>
      <c r="Z340" s="318"/>
      <c r="AA340" s="318"/>
      <c r="AB340" s="318"/>
      <c r="AC340" s="318"/>
      <c r="AD340" s="318"/>
      <c r="AE340" s="318"/>
      <c r="AF340" s="318"/>
      <c r="AG340" s="318"/>
      <c r="AH340" s="318"/>
      <c r="AI340" s="318"/>
      <c r="AJ340" s="318"/>
      <c r="AK340" s="318"/>
      <c r="AL340" s="318"/>
      <c r="AM340" s="318"/>
      <c r="AN340" s="318"/>
      <c r="AO340" s="318"/>
      <c r="AP340" s="318"/>
      <c r="AQ340" s="318"/>
      <c r="AR340" s="318"/>
      <c r="AS340" s="318"/>
      <c r="AT340" s="318"/>
      <c r="AU340" s="318"/>
      <c r="AV340" s="318"/>
      <c r="AW340" s="318"/>
      <c r="AX340" s="318"/>
      <c r="AY340" s="318"/>
      <c r="AZ340" s="318"/>
      <c r="BA340" s="318"/>
      <c r="BB340" s="318"/>
      <c r="BC340" s="318"/>
      <c r="BD340" s="318"/>
      <c r="BE340" s="318"/>
      <c r="BF340" s="318"/>
      <c r="BG340" s="318"/>
      <c r="BH340" s="318"/>
      <c r="BI340" s="318"/>
      <c r="BJ340" s="318"/>
      <c r="BK340" s="318"/>
      <c r="BL340" s="318"/>
      <c r="BM340" s="318"/>
      <c r="BN340" s="318"/>
      <c r="BO340" s="318"/>
      <c r="BP340" s="318"/>
      <c r="BQ340" s="318"/>
      <c r="BR340" s="318"/>
      <c r="BS340" s="318"/>
      <c r="BT340" s="318"/>
      <c r="BU340" s="318"/>
      <c r="BV340" s="318"/>
      <c r="BW340" s="318"/>
      <c r="BX340" s="318"/>
    </row>
    <row r="341" spans="2:76" hidden="1" outlineLevel="1">
      <c r="B341" s="352"/>
      <c r="C341" s="352" t="str">
        <f>'DATA (Real)'!C337</f>
        <v>Internal</v>
      </c>
      <c r="D341" s="352" t="str">
        <f>'DATA (Real)'!D337</f>
        <v>Tax Dep Rate</v>
      </c>
      <c r="E341" s="352" t="str">
        <f>'DATA (Real)'!E337</f>
        <v>New Residential Solar</v>
      </c>
      <c r="F341" s="339">
        <f>'DATA (Real)'!F337</f>
        <v>0</v>
      </c>
      <c r="G341" s="339">
        <f>'DATA (Real)'!G337</f>
        <v>0</v>
      </c>
      <c r="H341" s="339">
        <f>'DATA (Real)'!H337</f>
        <v>0.85</v>
      </c>
      <c r="I341" s="339">
        <f>'DATA (Real)'!I337</f>
        <v>0.85</v>
      </c>
      <c r="J341" s="339">
        <f>'DATA (Real)'!J337</f>
        <v>0.85</v>
      </c>
      <c r="K341" s="339">
        <f>'DATA (Real)'!K337</f>
        <v>0.85</v>
      </c>
      <c r="L341" s="339">
        <f>'DATA (Real)'!L337</f>
        <v>0.85</v>
      </c>
      <c r="M341" s="339">
        <f>'DATA (Real)'!M337</f>
        <v>0.85</v>
      </c>
      <c r="N341" s="339">
        <f>'DATA (Real)'!N337</f>
        <v>0.85</v>
      </c>
      <c r="O341" s="339">
        <f>'DATA (Real)'!O337</f>
        <v>0.85</v>
      </c>
      <c r="P341" s="339">
        <f>'DATA (Real)'!P337</f>
        <v>0.85</v>
      </c>
      <c r="Q341" s="339">
        <f>'DATA (Real)'!Q337</f>
        <v>0.85</v>
      </c>
      <c r="R341" s="339">
        <f>'DATA (Real)'!R337</f>
        <v>0.85</v>
      </c>
      <c r="S341" s="339">
        <f>'DATA (Real)'!S337</f>
        <v>0.85</v>
      </c>
      <c r="T341" s="339">
        <f>'DATA (Real)'!T337</f>
        <v>0.85</v>
      </c>
      <c r="U341" s="339">
        <f>'DATA (Real)'!U337</f>
        <v>0.95</v>
      </c>
      <c r="V341" s="339">
        <f>'DATA (Real)'!V337</f>
        <v>0.95</v>
      </c>
      <c r="W341" s="339">
        <f>'DATA (Real)'!W337</f>
        <v>0.95</v>
      </c>
      <c r="X341" s="339">
        <f>'DATA (Real)'!X337</f>
        <v>0.95</v>
      </c>
      <c r="Y341" s="339">
        <f>'DATA (Real)'!Y337</f>
        <v>0.95</v>
      </c>
      <c r="Z341" s="339">
        <f>'DATA (Real)'!Z337</f>
        <v>0.95</v>
      </c>
      <c r="AA341" s="339">
        <f>'DATA (Real)'!AA337</f>
        <v>0.95</v>
      </c>
      <c r="AB341" s="339">
        <f>'DATA (Real)'!AB337</f>
        <v>0.95</v>
      </c>
      <c r="AC341" s="339">
        <f>'DATA (Real)'!AC337</f>
        <v>0.95</v>
      </c>
      <c r="AD341" s="339">
        <f>'DATA (Real)'!AD337</f>
        <v>0.95</v>
      </c>
      <c r="AE341" s="339">
        <f>'DATA (Real)'!AE337</f>
        <v>0.95</v>
      </c>
      <c r="AF341" s="339">
        <f>'DATA (Real)'!AF337</f>
        <v>0.95</v>
      </c>
      <c r="AG341" s="339">
        <f>'DATA (Real)'!AG337</f>
        <v>0.95</v>
      </c>
      <c r="AH341" s="339">
        <f>'DATA (Real)'!AH337</f>
        <v>0.95</v>
      </c>
      <c r="AI341" s="339">
        <f>'DATA (Real)'!AI337</f>
        <v>0.95</v>
      </c>
      <c r="AJ341" s="339">
        <f>'DATA (Real)'!AJ337</f>
        <v>0.95</v>
      </c>
      <c r="AK341" s="339">
        <f>'DATA (Real)'!AK337</f>
        <v>0.95</v>
      </c>
      <c r="AL341" s="339">
        <f>'DATA (Real)'!AL337</f>
        <v>0.95</v>
      </c>
      <c r="AM341" s="339">
        <f>'DATA (Real)'!AM337</f>
        <v>0.95</v>
      </c>
      <c r="AN341" s="339">
        <f>'DATA (Real)'!AN337</f>
        <v>0.95</v>
      </c>
      <c r="AO341" s="339">
        <f>'DATA (Real)'!AO337</f>
        <v>0.95</v>
      </c>
      <c r="AP341" s="339">
        <f>'DATA (Real)'!AP337</f>
        <v>0.95</v>
      </c>
      <c r="AQ341" s="339">
        <f>'DATA (Real)'!AQ337</f>
        <v>0.95</v>
      </c>
      <c r="AR341" s="339">
        <f>'DATA (Real)'!AR337</f>
        <v>0.95</v>
      </c>
      <c r="AS341" s="339">
        <f>'DATA (Real)'!AS337</f>
        <v>0.95</v>
      </c>
      <c r="AT341" s="339">
        <f>'DATA (Real)'!AT337</f>
        <v>0.95</v>
      </c>
      <c r="AU341" s="339">
        <f>'DATA (Real)'!AU337</f>
        <v>0.95</v>
      </c>
      <c r="AV341" s="339">
        <f>'DATA (Real)'!AV337</f>
        <v>0.95</v>
      </c>
      <c r="AW341" s="339">
        <f>'DATA (Real)'!AW337</f>
        <v>0.95</v>
      </c>
      <c r="AX341" s="339">
        <f>'DATA (Real)'!AX337</f>
        <v>0.95</v>
      </c>
      <c r="AY341" s="339">
        <f>'DATA (Real)'!AY337</f>
        <v>0.95</v>
      </c>
      <c r="AZ341" s="339">
        <f>'DATA (Real)'!AZ337</f>
        <v>0.95</v>
      </c>
      <c r="BA341" s="339">
        <f>'DATA (Real)'!BA337</f>
        <v>0.95</v>
      </c>
      <c r="BB341" s="339">
        <f>'DATA (Real)'!BB337</f>
        <v>0.95</v>
      </c>
      <c r="BC341" s="339">
        <f>'DATA (Real)'!BC337</f>
        <v>0.95</v>
      </c>
      <c r="BD341" s="339">
        <f>'DATA (Real)'!BD337</f>
        <v>0.95</v>
      </c>
      <c r="BE341" s="339">
        <f>'DATA (Real)'!BE337</f>
        <v>0.95</v>
      </c>
      <c r="BF341" s="339">
        <f>'DATA (Real)'!BF337</f>
        <v>0.95</v>
      </c>
      <c r="BG341" s="339">
        <f>'DATA (Real)'!BG337</f>
        <v>0.95</v>
      </c>
      <c r="BH341" s="339">
        <f>'DATA (Real)'!BH337</f>
        <v>0.95</v>
      </c>
      <c r="BI341" s="339">
        <f>'DATA (Real)'!BI337</f>
        <v>0.95</v>
      </c>
      <c r="BJ341" s="339">
        <f>'DATA (Real)'!BJ337</f>
        <v>0.95</v>
      </c>
      <c r="BK341" s="339">
        <f>'DATA (Real)'!BK337</f>
        <v>0.95</v>
      </c>
      <c r="BL341" s="339">
        <f>'DATA (Real)'!BL337</f>
        <v>0.95</v>
      </c>
      <c r="BM341" s="339">
        <f>'DATA (Real)'!BM337</f>
        <v>0.95</v>
      </c>
      <c r="BN341" s="339">
        <f>'DATA (Real)'!BN337</f>
        <v>0.95</v>
      </c>
      <c r="BO341" s="339">
        <f>'DATA (Real)'!BO337</f>
        <v>0.95</v>
      </c>
      <c r="BP341" s="339">
        <f>'DATA (Real)'!BP337</f>
        <v>0.95</v>
      </c>
      <c r="BQ341" s="339">
        <f>'DATA (Real)'!BQ337</f>
        <v>0.95</v>
      </c>
      <c r="BR341" s="339">
        <f>'DATA (Real)'!BR337</f>
        <v>0.95</v>
      </c>
      <c r="BS341" s="339">
        <f>'DATA (Real)'!BS337</f>
        <v>0.95</v>
      </c>
      <c r="BT341" s="339">
        <f>'DATA (Real)'!BT337</f>
        <v>0.95</v>
      </c>
      <c r="BU341" s="339">
        <f>'DATA (Real)'!BU337</f>
        <v>0.95</v>
      </c>
      <c r="BV341" s="339">
        <f>'DATA (Real)'!BV337</f>
        <v>0.95</v>
      </c>
      <c r="BW341" s="339">
        <f>'DATA (Real)'!BW337</f>
        <v>0.95</v>
      </c>
      <c r="BX341" s="339">
        <f>'DATA (Real)'!BX337</f>
        <v>0.95</v>
      </c>
    </row>
    <row r="342" spans="2:76" hidden="1" outlineLevel="1">
      <c r="B342" s="352"/>
      <c r="C342" s="352" t="str">
        <f>'DATA (Real)'!C338</f>
        <v>Internal</v>
      </c>
      <c r="D342" s="352" t="str">
        <f>'DATA (Real)'!D338</f>
        <v>Tax Dep Rate</v>
      </c>
      <c r="E342" s="352" t="str">
        <f>'DATA (Real)'!E338</f>
        <v>New Residential Solar + Storage</v>
      </c>
      <c r="F342" s="339">
        <f>'DATA (Real)'!F338</f>
        <v>0</v>
      </c>
      <c r="G342" s="339">
        <f>'DATA (Real)'!G338</f>
        <v>0</v>
      </c>
      <c r="H342" s="339">
        <f>'DATA (Real)'!H338</f>
        <v>0.85</v>
      </c>
      <c r="I342" s="339">
        <f>'DATA (Real)'!I338</f>
        <v>0.85</v>
      </c>
      <c r="J342" s="339">
        <f>'DATA (Real)'!J338</f>
        <v>0.85</v>
      </c>
      <c r="K342" s="339">
        <f>'DATA (Real)'!K338</f>
        <v>0.85</v>
      </c>
      <c r="L342" s="339">
        <f>'DATA (Real)'!L338</f>
        <v>0.85</v>
      </c>
      <c r="M342" s="339">
        <f>'DATA (Real)'!M338</f>
        <v>0.85</v>
      </c>
      <c r="N342" s="339">
        <f>'DATA (Real)'!N338</f>
        <v>0.85</v>
      </c>
      <c r="O342" s="339">
        <f>'DATA (Real)'!O338</f>
        <v>0.85</v>
      </c>
      <c r="P342" s="339">
        <f>'DATA (Real)'!P338</f>
        <v>0.85</v>
      </c>
      <c r="Q342" s="339">
        <f>'DATA (Real)'!Q338</f>
        <v>0.85</v>
      </c>
      <c r="R342" s="339">
        <f>'DATA (Real)'!R338</f>
        <v>0.85</v>
      </c>
      <c r="S342" s="339">
        <f>'DATA (Real)'!S338</f>
        <v>0.85</v>
      </c>
      <c r="T342" s="339">
        <f>'DATA (Real)'!T338</f>
        <v>0.85</v>
      </c>
      <c r="U342" s="339">
        <f>'DATA (Real)'!U338</f>
        <v>0.95</v>
      </c>
      <c r="V342" s="339">
        <f>'DATA (Real)'!V338</f>
        <v>0.95</v>
      </c>
      <c r="W342" s="339">
        <f>'DATA (Real)'!W338</f>
        <v>0.95</v>
      </c>
      <c r="X342" s="339">
        <f>'DATA (Real)'!X338</f>
        <v>0.95</v>
      </c>
      <c r="Y342" s="339">
        <f>'DATA (Real)'!Y338</f>
        <v>0.95</v>
      </c>
      <c r="Z342" s="339">
        <f>'DATA (Real)'!Z338</f>
        <v>0.95</v>
      </c>
      <c r="AA342" s="339">
        <f>'DATA (Real)'!AA338</f>
        <v>0.95</v>
      </c>
      <c r="AB342" s="339">
        <f>'DATA (Real)'!AB338</f>
        <v>0.95</v>
      </c>
      <c r="AC342" s="339">
        <f>'DATA (Real)'!AC338</f>
        <v>0.95</v>
      </c>
      <c r="AD342" s="339">
        <f>'DATA (Real)'!AD338</f>
        <v>0.95</v>
      </c>
      <c r="AE342" s="339">
        <f>'DATA (Real)'!AE338</f>
        <v>0.95</v>
      </c>
      <c r="AF342" s="339">
        <f>'DATA (Real)'!AF338</f>
        <v>0.95</v>
      </c>
      <c r="AG342" s="339">
        <f>'DATA (Real)'!AG338</f>
        <v>0.95</v>
      </c>
      <c r="AH342" s="339">
        <f>'DATA (Real)'!AH338</f>
        <v>0.95</v>
      </c>
      <c r="AI342" s="339">
        <f>'DATA (Real)'!AI338</f>
        <v>0.95</v>
      </c>
      <c r="AJ342" s="339">
        <f>'DATA (Real)'!AJ338</f>
        <v>0.95</v>
      </c>
      <c r="AK342" s="339">
        <f>'DATA (Real)'!AK338</f>
        <v>0.95</v>
      </c>
      <c r="AL342" s="339">
        <f>'DATA (Real)'!AL338</f>
        <v>0.95</v>
      </c>
      <c r="AM342" s="339">
        <f>'DATA (Real)'!AM338</f>
        <v>0.95</v>
      </c>
      <c r="AN342" s="339">
        <f>'DATA (Real)'!AN338</f>
        <v>0.95</v>
      </c>
      <c r="AO342" s="339">
        <f>'DATA (Real)'!AO338</f>
        <v>0.95</v>
      </c>
      <c r="AP342" s="339">
        <f>'DATA (Real)'!AP338</f>
        <v>0.95</v>
      </c>
      <c r="AQ342" s="339">
        <f>'DATA (Real)'!AQ338</f>
        <v>0.95</v>
      </c>
      <c r="AR342" s="339">
        <f>'DATA (Real)'!AR338</f>
        <v>0.95</v>
      </c>
      <c r="AS342" s="339">
        <f>'DATA (Real)'!AS338</f>
        <v>0.95</v>
      </c>
      <c r="AT342" s="339">
        <f>'DATA (Real)'!AT338</f>
        <v>0.95</v>
      </c>
      <c r="AU342" s="339">
        <f>'DATA (Real)'!AU338</f>
        <v>0.95</v>
      </c>
      <c r="AV342" s="339">
        <f>'DATA (Real)'!AV338</f>
        <v>0.95</v>
      </c>
      <c r="AW342" s="339">
        <f>'DATA (Real)'!AW338</f>
        <v>0.95</v>
      </c>
      <c r="AX342" s="339">
        <f>'DATA (Real)'!AX338</f>
        <v>0.95</v>
      </c>
      <c r="AY342" s="339">
        <f>'DATA (Real)'!AY338</f>
        <v>0.95</v>
      </c>
      <c r="AZ342" s="339">
        <f>'DATA (Real)'!AZ338</f>
        <v>0.95</v>
      </c>
      <c r="BA342" s="339">
        <f>'DATA (Real)'!BA338</f>
        <v>0.95</v>
      </c>
      <c r="BB342" s="339">
        <f>'DATA (Real)'!BB338</f>
        <v>0.95</v>
      </c>
      <c r="BC342" s="339">
        <f>'DATA (Real)'!BC338</f>
        <v>0.95</v>
      </c>
      <c r="BD342" s="339">
        <f>'DATA (Real)'!BD338</f>
        <v>0.95</v>
      </c>
      <c r="BE342" s="339">
        <f>'DATA (Real)'!BE338</f>
        <v>0.95</v>
      </c>
      <c r="BF342" s="339">
        <f>'DATA (Real)'!BF338</f>
        <v>0.95</v>
      </c>
      <c r="BG342" s="339">
        <f>'DATA (Real)'!BG338</f>
        <v>0.95</v>
      </c>
      <c r="BH342" s="339">
        <f>'DATA (Real)'!BH338</f>
        <v>0.95</v>
      </c>
      <c r="BI342" s="339">
        <f>'DATA (Real)'!BI338</f>
        <v>0.95</v>
      </c>
      <c r="BJ342" s="339">
        <f>'DATA (Real)'!BJ338</f>
        <v>0.95</v>
      </c>
      <c r="BK342" s="339">
        <f>'DATA (Real)'!BK338</f>
        <v>0.95</v>
      </c>
      <c r="BL342" s="339">
        <f>'DATA (Real)'!BL338</f>
        <v>0.95</v>
      </c>
      <c r="BM342" s="339">
        <f>'DATA (Real)'!BM338</f>
        <v>0.95</v>
      </c>
      <c r="BN342" s="339">
        <f>'DATA (Real)'!BN338</f>
        <v>0.95</v>
      </c>
      <c r="BO342" s="339">
        <f>'DATA (Real)'!BO338</f>
        <v>0.95</v>
      </c>
      <c r="BP342" s="339">
        <f>'DATA (Real)'!BP338</f>
        <v>0.95</v>
      </c>
      <c r="BQ342" s="339">
        <f>'DATA (Real)'!BQ338</f>
        <v>0.95</v>
      </c>
      <c r="BR342" s="339">
        <f>'DATA (Real)'!BR338</f>
        <v>0.95</v>
      </c>
      <c r="BS342" s="339">
        <f>'DATA (Real)'!BS338</f>
        <v>0.95</v>
      </c>
      <c r="BT342" s="339">
        <f>'DATA (Real)'!BT338</f>
        <v>0.95</v>
      </c>
      <c r="BU342" s="339">
        <f>'DATA (Real)'!BU338</f>
        <v>0.95</v>
      </c>
      <c r="BV342" s="339">
        <f>'DATA (Real)'!BV338</f>
        <v>0.95</v>
      </c>
      <c r="BW342" s="339">
        <f>'DATA (Real)'!BW338</f>
        <v>0.95</v>
      </c>
      <c r="BX342" s="339">
        <f>'DATA (Real)'!BX338</f>
        <v>0.95</v>
      </c>
    </row>
    <row r="343" spans="2:76" hidden="1" outlineLevel="1">
      <c r="B343" s="352"/>
      <c r="C343" s="352" t="str">
        <f>'DATA (Real)'!C339</f>
        <v>Internal</v>
      </c>
      <c r="D343" s="352" t="str">
        <f>'DATA (Real)'!D339</f>
        <v>Tax Dep Rate</v>
      </c>
      <c r="E343" s="352" t="str">
        <f>'DATA (Real)'!E339</f>
        <v>Existing Residential Solar</v>
      </c>
      <c r="F343" s="339">
        <f>'DATA (Real)'!F339</f>
        <v>0</v>
      </c>
      <c r="G343" s="339">
        <f>'DATA (Real)'!G339</f>
        <v>0</v>
      </c>
      <c r="H343" s="339">
        <f>'DATA (Real)'!H339</f>
        <v>0.85</v>
      </c>
      <c r="I343" s="339">
        <f>'DATA (Real)'!I339</f>
        <v>0.85</v>
      </c>
      <c r="J343" s="339">
        <f>'DATA (Real)'!J339</f>
        <v>0.85</v>
      </c>
      <c r="K343" s="339">
        <f>'DATA (Real)'!K339</f>
        <v>0.85</v>
      </c>
      <c r="L343" s="339">
        <f>'DATA (Real)'!L339</f>
        <v>0.85</v>
      </c>
      <c r="M343" s="339">
        <f>'DATA (Real)'!M339</f>
        <v>0.85</v>
      </c>
      <c r="N343" s="339">
        <f>'DATA (Real)'!N339</f>
        <v>0.85</v>
      </c>
      <c r="O343" s="339">
        <f>'DATA (Real)'!O339</f>
        <v>0.85</v>
      </c>
      <c r="P343" s="339">
        <f>'DATA (Real)'!P339</f>
        <v>0.85</v>
      </c>
      <c r="Q343" s="339">
        <f>'DATA (Real)'!Q339</f>
        <v>0.85</v>
      </c>
      <c r="R343" s="339">
        <f>'DATA (Real)'!R339</f>
        <v>0.85</v>
      </c>
      <c r="S343" s="339">
        <f>'DATA (Real)'!S339</f>
        <v>0.85</v>
      </c>
      <c r="T343" s="339">
        <f>'DATA (Real)'!T339</f>
        <v>0.85</v>
      </c>
      <c r="U343" s="339">
        <f>'DATA (Real)'!U339</f>
        <v>0.95</v>
      </c>
      <c r="V343" s="339">
        <f>'DATA (Real)'!V339</f>
        <v>0.95</v>
      </c>
      <c r="W343" s="339">
        <f>'DATA (Real)'!W339</f>
        <v>0.95</v>
      </c>
      <c r="X343" s="339">
        <f>'DATA (Real)'!X339</f>
        <v>0.95</v>
      </c>
      <c r="Y343" s="339">
        <f>'DATA (Real)'!Y339</f>
        <v>0.95</v>
      </c>
      <c r="Z343" s="339">
        <f>'DATA (Real)'!Z339</f>
        <v>0.95</v>
      </c>
      <c r="AA343" s="339">
        <f>'DATA (Real)'!AA339</f>
        <v>0.95</v>
      </c>
      <c r="AB343" s="339">
        <f>'DATA (Real)'!AB339</f>
        <v>0.95</v>
      </c>
      <c r="AC343" s="339">
        <f>'DATA (Real)'!AC339</f>
        <v>0.95</v>
      </c>
      <c r="AD343" s="339">
        <f>'DATA (Real)'!AD339</f>
        <v>0.95</v>
      </c>
      <c r="AE343" s="339">
        <f>'DATA (Real)'!AE339</f>
        <v>0.95</v>
      </c>
      <c r="AF343" s="339">
        <f>'DATA (Real)'!AF339</f>
        <v>0.95</v>
      </c>
      <c r="AG343" s="339">
        <f>'DATA (Real)'!AG339</f>
        <v>0.95</v>
      </c>
      <c r="AH343" s="339">
        <f>'DATA (Real)'!AH339</f>
        <v>0.95</v>
      </c>
      <c r="AI343" s="339">
        <f>'DATA (Real)'!AI339</f>
        <v>0.95</v>
      </c>
      <c r="AJ343" s="339">
        <f>'DATA (Real)'!AJ339</f>
        <v>0.95</v>
      </c>
      <c r="AK343" s="339">
        <f>'DATA (Real)'!AK339</f>
        <v>0.95</v>
      </c>
      <c r="AL343" s="339">
        <f>'DATA (Real)'!AL339</f>
        <v>0.95</v>
      </c>
      <c r="AM343" s="339">
        <f>'DATA (Real)'!AM339</f>
        <v>0.95</v>
      </c>
      <c r="AN343" s="339">
        <f>'DATA (Real)'!AN339</f>
        <v>0.95</v>
      </c>
      <c r="AO343" s="339">
        <f>'DATA (Real)'!AO339</f>
        <v>0.95</v>
      </c>
      <c r="AP343" s="339">
        <f>'DATA (Real)'!AP339</f>
        <v>0.95</v>
      </c>
      <c r="AQ343" s="339">
        <f>'DATA (Real)'!AQ339</f>
        <v>0.95</v>
      </c>
      <c r="AR343" s="339">
        <f>'DATA (Real)'!AR339</f>
        <v>0.95</v>
      </c>
      <c r="AS343" s="339">
        <f>'DATA (Real)'!AS339</f>
        <v>0.95</v>
      </c>
      <c r="AT343" s="339">
        <f>'DATA (Real)'!AT339</f>
        <v>0.95</v>
      </c>
      <c r="AU343" s="339">
        <f>'DATA (Real)'!AU339</f>
        <v>0.95</v>
      </c>
      <c r="AV343" s="339">
        <f>'DATA (Real)'!AV339</f>
        <v>0.95</v>
      </c>
      <c r="AW343" s="339">
        <f>'DATA (Real)'!AW339</f>
        <v>0.95</v>
      </c>
      <c r="AX343" s="339">
        <f>'DATA (Real)'!AX339</f>
        <v>0.95</v>
      </c>
      <c r="AY343" s="339">
        <f>'DATA (Real)'!AY339</f>
        <v>0.95</v>
      </c>
      <c r="AZ343" s="339">
        <f>'DATA (Real)'!AZ339</f>
        <v>0.95</v>
      </c>
      <c r="BA343" s="339">
        <f>'DATA (Real)'!BA339</f>
        <v>0.95</v>
      </c>
      <c r="BB343" s="339">
        <f>'DATA (Real)'!BB339</f>
        <v>0.95</v>
      </c>
      <c r="BC343" s="339">
        <f>'DATA (Real)'!BC339</f>
        <v>0.95</v>
      </c>
      <c r="BD343" s="339">
        <f>'DATA (Real)'!BD339</f>
        <v>0.95</v>
      </c>
      <c r="BE343" s="339">
        <f>'DATA (Real)'!BE339</f>
        <v>0.95</v>
      </c>
      <c r="BF343" s="339">
        <f>'DATA (Real)'!BF339</f>
        <v>0.95</v>
      </c>
      <c r="BG343" s="339">
        <f>'DATA (Real)'!BG339</f>
        <v>0.95</v>
      </c>
      <c r="BH343" s="339">
        <f>'DATA (Real)'!BH339</f>
        <v>0.95</v>
      </c>
      <c r="BI343" s="339">
        <f>'DATA (Real)'!BI339</f>
        <v>0.95</v>
      </c>
      <c r="BJ343" s="339">
        <f>'DATA (Real)'!BJ339</f>
        <v>0.95</v>
      </c>
      <c r="BK343" s="339">
        <f>'DATA (Real)'!BK339</f>
        <v>0.95</v>
      </c>
      <c r="BL343" s="339">
        <f>'DATA (Real)'!BL339</f>
        <v>0.95</v>
      </c>
      <c r="BM343" s="339">
        <f>'DATA (Real)'!BM339</f>
        <v>0.95</v>
      </c>
      <c r="BN343" s="339">
        <f>'DATA (Real)'!BN339</f>
        <v>0.95</v>
      </c>
      <c r="BO343" s="339">
        <f>'DATA (Real)'!BO339</f>
        <v>0.95</v>
      </c>
      <c r="BP343" s="339">
        <f>'DATA (Real)'!BP339</f>
        <v>0.95</v>
      </c>
      <c r="BQ343" s="339">
        <f>'DATA (Real)'!BQ339</f>
        <v>0.95</v>
      </c>
      <c r="BR343" s="339">
        <f>'DATA (Real)'!BR339</f>
        <v>0.95</v>
      </c>
      <c r="BS343" s="339">
        <f>'DATA (Real)'!BS339</f>
        <v>0.95</v>
      </c>
      <c r="BT343" s="339">
        <f>'DATA (Real)'!BT339</f>
        <v>0.95</v>
      </c>
      <c r="BU343" s="339">
        <f>'DATA (Real)'!BU339</f>
        <v>0.95</v>
      </c>
      <c r="BV343" s="339">
        <f>'DATA (Real)'!BV339</f>
        <v>0.95</v>
      </c>
      <c r="BW343" s="339">
        <f>'DATA (Real)'!BW339</f>
        <v>0.95</v>
      </c>
      <c r="BX343" s="339">
        <f>'DATA (Real)'!BX339</f>
        <v>0.95</v>
      </c>
    </row>
    <row r="344" spans="2:76" hidden="1" outlineLevel="1">
      <c r="B344" s="352"/>
      <c r="C344" s="352" t="str">
        <f>'DATA (Real)'!C340</f>
        <v>Internal</v>
      </c>
      <c r="D344" s="352" t="str">
        <f>'DATA (Real)'!D340</f>
        <v>Tax Dep Rate</v>
      </c>
      <c r="E344" s="352" t="str">
        <f>'DATA (Real)'!E340</f>
        <v>Existing Residential Solar + Storage</v>
      </c>
      <c r="F344" s="339">
        <f>'DATA (Real)'!F340</f>
        <v>0</v>
      </c>
      <c r="G344" s="339">
        <f>'DATA (Real)'!G340</f>
        <v>0</v>
      </c>
      <c r="H344" s="339">
        <f>'DATA (Real)'!H340</f>
        <v>0.85</v>
      </c>
      <c r="I344" s="339">
        <f>'DATA (Real)'!I340</f>
        <v>0.85</v>
      </c>
      <c r="J344" s="339">
        <f>'DATA (Real)'!J340</f>
        <v>0.85</v>
      </c>
      <c r="K344" s="339">
        <f>'DATA (Real)'!K340</f>
        <v>0.85</v>
      </c>
      <c r="L344" s="339">
        <f>'DATA (Real)'!L340</f>
        <v>0.85</v>
      </c>
      <c r="M344" s="339">
        <f>'DATA (Real)'!M340</f>
        <v>0.85</v>
      </c>
      <c r="N344" s="339">
        <f>'DATA (Real)'!N340</f>
        <v>0.85</v>
      </c>
      <c r="O344" s="339">
        <f>'DATA (Real)'!O340</f>
        <v>0.85</v>
      </c>
      <c r="P344" s="339">
        <f>'DATA (Real)'!P340</f>
        <v>0.85</v>
      </c>
      <c r="Q344" s="339">
        <f>'DATA (Real)'!Q340</f>
        <v>0.85</v>
      </c>
      <c r="R344" s="339">
        <f>'DATA (Real)'!R340</f>
        <v>0.85</v>
      </c>
      <c r="S344" s="339">
        <f>'DATA (Real)'!S340</f>
        <v>0.85</v>
      </c>
      <c r="T344" s="339">
        <f>'DATA (Real)'!T340</f>
        <v>0.85</v>
      </c>
      <c r="U344" s="339">
        <f>'DATA (Real)'!U340</f>
        <v>0.95</v>
      </c>
      <c r="V344" s="339">
        <f>'DATA (Real)'!V340</f>
        <v>0.95</v>
      </c>
      <c r="W344" s="339">
        <f>'DATA (Real)'!W340</f>
        <v>0.95</v>
      </c>
      <c r="X344" s="339">
        <f>'DATA (Real)'!X340</f>
        <v>0.95</v>
      </c>
      <c r="Y344" s="339">
        <f>'DATA (Real)'!Y340</f>
        <v>0.95</v>
      </c>
      <c r="Z344" s="339">
        <f>'DATA (Real)'!Z340</f>
        <v>0.95</v>
      </c>
      <c r="AA344" s="339">
        <f>'DATA (Real)'!AA340</f>
        <v>0.95</v>
      </c>
      <c r="AB344" s="339">
        <f>'DATA (Real)'!AB340</f>
        <v>0.95</v>
      </c>
      <c r="AC344" s="339">
        <f>'DATA (Real)'!AC340</f>
        <v>0.95</v>
      </c>
      <c r="AD344" s="339">
        <f>'DATA (Real)'!AD340</f>
        <v>0.95</v>
      </c>
      <c r="AE344" s="339">
        <f>'DATA (Real)'!AE340</f>
        <v>0.95</v>
      </c>
      <c r="AF344" s="339">
        <f>'DATA (Real)'!AF340</f>
        <v>0.95</v>
      </c>
      <c r="AG344" s="339">
        <f>'DATA (Real)'!AG340</f>
        <v>0.95</v>
      </c>
      <c r="AH344" s="339">
        <f>'DATA (Real)'!AH340</f>
        <v>0.95</v>
      </c>
      <c r="AI344" s="339">
        <f>'DATA (Real)'!AI340</f>
        <v>0.95</v>
      </c>
      <c r="AJ344" s="339">
        <f>'DATA (Real)'!AJ340</f>
        <v>0.95</v>
      </c>
      <c r="AK344" s="339">
        <f>'DATA (Real)'!AK340</f>
        <v>0.95</v>
      </c>
      <c r="AL344" s="339">
        <f>'DATA (Real)'!AL340</f>
        <v>0.95</v>
      </c>
      <c r="AM344" s="339">
        <f>'DATA (Real)'!AM340</f>
        <v>0.95</v>
      </c>
      <c r="AN344" s="339">
        <f>'DATA (Real)'!AN340</f>
        <v>0.95</v>
      </c>
      <c r="AO344" s="339">
        <f>'DATA (Real)'!AO340</f>
        <v>0.95</v>
      </c>
      <c r="AP344" s="339">
        <f>'DATA (Real)'!AP340</f>
        <v>0.95</v>
      </c>
      <c r="AQ344" s="339">
        <f>'DATA (Real)'!AQ340</f>
        <v>0.95</v>
      </c>
      <c r="AR344" s="339">
        <f>'DATA (Real)'!AR340</f>
        <v>0.95</v>
      </c>
      <c r="AS344" s="339">
        <f>'DATA (Real)'!AS340</f>
        <v>0.95</v>
      </c>
      <c r="AT344" s="339">
        <f>'DATA (Real)'!AT340</f>
        <v>0.95</v>
      </c>
      <c r="AU344" s="339">
        <f>'DATA (Real)'!AU340</f>
        <v>0.95</v>
      </c>
      <c r="AV344" s="339">
        <f>'DATA (Real)'!AV340</f>
        <v>0.95</v>
      </c>
      <c r="AW344" s="339">
        <f>'DATA (Real)'!AW340</f>
        <v>0.95</v>
      </c>
      <c r="AX344" s="339">
        <f>'DATA (Real)'!AX340</f>
        <v>0.95</v>
      </c>
      <c r="AY344" s="339">
        <f>'DATA (Real)'!AY340</f>
        <v>0.95</v>
      </c>
      <c r="AZ344" s="339">
        <f>'DATA (Real)'!AZ340</f>
        <v>0.95</v>
      </c>
      <c r="BA344" s="339">
        <f>'DATA (Real)'!BA340</f>
        <v>0.95</v>
      </c>
      <c r="BB344" s="339">
        <f>'DATA (Real)'!BB340</f>
        <v>0.95</v>
      </c>
      <c r="BC344" s="339">
        <f>'DATA (Real)'!BC340</f>
        <v>0.95</v>
      </c>
      <c r="BD344" s="339">
        <f>'DATA (Real)'!BD340</f>
        <v>0.95</v>
      </c>
      <c r="BE344" s="339">
        <f>'DATA (Real)'!BE340</f>
        <v>0.95</v>
      </c>
      <c r="BF344" s="339">
        <f>'DATA (Real)'!BF340</f>
        <v>0.95</v>
      </c>
      <c r="BG344" s="339">
        <f>'DATA (Real)'!BG340</f>
        <v>0.95</v>
      </c>
      <c r="BH344" s="339">
        <f>'DATA (Real)'!BH340</f>
        <v>0.95</v>
      </c>
      <c r="BI344" s="339">
        <f>'DATA (Real)'!BI340</f>
        <v>0.95</v>
      </c>
      <c r="BJ344" s="339">
        <f>'DATA (Real)'!BJ340</f>
        <v>0.95</v>
      </c>
      <c r="BK344" s="339">
        <f>'DATA (Real)'!BK340</f>
        <v>0.95</v>
      </c>
      <c r="BL344" s="339">
        <f>'DATA (Real)'!BL340</f>
        <v>0.95</v>
      </c>
      <c r="BM344" s="339">
        <f>'DATA (Real)'!BM340</f>
        <v>0.95</v>
      </c>
      <c r="BN344" s="339">
        <f>'DATA (Real)'!BN340</f>
        <v>0.95</v>
      </c>
      <c r="BO344" s="339">
        <f>'DATA (Real)'!BO340</f>
        <v>0.95</v>
      </c>
      <c r="BP344" s="339">
        <f>'DATA (Real)'!BP340</f>
        <v>0.95</v>
      </c>
      <c r="BQ344" s="339">
        <f>'DATA (Real)'!BQ340</f>
        <v>0.95</v>
      </c>
      <c r="BR344" s="339">
        <f>'DATA (Real)'!BR340</f>
        <v>0.95</v>
      </c>
      <c r="BS344" s="339">
        <f>'DATA (Real)'!BS340</f>
        <v>0.95</v>
      </c>
      <c r="BT344" s="339">
        <f>'DATA (Real)'!BT340</f>
        <v>0.95</v>
      </c>
      <c r="BU344" s="339">
        <f>'DATA (Real)'!BU340</f>
        <v>0.95</v>
      </c>
      <c r="BV344" s="339">
        <f>'DATA (Real)'!BV340</f>
        <v>0.95</v>
      </c>
      <c r="BW344" s="339">
        <f>'DATA (Real)'!BW340</f>
        <v>0.95</v>
      </c>
      <c r="BX344" s="339">
        <f>'DATA (Real)'!BX340</f>
        <v>0.95</v>
      </c>
    </row>
    <row r="345" spans="2:76" hidden="1" outlineLevel="1">
      <c r="B345" s="352"/>
      <c r="C345" s="352" t="str">
        <f>'DATA (Real)'!C341</f>
        <v>Internal</v>
      </c>
      <c r="D345" s="352" t="str">
        <f>'DATA (Real)'!D341</f>
        <v>Tax Dep Rate</v>
      </c>
      <c r="E345" s="352" t="str">
        <f>'DATA (Real)'!E341</f>
        <v>Commercial Solar</v>
      </c>
      <c r="F345" s="339">
        <f>'DATA (Real)'!F341</f>
        <v>0</v>
      </c>
      <c r="G345" s="339">
        <f>'DATA (Real)'!G341</f>
        <v>0</v>
      </c>
      <c r="H345" s="339">
        <f>'DATA (Real)'!H341</f>
        <v>0.85</v>
      </c>
      <c r="I345" s="339">
        <f>'DATA (Real)'!I341</f>
        <v>0.85</v>
      </c>
      <c r="J345" s="339">
        <f>'DATA (Real)'!J341</f>
        <v>0.85</v>
      </c>
      <c r="K345" s="339">
        <f>'DATA (Real)'!K341</f>
        <v>0.85</v>
      </c>
      <c r="L345" s="339">
        <f>'DATA (Real)'!L341</f>
        <v>0.85</v>
      </c>
      <c r="M345" s="339">
        <f>'DATA (Real)'!M341</f>
        <v>0.85</v>
      </c>
      <c r="N345" s="339">
        <f>'DATA (Real)'!N341</f>
        <v>0.85</v>
      </c>
      <c r="O345" s="339">
        <f>'DATA (Real)'!O341</f>
        <v>0.85</v>
      </c>
      <c r="P345" s="339">
        <f>'DATA (Real)'!P341</f>
        <v>0.85</v>
      </c>
      <c r="Q345" s="339">
        <f>'DATA (Real)'!Q341</f>
        <v>0.85</v>
      </c>
      <c r="R345" s="339">
        <f>'DATA (Real)'!R341</f>
        <v>0.85</v>
      </c>
      <c r="S345" s="339">
        <f>'DATA (Real)'!S341</f>
        <v>0.85</v>
      </c>
      <c r="T345" s="339">
        <f>'DATA (Real)'!T341</f>
        <v>0.85</v>
      </c>
      <c r="U345" s="339">
        <f>'DATA (Real)'!U341</f>
        <v>0.95</v>
      </c>
      <c r="V345" s="339">
        <f>'DATA (Real)'!V341</f>
        <v>0.95</v>
      </c>
      <c r="W345" s="339">
        <f>'DATA (Real)'!W341</f>
        <v>0.95</v>
      </c>
      <c r="X345" s="339">
        <f>'DATA (Real)'!X341</f>
        <v>0.95</v>
      </c>
      <c r="Y345" s="339">
        <f>'DATA (Real)'!Y341</f>
        <v>0.95</v>
      </c>
      <c r="Z345" s="339">
        <f>'DATA (Real)'!Z341</f>
        <v>0.95</v>
      </c>
      <c r="AA345" s="339">
        <f>'DATA (Real)'!AA341</f>
        <v>0.95</v>
      </c>
      <c r="AB345" s="339">
        <f>'DATA (Real)'!AB341</f>
        <v>0.95</v>
      </c>
      <c r="AC345" s="339">
        <f>'DATA (Real)'!AC341</f>
        <v>0.95</v>
      </c>
      <c r="AD345" s="339">
        <f>'DATA (Real)'!AD341</f>
        <v>0.95</v>
      </c>
      <c r="AE345" s="339">
        <f>'DATA (Real)'!AE341</f>
        <v>0.95</v>
      </c>
      <c r="AF345" s="339">
        <f>'DATA (Real)'!AF341</f>
        <v>0.95</v>
      </c>
      <c r="AG345" s="339">
        <f>'DATA (Real)'!AG341</f>
        <v>0.95</v>
      </c>
      <c r="AH345" s="339">
        <f>'DATA (Real)'!AH341</f>
        <v>0.95</v>
      </c>
      <c r="AI345" s="339">
        <f>'DATA (Real)'!AI341</f>
        <v>0.95</v>
      </c>
      <c r="AJ345" s="339">
        <f>'DATA (Real)'!AJ341</f>
        <v>0.95</v>
      </c>
      <c r="AK345" s="339">
        <f>'DATA (Real)'!AK341</f>
        <v>0.95</v>
      </c>
      <c r="AL345" s="339">
        <f>'DATA (Real)'!AL341</f>
        <v>0.95</v>
      </c>
      <c r="AM345" s="339">
        <f>'DATA (Real)'!AM341</f>
        <v>0.95</v>
      </c>
      <c r="AN345" s="339">
        <f>'DATA (Real)'!AN341</f>
        <v>0.95</v>
      </c>
      <c r="AO345" s="339">
        <f>'DATA (Real)'!AO341</f>
        <v>0.95</v>
      </c>
      <c r="AP345" s="339">
        <f>'DATA (Real)'!AP341</f>
        <v>0.95</v>
      </c>
      <c r="AQ345" s="339">
        <f>'DATA (Real)'!AQ341</f>
        <v>0.95</v>
      </c>
      <c r="AR345" s="339">
        <f>'DATA (Real)'!AR341</f>
        <v>0.95</v>
      </c>
      <c r="AS345" s="339">
        <f>'DATA (Real)'!AS341</f>
        <v>0.95</v>
      </c>
      <c r="AT345" s="339">
        <f>'DATA (Real)'!AT341</f>
        <v>0.95</v>
      </c>
      <c r="AU345" s="339">
        <f>'DATA (Real)'!AU341</f>
        <v>0.95</v>
      </c>
      <c r="AV345" s="339">
        <f>'DATA (Real)'!AV341</f>
        <v>0.95</v>
      </c>
      <c r="AW345" s="339">
        <f>'DATA (Real)'!AW341</f>
        <v>0.95</v>
      </c>
      <c r="AX345" s="339">
        <f>'DATA (Real)'!AX341</f>
        <v>0.95</v>
      </c>
      <c r="AY345" s="339">
        <f>'DATA (Real)'!AY341</f>
        <v>0.95</v>
      </c>
      <c r="AZ345" s="339">
        <f>'DATA (Real)'!AZ341</f>
        <v>0.95</v>
      </c>
      <c r="BA345" s="339">
        <f>'DATA (Real)'!BA341</f>
        <v>0.95</v>
      </c>
      <c r="BB345" s="339">
        <f>'DATA (Real)'!BB341</f>
        <v>0.95</v>
      </c>
      <c r="BC345" s="339">
        <f>'DATA (Real)'!BC341</f>
        <v>0.95</v>
      </c>
      <c r="BD345" s="339">
        <f>'DATA (Real)'!BD341</f>
        <v>0.95</v>
      </c>
      <c r="BE345" s="339">
        <f>'DATA (Real)'!BE341</f>
        <v>0.95</v>
      </c>
      <c r="BF345" s="339">
        <f>'DATA (Real)'!BF341</f>
        <v>0.95</v>
      </c>
      <c r="BG345" s="339">
        <f>'DATA (Real)'!BG341</f>
        <v>0.95</v>
      </c>
      <c r="BH345" s="339">
        <f>'DATA (Real)'!BH341</f>
        <v>0.95</v>
      </c>
      <c r="BI345" s="339">
        <f>'DATA (Real)'!BI341</f>
        <v>0.95</v>
      </c>
      <c r="BJ345" s="339">
        <f>'DATA (Real)'!BJ341</f>
        <v>0.95</v>
      </c>
      <c r="BK345" s="339">
        <f>'DATA (Real)'!BK341</f>
        <v>0.95</v>
      </c>
      <c r="BL345" s="339">
        <f>'DATA (Real)'!BL341</f>
        <v>0.95</v>
      </c>
      <c r="BM345" s="339">
        <f>'DATA (Real)'!BM341</f>
        <v>0.95</v>
      </c>
      <c r="BN345" s="339">
        <f>'DATA (Real)'!BN341</f>
        <v>0.95</v>
      </c>
      <c r="BO345" s="339">
        <f>'DATA (Real)'!BO341</f>
        <v>0.95</v>
      </c>
      <c r="BP345" s="339">
        <f>'DATA (Real)'!BP341</f>
        <v>0.95</v>
      </c>
      <c r="BQ345" s="339">
        <f>'DATA (Real)'!BQ341</f>
        <v>0.95</v>
      </c>
      <c r="BR345" s="339">
        <f>'DATA (Real)'!BR341</f>
        <v>0.95</v>
      </c>
      <c r="BS345" s="339">
        <f>'DATA (Real)'!BS341</f>
        <v>0.95</v>
      </c>
      <c r="BT345" s="339">
        <f>'DATA (Real)'!BT341</f>
        <v>0.95</v>
      </c>
      <c r="BU345" s="339">
        <f>'DATA (Real)'!BU341</f>
        <v>0.95</v>
      </c>
      <c r="BV345" s="339">
        <f>'DATA (Real)'!BV341</f>
        <v>0.95</v>
      </c>
      <c r="BW345" s="339">
        <f>'DATA (Real)'!BW341</f>
        <v>0.95</v>
      </c>
      <c r="BX345" s="339">
        <f>'DATA (Real)'!BX341</f>
        <v>0.95</v>
      </c>
    </row>
    <row r="346" spans="2:76" hidden="1" outlineLevel="1">
      <c r="B346" s="352"/>
      <c r="C346" s="352" t="str">
        <f>'DATA (Real)'!C342</f>
        <v>Internal</v>
      </c>
      <c r="D346" s="352" t="str">
        <f>'DATA (Real)'!D342</f>
        <v>Tax Dep Rate</v>
      </c>
      <c r="E346" s="352" t="str">
        <f>'DATA (Real)'!E342</f>
        <v>Commercial Solar + Storage</v>
      </c>
      <c r="F346" s="339">
        <f>'DATA (Real)'!F342</f>
        <v>0</v>
      </c>
      <c r="G346" s="339">
        <f>'DATA (Real)'!G342</f>
        <v>0</v>
      </c>
      <c r="H346" s="339">
        <f>'DATA (Real)'!H342</f>
        <v>0.85</v>
      </c>
      <c r="I346" s="339">
        <f>'DATA (Real)'!I342</f>
        <v>0.85</v>
      </c>
      <c r="J346" s="339">
        <f>'DATA (Real)'!J342</f>
        <v>0.85</v>
      </c>
      <c r="K346" s="339">
        <f>'DATA (Real)'!K342</f>
        <v>0.85</v>
      </c>
      <c r="L346" s="339">
        <f>'DATA (Real)'!L342</f>
        <v>0.85</v>
      </c>
      <c r="M346" s="339">
        <f>'DATA (Real)'!M342</f>
        <v>0.85</v>
      </c>
      <c r="N346" s="339">
        <f>'DATA (Real)'!N342</f>
        <v>0.85</v>
      </c>
      <c r="O346" s="339">
        <f>'DATA (Real)'!O342</f>
        <v>0.85</v>
      </c>
      <c r="P346" s="339">
        <f>'DATA (Real)'!P342</f>
        <v>0.85</v>
      </c>
      <c r="Q346" s="339">
        <f>'DATA (Real)'!Q342</f>
        <v>0.85</v>
      </c>
      <c r="R346" s="339">
        <f>'DATA (Real)'!R342</f>
        <v>0.85</v>
      </c>
      <c r="S346" s="339">
        <f>'DATA (Real)'!S342</f>
        <v>0.85</v>
      </c>
      <c r="T346" s="339">
        <f>'DATA (Real)'!T342</f>
        <v>0.85</v>
      </c>
      <c r="U346" s="339">
        <f>'DATA (Real)'!U342</f>
        <v>0.95</v>
      </c>
      <c r="V346" s="339">
        <f>'DATA (Real)'!V342</f>
        <v>0.95</v>
      </c>
      <c r="W346" s="339">
        <f>'DATA (Real)'!W342</f>
        <v>0.95</v>
      </c>
      <c r="X346" s="339">
        <f>'DATA (Real)'!X342</f>
        <v>0.95</v>
      </c>
      <c r="Y346" s="339">
        <f>'DATA (Real)'!Y342</f>
        <v>0.95</v>
      </c>
      <c r="Z346" s="339">
        <f>'DATA (Real)'!Z342</f>
        <v>0.95</v>
      </c>
      <c r="AA346" s="339">
        <f>'DATA (Real)'!AA342</f>
        <v>0.95</v>
      </c>
      <c r="AB346" s="339">
        <f>'DATA (Real)'!AB342</f>
        <v>0.95</v>
      </c>
      <c r="AC346" s="339">
        <f>'DATA (Real)'!AC342</f>
        <v>0.95</v>
      </c>
      <c r="AD346" s="339">
        <f>'DATA (Real)'!AD342</f>
        <v>0.95</v>
      </c>
      <c r="AE346" s="339">
        <f>'DATA (Real)'!AE342</f>
        <v>0.95</v>
      </c>
      <c r="AF346" s="339">
        <f>'DATA (Real)'!AF342</f>
        <v>0.95</v>
      </c>
      <c r="AG346" s="339">
        <f>'DATA (Real)'!AG342</f>
        <v>0.95</v>
      </c>
      <c r="AH346" s="339">
        <f>'DATA (Real)'!AH342</f>
        <v>0.95</v>
      </c>
      <c r="AI346" s="339">
        <f>'DATA (Real)'!AI342</f>
        <v>0.95</v>
      </c>
      <c r="AJ346" s="339">
        <f>'DATA (Real)'!AJ342</f>
        <v>0.95</v>
      </c>
      <c r="AK346" s="339">
        <f>'DATA (Real)'!AK342</f>
        <v>0.95</v>
      </c>
      <c r="AL346" s="339">
        <f>'DATA (Real)'!AL342</f>
        <v>0.95</v>
      </c>
      <c r="AM346" s="339">
        <f>'DATA (Real)'!AM342</f>
        <v>0.95</v>
      </c>
      <c r="AN346" s="339">
        <f>'DATA (Real)'!AN342</f>
        <v>0.95</v>
      </c>
      <c r="AO346" s="339">
        <f>'DATA (Real)'!AO342</f>
        <v>0.95</v>
      </c>
      <c r="AP346" s="339">
        <f>'DATA (Real)'!AP342</f>
        <v>0.95</v>
      </c>
      <c r="AQ346" s="339">
        <f>'DATA (Real)'!AQ342</f>
        <v>0.95</v>
      </c>
      <c r="AR346" s="339">
        <f>'DATA (Real)'!AR342</f>
        <v>0.95</v>
      </c>
      <c r="AS346" s="339">
        <f>'DATA (Real)'!AS342</f>
        <v>0.95</v>
      </c>
      <c r="AT346" s="339">
        <f>'DATA (Real)'!AT342</f>
        <v>0.95</v>
      </c>
      <c r="AU346" s="339">
        <f>'DATA (Real)'!AU342</f>
        <v>0.95</v>
      </c>
      <c r="AV346" s="339">
        <f>'DATA (Real)'!AV342</f>
        <v>0.95</v>
      </c>
      <c r="AW346" s="339">
        <f>'DATA (Real)'!AW342</f>
        <v>0.95</v>
      </c>
      <c r="AX346" s="339">
        <f>'DATA (Real)'!AX342</f>
        <v>0.95</v>
      </c>
      <c r="AY346" s="339">
        <f>'DATA (Real)'!AY342</f>
        <v>0.95</v>
      </c>
      <c r="AZ346" s="339">
        <f>'DATA (Real)'!AZ342</f>
        <v>0.95</v>
      </c>
      <c r="BA346" s="339">
        <f>'DATA (Real)'!BA342</f>
        <v>0.95</v>
      </c>
      <c r="BB346" s="339">
        <f>'DATA (Real)'!BB342</f>
        <v>0.95</v>
      </c>
      <c r="BC346" s="339">
        <f>'DATA (Real)'!BC342</f>
        <v>0.95</v>
      </c>
      <c r="BD346" s="339">
        <f>'DATA (Real)'!BD342</f>
        <v>0.95</v>
      </c>
      <c r="BE346" s="339">
        <f>'DATA (Real)'!BE342</f>
        <v>0.95</v>
      </c>
      <c r="BF346" s="339">
        <f>'DATA (Real)'!BF342</f>
        <v>0.95</v>
      </c>
      <c r="BG346" s="339">
        <f>'DATA (Real)'!BG342</f>
        <v>0.95</v>
      </c>
      <c r="BH346" s="339">
        <f>'DATA (Real)'!BH342</f>
        <v>0.95</v>
      </c>
      <c r="BI346" s="339">
        <f>'DATA (Real)'!BI342</f>
        <v>0.95</v>
      </c>
      <c r="BJ346" s="339">
        <f>'DATA (Real)'!BJ342</f>
        <v>0.95</v>
      </c>
      <c r="BK346" s="339">
        <f>'DATA (Real)'!BK342</f>
        <v>0.95</v>
      </c>
      <c r="BL346" s="339">
        <f>'DATA (Real)'!BL342</f>
        <v>0.95</v>
      </c>
      <c r="BM346" s="339">
        <f>'DATA (Real)'!BM342</f>
        <v>0.95</v>
      </c>
      <c r="BN346" s="339">
        <f>'DATA (Real)'!BN342</f>
        <v>0.95</v>
      </c>
      <c r="BO346" s="339">
        <f>'DATA (Real)'!BO342</f>
        <v>0.95</v>
      </c>
      <c r="BP346" s="339">
        <f>'DATA (Real)'!BP342</f>
        <v>0.95</v>
      </c>
      <c r="BQ346" s="339">
        <f>'DATA (Real)'!BQ342</f>
        <v>0.95</v>
      </c>
      <c r="BR346" s="339">
        <f>'DATA (Real)'!BR342</f>
        <v>0.95</v>
      </c>
      <c r="BS346" s="339">
        <f>'DATA (Real)'!BS342</f>
        <v>0.95</v>
      </c>
      <c r="BT346" s="339">
        <f>'DATA (Real)'!BT342</f>
        <v>0.95</v>
      </c>
      <c r="BU346" s="339">
        <f>'DATA (Real)'!BU342</f>
        <v>0.95</v>
      </c>
      <c r="BV346" s="339">
        <f>'DATA (Real)'!BV342</f>
        <v>0.95</v>
      </c>
      <c r="BW346" s="339">
        <f>'DATA (Real)'!BW342</f>
        <v>0.95</v>
      </c>
      <c r="BX346" s="339">
        <f>'DATA (Real)'!BX342</f>
        <v>0.95</v>
      </c>
    </row>
    <row r="347" spans="2:76" hidden="1" outlineLevel="1">
      <c r="B347" s="352"/>
      <c r="C347" s="352" t="str">
        <f>'DATA (Real)'!C343</f>
        <v>Internal</v>
      </c>
      <c r="D347" s="352" t="str">
        <f>'DATA (Real)'!D343</f>
        <v>Tax Dep Rate</v>
      </c>
      <c r="E347" s="352" t="str">
        <f>'DATA (Real)'!E343</f>
        <v>Solar Photovoltaic Fixed Array (5 MW AC)</v>
      </c>
      <c r="F347" s="339">
        <f>'DATA (Real)'!F343</f>
        <v>0</v>
      </c>
      <c r="G347" s="339">
        <f>'DATA (Real)'!G343</f>
        <v>0</v>
      </c>
      <c r="H347" s="339">
        <f>'DATA (Real)'!H343</f>
        <v>0.85</v>
      </c>
      <c r="I347" s="339">
        <f>'DATA (Real)'!I343</f>
        <v>0.85</v>
      </c>
      <c r="J347" s="339">
        <f>'DATA (Real)'!J343</f>
        <v>0.85</v>
      </c>
      <c r="K347" s="339">
        <f>'DATA (Real)'!K343</f>
        <v>0.85</v>
      </c>
      <c r="L347" s="339">
        <f>'DATA (Real)'!L343</f>
        <v>0.85</v>
      </c>
      <c r="M347" s="339">
        <f>'DATA (Real)'!M343</f>
        <v>0.85</v>
      </c>
      <c r="N347" s="339">
        <f>'DATA (Real)'!N343</f>
        <v>0.85</v>
      </c>
      <c r="O347" s="339">
        <f>'DATA (Real)'!O343</f>
        <v>0.85</v>
      </c>
      <c r="P347" s="339">
        <f>'DATA (Real)'!P343</f>
        <v>0.85</v>
      </c>
      <c r="Q347" s="339">
        <f>'DATA (Real)'!Q343</f>
        <v>0.85</v>
      </c>
      <c r="R347" s="339">
        <f>'DATA (Real)'!R343</f>
        <v>0.85</v>
      </c>
      <c r="S347" s="339">
        <f>'DATA (Real)'!S343</f>
        <v>0.85</v>
      </c>
      <c r="T347" s="339">
        <f>'DATA (Real)'!T343</f>
        <v>0.85</v>
      </c>
      <c r="U347" s="339">
        <f>'DATA (Real)'!U343</f>
        <v>0.95</v>
      </c>
      <c r="V347" s="339">
        <f>'DATA (Real)'!V343</f>
        <v>0.95</v>
      </c>
      <c r="W347" s="339">
        <f>'DATA (Real)'!W343</f>
        <v>0.95</v>
      </c>
      <c r="X347" s="339">
        <f>'DATA (Real)'!X343</f>
        <v>0.95</v>
      </c>
      <c r="Y347" s="339">
        <f>'DATA (Real)'!Y343</f>
        <v>0.95</v>
      </c>
      <c r="Z347" s="339">
        <f>'DATA (Real)'!Z343</f>
        <v>0.95</v>
      </c>
      <c r="AA347" s="339">
        <f>'DATA (Real)'!AA343</f>
        <v>0.95</v>
      </c>
      <c r="AB347" s="339">
        <f>'DATA (Real)'!AB343</f>
        <v>0.95</v>
      </c>
      <c r="AC347" s="339">
        <f>'DATA (Real)'!AC343</f>
        <v>0.95</v>
      </c>
      <c r="AD347" s="339">
        <f>'DATA (Real)'!AD343</f>
        <v>0.95</v>
      </c>
      <c r="AE347" s="339">
        <f>'DATA (Real)'!AE343</f>
        <v>0.95</v>
      </c>
      <c r="AF347" s="339">
        <f>'DATA (Real)'!AF343</f>
        <v>0.95</v>
      </c>
      <c r="AG347" s="339">
        <f>'DATA (Real)'!AG343</f>
        <v>0.95</v>
      </c>
      <c r="AH347" s="339">
        <f>'DATA (Real)'!AH343</f>
        <v>0.95</v>
      </c>
      <c r="AI347" s="339">
        <f>'DATA (Real)'!AI343</f>
        <v>0.95</v>
      </c>
      <c r="AJ347" s="339">
        <f>'DATA (Real)'!AJ343</f>
        <v>0.95</v>
      </c>
      <c r="AK347" s="339">
        <f>'DATA (Real)'!AK343</f>
        <v>0.95</v>
      </c>
      <c r="AL347" s="339">
        <f>'DATA (Real)'!AL343</f>
        <v>0.95</v>
      </c>
      <c r="AM347" s="339">
        <f>'DATA (Real)'!AM343</f>
        <v>0.95</v>
      </c>
      <c r="AN347" s="339">
        <f>'DATA (Real)'!AN343</f>
        <v>0.95</v>
      </c>
      <c r="AO347" s="339">
        <f>'DATA (Real)'!AO343</f>
        <v>0.95</v>
      </c>
      <c r="AP347" s="339">
        <f>'DATA (Real)'!AP343</f>
        <v>0.95</v>
      </c>
      <c r="AQ347" s="339">
        <f>'DATA (Real)'!AQ343</f>
        <v>0.95</v>
      </c>
      <c r="AR347" s="339">
        <f>'DATA (Real)'!AR343</f>
        <v>0.95</v>
      </c>
      <c r="AS347" s="339">
        <f>'DATA (Real)'!AS343</f>
        <v>0.95</v>
      </c>
      <c r="AT347" s="339">
        <f>'DATA (Real)'!AT343</f>
        <v>0.95</v>
      </c>
      <c r="AU347" s="339">
        <f>'DATA (Real)'!AU343</f>
        <v>0.95</v>
      </c>
      <c r="AV347" s="339">
        <f>'DATA (Real)'!AV343</f>
        <v>0.95</v>
      </c>
      <c r="AW347" s="339">
        <f>'DATA (Real)'!AW343</f>
        <v>0.95</v>
      </c>
      <c r="AX347" s="339">
        <f>'DATA (Real)'!AX343</f>
        <v>0.95</v>
      </c>
      <c r="AY347" s="339">
        <f>'DATA (Real)'!AY343</f>
        <v>0.95</v>
      </c>
      <c r="AZ347" s="339">
        <f>'DATA (Real)'!AZ343</f>
        <v>0.95</v>
      </c>
      <c r="BA347" s="339">
        <f>'DATA (Real)'!BA343</f>
        <v>0.95</v>
      </c>
      <c r="BB347" s="339">
        <f>'DATA (Real)'!BB343</f>
        <v>0.95</v>
      </c>
      <c r="BC347" s="339">
        <f>'DATA (Real)'!BC343</f>
        <v>0.95</v>
      </c>
      <c r="BD347" s="339">
        <f>'DATA (Real)'!BD343</f>
        <v>0.95</v>
      </c>
      <c r="BE347" s="339">
        <f>'DATA (Real)'!BE343</f>
        <v>0.95</v>
      </c>
      <c r="BF347" s="339">
        <f>'DATA (Real)'!BF343</f>
        <v>0.95</v>
      </c>
      <c r="BG347" s="339">
        <f>'DATA (Real)'!BG343</f>
        <v>0.95</v>
      </c>
      <c r="BH347" s="339">
        <f>'DATA (Real)'!BH343</f>
        <v>0.95</v>
      </c>
      <c r="BI347" s="339">
        <f>'DATA (Real)'!BI343</f>
        <v>0.95</v>
      </c>
      <c r="BJ347" s="339">
        <f>'DATA (Real)'!BJ343</f>
        <v>0.95</v>
      </c>
      <c r="BK347" s="339">
        <f>'DATA (Real)'!BK343</f>
        <v>0.95</v>
      </c>
      <c r="BL347" s="339">
        <f>'DATA (Real)'!BL343</f>
        <v>0.95</v>
      </c>
      <c r="BM347" s="339">
        <f>'DATA (Real)'!BM343</f>
        <v>0.95</v>
      </c>
      <c r="BN347" s="339">
        <f>'DATA (Real)'!BN343</f>
        <v>0.95</v>
      </c>
      <c r="BO347" s="339">
        <f>'DATA (Real)'!BO343</f>
        <v>0.95</v>
      </c>
      <c r="BP347" s="339">
        <f>'DATA (Real)'!BP343</f>
        <v>0.95</v>
      </c>
      <c r="BQ347" s="339">
        <f>'DATA (Real)'!BQ343</f>
        <v>0.95</v>
      </c>
      <c r="BR347" s="339">
        <f>'DATA (Real)'!BR343</f>
        <v>0.95</v>
      </c>
      <c r="BS347" s="339">
        <f>'DATA (Real)'!BS343</f>
        <v>0.95</v>
      </c>
      <c r="BT347" s="339">
        <f>'DATA (Real)'!BT343</f>
        <v>0.95</v>
      </c>
      <c r="BU347" s="339">
        <f>'DATA (Real)'!BU343</f>
        <v>0.95</v>
      </c>
      <c r="BV347" s="339">
        <f>'DATA (Real)'!BV343</f>
        <v>0.95</v>
      </c>
      <c r="BW347" s="339">
        <f>'DATA (Real)'!BW343</f>
        <v>0.95</v>
      </c>
      <c r="BX347" s="339">
        <f>'DATA (Real)'!BX343</f>
        <v>0.95</v>
      </c>
    </row>
    <row r="348" spans="2:76" hidden="1" outlineLevel="1">
      <c r="B348" s="352"/>
      <c r="C348" s="352" t="str">
        <f>'DATA (Real)'!C344</f>
        <v>Internal</v>
      </c>
      <c r="D348" s="352" t="str">
        <f>'DATA (Real)'!D344</f>
        <v>Tax Dep Rate</v>
      </c>
      <c r="E348" s="352" t="str">
        <f>'DATA (Real)'!E344</f>
        <v>Solar Photovoltaic Fixed Array (5 MW AC) + Storage</v>
      </c>
      <c r="F348" s="339">
        <f>'DATA (Real)'!F344</f>
        <v>0</v>
      </c>
      <c r="G348" s="339">
        <f>'DATA (Real)'!G344</f>
        <v>0</v>
      </c>
      <c r="H348" s="339">
        <f>'DATA (Real)'!H344</f>
        <v>0.85</v>
      </c>
      <c r="I348" s="339">
        <f>'DATA (Real)'!I344</f>
        <v>0.85</v>
      </c>
      <c r="J348" s="339">
        <f>'DATA (Real)'!J344</f>
        <v>0.85</v>
      </c>
      <c r="K348" s="339">
        <f>'DATA (Real)'!K344</f>
        <v>0.85</v>
      </c>
      <c r="L348" s="339">
        <f>'DATA (Real)'!L344</f>
        <v>0.85</v>
      </c>
      <c r="M348" s="339">
        <f>'DATA (Real)'!M344</f>
        <v>0.85</v>
      </c>
      <c r="N348" s="339">
        <f>'DATA (Real)'!N344</f>
        <v>0.85</v>
      </c>
      <c r="O348" s="339">
        <f>'DATA (Real)'!O344</f>
        <v>0.85</v>
      </c>
      <c r="P348" s="339">
        <f>'DATA (Real)'!P344</f>
        <v>0.85</v>
      </c>
      <c r="Q348" s="339">
        <f>'DATA (Real)'!Q344</f>
        <v>0.85</v>
      </c>
      <c r="R348" s="339">
        <f>'DATA (Real)'!R344</f>
        <v>0.85</v>
      </c>
      <c r="S348" s="339">
        <f>'DATA (Real)'!S344</f>
        <v>0.85</v>
      </c>
      <c r="T348" s="339">
        <f>'DATA (Real)'!T344</f>
        <v>0.85</v>
      </c>
      <c r="U348" s="339">
        <f>'DATA (Real)'!U344</f>
        <v>0.95</v>
      </c>
      <c r="V348" s="339">
        <f>'DATA (Real)'!V344</f>
        <v>0.95</v>
      </c>
      <c r="W348" s="339">
        <f>'DATA (Real)'!W344</f>
        <v>0.95</v>
      </c>
      <c r="X348" s="339">
        <f>'DATA (Real)'!X344</f>
        <v>0.95</v>
      </c>
      <c r="Y348" s="339">
        <f>'DATA (Real)'!Y344</f>
        <v>0.95</v>
      </c>
      <c r="Z348" s="339">
        <f>'DATA (Real)'!Z344</f>
        <v>0.95</v>
      </c>
      <c r="AA348" s="339">
        <f>'DATA (Real)'!AA344</f>
        <v>0.95</v>
      </c>
      <c r="AB348" s="339">
        <f>'DATA (Real)'!AB344</f>
        <v>0.95</v>
      </c>
      <c r="AC348" s="339">
        <f>'DATA (Real)'!AC344</f>
        <v>0.95</v>
      </c>
      <c r="AD348" s="339">
        <f>'DATA (Real)'!AD344</f>
        <v>0.95</v>
      </c>
      <c r="AE348" s="339">
        <f>'DATA (Real)'!AE344</f>
        <v>0.95</v>
      </c>
      <c r="AF348" s="339">
        <f>'DATA (Real)'!AF344</f>
        <v>0.95</v>
      </c>
      <c r="AG348" s="339">
        <f>'DATA (Real)'!AG344</f>
        <v>0.95</v>
      </c>
      <c r="AH348" s="339">
        <f>'DATA (Real)'!AH344</f>
        <v>0.95</v>
      </c>
      <c r="AI348" s="339">
        <f>'DATA (Real)'!AI344</f>
        <v>0.95</v>
      </c>
      <c r="AJ348" s="339">
        <f>'DATA (Real)'!AJ344</f>
        <v>0.95</v>
      </c>
      <c r="AK348" s="339">
        <f>'DATA (Real)'!AK344</f>
        <v>0.95</v>
      </c>
      <c r="AL348" s="339">
        <f>'DATA (Real)'!AL344</f>
        <v>0.95</v>
      </c>
      <c r="AM348" s="339">
        <f>'DATA (Real)'!AM344</f>
        <v>0.95</v>
      </c>
      <c r="AN348" s="339">
        <f>'DATA (Real)'!AN344</f>
        <v>0.95</v>
      </c>
      <c r="AO348" s="339">
        <f>'DATA (Real)'!AO344</f>
        <v>0.95</v>
      </c>
      <c r="AP348" s="339">
        <f>'DATA (Real)'!AP344</f>
        <v>0.95</v>
      </c>
      <c r="AQ348" s="339">
        <f>'DATA (Real)'!AQ344</f>
        <v>0.95</v>
      </c>
      <c r="AR348" s="339">
        <f>'DATA (Real)'!AR344</f>
        <v>0.95</v>
      </c>
      <c r="AS348" s="339">
        <f>'DATA (Real)'!AS344</f>
        <v>0.95</v>
      </c>
      <c r="AT348" s="339">
        <f>'DATA (Real)'!AT344</f>
        <v>0.95</v>
      </c>
      <c r="AU348" s="339">
        <f>'DATA (Real)'!AU344</f>
        <v>0.95</v>
      </c>
      <c r="AV348" s="339">
        <f>'DATA (Real)'!AV344</f>
        <v>0.95</v>
      </c>
      <c r="AW348" s="339">
        <f>'DATA (Real)'!AW344</f>
        <v>0.95</v>
      </c>
      <c r="AX348" s="339">
        <f>'DATA (Real)'!AX344</f>
        <v>0.95</v>
      </c>
      <c r="AY348" s="339">
        <f>'DATA (Real)'!AY344</f>
        <v>0.95</v>
      </c>
      <c r="AZ348" s="339">
        <f>'DATA (Real)'!AZ344</f>
        <v>0.95</v>
      </c>
      <c r="BA348" s="339">
        <f>'DATA (Real)'!BA344</f>
        <v>0.95</v>
      </c>
      <c r="BB348" s="339">
        <f>'DATA (Real)'!BB344</f>
        <v>0.95</v>
      </c>
      <c r="BC348" s="339">
        <f>'DATA (Real)'!BC344</f>
        <v>0.95</v>
      </c>
      <c r="BD348" s="339">
        <f>'DATA (Real)'!BD344</f>
        <v>0.95</v>
      </c>
      <c r="BE348" s="339">
        <f>'DATA (Real)'!BE344</f>
        <v>0.95</v>
      </c>
      <c r="BF348" s="339">
        <f>'DATA (Real)'!BF344</f>
        <v>0.95</v>
      </c>
      <c r="BG348" s="339">
        <f>'DATA (Real)'!BG344</f>
        <v>0.95</v>
      </c>
      <c r="BH348" s="339">
        <f>'DATA (Real)'!BH344</f>
        <v>0.95</v>
      </c>
      <c r="BI348" s="339">
        <f>'DATA (Real)'!BI344</f>
        <v>0.95</v>
      </c>
      <c r="BJ348" s="339">
        <f>'DATA (Real)'!BJ344</f>
        <v>0.95</v>
      </c>
      <c r="BK348" s="339">
        <f>'DATA (Real)'!BK344</f>
        <v>0.95</v>
      </c>
      <c r="BL348" s="339">
        <f>'DATA (Real)'!BL344</f>
        <v>0.95</v>
      </c>
      <c r="BM348" s="339">
        <f>'DATA (Real)'!BM344</f>
        <v>0.95</v>
      </c>
      <c r="BN348" s="339">
        <f>'DATA (Real)'!BN344</f>
        <v>0.95</v>
      </c>
      <c r="BO348" s="339">
        <f>'DATA (Real)'!BO344</f>
        <v>0.95</v>
      </c>
      <c r="BP348" s="339">
        <f>'DATA (Real)'!BP344</f>
        <v>0.95</v>
      </c>
      <c r="BQ348" s="339">
        <f>'DATA (Real)'!BQ344</f>
        <v>0.95</v>
      </c>
      <c r="BR348" s="339">
        <f>'DATA (Real)'!BR344</f>
        <v>0.95</v>
      </c>
      <c r="BS348" s="339">
        <f>'DATA (Real)'!BS344</f>
        <v>0.95</v>
      </c>
      <c r="BT348" s="339">
        <f>'DATA (Real)'!BT344</f>
        <v>0.95</v>
      </c>
      <c r="BU348" s="339">
        <f>'DATA (Real)'!BU344</f>
        <v>0.95</v>
      </c>
      <c r="BV348" s="339">
        <f>'DATA (Real)'!BV344</f>
        <v>0.95</v>
      </c>
      <c r="BW348" s="339">
        <f>'DATA (Real)'!BW344</f>
        <v>0.95</v>
      </c>
      <c r="BX348" s="339">
        <f>'DATA (Real)'!BX344</f>
        <v>0.95</v>
      </c>
    </row>
    <row r="349" spans="2:76" hidden="1" outlineLevel="1">
      <c r="B349" s="352"/>
      <c r="C349" s="352" t="str">
        <f>'DATA (Real)'!C345</f>
        <v>Internal</v>
      </c>
      <c r="D349" s="352" t="str">
        <f>'DATA (Real)'!D345</f>
        <v>Tax Dep Rate</v>
      </c>
      <c r="E349" s="352" t="str">
        <f>'DATA (Real)'!E345</f>
        <v>Solar Photovoltaic w/Single Axis Tracking (100 MW AC)</v>
      </c>
      <c r="F349" s="339">
        <f>'DATA (Real)'!F345</f>
        <v>0</v>
      </c>
      <c r="G349" s="339">
        <f>'DATA (Real)'!G345</f>
        <v>0</v>
      </c>
      <c r="H349" s="339">
        <f>'DATA (Real)'!H345</f>
        <v>0.85</v>
      </c>
      <c r="I349" s="339">
        <f>'DATA (Real)'!I345</f>
        <v>0.85</v>
      </c>
      <c r="J349" s="339">
        <f>'DATA (Real)'!J345</f>
        <v>0.85</v>
      </c>
      <c r="K349" s="339">
        <f>'DATA (Real)'!K345</f>
        <v>0.85</v>
      </c>
      <c r="L349" s="339">
        <f>'DATA (Real)'!L345</f>
        <v>0.85</v>
      </c>
      <c r="M349" s="339">
        <f>'DATA (Real)'!M345</f>
        <v>0.85</v>
      </c>
      <c r="N349" s="339">
        <f>'DATA (Real)'!N345</f>
        <v>0.85</v>
      </c>
      <c r="O349" s="339">
        <f>'DATA (Real)'!O345</f>
        <v>0.85</v>
      </c>
      <c r="P349" s="339">
        <f>'DATA (Real)'!P345</f>
        <v>0.85</v>
      </c>
      <c r="Q349" s="339">
        <f>'DATA (Real)'!Q345</f>
        <v>0.85</v>
      </c>
      <c r="R349" s="339">
        <f>'DATA (Real)'!R345</f>
        <v>0.85</v>
      </c>
      <c r="S349" s="339">
        <f>'DATA (Real)'!S345</f>
        <v>0.85</v>
      </c>
      <c r="T349" s="339">
        <f>'DATA (Real)'!T345</f>
        <v>0.85</v>
      </c>
      <c r="U349" s="339">
        <f>'DATA (Real)'!U345</f>
        <v>0.95</v>
      </c>
      <c r="V349" s="339">
        <f>'DATA (Real)'!V345</f>
        <v>0.95</v>
      </c>
      <c r="W349" s="339">
        <f>'DATA (Real)'!W345</f>
        <v>0.95</v>
      </c>
      <c r="X349" s="339">
        <f>'DATA (Real)'!X345</f>
        <v>0.95</v>
      </c>
      <c r="Y349" s="339">
        <f>'DATA (Real)'!Y345</f>
        <v>0.95</v>
      </c>
      <c r="Z349" s="339">
        <f>'DATA (Real)'!Z345</f>
        <v>0.95</v>
      </c>
      <c r="AA349" s="339">
        <f>'DATA (Real)'!AA345</f>
        <v>0.95</v>
      </c>
      <c r="AB349" s="339">
        <f>'DATA (Real)'!AB345</f>
        <v>0.95</v>
      </c>
      <c r="AC349" s="339">
        <f>'DATA (Real)'!AC345</f>
        <v>0.95</v>
      </c>
      <c r="AD349" s="339">
        <f>'DATA (Real)'!AD345</f>
        <v>0.95</v>
      </c>
      <c r="AE349" s="339">
        <f>'DATA (Real)'!AE345</f>
        <v>0.95</v>
      </c>
      <c r="AF349" s="339">
        <f>'DATA (Real)'!AF345</f>
        <v>0.95</v>
      </c>
      <c r="AG349" s="339">
        <f>'DATA (Real)'!AG345</f>
        <v>0.95</v>
      </c>
      <c r="AH349" s="339">
        <f>'DATA (Real)'!AH345</f>
        <v>0.95</v>
      </c>
      <c r="AI349" s="339">
        <f>'DATA (Real)'!AI345</f>
        <v>0.95</v>
      </c>
      <c r="AJ349" s="339">
        <f>'DATA (Real)'!AJ345</f>
        <v>0.95</v>
      </c>
      <c r="AK349" s="339">
        <f>'DATA (Real)'!AK345</f>
        <v>0.95</v>
      </c>
      <c r="AL349" s="339">
        <f>'DATA (Real)'!AL345</f>
        <v>0.95</v>
      </c>
      <c r="AM349" s="339">
        <f>'DATA (Real)'!AM345</f>
        <v>0.95</v>
      </c>
      <c r="AN349" s="339">
        <f>'DATA (Real)'!AN345</f>
        <v>0.95</v>
      </c>
      <c r="AO349" s="339">
        <f>'DATA (Real)'!AO345</f>
        <v>0.95</v>
      </c>
      <c r="AP349" s="339">
        <f>'DATA (Real)'!AP345</f>
        <v>0.95</v>
      </c>
      <c r="AQ349" s="339">
        <f>'DATA (Real)'!AQ345</f>
        <v>0.95</v>
      </c>
      <c r="AR349" s="339">
        <f>'DATA (Real)'!AR345</f>
        <v>0.95</v>
      </c>
      <c r="AS349" s="339">
        <f>'DATA (Real)'!AS345</f>
        <v>0.95</v>
      </c>
      <c r="AT349" s="339">
        <f>'DATA (Real)'!AT345</f>
        <v>0.95</v>
      </c>
      <c r="AU349" s="339">
        <f>'DATA (Real)'!AU345</f>
        <v>0.95</v>
      </c>
      <c r="AV349" s="339">
        <f>'DATA (Real)'!AV345</f>
        <v>0.95</v>
      </c>
      <c r="AW349" s="339">
        <f>'DATA (Real)'!AW345</f>
        <v>0.95</v>
      </c>
      <c r="AX349" s="339">
        <f>'DATA (Real)'!AX345</f>
        <v>0.95</v>
      </c>
      <c r="AY349" s="339">
        <f>'DATA (Real)'!AY345</f>
        <v>0.95</v>
      </c>
      <c r="AZ349" s="339">
        <f>'DATA (Real)'!AZ345</f>
        <v>0.95</v>
      </c>
      <c r="BA349" s="339">
        <f>'DATA (Real)'!BA345</f>
        <v>0.95</v>
      </c>
      <c r="BB349" s="339">
        <f>'DATA (Real)'!BB345</f>
        <v>0.95</v>
      </c>
      <c r="BC349" s="339">
        <f>'DATA (Real)'!BC345</f>
        <v>0.95</v>
      </c>
      <c r="BD349" s="339">
        <f>'DATA (Real)'!BD345</f>
        <v>0.95</v>
      </c>
      <c r="BE349" s="339">
        <f>'DATA (Real)'!BE345</f>
        <v>0.95</v>
      </c>
      <c r="BF349" s="339">
        <f>'DATA (Real)'!BF345</f>
        <v>0.95</v>
      </c>
      <c r="BG349" s="339">
        <f>'DATA (Real)'!BG345</f>
        <v>0.95</v>
      </c>
      <c r="BH349" s="339">
        <f>'DATA (Real)'!BH345</f>
        <v>0.95</v>
      </c>
      <c r="BI349" s="339">
        <f>'DATA (Real)'!BI345</f>
        <v>0.95</v>
      </c>
      <c r="BJ349" s="339">
        <f>'DATA (Real)'!BJ345</f>
        <v>0.95</v>
      </c>
      <c r="BK349" s="339">
        <f>'DATA (Real)'!BK345</f>
        <v>0.95</v>
      </c>
      <c r="BL349" s="339">
        <f>'DATA (Real)'!BL345</f>
        <v>0.95</v>
      </c>
      <c r="BM349" s="339">
        <f>'DATA (Real)'!BM345</f>
        <v>0.95</v>
      </c>
      <c r="BN349" s="339">
        <f>'DATA (Real)'!BN345</f>
        <v>0.95</v>
      </c>
      <c r="BO349" s="339">
        <f>'DATA (Real)'!BO345</f>
        <v>0.95</v>
      </c>
      <c r="BP349" s="339">
        <f>'DATA (Real)'!BP345</f>
        <v>0.95</v>
      </c>
      <c r="BQ349" s="339">
        <f>'DATA (Real)'!BQ345</f>
        <v>0.95</v>
      </c>
      <c r="BR349" s="339">
        <f>'DATA (Real)'!BR345</f>
        <v>0.95</v>
      </c>
      <c r="BS349" s="339">
        <f>'DATA (Real)'!BS345</f>
        <v>0.95</v>
      </c>
      <c r="BT349" s="339">
        <f>'DATA (Real)'!BT345</f>
        <v>0.95</v>
      </c>
      <c r="BU349" s="339">
        <f>'DATA (Real)'!BU345</f>
        <v>0.95</v>
      </c>
      <c r="BV349" s="339">
        <f>'DATA (Real)'!BV345</f>
        <v>0.95</v>
      </c>
      <c r="BW349" s="339">
        <f>'DATA (Real)'!BW345</f>
        <v>0.95</v>
      </c>
      <c r="BX349" s="339">
        <f>'DATA (Real)'!BX345</f>
        <v>0.95</v>
      </c>
    </row>
    <row r="350" spans="2:76" hidden="1" outlineLevel="1">
      <c r="B350" s="352"/>
      <c r="C350" s="352" t="str">
        <f>'DATA (Real)'!C346</f>
        <v>Internal</v>
      </c>
      <c r="D350" s="352" t="str">
        <f>'DATA (Real)'!D346</f>
        <v>Tax Dep Rate</v>
      </c>
      <c r="E350" s="352" t="str">
        <f>'DATA (Real)'!E346</f>
        <v>Southern NW Solar Photovoltaic w/ Single Axis Tracking (100 MW AC)</v>
      </c>
      <c r="F350" s="339">
        <f>'DATA (Real)'!F346</f>
        <v>0</v>
      </c>
      <c r="G350" s="339">
        <f>'DATA (Real)'!G346</f>
        <v>0</v>
      </c>
      <c r="H350" s="339">
        <f>'DATA (Real)'!H346</f>
        <v>0.85</v>
      </c>
      <c r="I350" s="339">
        <f>'DATA (Real)'!I346</f>
        <v>0.85</v>
      </c>
      <c r="J350" s="339">
        <f>'DATA (Real)'!J346</f>
        <v>0.85</v>
      </c>
      <c r="K350" s="339">
        <f>'DATA (Real)'!K346</f>
        <v>0.85</v>
      </c>
      <c r="L350" s="339">
        <f>'DATA (Real)'!L346</f>
        <v>0.85</v>
      </c>
      <c r="M350" s="339">
        <f>'DATA (Real)'!M346</f>
        <v>0.85</v>
      </c>
      <c r="N350" s="339">
        <f>'DATA (Real)'!N346</f>
        <v>0.85</v>
      </c>
      <c r="O350" s="339">
        <f>'DATA (Real)'!O346</f>
        <v>0.85</v>
      </c>
      <c r="P350" s="339">
        <f>'DATA (Real)'!P346</f>
        <v>0.85</v>
      </c>
      <c r="Q350" s="339">
        <f>'DATA (Real)'!Q346</f>
        <v>0.85</v>
      </c>
      <c r="R350" s="339">
        <f>'DATA (Real)'!R346</f>
        <v>0.85</v>
      </c>
      <c r="S350" s="339">
        <f>'DATA (Real)'!S346</f>
        <v>0.85</v>
      </c>
      <c r="T350" s="339">
        <f>'DATA (Real)'!T346</f>
        <v>0.85</v>
      </c>
      <c r="U350" s="339">
        <f>'DATA (Real)'!U346</f>
        <v>0.95</v>
      </c>
      <c r="V350" s="339">
        <f>'DATA (Real)'!V346</f>
        <v>0.95</v>
      </c>
      <c r="W350" s="339">
        <f>'DATA (Real)'!W346</f>
        <v>0.95</v>
      </c>
      <c r="X350" s="339">
        <f>'DATA (Real)'!X346</f>
        <v>0.95</v>
      </c>
      <c r="Y350" s="339">
        <f>'DATA (Real)'!Y346</f>
        <v>0.95</v>
      </c>
      <c r="Z350" s="339">
        <f>'DATA (Real)'!Z346</f>
        <v>0.95</v>
      </c>
      <c r="AA350" s="339">
        <f>'DATA (Real)'!AA346</f>
        <v>0.95</v>
      </c>
      <c r="AB350" s="339">
        <f>'DATA (Real)'!AB346</f>
        <v>0.95</v>
      </c>
      <c r="AC350" s="339">
        <f>'DATA (Real)'!AC346</f>
        <v>0.95</v>
      </c>
      <c r="AD350" s="339">
        <f>'DATA (Real)'!AD346</f>
        <v>0.95</v>
      </c>
      <c r="AE350" s="339">
        <f>'DATA (Real)'!AE346</f>
        <v>0.95</v>
      </c>
      <c r="AF350" s="339">
        <f>'DATA (Real)'!AF346</f>
        <v>0.95</v>
      </c>
      <c r="AG350" s="339">
        <f>'DATA (Real)'!AG346</f>
        <v>0.95</v>
      </c>
      <c r="AH350" s="339">
        <f>'DATA (Real)'!AH346</f>
        <v>0.95</v>
      </c>
      <c r="AI350" s="339">
        <f>'DATA (Real)'!AI346</f>
        <v>0.95</v>
      </c>
      <c r="AJ350" s="339">
        <f>'DATA (Real)'!AJ346</f>
        <v>0.95</v>
      </c>
      <c r="AK350" s="339">
        <f>'DATA (Real)'!AK346</f>
        <v>0.95</v>
      </c>
      <c r="AL350" s="339">
        <f>'DATA (Real)'!AL346</f>
        <v>0.95</v>
      </c>
      <c r="AM350" s="339">
        <f>'DATA (Real)'!AM346</f>
        <v>0.95</v>
      </c>
      <c r="AN350" s="339">
        <f>'DATA (Real)'!AN346</f>
        <v>0.95</v>
      </c>
      <c r="AO350" s="339">
        <f>'DATA (Real)'!AO346</f>
        <v>0.95</v>
      </c>
      <c r="AP350" s="339">
        <f>'DATA (Real)'!AP346</f>
        <v>0.95</v>
      </c>
      <c r="AQ350" s="339">
        <f>'DATA (Real)'!AQ346</f>
        <v>0.95</v>
      </c>
      <c r="AR350" s="339">
        <f>'DATA (Real)'!AR346</f>
        <v>0.95</v>
      </c>
      <c r="AS350" s="339">
        <f>'DATA (Real)'!AS346</f>
        <v>0.95</v>
      </c>
      <c r="AT350" s="339">
        <f>'DATA (Real)'!AT346</f>
        <v>0.95</v>
      </c>
      <c r="AU350" s="339">
        <f>'DATA (Real)'!AU346</f>
        <v>0.95</v>
      </c>
      <c r="AV350" s="339">
        <f>'DATA (Real)'!AV346</f>
        <v>0.95</v>
      </c>
      <c r="AW350" s="339">
        <f>'DATA (Real)'!AW346</f>
        <v>0.95</v>
      </c>
      <c r="AX350" s="339">
        <f>'DATA (Real)'!AX346</f>
        <v>0.95</v>
      </c>
      <c r="AY350" s="339">
        <f>'DATA (Real)'!AY346</f>
        <v>0.95</v>
      </c>
      <c r="AZ350" s="339">
        <f>'DATA (Real)'!AZ346</f>
        <v>0.95</v>
      </c>
      <c r="BA350" s="339">
        <f>'DATA (Real)'!BA346</f>
        <v>0.95</v>
      </c>
      <c r="BB350" s="339">
        <f>'DATA (Real)'!BB346</f>
        <v>0.95</v>
      </c>
      <c r="BC350" s="339">
        <f>'DATA (Real)'!BC346</f>
        <v>0.95</v>
      </c>
      <c r="BD350" s="339">
        <f>'DATA (Real)'!BD346</f>
        <v>0.95</v>
      </c>
      <c r="BE350" s="339">
        <f>'DATA (Real)'!BE346</f>
        <v>0.95</v>
      </c>
      <c r="BF350" s="339">
        <f>'DATA (Real)'!BF346</f>
        <v>0.95</v>
      </c>
      <c r="BG350" s="339">
        <f>'DATA (Real)'!BG346</f>
        <v>0.95</v>
      </c>
      <c r="BH350" s="339">
        <f>'DATA (Real)'!BH346</f>
        <v>0.95</v>
      </c>
      <c r="BI350" s="339">
        <f>'DATA (Real)'!BI346</f>
        <v>0.95</v>
      </c>
      <c r="BJ350" s="339">
        <f>'DATA (Real)'!BJ346</f>
        <v>0.95</v>
      </c>
      <c r="BK350" s="339">
        <f>'DATA (Real)'!BK346</f>
        <v>0.95</v>
      </c>
      <c r="BL350" s="339">
        <f>'DATA (Real)'!BL346</f>
        <v>0.95</v>
      </c>
      <c r="BM350" s="339">
        <f>'DATA (Real)'!BM346</f>
        <v>0.95</v>
      </c>
      <c r="BN350" s="339">
        <f>'DATA (Real)'!BN346</f>
        <v>0.95</v>
      </c>
      <c r="BO350" s="339">
        <f>'DATA (Real)'!BO346</f>
        <v>0.95</v>
      </c>
      <c r="BP350" s="339">
        <f>'DATA (Real)'!BP346</f>
        <v>0.95</v>
      </c>
      <c r="BQ350" s="339">
        <f>'DATA (Real)'!BQ346</f>
        <v>0.95</v>
      </c>
      <c r="BR350" s="339">
        <f>'DATA (Real)'!BR346</f>
        <v>0.95</v>
      </c>
      <c r="BS350" s="339">
        <f>'DATA (Real)'!BS346</f>
        <v>0.95</v>
      </c>
      <c r="BT350" s="339">
        <f>'DATA (Real)'!BT346</f>
        <v>0.95</v>
      </c>
      <c r="BU350" s="339">
        <f>'DATA (Real)'!BU346</f>
        <v>0.95</v>
      </c>
      <c r="BV350" s="339">
        <f>'DATA (Real)'!BV346</f>
        <v>0.95</v>
      </c>
      <c r="BW350" s="339">
        <f>'DATA (Real)'!BW346</f>
        <v>0.95</v>
      </c>
      <c r="BX350" s="339">
        <f>'DATA (Real)'!BX346</f>
        <v>0.95</v>
      </c>
    </row>
    <row r="351" spans="2:76" hidden="1" outlineLevel="1">
      <c r="B351" s="352"/>
      <c r="C351" s="352" t="str">
        <f>'DATA (Real)'!C347</f>
        <v>Internal</v>
      </c>
      <c r="D351" s="352" t="str">
        <f>'DATA (Real)'!D347</f>
        <v>Tax Dep Rate</v>
      </c>
      <c r="E351" s="352" t="str">
        <f>'DATA (Real)'!E347</f>
        <v>100 MW/400 MWh Lithium-ion w/Solar</v>
      </c>
      <c r="F351" s="339">
        <f>'DATA (Real)'!F347</f>
        <v>0</v>
      </c>
      <c r="G351" s="339">
        <f>'DATA (Real)'!G347</f>
        <v>0</v>
      </c>
      <c r="H351" s="339">
        <f>'DATA (Real)'!H347</f>
        <v>0.85</v>
      </c>
      <c r="I351" s="339">
        <f>'DATA (Real)'!I347</f>
        <v>0.85</v>
      </c>
      <c r="J351" s="339">
        <f>'DATA (Real)'!J347</f>
        <v>0.85</v>
      </c>
      <c r="K351" s="339">
        <f>'DATA (Real)'!K347</f>
        <v>0.85</v>
      </c>
      <c r="L351" s="339">
        <f>'DATA (Real)'!L347</f>
        <v>0.85</v>
      </c>
      <c r="M351" s="339">
        <f>'DATA (Real)'!M347</f>
        <v>0.85</v>
      </c>
      <c r="N351" s="339">
        <f>'DATA (Real)'!N347</f>
        <v>0.85</v>
      </c>
      <c r="O351" s="339">
        <f>'DATA (Real)'!O347</f>
        <v>0.85</v>
      </c>
      <c r="P351" s="339">
        <f>'DATA (Real)'!P347</f>
        <v>0.85</v>
      </c>
      <c r="Q351" s="339">
        <f>'DATA (Real)'!Q347</f>
        <v>0.85</v>
      </c>
      <c r="R351" s="339">
        <f>'DATA (Real)'!R347</f>
        <v>0.85</v>
      </c>
      <c r="S351" s="339">
        <f>'DATA (Real)'!S347</f>
        <v>0.85</v>
      </c>
      <c r="T351" s="339">
        <f>'DATA (Real)'!T347</f>
        <v>0.85</v>
      </c>
      <c r="U351" s="339">
        <f>'DATA (Real)'!U347</f>
        <v>0.95</v>
      </c>
      <c r="V351" s="339">
        <f>'DATA (Real)'!V347</f>
        <v>0.95</v>
      </c>
      <c r="W351" s="339">
        <f>'DATA (Real)'!W347</f>
        <v>0.95</v>
      </c>
      <c r="X351" s="339">
        <f>'DATA (Real)'!X347</f>
        <v>0.95</v>
      </c>
      <c r="Y351" s="339">
        <f>'DATA (Real)'!Y347</f>
        <v>0.95</v>
      </c>
      <c r="Z351" s="339">
        <f>'DATA (Real)'!Z347</f>
        <v>0.95</v>
      </c>
      <c r="AA351" s="339">
        <f>'DATA (Real)'!AA347</f>
        <v>0.95</v>
      </c>
      <c r="AB351" s="339">
        <f>'DATA (Real)'!AB347</f>
        <v>0.95</v>
      </c>
      <c r="AC351" s="339">
        <f>'DATA (Real)'!AC347</f>
        <v>0.95</v>
      </c>
      <c r="AD351" s="339">
        <f>'DATA (Real)'!AD347</f>
        <v>0.95</v>
      </c>
      <c r="AE351" s="339">
        <f>'DATA (Real)'!AE347</f>
        <v>0.95</v>
      </c>
      <c r="AF351" s="339">
        <f>'DATA (Real)'!AF347</f>
        <v>0.95</v>
      </c>
      <c r="AG351" s="339">
        <f>'DATA (Real)'!AG347</f>
        <v>0.95</v>
      </c>
      <c r="AH351" s="339">
        <f>'DATA (Real)'!AH347</f>
        <v>0.95</v>
      </c>
      <c r="AI351" s="339">
        <f>'DATA (Real)'!AI347</f>
        <v>0.95</v>
      </c>
      <c r="AJ351" s="339">
        <f>'DATA (Real)'!AJ347</f>
        <v>0.95</v>
      </c>
      <c r="AK351" s="339">
        <f>'DATA (Real)'!AK347</f>
        <v>0.95</v>
      </c>
      <c r="AL351" s="339">
        <f>'DATA (Real)'!AL347</f>
        <v>0.95</v>
      </c>
      <c r="AM351" s="339">
        <f>'DATA (Real)'!AM347</f>
        <v>0.95</v>
      </c>
      <c r="AN351" s="339">
        <f>'DATA (Real)'!AN347</f>
        <v>0.95</v>
      </c>
      <c r="AO351" s="339">
        <f>'DATA (Real)'!AO347</f>
        <v>0.95</v>
      </c>
      <c r="AP351" s="339">
        <f>'DATA (Real)'!AP347</f>
        <v>0.95</v>
      </c>
      <c r="AQ351" s="339">
        <f>'DATA (Real)'!AQ347</f>
        <v>0.95</v>
      </c>
      <c r="AR351" s="339">
        <f>'DATA (Real)'!AR347</f>
        <v>0.95</v>
      </c>
      <c r="AS351" s="339">
        <f>'DATA (Real)'!AS347</f>
        <v>0.95</v>
      </c>
      <c r="AT351" s="339">
        <f>'DATA (Real)'!AT347</f>
        <v>0.95</v>
      </c>
      <c r="AU351" s="339">
        <f>'DATA (Real)'!AU347</f>
        <v>0.95</v>
      </c>
      <c r="AV351" s="339">
        <f>'DATA (Real)'!AV347</f>
        <v>0.95</v>
      </c>
      <c r="AW351" s="339">
        <f>'DATA (Real)'!AW347</f>
        <v>0.95</v>
      </c>
      <c r="AX351" s="339">
        <f>'DATA (Real)'!AX347</f>
        <v>0.95</v>
      </c>
      <c r="AY351" s="339">
        <f>'DATA (Real)'!AY347</f>
        <v>0.95</v>
      </c>
      <c r="AZ351" s="339">
        <f>'DATA (Real)'!AZ347</f>
        <v>0.95</v>
      </c>
      <c r="BA351" s="339">
        <f>'DATA (Real)'!BA347</f>
        <v>0.95</v>
      </c>
      <c r="BB351" s="339">
        <f>'DATA (Real)'!BB347</f>
        <v>0.95</v>
      </c>
      <c r="BC351" s="339">
        <f>'DATA (Real)'!BC347</f>
        <v>0.95</v>
      </c>
      <c r="BD351" s="339">
        <f>'DATA (Real)'!BD347</f>
        <v>0.95</v>
      </c>
      <c r="BE351" s="339">
        <f>'DATA (Real)'!BE347</f>
        <v>0.95</v>
      </c>
      <c r="BF351" s="339">
        <f>'DATA (Real)'!BF347</f>
        <v>0.95</v>
      </c>
      <c r="BG351" s="339">
        <f>'DATA (Real)'!BG347</f>
        <v>0.95</v>
      </c>
      <c r="BH351" s="339">
        <f>'DATA (Real)'!BH347</f>
        <v>0.95</v>
      </c>
      <c r="BI351" s="339">
        <f>'DATA (Real)'!BI347</f>
        <v>0.95</v>
      </c>
      <c r="BJ351" s="339">
        <f>'DATA (Real)'!BJ347</f>
        <v>0.95</v>
      </c>
      <c r="BK351" s="339">
        <f>'DATA (Real)'!BK347</f>
        <v>0.95</v>
      </c>
      <c r="BL351" s="339">
        <f>'DATA (Real)'!BL347</f>
        <v>0.95</v>
      </c>
      <c r="BM351" s="339">
        <f>'DATA (Real)'!BM347</f>
        <v>0.95</v>
      </c>
      <c r="BN351" s="339">
        <f>'DATA (Real)'!BN347</f>
        <v>0.95</v>
      </c>
      <c r="BO351" s="339">
        <f>'DATA (Real)'!BO347</f>
        <v>0.95</v>
      </c>
      <c r="BP351" s="339">
        <f>'DATA (Real)'!BP347</f>
        <v>0.95</v>
      </c>
      <c r="BQ351" s="339">
        <f>'DATA (Real)'!BQ347</f>
        <v>0.95</v>
      </c>
      <c r="BR351" s="339">
        <f>'DATA (Real)'!BR347</f>
        <v>0.95</v>
      </c>
      <c r="BS351" s="339">
        <f>'DATA (Real)'!BS347</f>
        <v>0.95</v>
      </c>
      <c r="BT351" s="339">
        <f>'DATA (Real)'!BT347</f>
        <v>0.95</v>
      </c>
      <c r="BU351" s="339">
        <f>'DATA (Real)'!BU347</f>
        <v>0.95</v>
      </c>
      <c r="BV351" s="339">
        <f>'DATA (Real)'!BV347</f>
        <v>0.95</v>
      </c>
      <c r="BW351" s="339">
        <f>'DATA (Real)'!BW347</f>
        <v>0.95</v>
      </c>
      <c r="BX351" s="339">
        <f>'DATA (Real)'!BX347</f>
        <v>0.95</v>
      </c>
    </row>
    <row r="352" spans="2:76" hidden="1" outlineLevel="1">
      <c r="B352" s="352"/>
      <c r="C352" s="352" t="str">
        <f>'DATA (Real)'!C348</f>
        <v>Internal</v>
      </c>
      <c r="D352" s="352" t="str">
        <f>'DATA (Real)'!D348</f>
        <v>Tax Dep Rate</v>
      </c>
      <c r="E352" s="352" t="str">
        <f>'DATA (Real)'!E348</f>
        <v>100 MW/200 MWh Lithium-ion w/Solar</v>
      </c>
      <c r="F352" s="339">
        <f>'DATA (Real)'!F348</f>
        <v>0</v>
      </c>
      <c r="G352" s="339">
        <f>'DATA (Real)'!G348</f>
        <v>0</v>
      </c>
      <c r="H352" s="339">
        <f>'DATA (Real)'!H348</f>
        <v>0.85</v>
      </c>
      <c r="I352" s="339">
        <f>'DATA (Real)'!I348</f>
        <v>0.85</v>
      </c>
      <c r="J352" s="339">
        <f>'DATA (Real)'!J348</f>
        <v>0.85</v>
      </c>
      <c r="K352" s="339">
        <f>'DATA (Real)'!K348</f>
        <v>0.85</v>
      </c>
      <c r="L352" s="339">
        <f>'DATA (Real)'!L348</f>
        <v>0.85</v>
      </c>
      <c r="M352" s="339">
        <f>'DATA (Real)'!M348</f>
        <v>0.85</v>
      </c>
      <c r="N352" s="339">
        <f>'DATA (Real)'!N348</f>
        <v>0.85</v>
      </c>
      <c r="O352" s="339">
        <f>'DATA (Real)'!O348</f>
        <v>0.85</v>
      </c>
      <c r="P352" s="339">
        <f>'DATA (Real)'!P348</f>
        <v>0.85</v>
      </c>
      <c r="Q352" s="339">
        <f>'DATA (Real)'!Q348</f>
        <v>0.85</v>
      </c>
      <c r="R352" s="339">
        <f>'DATA (Real)'!R348</f>
        <v>0.85</v>
      </c>
      <c r="S352" s="339">
        <f>'DATA (Real)'!S348</f>
        <v>0.85</v>
      </c>
      <c r="T352" s="339">
        <f>'DATA (Real)'!T348</f>
        <v>0.85</v>
      </c>
      <c r="U352" s="339">
        <f>'DATA (Real)'!U348</f>
        <v>0.95</v>
      </c>
      <c r="V352" s="339">
        <f>'DATA (Real)'!V348</f>
        <v>0.95</v>
      </c>
      <c r="W352" s="339">
        <f>'DATA (Real)'!W348</f>
        <v>0.95</v>
      </c>
      <c r="X352" s="339">
        <f>'DATA (Real)'!X348</f>
        <v>0.95</v>
      </c>
      <c r="Y352" s="339">
        <f>'DATA (Real)'!Y348</f>
        <v>0.95</v>
      </c>
      <c r="Z352" s="339">
        <f>'DATA (Real)'!Z348</f>
        <v>0.95</v>
      </c>
      <c r="AA352" s="339">
        <f>'DATA (Real)'!AA348</f>
        <v>0.95</v>
      </c>
      <c r="AB352" s="339">
        <f>'DATA (Real)'!AB348</f>
        <v>0.95</v>
      </c>
      <c r="AC352" s="339">
        <f>'DATA (Real)'!AC348</f>
        <v>0.95</v>
      </c>
      <c r="AD352" s="339">
        <f>'DATA (Real)'!AD348</f>
        <v>0.95</v>
      </c>
      <c r="AE352" s="339">
        <f>'DATA (Real)'!AE348</f>
        <v>0.95</v>
      </c>
      <c r="AF352" s="339">
        <f>'DATA (Real)'!AF348</f>
        <v>0.95</v>
      </c>
      <c r="AG352" s="339">
        <f>'DATA (Real)'!AG348</f>
        <v>0.95</v>
      </c>
      <c r="AH352" s="339">
        <f>'DATA (Real)'!AH348</f>
        <v>0.95</v>
      </c>
      <c r="AI352" s="339">
        <f>'DATA (Real)'!AI348</f>
        <v>0.95</v>
      </c>
      <c r="AJ352" s="339">
        <f>'DATA (Real)'!AJ348</f>
        <v>0.95</v>
      </c>
      <c r="AK352" s="339">
        <f>'DATA (Real)'!AK348</f>
        <v>0.95</v>
      </c>
      <c r="AL352" s="339">
        <f>'DATA (Real)'!AL348</f>
        <v>0.95</v>
      </c>
      <c r="AM352" s="339">
        <f>'DATA (Real)'!AM348</f>
        <v>0.95</v>
      </c>
      <c r="AN352" s="339">
        <f>'DATA (Real)'!AN348</f>
        <v>0.95</v>
      </c>
      <c r="AO352" s="339">
        <f>'DATA (Real)'!AO348</f>
        <v>0.95</v>
      </c>
      <c r="AP352" s="339">
        <f>'DATA (Real)'!AP348</f>
        <v>0.95</v>
      </c>
      <c r="AQ352" s="339">
        <f>'DATA (Real)'!AQ348</f>
        <v>0.95</v>
      </c>
      <c r="AR352" s="339">
        <f>'DATA (Real)'!AR348</f>
        <v>0.95</v>
      </c>
      <c r="AS352" s="339">
        <f>'DATA (Real)'!AS348</f>
        <v>0.95</v>
      </c>
      <c r="AT352" s="339">
        <f>'DATA (Real)'!AT348</f>
        <v>0.95</v>
      </c>
      <c r="AU352" s="339">
        <f>'DATA (Real)'!AU348</f>
        <v>0.95</v>
      </c>
      <c r="AV352" s="339">
        <f>'DATA (Real)'!AV348</f>
        <v>0.95</v>
      </c>
      <c r="AW352" s="339">
        <f>'DATA (Real)'!AW348</f>
        <v>0.95</v>
      </c>
      <c r="AX352" s="339">
        <f>'DATA (Real)'!AX348</f>
        <v>0.95</v>
      </c>
      <c r="AY352" s="339">
        <f>'DATA (Real)'!AY348</f>
        <v>0.95</v>
      </c>
      <c r="AZ352" s="339">
        <f>'DATA (Real)'!AZ348</f>
        <v>0.95</v>
      </c>
      <c r="BA352" s="339">
        <f>'DATA (Real)'!BA348</f>
        <v>0.95</v>
      </c>
      <c r="BB352" s="339">
        <f>'DATA (Real)'!BB348</f>
        <v>0.95</v>
      </c>
      <c r="BC352" s="339">
        <f>'DATA (Real)'!BC348</f>
        <v>0.95</v>
      </c>
      <c r="BD352" s="339">
        <f>'DATA (Real)'!BD348</f>
        <v>0.95</v>
      </c>
      <c r="BE352" s="339">
        <f>'DATA (Real)'!BE348</f>
        <v>0.95</v>
      </c>
      <c r="BF352" s="339">
        <f>'DATA (Real)'!BF348</f>
        <v>0.95</v>
      </c>
      <c r="BG352" s="339">
        <f>'DATA (Real)'!BG348</f>
        <v>0.95</v>
      </c>
      <c r="BH352" s="339">
        <f>'DATA (Real)'!BH348</f>
        <v>0.95</v>
      </c>
      <c r="BI352" s="339">
        <f>'DATA (Real)'!BI348</f>
        <v>0.95</v>
      </c>
      <c r="BJ352" s="339">
        <f>'DATA (Real)'!BJ348</f>
        <v>0.95</v>
      </c>
      <c r="BK352" s="339">
        <f>'DATA (Real)'!BK348</f>
        <v>0.95</v>
      </c>
      <c r="BL352" s="339">
        <f>'DATA (Real)'!BL348</f>
        <v>0.95</v>
      </c>
      <c r="BM352" s="339">
        <f>'DATA (Real)'!BM348</f>
        <v>0.95</v>
      </c>
      <c r="BN352" s="339">
        <f>'DATA (Real)'!BN348</f>
        <v>0.95</v>
      </c>
      <c r="BO352" s="339">
        <f>'DATA (Real)'!BO348</f>
        <v>0.95</v>
      </c>
      <c r="BP352" s="339">
        <f>'DATA (Real)'!BP348</f>
        <v>0.95</v>
      </c>
      <c r="BQ352" s="339">
        <f>'DATA (Real)'!BQ348</f>
        <v>0.95</v>
      </c>
      <c r="BR352" s="339">
        <f>'DATA (Real)'!BR348</f>
        <v>0.95</v>
      </c>
      <c r="BS352" s="339">
        <f>'DATA (Real)'!BS348</f>
        <v>0.95</v>
      </c>
      <c r="BT352" s="339">
        <f>'DATA (Real)'!BT348</f>
        <v>0.95</v>
      </c>
      <c r="BU352" s="339">
        <f>'DATA (Real)'!BU348</f>
        <v>0.95</v>
      </c>
      <c r="BV352" s="339">
        <f>'DATA (Real)'!BV348</f>
        <v>0.95</v>
      </c>
      <c r="BW352" s="339">
        <f>'DATA (Real)'!BW348</f>
        <v>0.95</v>
      </c>
      <c r="BX352" s="339">
        <f>'DATA (Real)'!BX348</f>
        <v>0.95</v>
      </c>
    </row>
    <row r="353" spans="2:76" hidden="1" outlineLevel="1">
      <c r="B353" s="352"/>
      <c r="C353" s="352" t="str">
        <f>'DATA (Real)'!C349</f>
        <v>Internal</v>
      </c>
      <c r="D353" s="352" t="str">
        <f>'DATA (Real)'!D349</f>
        <v>Tax Dep Rate</v>
      </c>
      <c r="E353" s="352" t="str">
        <f>'DATA (Real)'!E349</f>
        <v>50 MW/200 MWh Lithium-ion w/Solar</v>
      </c>
      <c r="F353" s="339">
        <f>'DATA (Real)'!F349</f>
        <v>0</v>
      </c>
      <c r="G353" s="339">
        <f>'DATA (Real)'!G349</f>
        <v>0</v>
      </c>
      <c r="H353" s="339">
        <f>'DATA (Real)'!H349</f>
        <v>0.85</v>
      </c>
      <c r="I353" s="339">
        <f>'DATA (Real)'!I349</f>
        <v>0.85</v>
      </c>
      <c r="J353" s="339">
        <f>'DATA (Real)'!J349</f>
        <v>0.85</v>
      </c>
      <c r="K353" s="339">
        <f>'DATA (Real)'!K349</f>
        <v>0.85</v>
      </c>
      <c r="L353" s="339">
        <f>'DATA (Real)'!L349</f>
        <v>0.85</v>
      </c>
      <c r="M353" s="339">
        <f>'DATA (Real)'!M349</f>
        <v>0.85</v>
      </c>
      <c r="N353" s="339">
        <f>'DATA (Real)'!N349</f>
        <v>0.85</v>
      </c>
      <c r="O353" s="339">
        <f>'DATA (Real)'!O349</f>
        <v>0.85</v>
      </c>
      <c r="P353" s="339">
        <f>'DATA (Real)'!P349</f>
        <v>0.85</v>
      </c>
      <c r="Q353" s="339">
        <f>'DATA (Real)'!Q349</f>
        <v>0.85</v>
      </c>
      <c r="R353" s="339">
        <f>'DATA (Real)'!R349</f>
        <v>0.85</v>
      </c>
      <c r="S353" s="339">
        <f>'DATA (Real)'!S349</f>
        <v>0.85</v>
      </c>
      <c r="T353" s="339">
        <f>'DATA (Real)'!T349</f>
        <v>0.85</v>
      </c>
      <c r="U353" s="339">
        <f>'DATA (Real)'!U349</f>
        <v>0.95</v>
      </c>
      <c r="V353" s="339">
        <f>'DATA (Real)'!V349</f>
        <v>0.95</v>
      </c>
      <c r="W353" s="339">
        <f>'DATA (Real)'!W349</f>
        <v>0.95</v>
      </c>
      <c r="X353" s="339">
        <f>'DATA (Real)'!X349</f>
        <v>0.95</v>
      </c>
      <c r="Y353" s="339">
        <f>'DATA (Real)'!Y349</f>
        <v>0.95</v>
      </c>
      <c r="Z353" s="339">
        <f>'DATA (Real)'!Z349</f>
        <v>0.95</v>
      </c>
      <c r="AA353" s="339">
        <f>'DATA (Real)'!AA349</f>
        <v>0.95</v>
      </c>
      <c r="AB353" s="339">
        <f>'DATA (Real)'!AB349</f>
        <v>0.95</v>
      </c>
      <c r="AC353" s="339">
        <f>'DATA (Real)'!AC349</f>
        <v>0.95</v>
      </c>
      <c r="AD353" s="339">
        <f>'DATA (Real)'!AD349</f>
        <v>0.95</v>
      </c>
      <c r="AE353" s="339">
        <f>'DATA (Real)'!AE349</f>
        <v>0.95</v>
      </c>
      <c r="AF353" s="339">
        <f>'DATA (Real)'!AF349</f>
        <v>0.95</v>
      </c>
      <c r="AG353" s="339">
        <f>'DATA (Real)'!AG349</f>
        <v>0.95</v>
      </c>
      <c r="AH353" s="339">
        <f>'DATA (Real)'!AH349</f>
        <v>0.95</v>
      </c>
      <c r="AI353" s="339">
        <f>'DATA (Real)'!AI349</f>
        <v>0.95</v>
      </c>
      <c r="AJ353" s="339">
        <f>'DATA (Real)'!AJ349</f>
        <v>0.95</v>
      </c>
      <c r="AK353" s="339">
        <f>'DATA (Real)'!AK349</f>
        <v>0.95</v>
      </c>
      <c r="AL353" s="339">
        <f>'DATA (Real)'!AL349</f>
        <v>0.95</v>
      </c>
      <c r="AM353" s="339">
        <f>'DATA (Real)'!AM349</f>
        <v>0.95</v>
      </c>
      <c r="AN353" s="339">
        <f>'DATA (Real)'!AN349</f>
        <v>0.95</v>
      </c>
      <c r="AO353" s="339">
        <f>'DATA (Real)'!AO349</f>
        <v>0.95</v>
      </c>
      <c r="AP353" s="339">
        <f>'DATA (Real)'!AP349</f>
        <v>0.95</v>
      </c>
      <c r="AQ353" s="339">
        <f>'DATA (Real)'!AQ349</f>
        <v>0.95</v>
      </c>
      <c r="AR353" s="339">
        <f>'DATA (Real)'!AR349</f>
        <v>0.95</v>
      </c>
      <c r="AS353" s="339">
        <f>'DATA (Real)'!AS349</f>
        <v>0.95</v>
      </c>
      <c r="AT353" s="339">
        <f>'DATA (Real)'!AT349</f>
        <v>0.95</v>
      </c>
      <c r="AU353" s="339">
        <f>'DATA (Real)'!AU349</f>
        <v>0.95</v>
      </c>
      <c r="AV353" s="339">
        <f>'DATA (Real)'!AV349</f>
        <v>0.95</v>
      </c>
      <c r="AW353" s="339">
        <f>'DATA (Real)'!AW349</f>
        <v>0.95</v>
      </c>
      <c r="AX353" s="339">
        <f>'DATA (Real)'!AX349</f>
        <v>0.95</v>
      </c>
      <c r="AY353" s="339">
        <f>'DATA (Real)'!AY349</f>
        <v>0.95</v>
      </c>
      <c r="AZ353" s="339">
        <f>'DATA (Real)'!AZ349</f>
        <v>0.95</v>
      </c>
      <c r="BA353" s="339">
        <f>'DATA (Real)'!BA349</f>
        <v>0.95</v>
      </c>
      <c r="BB353" s="339">
        <f>'DATA (Real)'!BB349</f>
        <v>0.95</v>
      </c>
      <c r="BC353" s="339">
        <f>'DATA (Real)'!BC349</f>
        <v>0.95</v>
      </c>
      <c r="BD353" s="339">
        <f>'DATA (Real)'!BD349</f>
        <v>0.95</v>
      </c>
      <c r="BE353" s="339">
        <f>'DATA (Real)'!BE349</f>
        <v>0.95</v>
      </c>
      <c r="BF353" s="339">
        <f>'DATA (Real)'!BF349</f>
        <v>0.95</v>
      </c>
      <c r="BG353" s="339">
        <f>'DATA (Real)'!BG349</f>
        <v>0.95</v>
      </c>
      <c r="BH353" s="339">
        <f>'DATA (Real)'!BH349</f>
        <v>0.95</v>
      </c>
      <c r="BI353" s="339">
        <f>'DATA (Real)'!BI349</f>
        <v>0.95</v>
      </c>
      <c r="BJ353" s="339">
        <f>'DATA (Real)'!BJ349</f>
        <v>0.95</v>
      </c>
      <c r="BK353" s="339">
        <f>'DATA (Real)'!BK349</f>
        <v>0.95</v>
      </c>
      <c r="BL353" s="339">
        <f>'DATA (Real)'!BL349</f>
        <v>0.95</v>
      </c>
      <c r="BM353" s="339">
        <f>'DATA (Real)'!BM349</f>
        <v>0.95</v>
      </c>
      <c r="BN353" s="339">
        <f>'DATA (Real)'!BN349</f>
        <v>0.95</v>
      </c>
      <c r="BO353" s="339">
        <f>'DATA (Real)'!BO349</f>
        <v>0.95</v>
      </c>
      <c r="BP353" s="339">
        <f>'DATA (Real)'!BP349</f>
        <v>0.95</v>
      </c>
      <c r="BQ353" s="339">
        <f>'DATA (Real)'!BQ349</f>
        <v>0.95</v>
      </c>
      <c r="BR353" s="339">
        <f>'DATA (Real)'!BR349</f>
        <v>0.95</v>
      </c>
      <c r="BS353" s="339">
        <f>'DATA (Real)'!BS349</f>
        <v>0.95</v>
      </c>
      <c r="BT353" s="339">
        <f>'DATA (Real)'!BT349</f>
        <v>0.95</v>
      </c>
      <c r="BU353" s="339">
        <f>'DATA (Real)'!BU349</f>
        <v>0.95</v>
      </c>
      <c r="BV353" s="339">
        <f>'DATA (Real)'!BV349</f>
        <v>0.95</v>
      </c>
      <c r="BW353" s="339">
        <f>'DATA (Real)'!BW349</f>
        <v>0.95</v>
      </c>
      <c r="BX353" s="339">
        <f>'DATA (Real)'!BX349</f>
        <v>0.95</v>
      </c>
    </row>
    <row r="354" spans="2:76" collapsed="1"/>
    <row r="355" spans="2:76">
      <c r="B355" s="259" t="s">
        <v>303</v>
      </c>
      <c r="D355" s="259" t="s">
        <v>303</v>
      </c>
    </row>
    <row r="356" spans="2:76" hidden="1" outlineLevel="1">
      <c r="B356" s="348"/>
      <c r="C356" s="348"/>
      <c r="D356" s="348" t="s">
        <v>302</v>
      </c>
      <c r="E356" s="348" t="s">
        <v>11</v>
      </c>
      <c r="F356" s="323">
        <f>F43*(1+AFUDC!$C24)</f>
        <v>2377.0490171178044</v>
      </c>
      <c r="G356" s="323">
        <f>G43*(1+AFUDC!$C24)</f>
        <v>2081.3126372911561</v>
      </c>
      <c r="H356" s="323">
        <f>H43*(1+AFUDC!$C24)</f>
        <v>2072.7566339176246</v>
      </c>
      <c r="I356" s="323">
        <f>I43*(1+AFUDC!$C24)</f>
        <v>1958.935396347016</v>
      </c>
      <c r="J356" s="323">
        <f>J43*(1+AFUDC!$C24)</f>
        <v>1862.9933554418303</v>
      </c>
      <c r="K356" s="323">
        <f>K43*(1+AFUDC!$C24)</f>
        <v>1802.1105098065175</v>
      </c>
      <c r="L356" s="323">
        <f>L43*(1+AFUDC!$C24)</f>
        <v>1763.7736691666203</v>
      </c>
      <c r="M356" s="323">
        <f>M43*(1+AFUDC!$C24)</f>
        <v>1731.7521544666674</v>
      </c>
      <c r="N356" s="323">
        <f>N43*(1+AFUDC!$C24)</f>
        <v>1687.7442260052214</v>
      </c>
      <c r="O356" s="323">
        <f>O43*(1+AFUDC!$C24)</f>
        <v>1659.609073610626</v>
      </c>
      <c r="P356" s="323">
        <f>P43*(1+AFUDC!$C24)</f>
        <v>1629.4191063052824</v>
      </c>
      <c r="Q356" s="323">
        <f>Q43*(1+AFUDC!$C24)</f>
        <v>1645.2782615244864</v>
      </c>
      <c r="R356" s="323">
        <f>R43*(1+AFUDC!$C24)</f>
        <v>1660.200605955145</v>
      </c>
      <c r="S356" s="323">
        <f>S43*(1+AFUDC!$C24)</f>
        <v>1674.9832188621806</v>
      </c>
      <c r="T356" s="323">
        <f>T43*(1+AFUDC!$C24)</f>
        <v>1689.6127296438431</v>
      </c>
      <c r="U356" s="323">
        <f>U43*(1+AFUDC!$C24)</f>
        <v>1704.0752470219634</v>
      </c>
      <c r="V356" s="323">
        <f>V43*(1+AFUDC!$C24)</f>
        <v>1718.3563426035778</v>
      </c>
      <c r="W356" s="323">
        <f>W43*(1+AFUDC!$C24)</f>
        <v>1732.4410339712203</v>
      </c>
      <c r="X356" s="323">
        <f>X43*(1+AFUDC!$C24)</f>
        <v>1746.3137672892258</v>
      </c>
      <c r="Y356" s="323">
        <f>Y43*(1+AFUDC!$C24)</f>
        <v>1759.9583994127811</v>
      </c>
      <c r="Z356" s="323">
        <f>Z43*(1+AFUDC!$C24)</f>
        <v>1773.3581794863981</v>
      </c>
      <c r="AA356" s="323">
        <f>AA43*(1+AFUDC!$C24)</f>
        <v>1786.4957300179433</v>
      </c>
      <c r="AB356" s="323">
        <f>AB43*(1+AFUDC!$C24)</f>
        <v>1799.3530274140003</v>
      </c>
      <c r="AC356" s="323">
        <f>AC43*(1+AFUDC!$C24)</f>
        <v>1811.9113819621618</v>
      </c>
      <c r="AD356" s="323">
        <f>AD43*(1+AFUDC!$C24)</f>
        <v>1824.1514172451746</v>
      </c>
      <c r="AE356" s="323">
        <f>AE43*(1+AFUDC!$C24)</f>
        <v>1836.0530489717628</v>
      </c>
    </row>
    <row r="357" spans="2:76" hidden="1" outlineLevel="1">
      <c r="B357" s="348"/>
      <c r="C357" s="348"/>
      <c r="D357" s="348" t="s">
        <v>302</v>
      </c>
      <c r="E357" s="348" t="s">
        <v>12</v>
      </c>
      <c r="F357" s="323">
        <f>F44*(1+AFUDC!$C25)</f>
        <v>4410.8572458622912</v>
      </c>
      <c r="G357" s="323">
        <f>G44*(1+AFUDC!$C25)</f>
        <v>3826.5598061746409</v>
      </c>
      <c r="H357" s="323">
        <f>H44*(1+AFUDC!$C25)</f>
        <v>3778.7864998411519</v>
      </c>
      <c r="I357" s="323">
        <f>I44*(1+AFUDC!$C25)</f>
        <v>3549.1354822673707</v>
      </c>
      <c r="J357" s="323">
        <f>J44*(1+AFUDC!$C25)</f>
        <v>3329.0814099679737</v>
      </c>
      <c r="K357" s="323">
        <f>K44*(1+AFUDC!$C25)</f>
        <v>3212.0275126842466</v>
      </c>
      <c r="L357" s="323">
        <f>L44*(1+AFUDC!$C25)</f>
        <v>3114.279394613779</v>
      </c>
      <c r="M357" s="323">
        <f>M44*(1+AFUDC!$C25)</f>
        <v>3032.765307911382</v>
      </c>
      <c r="N357" s="323">
        <f>N44*(1+AFUDC!$C25)</f>
        <v>2935.9734172244639</v>
      </c>
      <c r="O357" s="323">
        <f>O44*(1+AFUDC!$C25)</f>
        <v>2852.1021179002096</v>
      </c>
      <c r="P357" s="323">
        <f>P44*(1+AFUDC!$C25)</f>
        <v>2777.2907248213323</v>
      </c>
      <c r="Q357" s="323">
        <f>Q44*(1+AFUDC!$C25)</f>
        <v>2804.1010712750922</v>
      </c>
      <c r="R357" s="323">
        <f>R44*(1+AFUDC!$C25)</f>
        <v>2829.5308482753339</v>
      </c>
      <c r="S357" s="323">
        <f>S44*(1+AFUDC!$C25)</f>
        <v>2854.7223505451016</v>
      </c>
      <c r="T357" s="323">
        <f>T44*(1+AFUDC!$C25)</f>
        <v>2879.6527859841735</v>
      </c>
      <c r="U357" s="323">
        <f>U44*(1+AFUDC!$C25)</f>
        <v>2904.2984749648872</v>
      </c>
      <c r="V357" s="323">
        <f>V44*(1+AFUDC!$C25)</f>
        <v>2928.6348223123482</v>
      </c>
      <c r="W357" s="323">
        <f>W44*(1+AFUDC!$C25)</f>
        <v>2952.6362884812024</v>
      </c>
      <c r="X357" s="323">
        <f>X44*(1+AFUDC!$C25)</f>
        <v>2976.276359907501</v>
      </c>
      <c r="Y357" s="323">
        <f>Y44*(1+AFUDC!$C25)</f>
        <v>2999.5275185129326</v>
      </c>
      <c r="Z357" s="323">
        <f>Z44*(1+AFUDC!$C25)</f>
        <v>3022.3612103387927</v>
      </c>
      <c r="AA357" s="323">
        <f>AA44*(1+AFUDC!$C25)</f>
        <v>3044.7478132860424</v>
      </c>
      <c r="AB357" s="323">
        <f>AB44*(1+AFUDC!$C25)</f>
        <v>3066.6566039371555</v>
      </c>
      <c r="AC357" s="323">
        <f>AC44*(1+AFUDC!$C25)</f>
        <v>3088.0557234353018</v>
      </c>
      <c r="AD357" s="323">
        <f>AD44*(1+AFUDC!$C25)</f>
        <v>3108.9121423950614</v>
      </c>
      <c r="AE357" s="323">
        <f>AE44*(1+AFUDC!$C25)</f>
        <v>3129.1916248188918</v>
      </c>
    </row>
    <row r="358" spans="2:76" hidden="1" outlineLevel="1">
      <c r="B358" s="348"/>
      <c r="C358" s="348"/>
      <c r="D358" s="348" t="s">
        <v>302</v>
      </c>
      <c r="E358" s="348" t="s">
        <v>13</v>
      </c>
      <c r="F358" s="323">
        <f>F45*(1+AFUDC!$C26)</f>
        <v>1822.8109628131017</v>
      </c>
      <c r="G358" s="323">
        <f>G45*(1+AFUDC!$C26)</f>
        <v>1596.0291373780067</v>
      </c>
      <c r="H358" s="323">
        <f>H45*(1+AFUDC!$C26)</f>
        <v>1589.4680708476878</v>
      </c>
      <c r="I358" s="323">
        <f>I45*(1+AFUDC!$C26)</f>
        <v>1502.1856470732612</v>
      </c>
      <c r="J358" s="323">
        <f>J45*(1+AFUDC!$C26)</f>
        <v>1428.6136665641325</v>
      </c>
      <c r="K358" s="323">
        <f>K45*(1+AFUDC!$C26)</f>
        <v>1381.9264011051018</v>
      </c>
      <c r="L358" s="323">
        <f>L45*(1+AFUDC!$C26)</f>
        <v>1352.5282637950206</v>
      </c>
      <c r="M358" s="323">
        <f>M45*(1+AFUDC!$C26)</f>
        <v>1327.9729569331842</v>
      </c>
      <c r="N358" s="323">
        <f>N45*(1+AFUDC!$C26)</f>
        <v>1294.2260152956553</v>
      </c>
      <c r="O358" s="323">
        <f>O45*(1+AFUDC!$C26)</f>
        <v>1272.6509178298618</v>
      </c>
      <c r="P358" s="323">
        <f>P45*(1+AFUDC!$C26)</f>
        <v>1249.5001106841705</v>
      </c>
      <c r="Q358" s="323">
        <f>Q45*(1+AFUDC!$C26)</f>
        <v>1261.6615098754967</v>
      </c>
      <c r="R358" s="323">
        <f>R45*(1+AFUDC!$C26)</f>
        <v>1273.1045271726573</v>
      </c>
      <c r="S358" s="323">
        <f>S45*(1+AFUDC!$C26)</f>
        <v>1284.4403930601177</v>
      </c>
      <c r="T358" s="323">
        <f>T45*(1+AFUDC!$C26)</f>
        <v>1295.6588544554747</v>
      </c>
      <c r="U358" s="323">
        <f>U45*(1+AFUDC!$C26)</f>
        <v>1306.7492590019815</v>
      </c>
      <c r="V358" s="323">
        <f>V45*(1+AFUDC!$C26)</f>
        <v>1317.7005424629815</v>
      </c>
      <c r="W358" s="323">
        <f>W45*(1+AFUDC!$C26)</f>
        <v>1328.5012157549049</v>
      </c>
      <c r="X358" s="323">
        <f>X45*(1+AFUDC!$C26)</f>
        <v>1339.1393516091266</v>
      </c>
      <c r="Y358" s="323">
        <f>Y45*(1+AFUDC!$C26)</f>
        <v>1349.6025708525081</v>
      </c>
      <c r="Z358" s="323">
        <f>Z45*(1+AFUDC!$C26)</f>
        <v>1359.8780282964149</v>
      </c>
      <c r="AA358" s="323">
        <f>AA45*(1+AFUDC!$C26)</f>
        <v>1369.9523982235639</v>
      </c>
      <c r="AB358" s="323">
        <f>AB45*(1+AFUDC!$C26)</f>
        <v>1379.811859461809</v>
      </c>
      <c r="AC358" s="323">
        <f>AC45*(1+AFUDC!$C26)</f>
        <v>1389.4420800338019</v>
      </c>
      <c r="AD358" s="323">
        <f>AD45*(1+AFUDC!$C26)</f>
        <v>1398.8282013709827</v>
      </c>
      <c r="AE358" s="323">
        <f>AE45*(1+AFUDC!$C26)</f>
        <v>1407.9548220802576</v>
      </c>
    </row>
    <row r="359" spans="2:76" hidden="1" outlineLevel="1">
      <c r="B359" s="348"/>
      <c r="C359" s="348"/>
      <c r="D359" s="348" t="s">
        <v>302</v>
      </c>
      <c r="E359" s="348" t="s">
        <v>14</v>
      </c>
      <c r="F359" s="323">
        <f>F46*(1+AFUDC!$C27)</f>
        <v>3382.4119255690239</v>
      </c>
      <c r="G359" s="323">
        <f>G46*(1+AFUDC!$C27)</f>
        <v>2934.3505810462784</v>
      </c>
      <c r="H359" s="323">
        <f>H46*(1+AFUDC!$C27)</f>
        <v>2897.7162054455175</v>
      </c>
      <c r="I359" s="323">
        <f>I46*(1+AFUDC!$C27)</f>
        <v>2721.6111317006594</v>
      </c>
      <c r="J359" s="323">
        <f>J46*(1+AFUDC!$C27)</f>
        <v>2552.8653580500318</v>
      </c>
      <c r="K359" s="323">
        <f>K46*(1+AFUDC!$C27)</f>
        <v>2463.1040087163587</v>
      </c>
      <c r="L359" s="323">
        <f>L46*(1+AFUDC!$C27)</f>
        <v>2388.1470600248927</v>
      </c>
      <c r="M359" s="323">
        <f>M46*(1+AFUDC!$C27)</f>
        <v>2325.6389797140419</v>
      </c>
      <c r="N359" s="323">
        <f>N46*(1+AFUDC!$C27)</f>
        <v>2251.4153022951186</v>
      </c>
      <c r="O359" s="323">
        <f>O46*(1+AFUDC!$C27)</f>
        <v>2187.0996223185234</v>
      </c>
      <c r="P359" s="323">
        <f>P46*(1+AFUDC!$C27)</f>
        <v>2129.7314206258025</v>
      </c>
      <c r="Q359" s="323">
        <f>Q46*(1+AFUDC!$C27)</f>
        <v>2150.2906068608377</v>
      </c>
      <c r="R359" s="323">
        <f>R46*(1+AFUDC!$C27)</f>
        <v>2169.7911202975092</v>
      </c>
      <c r="S359" s="323">
        <f>S46*(1+AFUDC!$C27)</f>
        <v>2189.1089156716835</v>
      </c>
      <c r="T359" s="323">
        <f>T46*(1+AFUDC!$C27)</f>
        <v>2208.226515140097</v>
      </c>
      <c r="U359" s="323">
        <f>U46*(1+AFUDC!$C27)</f>
        <v>2227.1257602699256</v>
      </c>
      <c r="V359" s="323">
        <f>V46*(1+AFUDC!$C27)</f>
        <v>2245.7877905521473</v>
      </c>
      <c r="W359" s="323">
        <f>W46*(1+AFUDC!$C27)</f>
        <v>2264.1930212988077</v>
      </c>
      <c r="X359" s="323">
        <f>X46*(1+AFUDC!$C27)</f>
        <v>2282.3211209077049</v>
      </c>
      <c r="Y359" s="323">
        <f>Y46*(1+AFUDC!$C27)</f>
        <v>2300.150987477085</v>
      </c>
      <c r="Z359" s="323">
        <f>Z46*(1+AFUDC!$C27)</f>
        <v>2317.6607247529869</v>
      </c>
      <c r="AA359" s="323">
        <f>AA46*(1+AFUDC!$C27)</f>
        <v>2334.827617391099</v>
      </c>
      <c r="AB359" s="323">
        <f>AB46*(1+AFUDC!$C27)</f>
        <v>2351.6281055144987</v>
      </c>
      <c r="AC359" s="323">
        <f>AC46*(1+AFUDC!$C27)</f>
        <v>2368.0377585485212</v>
      </c>
      <c r="AD359" s="323">
        <f>AD46*(1+AFUDC!$C27)</f>
        <v>2384.0312483129728</v>
      </c>
      <c r="AE359" s="323">
        <f>AE46*(1+AFUDC!$C27)</f>
        <v>2399.5823213519102</v>
      </c>
    </row>
    <row r="360" spans="2:76" hidden="1" outlineLevel="1">
      <c r="B360" s="348"/>
      <c r="C360" s="348"/>
      <c r="D360" s="348" t="s">
        <v>302</v>
      </c>
      <c r="E360" s="348" t="s">
        <v>15</v>
      </c>
      <c r="F360" s="323">
        <f>F47*(1+AFUDC!$C28)</f>
        <v>6501.6138510808669</v>
      </c>
      <c r="G360" s="323">
        <f>G47*(1+AFUDC!$C28)</f>
        <v>5610.9934683828224</v>
      </c>
      <c r="H360" s="323">
        <f>H47*(1+AFUDC!$C28)</f>
        <v>5514.2124746411782</v>
      </c>
      <c r="I360" s="323">
        <f>I47*(1+AFUDC!$C28)</f>
        <v>5160.4621009554558</v>
      </c>
      <c r="J360" s="323">
        <f>J47*(1+AFUDC!$C28)</f>
        <v>4801.3687410218308</v>
      </c>
      <c r="K360" s="323">
        <f>K47*(1+AFUDC!$C28)</f>
        <v>4625.459223938873</v>
      </c>
      <c r="L360" s="323">
        <f>L47*(1+AFUDC!$C28)</f>
        <v>4459.3846524846376</v>
      </c>
      <c r="M360" s="323">
        <f>M47*(1+AFUDC!$C28)</f>
        <v>4320.9710252757586</v>
      </c>
      <c r="N360" s="323">
        <f>N47*(1+AFUDC!$C28)</f>
        <v>4165.7938762940457</v>
      </c>
      <c r="O360" s="323">
        <f>O47*(1+AFUDC!$C28)</f>
        <v>4015.9970312958462</v>
      </c>
      <c r="P360" s="323">
        <f>P47*(1+AFUDC!$C28)</f>
        <v>3890.1940405090672</v>
      </c>
      <c r="Q360" s="323">
        <f>Q47*(1+AFUDC!$C28)</f>
        <v>3927.5488008315183</v>
      </c>
      <c r="R360" s="323">
        <f>R47*(1+AFUDC!$C28)</f>
        <v>3963.1643065472122</v>
      </c>
      <c r="S360" s="323">
        <f>S47*(1+AFUDC!$C28)</f>
        <v>3998.4459608948141</v>
      </c>
      <c r="T360" s="323">
        <f>T47*(1+AFUDC!$C28)</f>
        <v>4033.3618365093416</v>
      </c>
      <c r="U360" s="323">
        <f>U47*(1+AFUDC!$C28)</f>
        <v>4067.878762805813</v>
      </c>
      <c r="V360" s="323">
        <f>V47*(1+AFUDC!$C28)</f>
        <v>4101.9622867304797</v>
      </c>
      <c r="W360" s="323">
        <f>W47*(1+AFUDC!$C28)</f>
        <v>4135.5766323866137</v>
      </c>
      <c r="X360" s="323">
        <f>X47*(1+AFUDC!$C28)</f>
        <v>4168.684659504861</v>
      </c>
      <c r="Y360" s="323">
        <f>Y47*(1+AFUDC!$C28)</f>
        <v>4201.2478207262375</v>
      </c>
      <c r="Z360" s="323">
        <f>Z47*(1+AFUDC!$C28)</f>
        <v>4233.2261176661304</v>
      </c>
      <c r="AA360" s="323">
        <f>AA47*(1+AFUDC!$C28)</f>
        <v>4264.5780557261696</v>
      </c>
      <c r="AB360" s="323">
        <f>AB47*(1+AFUDC!$C28)</f>
        <v>4295.2605976198774</v>
      </c>
      <c r="AC360" s="323">
        <f>AC47*(1+AFUDC!$C28)</f>
        <v>4325.2291155779612</v>
      </c>
      <c r="AD360" s="323">
        <f>AD47*(1+AFUDC!$C28)</f>
        <v>4354.4373421969531</v>
      </c>
      <c r="AE360" s="323">
        <f>AE47*(1+AFUDC!$C28)</f>
        <v>4382.8373198952149</v>
      </c>
    </row>
    <row r="361" spans="2:76" hidden="1" outlineLevel="1">
      <c r="B361" s="348"/>
      <c r="C361" s="348"/>
      <c r="D361" s="348" t="s">
        <v>302</v>
      </c>
      <c r="E361" s="348" t="s">
        <v>16</v>
      </c>
      <c r="F361" s="323">
        <f>F48*(1+AFUDC!$C29)</f>
        <v>1723.2354147999999</v>
      </c>
      <c r="G361" s="323">
        <f>G48*(1+AFUDC!$C29)</f>
        <v>1572.0215071513001</v>
      </c>
      <c r="H361" s="323">
        <f>H48*(1+AFUDC!$C29)</f>
        <v>1499.710042597299</v>
      </c>
      <c r="I361" s="323">
        <f>I48*(1+AFUDC!$C29)</f>
        <v>1454.3770394784251</v>
      </c>
      <c r="J361" s="323">
        <f>J48*(1+AFUDC!$C29)</f>
        <v>1400.1263892787522</v>
      </c>
      <c r="K361" s="323">
        <f>K48*(1+AFUDC!$C29)</f>
        <v>1372.5233365069666</v>
      </c>
      <c r="L361" s="323">
        <f>L48*(1+AFUDC!$C29)</f>
        <v>1346.5790327424368</v>
      </c>
      <c r="M361" s="323">
        <f>M48*(1+AFUDC!$C29)</f>
        <v>1326.0497052134774</v>
      </c>
      <c r="N361" s="323">
        <f>N48*(1+AFUDC!$C29)</f>
        <v>1306.7699013860288</v>
      </c>
      <c r="O361" s="323">
        <f>O48*(1+AFUDC!$C29)</f>
        <v>1290.5057331435828</v>
      </c>
      <c r="P361" s="323">
        <f>P48*(1+AFUDC!$C29)</f>
        <v>1272.5297270873084</v>
      </c>
      <c r="Q361" s="323">
        <f>Q48*(1+AFUDC!$C29)</f>
        <v>1255.4673649633669</v>
      </c>
      <c r="R361" s="323">
        <f>R48*(1+AFUDC!$C29)</f>
        <v>1239.7246257372099</v>
      </c>
      <c r="S361" s="323">
        <f>S48*(1+AFUDC!$C29)</f>
        <v>1226.2115062561379</v>
      </c>
      <c r="T361" s="323">
        <f>T48*(1+AFUDC!$C29)</f>
        <v>1215.4568187330592</v>
      </c>
      <c r="U361" s="323">
        <f>U48*(1+AFUDC!$C29)</f>
        <v>1208.7391146724801</v>
      </c>
      <c r="V361" s="323">
        <f>V48*(1+AFUDC!$C29)</f>
        <v>1204.5512098635704</v>
      </c>
      <c r="W361" s="323">
        <f>W48*(1+AFUDC!$C29)</f>
        <v>1202.582153125828</v>
      </c>
      <c r="X361" s="323">
        <f>X48*(1+AFUDC!$C29)</f>
        <v>1203.3957570964435</v>
      </c>
      <c r="Y361" s="323">
        <f>Y48*(1+AFUDC!$C29)</f>
        <v>1203.7279447753554</v>
      </c>
      <c r="Z361" s="323">
        <f>Z48*(1+AFUDC!$C29)</f>
        <v>1203.5781243755189</v>
      </c>
      <c r="AA361" s="323">
        <f>AA48*(1+AFUDC!$C29)</f>
        <v>1202.9462828503131</v>
      </c>
      <c r="AB361" s="323">
        <f>AB48*(1+AFUDC!$C29)</f>
        <v>1201.8329863059892</v>
      </c>
      <c r="AC361" s="323">
        <f>AC48*(1+AFUDC!$C29)</f>
        <v>1200.2393792546252</v>
      </c>
      <c r="AD361" s="323">
        <f>AD48*(1+AFUDC!$C29)</f>
        <v>1198.1671827086</v>
      </c>
      <c r="AE361" s="323">
        <f>AE48*(1+AFUDC!$C29)</f>
        <v>1195.6186911208513</v>
      </c>
    </row>
    <row r="362" spans="2:76" hidden="1" outlineLevel="1">
      <c r="B362" s="348"/>
      <c r="C362" s="348"/>
      <c r="D362" s="348" t="s">
        <v>302</v>
      </c>
      <c r="E362" s="348" t="s">
        <v>17</v>
      </c>
      <c r="F362" s="323">
        <f>F49*(1+AFUDC!$C30)</f>
        <v>1938.6503949999999</v>
      </c>
      <c r="G362" s="323">
        <f>G49*(1+AFUDC!$C30)</f>
        <v>1708.9203231924996</v>
      </c>
      <c r="H362" s="323">
        <f>H49*(1+AFUDC!$C30)</f>
        <v>1575.3573207427844</v>
      </c>
      <c r="I362" s="323">
        <f>I49*(1+AFUDC!$C30)</f>
        <v>1527.7376634049626</v>
      </c>
      <c r="J362" s="323">
        <f>J49*(1+AFUDC!$C30)</f>
        <v>1470.7505415483279</v>
      </c>
      <c r="K362" s="323">
        <f>K49*(1+AFUDC!$C30)</f>
        <v>1441.7551557579043</v>
      </c>
      <c r="L362" s="323">
        <f>L49*(1+AFUDC!$C30)</f>
        <v>1414.5021883801285</v>
      </c>
      <c r="M362" s="323">
        <f>M49*(1+AFUDC!$C30)</f>
        <v>1392.937335512529</v>
      </c>
      <c r="N362" s="323">
        <f>N49*(1+AFUDC!$C30)</f>
        <v>1372.6850339079772</v>
      </c>
      <c r="O362" s="323">
        <f>O49*(1+AFUDC!$C30)</f>
        <v>1355.6004803751116</v>
      </c>
      <c r="P362" s="323">
        <f>P49*(1+AFUDC!$C30)</f>
        <v>1336.7177417562355</v>
      </c>
      <c r="Q362" s="323">
        <f>Q49*(1+AFUDC!$C30)</f>
        <v>1318.7947324293366</v>
      </c>
      <c r="R362" s="323">
        <f>R49*(1+AFUDC!$C30)</f>
        <v>1302.2579094541961</v>
      </c>
      <c r="S362" s="323">
        <f>S49*(1+AFUDC!$C30)</f>
        <v>1288.0631710741623</v>
      </c>
      <c r="T362" s="323">
        <f>T49*(1+AFUDC!$C30)</f>
        <v>1276.7660034613875</v>
      </c>
      <c r="U362" s="323">
        <f>U49*(1+AFUDC!$C30)</f>
        <v>1269.7094498811441</v>
      </c>
      <c r="V362" s="323">
        <f>V49*(1+AFUDC!$C30)</f>
        <v>1265.310301837924</v>
      </c>
      <c r="W362" s="323">
        <f>W49*(1+AFUDC!$C30)</f>
        <v>1263.2419233789865</v>
      </c>
      <c r="X362" s="323">
        <f>X49*(1+AFUDC!$C30)</f>
        <v>1264.0965665665954</v>
      </c>
      <c r="Y362" s="323">
        <f>Y49*(1+AFUDC!$C30)</f>
        <v>1264.4455102136808</v>
      </c>
      <c r="Z362" s="323">
        <f>Z49*(1+AFUDC!$C30)</f>
        <v>1264.2881326827078</v>
      </c>
      <c r="AA362" s="323">
        <f>AA49*(1+AFUDC!$C30)</f>
        <v>1263.6244202689677</v>
      </c>
      <c r="AB362" s="323">
        <f>AB49*(1+AFUDC!$C30)</f>
        <v>1262.4549676338302</v>
      </c>
      <c r="AC362" s="323">
        <f>AC49*(1+AFUDC!$C30)</f>
        <v>1260.7809770200136</v>
      </c>
      <c r="AD362" s="323">
        <f>AD49*(1+AFUDC!$C30)</f>
        <v>1258.6042562499476</v>
      </c>
      <c r="AE362" s="323">
        <f>AE49*(1+AFUDC!$C30)</f>
        <v>1255.9272155116871</v>
      </c>
    </row>
    <row r="363" spans="2:76" hidden="1" outlineLevel="1">
      <c r="B363" s="348"/>
      <c r="C363" s="348"/>
      <c r="D363" s="348" t="s">
        <v>302</v>
      </c>
      <c r="E363" s="348" t="s">
        <v>18</v>
      </c>
      <c r="H363" s="323">
        <f>H50*(1+AFUDC!$C31)</f>
        <v>2638.3374999999996</v>
      </c>
      <c r="I363" s="323">
        <f>I50*(1+AFUDC!$C31)</f>
        <v>2667.5850541899999</v>
      </c>
      <c r="J363" s="323">
        <f>J50*(1+AFUDC!$C31)</f>
        <v>2675.7277464185377</v>
      </c>
      <c r="K363" s="323">
        <f>K50*(1+AFUDC!$C31)</f>
        <v>2680.7759527667799</v>
      </c>
      <c r="L363" s="323">
        <f>L50*(1+AFUDC!$C31)</f>
        <v>2685.8336833976668</v>
      </c>
      <c r="M363" s="323">
        <f>M50*(1+AFUDC!$C31)</f>
        <v>2690.9009562803435</v>
      </c>
      <c r="N363" s="323">
        <f>N50*(1+AFUDC!$C31)</f>
        <v>2695.0987617721407</v>
      </c>
      <c r="O363" s="323">
        <f>O50*(1+AFUDC!$C31)</f>
        <v>2699.3031158405061</v>
      </c>
      <c r="P363" s="323">
        <f>P50*(1+AFUDC!$C31)</f>
        <v>2703.5140287012173</v>
      </c>
      <c r="Q363" s="323">
        <f>Q50*(1+AFUDC!$C31)</f>
        <v>2707.7315105859911</v>
      </c>
      <c r="R363" s="323">
        <f>R50*(1+AFUDC!$C31)</f>
        <v>2711.9555717425055</v>
      </c>
      <c r="S363" s="323">
        <f>S50*(1+AFUDC!$C31)</f>
        <v>2716.1862224344231</v>
      </c>
      <c r="T363" s="323">
        <f>T50*(1+AFUDC!$C31)</f>
        <v>2720.4234729414211</v>
      </c>
      <c r="U363" s="323">
        <f>U50*(1+AFUDC!$C31)</f>
        <v>2724.6673335592095</v>
      </c>
      <c r="V363" s="323">
        <f>V50*(1+AFUDC!$C31)</f>
        <v>2728.917814599562</v>
      </c>
      <c r="W363" s="323">
        <f>W50*(1+AFUDC!$C31)</f>
        <v>2733.1749263903366</v>
      </c>
      <c r="X363" s="323">
        <f>X50*(1+AFUDC!$C31)</f>
        <v>2737.4386792755058</v>
      </c>
      <c r="Y363" s="323">
        <f>Y50*(1+AFUDC!$C31)</f>
        <v>2741.709083615176</v>
      </c>
      <c r="Z363" s="323">
        <f>Z50*(1+AFUDC!$C31)</f>
        <v>2745.9861497856155</v>
      </c>
      <c r="AA363" s="323">
        <f>AA50*(1+AFUDC!$C31)</f>
        <v>2750.2698881792808</v>
      </c>
      <c r="AB363" s="323">
        <f>AB50*(1+AFUDC!$C31)</f>
        <v>2754.5603092048405</v>
      </c>
      <c r="AC363" s="323">
        <f>AC50*(1+AFUDC!$C31)</f>
        <v>2758.8574232872002</v>
      </c>
      <c r="AD363" s="323">
        <f>AD50*(1+AFUDC!$C31)</f>
        <v>2763.1612408675278</v>
      </c>
      <c r="AE363" s="323">
        <f>AE50*(1+AFUDC!$C31)</f>
        <v>2767.4717724032812</v>
      </c>
    </row>
    <row r="364" spans="2:76" hidden="1" outlineLevel="1">
      <c r="B364" s="348"/>
      <c r="C364" s="348"/>
      <c r="D364" s="348" t="s">
        <v>302</v>
      </c>
      <c r="E364" s="348" t="s">
        <v>22</v>
      </c>
      <c r="H364" s="323">
        <f>H51*(1+AFUDC!$C35)</f>
        <v>1735.7731999999999</v>
      </c>
      <c r="I364" s="323">
        <f>I51*(1+AFUDC!$C35)</f>
        <v>1790.8319259040002</v>
      </c>
      <c r="J364" s="323">
        <f>J51*(1+AFUDC!$C35)</f>
        <v>1832.9575160610459</v>
      </c>
      <c r="K364" s="323">
        <f>K51*(1+AFUDC!$C35)</f>
        <v>1873.8935672530758</v>
      </c>
      <c r="L364" s="323">
        <f>L51*(1+AFUDC!$C35)</f>
        <v>1915.7438569217277</v>
      </c>
      <c r="M364" s="323">
        <f>M51*(1+AFUDC!$C35)</f>
        <v>1958.5288030596464</v>
      </c>
      <c r="N364" s="323">
        <f>N51*(1+AFUDC!$C35)</f>
        <v>2001.6164367269587</v>
      </c>
      <c r="O364" s="323">
        <f>O51*(1+AFUDC!$C35)</f>
        <v>2045.6519983349517</v>
      </c>
      <c r="P364" s="323">
        <f>P51*(1+AFUDC!$C35)</f>
        <v>2090.6563422983209</v>
      </c>
      <c r="Q364" s="323">
        <f>Q51*(1+AFUDC!$C35)</f>
        <v>2136.6507818288837</v>
      </c>
      <c r="R364" s="323">
        <f>R51*(1+AFUDC!$C35)</f>
        <v>2183.6570990291193</v>
      </c>
      <c r="S364" s="323">
        <f>S51*(1+AFUDC!$C35)</f>
        <v>2231.6975552077602</v>
      </c>
      <c r="T364" s="323">
        <f>T51*(1+AFUDC!$C35)</f>
        <v>2280.7949014223304</v>
      </c>
      <c r="U364" s="323">
        <f>U51*(1+AFUDC!$C35)</f>
        <v>2330.9723892536217</v>
      </c>
      <c r="V364" s="323">
        <f>V51*(1+AFUDC!$C35)</f>
        <v>2382.2537818172009</v>
      </c>
      <c r="W364" s="323">
        <f>W51*(1+AFUDC!$C35)</f>
        <v>2434.6633650171798</v>
      </c>
      <c r="X364" s="323">
        <f>X51*(1+AFUDC!$C35)</f>
        <v>2488.2259590475578</v>
      </c>
      <c r="Y364" s="323">
        <f>Y51*(1+AFUDC!$C35)</f>
        <v>2542.9669301466042</v>
      </c>
      <c r="Z364" s="323">
        <f>Z51*(1+AFUDC!$C35)</f>
        <v>2598.9122026098294</v>
      </c>
      <c r="AA364" s="323">
        <f>AA51*(1+AFUDC!$C35)</f>
        <v>2656.0882710672454</v>
      </c>
      <c r="AB364" s="323">
        <f>AB51*(1+AFUDC!$C35)</f>
        <v>2714.5222130307252</v>
      </c>
      <c r="AC364" s="323">
        <f>AC51*(1+AFUDC!$C35)</f>
        <v>2774.2417017174012</v>
      </c>
      <c r="AD364" s="323">
        <f>AD51*(1+AFUDC!$C35)</f>
        <v>2835.2750191551836</v>
      </c>
      <c r="AE364" s="323">
        <f>AE51*(1+AFUDC!$C35)</f>
        <v>2897.6510695765983</v>
      </c>
    </row>
    <row r="365" spans="2:76" hidden="1" outlineLevel="1">
      <c r="B365" s="348"/>
      <c r="C365" s="348"/>
      <c r="D365" s="348" t="s">
        <v>302</v>
      </c>
      <c r="E365" s="348" t="s">
        <v>23</v>
      </c>
      <c r="F365" s="323">
        <f>F52*(1+AFUDC!$C36)</f>
        <v>4341.1262047999999</v>
      </c>
      <c r="G365" s="323">
        <f>G52*(1+AFUDC!$C36)</f>
        <v>4449.6543599199986</v>
      </c>
      <c r="H365" s="323">
        <f>H52*(1+AFUDC!$C36)</f>
        <v>4769.6343542530985</v>
      </c>
      <c r="I365" s="323">
        <f>I52*(1+AFUDC!$C36)</f>
        <v>4920.9271559700064</v>
      </c>
      <c r="J365" s="323">
        <f>J52*(1+AFUDC!$C36)</f>
        <v>5036.681715382626</v>
      </c>
      <c r="K365" s="323">
        <f>K52*(1+AFUDC!$C36)</f>
        <v>5149.1676070261701</v>
      </c>
      <c r="L365" s="323">
        <f>L52*(1+AFUDC!$C36)</f>
        <v>5264.165683583089</v>
      </c>
      <c r="M365" s="323">
        <f>M52*(1+AFUDC!$C36)</f>
        <v>5381.7320505164435</v>
      </c>
      <c r="N365" s="323">
        <f>N52*(1+AFUDC!$C36)</f>
        <v>5500.1301556278058</v>
      </c>
      <c r="O365" s="323">
        <f>O52*(1+AFUDC!$C36)</f>
        <v>5621.1330190516173</v>
      </c>
      <c r="P365" s="323">
        <f>P52*(1+AFUDC!$C36)</f>
        <v>5744.7979454707538</v>
      </c>
      <c r="Q365" s="323">
        <f>Q52*(1+AFUDC!$C36)</f>
        <v>5871.1835002711105</v>
      </c>
      <c r="R365" s="323">
        <f>R52*(1+AFUDC!$C36)</f>
        <v>6000.3495372770749</v>
      </c>
      <c r="S365" s="323">
        <f>S52*(1+AFUDC!$C36)</f>
        <v>6132.3572270971717</v>
      </c>
      <c r="T365" s="323">
        <f>T52*(1+AFUDC!$C36)</f>
        <v>6267.2690860933089</v>
      </c>
      <c r="U365" s="323">
        <f>U52*(1+AFUDC!$C36)</f>
        <v>6405.1490059873604</v>
      </c>
      <c r="V365" s="323">
        <f>V52*(1+AFUDC!$C36)</f>
        <v>6546.0622841190834</v>
      </c>
      <c r="W365" s="323">
        <f>W52*(1+AFUDC!$C36)</f>
        <v>6690.0756543697034</v>
      </c>
      <c r="X365" s="323">
        <f>X52*(1+AFUDC!$C36)</f>
        <v>6837.2573187658372</v>
      </c>
      <c r="Y365" s="323">
        <f>Y52*(1+AFUDC!$C36)</f>
        <v>6987.6769797786837</v>
      </c>
      <c r="Z365" s="323">
        <f>Z52*(1+AFUDC!$C36)</f>
        <v>7141.4058733338152</v>
      </c>
      <c r="AA365" s="323">
        <f>AA52*(1+AFUDC!$C36)</f>
        <v>7298.5168025471594</v>
      </c>
      <c r="AB365" s="323">
        <f>AB52*(1+AFUDC!$C36)</f>
        <v>7459.0841722031973</v>
      </c>
      <c r="AC365" s="323">
        <f>AC52*(1+AFUDC!$C36)</f>
        <v>7623.1840239916673</v>
      </c>
      <c r="AD365" s="323">
        <f>AD52*(1+AFUDC!$C36)</f>
        <v>7790.8940725194834</v>
      </c>
      <c r="AE365" s="323">
        <f>AE52*(1+AFUDC!$C36)</f>
        <v>7962.2937421149127</v>
      </c>
    </row>
    <row r="366" spans="2:76" hidden="1" outlineLevel="1">
      <c r="B366" s="348"/>
      <c r="C366" s="348"/>
      <c r="D366" s="348" t="s">
        <v>302</v>
      </c>
      <c r="E366" s="348" t="s">
        <v>24</v>
      </c>
      <c r="F366" s="323">
        <f>F53*(1+AFUDC!$C37)</f>
        <v>3765.1683735999995</v>
      </c>
      <c r="G366" s="323">
        <f>G53*(1+AFUDC!$C37)</f>
        <v>3859.2975829399988</v>
      </c>
      <c r="H366" s="323">
        <f>H53*(1+AFUDC!$C37)</f>
        <v>4136.8243117219372</v>
      </c>
      <c r="I366" s="323">
        <f>I53*(1+AFUDC!$C37)</f>
        <v>4268.0443788897564</v>
      </c>
      <c r="J366" s="323">
        <f>J53*(1+AFUDC!$C37)</f>
        <v>4368.4412311440155</v>
      </c>
      <c r="K366" s="323">
        <f>K53*(1+AFUDC!$C37)</f>
        <v>4466.0030853062317</v>
      </c>
      <c r="L366" s="323">
        <f>L53*(1+AFUDC!$C37)</f>
        <v>4565.7438208780704</v>
      </c>
      <c r="M366" s="323">
        <f>M53*(1+AFUDC!$C37)</f>
        <v>4667.7120995443474</v>
      </c>
      <c r="N366" s="323">
        <f>N53*(1+AFUDC!$C37)</f>
        <v>4770.4017657343229</v>
      </c>
      <c r="O366" s="323">
        <f>O53*(1+AFUDC!$C37)</f>
        <v>4875.3506045804788</v>
      </c>
      <c r="P366" s="323">
        <f>P53*(1+AFUDC!$C37)</f>
        <v>4982.6083178812496</v>
      </c>
      <c r="Q366" s="323">
        <f>Q53*(1+AFUDC!$C37)</f>
        <v>5092.2257008746355</v>
      </c>
      <c r="R366" s="323">
        <f>R53*(1+AFUDC!$C37)</f>
        <v>5204.2546662938785</v>
      </c>
      <c r="S366" s="323">
        <f>S53*(1+AFUDC!$C37)</f>
        <v>5318.748268952344</v>
      </c>
      <c r="T366" s="323">
        <f>T53*(1+AFUDC!$C37)</f>
        <v>5435.760730869295</v>
      </c>
      <c r="U366" s="323">
        <f>U53*(1+AFUDC!$C37)</f>
        <v>5555.3474669484194</v>
      </c>
      <c r="V366" s="323">
        <f>V53*(1+AFUDC!$C37)</f>
        <v>5677.5651112212854</v>
      </c>
      <c r="W366" s="323">
        <f>W53*(1+AFUDC!$C37)</f>
        <v>5802.4715436681536</v>
      </c>
      <c r="X366" s="323">
        <f>X53*(1+AFUDC!$C37)</f>
        <v>5930.1259176288531</v>
      </c>
      <c r="Y366" s="323">
        <f>Y53*(1+AFUDC!$C37)</f>
        <v>6060.5886878166884</v>
      </c>
      <c r="Z366" s="323">
        <f>Z53*(1+AFUDC!$C37)</f>
        <v>6193.9216389486546</v>
      </c>
      <c r="AA366" s="323">
        <f>AA53*(1+AFUDC!$C37)</f>
        <v>6330.1879150055247</v>
      </c>
      <c r="AB366" s="323">
        <f>AB53*(1+AFUDC!$C37)</f>
        <v>6469.452049135647</v>
      </c>
      <c r="AC366" s="323">
        <f>AC53*(1+AFUDC!$C37)</f>
        <v>6611.7799942166321</v>
      </c>
      <c r="AD366" s="323">
        <f>AD53*(1+AFUDC!$C37)</f>
        <v>6757.2391540893968</v>
      </c>
      <c r="AE366" s="323">
        <f>AE53*(1+AFUDC!$C37)</f>
        <v>6905.8984154793634</v>
      </c>
    </row>
    <row r="367" spans="2:76" hidden="1" outlineLevel="1">
      <c r="B367" s="348"/>
      <c r="C367" s="348"/>
      <c r="D367" s="348" t="s">
        <v>302</v>
      </c>
      <c r="E367" s="348" t="s">
        <v>25</v>
      </c>
      <c r="F367" s="323">
        <f>F54*(1+AFUDC!$C38)</f>
        <v>3380.0595168</v>
      </c>
      <c r="G367" s="323">
        <f>G54*(1+AFUDC!$C38)</f>
        <v>3464.5610047199993</v>
      </c>
      <c r="H367" s="323">
        <f>H54*(1+AFUDC!$C38)</f>
        <v>3713.7017516154315</v>
      </c>
      <c r="I367" s="323">
        <f>I54*(1+AFUDC!$C38)</f>
        <v>3831.5003711766722</v>
      </c>
      <c r="J367" s="323">
        <f>J54*(1+AFUDC!$C38)</f>
        <v>3921.6284351161639</v>
      </c>
      <c r="K367" s="323">
        <f>K54*(1+AFUDC!$C38)</f>
        <v>4009.2114701670907</v>
      </c>
      <c r="L367" s="323">
        <f>L54*(1+AFUDC!$C38)</f>
        <v>4098.7505263341563</v>
      </c>
      <c r="M367" s="323">
        <f>M54*(1+AFUDC!$C38)</f>
        <v>4190.2892880889522</v>
      </c>
      <c r="N367" s="323">
        <f>N54*(1+AFUDC!$C38)</f>
        <v>4282.4756524269096</v>
      </c>
      <c r="O367" s="323">
        <f>O54*(1+AFUDC!$C38)</f>
        <v>4376.6901167803017</v>
      </c>
      <c r="P367" s="323">
        <f>P54*(1+AFUDC!$C38)</f>
        <v>4472.977299349468</v>
      </c>
      <c r="Q367" s="323">
        <f>Q54*(1+AFUDC!$C38)</f>
        <v>4571.3827999351561</v>
      </c>
      <c r="R367" s="323">
        <f>R54*(1+AFUDC!$C38)</f>
        <v>4671.9532215337304</v>
      </c>
      <c r="S367" s="323">
        <f>S54*(1+AFUDC!$C38)</f>
        <v>4774.7361924074721</v>
      </c>
      <c r="T367" s="323">
        <f>T54*(1+AFUDC!$C38)</f>
        <v>4879.7803886404372</v>
      </c>
      <c r="U367" s="323">
        <f>U54*(1+AFUDC!$C38)</f>
        <v>4987.135557190526</v>
      </c>
      <c r="V367" s="323">
        <f>V54*(1+AFUDC!$C38)</f>
        <v>5096.8525394487178</v>
      </c>
      <c r="W367" s="323">
        <f>W54*(1+AFUDC!$C38)</f>
        <v>5208.9832953165887</v>
      </c>
      <c r="X367" s="323">
        <f>X54*(1+AFUDC!$C38)</f>
        <v>5323.5809278135539</v>
      </c>
      <c r="Y367" s="323">
        <f>Y54*(1+AFUDC!$C38)</f>
        <v>5440.699708225452</v>
      </c>
      <c r="Z367" s="323">
        <f>Z54*(1+AFUDC!$C38)</f>
        <v>5560.3951018064126</v>
      </c>
      <c r="AA367" s="323">
        <f>AA54*(1+AFUDC!$C38)</f>
        <v>5682.7237940461537</v>
      </c>
      <c r="AB367" s="323">
        <f>AB54*(1+AFUDC!$C38)</f>
        <v>5807.7437175151699</v>
      </c>
      <c r="AC367" s="323">
        <f>AC54*(1+AFUDC!$C38)</f>
        <v>5935.514079300503</v>
      </c>
      <c r="AD367" s="323">
        <f>AD54*(1+AFUDC!$C38)</f>
        <v>6066.0953890451146</v>
      </c>
      <c r="AE367" s="323">
        <f>AE54*(1+AFUDC!$C38)</f>
        <v>6199.5494876041066</v>
      </c>
    </row>
    <row r="368" spans="2:76" hidden="1" outlineLevel="1">
      <c r="B368" s="349"/>
      <c r="C368" s="349"/>
      <c r="D368" s="349" t="s">
        <v>302</v>
      </c>
      <c r="E368" s="349" t="s">
        <v>26</v>
      </c>
      <c r="H368" s="323">
        <f>H55*(1+AFUDC!$C39)</f>
        <v>5065.6784704861102</v>
      </c>
      <c r="I368" s="323">
        <f>I55*(1+AFUDC!$C39)</f>
        <v>5226.3617915699306</v>
      </c>
      <c r="J368" s="323">
        <f>J55*(1+AFUDC!$C39)</f>
        <v>5349.3010644628803</v>
      </c>
      <c r="K368" s="323">
        <f>K55*(1+AFUDC!$C39)</f>
        <v>5468.7687882358832</v>
      </c>
      <c r="L368" s="323">
        <f>L55*(1+AFUDC!$C39)</f>
        <v>5590.9046245064847</v>
      </c>
      <c r="M368" s="323">
        <f>M55*(1+AFUDC!$C39)</f>
        <v>5715.7681611204625</v>
      </c>
      <c r="N368" s="323">
        <f>N55*(1+AFUDC!$C39)</f>
        <v>5841.5150606651132</v>
      </c>
      <c r="O368" s="323">
        <f>O55*(1+AFUDC!$C39)</f>
        <v>5970.0283919997455</v>
      </c>
      <c r="P368" s="323">
        <f>P55*(1+AFUDC!$C39)</f>
        <v>6101.3690166237402</v>
      </c>
      <c r="Q368" s="323">
        <f>Q55*(1+AFUDC!$C39)</f>
        <v>6235.599134989463</v>
      </c>
      <c r="R368" s="323">
        <f>R55*(1+AFUDC!$C39)</f>
        <v>6372.7823159592308</v>
      </c>
      <c r="S368" s="323">
        <f>S55*(1+AFUDC!$C39)</f>
        <v>6512.9835269103341</v>
      </c>
      <c r="T368" s="323">
        <f>T55*(1+AFUDC!$C39)</f>
        <v>6656.2691645023615</v>
      </c>
      <c r="U368" s="323">
        <f>U55*(1+AFUDC!$C39)</f>
        <v>6802.7070861214124</v>
      </c>
      <c r="V368" s="323">
        <f>V55*(1+AFUDC!$C39)</f>
        <v>6952.3666420160844</v>
      </c>
      <c r="W368" s="323">
        <f>W55*(1+AFUDC!$C39)</f>
        <v>7105.3187081404376</v>
      </c>
      <c r="X368" s="323">
        <f>X55*(1+AFUDC!$C39)</f>
        <v>7261.6357197195275</v>
      </c>
      <c r="Y368" s="323">
        <f>Y55*(1+AFUDC!$C39)</f>
        <v>7421.3917055533584</v>
      </c>
      <c r="Z368" s="323">
        <f>Z55*(1+AFUDC!$C39)</f>
        <v>7584.6623230755322</v>
      </c>
      <c r="AA368" s="323">
        <f>AA55*(1+AFUDC!$C39)</f>
        <v>7751.5248941831924</v>
      </c>
      <c r="AB368" s="323">
        <f>AB55*(1+AFUDC!$C39)</f>
        <v>7922.0584418552235</v>
      </c>
      <c r="AC368" s="323">
        <f>AC55*(1+AFUDC!$C39)</f>
        <v>8096.3437275760389</v>
      </c>
      <c r="AD368" s="323">
        <f>AD55*(1+AFUDC!$C39)</f>
        <v>8274.4632895827126</v>
      </c>
      <c r="AE368" s="323">
        <f>AE55*(1+AFUDC!$C39)</f>
        <v>8456.5014819535318</v>
      </c>
    </row>
    <row r="369" spans="2:31" hidden="1" outlineLevel="1">
      <c r="B369" s="349"/>
      <c r="C369" s="349"/>
      <c r="D369" s="349" t="s">
        <v>302</v>
      </c>
      <c r="E369" s="349" t="s">
        <v>27</v>
      </c>
      <c r="H369" s="323">
        <f>H56*(1+AFUDC!$C40)</f>
        <v>864.2354822499999</v>
      </c>
      <c r="I369" s="323">
        <f>I56*(1+AFUDC!$C40)</f>
        <v>891.64903174696997</v>
      </c>
      <c r="J369" s="323">
        <f>J56*(1+AFUDC!$C40)</f>
        <v>912.62321761666783</v>
      </c>
      <c r="K369" s="323">
        <f>K56*(1+AFUDC!$C40)</f>
        <v>933.00513614343993</v>
      </c>
      <c r="L369" s="323">
        <f>L56*(1+AFUDC!$C40)</f>
        <v>953.8422508506435</v>
      </c>
      <c r="M369" s="323">
        <f>M56*(1+AFUDC!$C40)</f>
        <v>975.14472778630784</v>
      </c>
      <c r="N369" s="323">
        <f>N56*(1+AFUDC!$C40)</f>
        <v>996.59791179760668</v>
      </c>
      <c r="O369" s="323">
        <f>O56*(1+AFUDC!$C40)</f>
        <v>1018.5230658571541</v>
      </c>
      <c r="P369" s="323">
        <f>P56*(1+AFUDC!$C40)</f>
        <v>1040.9305733060114</v>
      </c>
      <c r="Q369" s="323">
        <f>Q56*(1+AFUDC!$C40)</f>
        <v>1063.8310459187437</v>
      </c>
      <c r="R369" s="323">
        <f>R56*(1+AFUDC!$C40)</f>
        <v>1087.2353289289563</v>
      </c>
      <c r="S369" s="323">
        <f>S56*(1+AFUDC!$C40)</f>
        <v>1111.1545061653933</v>
      </c>
      <c r="T369" s="323">
        <f>T56*(1+AFUDC!$C40)</f>
        <v>1135.5999053010319</v>
      </c>
      <c r="U369" s="323">
        <f>U56*(1+AFUDC!$C40)</f>
        <v>1160.5831032176543</v>
      </c>
      <c r="V369" s="323">
        <f>V56*(1+AFUDC!$C40)</f>
        <v>1186.1159314884428</v>
      </c>
      <c r="W369" s="323">
        <f>W56*(1+AFUDC!$C40)</f>
        <v>1212.2104819811884</v>
      </c>
      <c r="X369" s="323">
        <f>X56*(1+AFUDC!$C40)</f>
        <v>1238.8791125847749</v>
      </c>
      <c r="Y369" s="323">
        <f>Y56*(1+AFUDC!$C40)</f>
        <v>1266.13445306164</v>
      </c>
      <c r="Z369" s="323">
        <f>Z56*(1+AFUDC!$C40)</f>
        <v>1293.9894110289961</v>
      </c>
      <c r="AA369" s="323">
        <f>AA56*(1+AFUDC!$C40)</f>
        <v>1322.457178071634</v>
      </c>
      <c r="AB369" s="323">
        <f>AB56*(1+AFUDC!$C40)</f>
        <v>1351.55123598921</v>
      </c>
      <c r="AC369" s="323">
        <f>AC56*(1+AFUDC!$C40)</f>
        <v>1381.2853631809724</v>
      </c>
      <c r="AD369" s="323">
        <f>AD56*(1+AFUDC!$C40)</f>
        <v>1411.6736411709537</v>
      </c>
      <c r="AE369" s="323">
        <f>AE56*(1+AFUDC!$C40)</f>
        <v>1442.730461276715</v>
      </c>
    </row>
    <row r="370" spans="2:31" hidden="1" outlineLevel="1">
      <c r="B370" s="349"/>
      <c r="C370" s="349"/>
      <c r="D370" s="349" t="s">
        <v>302</v>
      </c>
      <c r="E370" s="349" t="s">
        <v>28</v>
      </c>
      <c r="H370" s="323">
        <f>H57*(1+AFUDC!$C41)</f>
        <v>156.34725</v>
      </c>
      <c r="I370" s="323">
        <f>I57*(1+AFUDC!$C41)</f>
        <v>161.30658477</v>
      </c>
      <c r="J370" s="323">
        <f>J57*(1+AFUDC!$C41)</f>
        <v>165.10098612132933</v>
      </c>
      <c r="K370" s="323">
        <f>K57*(1+AFUDC!$C41)</f>
        <v>168.788241478039</v>
      </c>
      <c r="L370" s="323">
        <f>L57*(1+AFUDC!$C41)</f>
        <v>172.55784553771517</v>
      </c>
      <c r="M370" s="323">
        <f>M57*(1+AFUDC!$C41)</f>
        <v>176.41163742139082</v>
      </c>
      <c r="N370" s="323">
        <f>N57*(1+AFUDC!$C41)</f>
        <v>180.29269344466144</v>
      </c>
      <c r="O370" s="323">
        <f>O57*(1+AFUDC!$C41)</f>
        <v>184.25913270044401</v>
      </c>
      <c r="P370" s="323">
        <f>P57*(1+AFUDC!$C41)</f>
        <v>188.31283361985373</v>
      </c>
      <c r="Q370" s="323">
        <f>Q57*(1+AFUDC!$C41)</f>
        <v>192.45571595949053</v>
      </c>
      <c r="R370" s="323">
        <f>R57*(1+AFUDC!$C41)</f>
        <v>196.68974171059935</v>
      </c>
      <c r="S370" s="323">
        <f>S57*(1+AFUDC!$C41)</f>
        <v>201.01691602823254</v>
      </c>
      <c r="T370" s="323">
        <f>T57*(1+AFUDC!$C41)</f>
        <v>205.43928818085362</v>
      </c>
      <c r="U370" s="323">
        <f>U57*(1+AFUDC!$C41)</f>
        <v>209.95895252083244</v>
      </c>
      <c r="V370" s="323">
        <f>V57*(1+AFUDC!$C41)</f>
        <v>214.57804947629074</v>
      </c>
      <c r="W370" s="323">
        <f>W57*(1+AFUDC!$C41)</f>
        <v>219.2987665647691</v>
      </c>
      <c r="X370" s="323">
        <f>X57*(1+AFUDC!$C41)</f>
        <v>224.12333942919406</v>
      </c>
      <c r="Y370" s="323">
        <f>Y57*(1+AFUDC!$C41)</f>
        <v>229.05405289663634</v>
      </c>
      <c r="Z370" s="323">
        <f>Z57*(1+AFUDC!$C41)</f>
        <v>234.09324206036234</v>
      </c>
      <c r="AA370" s="323">
        <f>AA57*(1+AFUDC!$C41)</f>
        <v>239.24329338569029</v>
      </c>
      <c r="AB370" s="323">
        <f>AB57*(1+AFUDC!$C41)</f>
        <v>244.50664584017548</v>
      </c>
      <c r="AC370" s="323">
        <f>AC57*(1+AFUDC!$C41)</f>
        <v>249.88579204865934</v>
      </c>
      <c r="AD370" s="323">
        <f>AD57*(1+AFUDC!$C41)</f>
        <v>255.38327947372983</v>
      </c>
      <c r="AE370" s="323">
        <f>AE57*(1+AFUDC!$C41)</f>
        <v>261.00171162215196</v>
      </c>
    </row>
    <row r="371" spans="2:31" hidden="1" outlineLevel="1">
      <c r="B371" s="352"/>
      <c r="C371" s="352"/>
      <c r="D371" s="352" t="s">
        <v>302</v>
      </c>
      <c r="E371" s="352" t="s">
        <v>130</v>
      </c>
      <c r="H371" s="323">
        <f>H58*(1+AFUDC!$C11)</f>
        <v>3739.8262199999999</v>
      </c>
      <c r="I371" s="323">
        <f>I58*(1+AFUDC!$C11)</f>
        <v>3858.4535076984002</v>
      </c>
      <c r="J371" s="323">
        <f>J58*(1+AFUDC!$C11)</f>
        <v>3949.2155880221967</v>
      </c>
      <c r="K371" s="323">
        <f>K58*(1+AFUDC!$C11)</f>
        <v>4037.414736154692</v>
      </c>
      <c r="L371" s="323">
        <f>L58*(1+AFUDC!$C11)</f>
        <v>4127.5836652621465</v>
      </c>
      <c r="M371" s="323">
        <f>M58*(1+AFUDC!$C11)</f>
        <v>4219.7663671196678</v>
      </c>
      <c r="N371" s="323">
        <f>N58*(1+AFUDC!$C11)</f>
        <v>4312.6012271963009</v>
      </c>
      <c r="O371" s="323">
        <f>O58*(1+AFUDC!$C11)</f>
        <v>4407.4784541946201</v>
      </c>
      <c r="P371" s="323">
        <f>P58*(1+AFUDC!$C11)</f>
        <v>4504.442980186901</v>
      </c>
      <c r="Q371" s="323">
        <f>Q58*(1+AFUDC!$C11)</f>
        <v>4603.5407257510133</v>
      </c>
      <c r="R371" s="323">
        <f>R58*(1+AFUDC!$C11)</f>
        <v>4704.8186217175362</v>
      </c>
      <c r="S371" s="323">
        <f>S58*(1+AFUDC!$C11)</f>
        <v>4808.3246313953214</v>
      </c>
      <c r="T371" s="323">
        <f>T58*(1+AFUDC!$C11)</f>
        <v>4914.1077732860185</v>
      </c>
      <c r="U371" s="323">
        <f>U58*(1+AFUDC!$C11)</f>
        <v>5022.218144298311</v>
      </c>
      <c r="V371" s="323">
        <f>V58*(1+AFUDC!$C11)</f>
        <v>5132.7069434728746</v>
      </c>
      <c r="W371" s="323">
        <f>W58*(1+AFUDC!$C11)</f>
        <v>5245.6264962292771</v>
      </c>
      <c r="X371" s="323">
        <f>X58*(1+AFUDC!$C11)</f>
        <v>5361.0302791463209</v>
      </c>
      <c r="Y371" s="323">
        <f>Y58*(1+AFUDC!$C11)</f>
        <v>5478.9729452875408</v>
      </c>
      <c r="Z371" s="323">
        <f>Z58*(1+AFUDC!$C11)</f>
        <v>5599.5103500838668</v>
      </c>
      <c r="AA371" s="323">
        <f>AA58*(1+AFUDC!$C11)</f>
        <v>5722.699577785711</v>
      </c>
      <c r="AB371" s="323">
        <f>AB58*(1+AFUDC!$C11)</f>
        <v>5848.5989684969963</v>
      </c>
      <c r="AC371" s="323">
        <f>AC58*(1+AFUDC!$C11)</f>
        <v>5977.2681458039306</v>
      </c>
      <c r="AD371" s="323">
        <f>AD58*(1+AFUDC!$C11)</f>
        <v>6108.7680450116168</v>
      </c>
      <c r="AE371" s="323">
        <f>AE58*(1+AFUDC!$C11)</f>
        <v>6243.160942001874</v>
      </c>
    </row>
    <row r="372" spans="2:31" hidden="1" outlineLevel="1">
      <c r="B372" s="352"/>
      <c r="C372" s="352"/>
      <c r="D372" s="352" t="s">
        <v>302</v>
      </c>
      <c r="E372" s="352" t="s">
        <v>172</v>
      </c>
      <c r="H372" s="323">
        <f>H59*(1+AFUDC!$C11)</f>
        <v>3739.8262199999999</v>
      </c>
      <c r="I372" s="323">
        <f>I59*(1+AFUDC!$C11)</f>
        <v>3858.4535076984002</v>
      </c>
      <c r="J372" s="323">
        <f>J59*(1+AFUDC!$C11)</f>
        <v>3949.2155880221967</v>
      </c>
      <c r="K372" s="323">
        <f>K59*(1+AFUDC!$C11)</f>
        <v>4037.414736154692</v>
      </c>
      <c r="L372" s="323">
        <f>L59*(1+AFUDC!$C11)</f>
        <v>4127.5836652621465</v>
      </c>
      <c r="M372" s="323">
        <f>M59*(1+AFUDC!$C11)</f>
        <v>4219.7663671196678</v>
      </c>
      <c r="N372" s="323">
        <f>N59*(1+AFUDC!$C11)</f>
        <v>4312.6012271963009</v>
      </c>
      <c r="O372" s="323">
        <f>O59*(1+AFUDC!$C11)</f>
        <v>4407.4784541946201</v>
      </c>
      <c r="P372" s="323">
        <f>P59*(1+AFUDC!$C11)</f>
        <v>4504.442980186901</v>
      </c>
      <c r="Q372" s="323">
        <f>Q59*(1+AFUDC!$C11)</f>
        <v>4603.5407257510133</v>
      </c>
      <c r="R372" s="323">
        <f>R59*(1+AFUDC!$C11)</f>
        <v>4704.8186217175362</v>
      </c>
      <c r="S372" s="323">
        <f>S59*(1+AFUDC!$C11)</f>
        <v>4808.3246313953214</v>
      </c>
      <c r="T372" s="323">
        <f>T59*(1+AFUDC!$C11)</f>
        <v>4914.1077732860185</v>
      </c>
      <c r="U372" s="323">
        <f>U59*(1+AFUDC!$C11)</f>
        <v>5022.218144298311</v>
      </c>
      <c r="V372" s="323">
        <f>V59*(1+AFUDC!$C11)</f>
        <v>5132.7069434728746</v>
      </c>
      <c r="W372" s="323">
        <f>W59*(1+AFUDC!$C11)</f>
        <v>5245.6264962292771</v>
      </c>
      <c r="X372" s="323">
        <f>X59*(1+AFUDC!$C11)</f>
        <v>5361.0302791463209</v>
      </c>
      <c r="Y372" s="323">
        <f>Y59*(1+AFUDC!$C11)</f>
        <v>5478.9729452875408</v>
      </c>
      <c r="Z372" s="323">
        <f>Z59*(1+AFUDC!$C11)</f>
        <v>5599.5103500838668</v>
      </c>
      <c r="AA372" s="323">
        <f>AA59*(1+AFUDC!$C11)</f>
        <v>5722.699577785711</v>
      </c>
      <c r="AB372" s="323">
        <f>AB59*(1+AFUDC!$C11)</f>
        <v>5848.5989684969963</v>
      </c>
      <c r="AC372" s="323">
        <f>AC59*(1+AFUDC!$C11)</f>
        <v>5977.2681458039306</v>
      </c>
      <c r="AD372" s="323">
        <f>AD59*(1+AFUDC!$C11)</f>
        <v>6108.7680450116168</v>
      </c>
      <c r="AE372" s="323">
        <f>AE59*(1+AFUDC!$C11)</f>
        <v>6243.160942001874</v>
      </c>
    </row>
    <row r="373" spans="2:31" hidden="1" outlineLevel="1">
      <c r="B373" s="352"/>
      <c r="C373" s="352"/>
      <c r="D373" s="352" t="s">
        <v>302</v>
      </c>
      <c r="E373" s="352" t="s">
        <v>175</v>
      </c>
      <c r="H373" s="323">
        <f>H60*(1+AFUDC!$C12)</f>
        <v>3116.5218499999996</v>
      </c>
      <c r="I373" s="323">
        <f>I60*(1+AFUDC!$C12)</f>
        <v>3215.3779230820001</v>
      </c>
      <c r="J373" s="323">
        <f>J60*(1+AFUDC!$C12)</f>
        <v>3291.0129900184975</v>
      </c>
      <c r="K373" s="323">
        <f>K60*(1+AFUDC!$C12)</f>
        <v>3364.5122801289103</v>
      </c>
      <c r="L373" s="323">
        <f>L60*(1+AFUDC!$C12)</f>
        <v>3439.6530543851227</v>
      </c>
      <c r="M373" s="323">
        <f>M60*(1+AFUDC!$C12)</f>
        <v>3516.4719725997234</v>
      </c>
      <c r="N373" s="323">
        <f>N60*(1+AFUDC!$C12)</f>
        <v>3593.8343559969176</v>
      </c>
      <c r="O373" s="323">
        <f>O60*(1+AFUDC!$C12)</f>
        <v>3672.8987118288496</v>
      </c>
      <c r="P373" s="323">
        <f>P60*(1+AFUDC!$C12)</f>
        <v>3753.7024834890844</v>
      </c>
      <c r="Q373" s="323">
        <f>Q60*(1+AFUDC!$C12)</f>
        <v>3836.2839381258445</v>
      </c>
      <c r="R373" s="323">
        <f>R60*(1+AFUDC!$C12)</f>
        <v>3920.6821847646129</v>
      </c>
      <c r="S373" s="323">
        <f>S60*(1+AFUDC!$C12)</f>
        <v>4006.9371928294349</v>
      </c>
      <c r="T373" s="323">
        <f>T60*(1+AFUDC!$C12)</f>
        <v>4095.0898110716821</v>
      </c>
      <c r="U373" s="323">
        <f>U60*(1+AFUDC!$C12)</f>
        <v>4185.1817869152592</v>
      </c>
      <c r="V373" s="323">
        <f>V60*(1+AFUDC!$C12)</f>
        <v>4277.2557862273943</v>
      </c>
      <c r="W373" s="323">
        <f>W60*(1+AFUDC!$C12)</f>
        <v>4371.3554135243967</v>
      </c>
      <c r="X373" s="323">
        <f>X60*(1+AFUDC!$C12)</f>
        <v>4467.5252326219343</v>
      </c>
      <c r="Y373" s="323">
        <f>Y60*(1+AFUDC!$C12)</f>
        <v>4565.8107877396169</v>
      </c>
      <c r="Z373" s="323">
        <f>Z60*(1+AFUDC!$C12)</f>
        <v>4666.2586250698887</v>
      </c>
      <c r="AA373" s="323">
        <f>AA60*(1+AFUDC!$C12)</f>
        <v>4768.9163148214257</v>
      </c>
      <c r="AB373" s="323">
        <f>AB60*(1+AFUDC!$C12)</f>
        <v>4873.8324737474968</v>
      </c>
      <c r="AC373" s="323">
        <f>AC60*(1+AFUDC!$C12)</f>
        <v>4981.0567881699417</v>
      </c>
      <c r="AD373" s="323">
        <f>AD60*(1+AFUDC!$C12)</f>
        <v>5090.64003750968</v>
      </c>
      <c r="AE373" s="323">
        <f>AE60*(1+AFUDC!$C12)</f>
        <v>5202.6341183348941</v>
      </c>
    </row>
    <row r="374" spans="2:31" hidden="1" outlineLevel="1">
      <c r="B374" s="352"/>
      <c r="C374" s="352"/>
      <c r="D374" s="352" t="s">
        <v>302</v>
      </c>
      <c r="E374" s="352" t="s">
        <v>131</v>
      </c>
      <c r="H374" s="323">
        <f>H61*(1+AFUDC!$C13)</f>
        <v>4075.45165</v>
      </c>
      <c r="I374" s="323">
        <f>I61*(1+AFUDC!$C13)</f>
        <v>4204.7249763379996</v>
      </c>
      <c r="J374" s="323">
        <f>J61*(1+AFUDC!$C13)</f>
        <v>4303.6323715626504</v>
      </c>
      <c r="K374" s="323">
        <f>K61*(1+AFUDC!$C13)</f>
        <v>4399.7468278608821</v>
      </c>
      <c r="L374" s="323">
        <f>L61*(1+AFUDC!$C13)</f>
        <v>4498.0078403497764</v>
      </c>
      <c r="M374" s="323">
        <f>M61*(1+AFUDC!$C13)</f>
        <v>4598.4633487842539</v>
      </c>
      <c r="N374" s="323">
        <f>N61*(1+AFUDC!$C13)</f>
        <v>4699.6295424575073</v>
      </c>
      <c r="O374" s="323">
        <f>O61*(1+AFUDC!$C13)</f>
        <v>4803.0213923915726</v>
      </c>
      <c r="P374" s="323">
        <f>P61*(1+AFUDC!$C13)</f>
        <v>4908.6878630241872</v>
      </c>
      <c r="Q374" s="323">
        <f>Q61*(1+AFUDC!$C13)</f>
        <v>5016.6789960107199</v>
      </c>
      <c r="R374" s="323">
        <f>R61*(1+AFUDC!$C13)</f>
        <v>5127.0459339229565</v>
      </c>
      <c r="S374" s="323">
        <f>S61*(1+AFUDC!$C13)</f>
        <v>5239.8409444692606</v>
      </c>
      <c r="T374" s="323">
        <f>T61*(1+AFUDC!$C13)</f>
        <v>5355.1174452475843</v>
      </c>
      <c r="U374" s="323">
        <f>U61*(1+AFUDC!$C13)</f>
        <v>5472.9300290430319</v>
      </c>
      <c r="V374" s="323">
        <f>V61*(1+AFUDC!$C13)</f>
        <v>5593.3344896819781</v>
      </c>
      <c r="W374" s="323">
        <f>W61*(1+AFUDC!$C13)</f>
        <v>5716.3878484549814</v>
      </c>
      <c r="X374" s="323">
        <f>X61*(1+AFUDC!$C13)</f>
        <v>5842.1483811209919</v>
      </c>
      <c r="Y374" s="323">
        <f>Y61*(1+AFUDC!$C13)</f>
        <v>5970.6756455056529</v>
      </c>
      <c r="Z374" s="323">
        <f>Z61*(1+AFUDC!$C13)</f>
        <v>6102.0305097067776</v>
      </c>
      <c r="AA374" s="323">
        <f>AA61*(1+AFUDC!$C13)</f>
        <v>6236.2751809203255</v>
      </c>
      <c r="AB374" s="323">
        <f>AB61*(1+AFUDC!$C13)</f>
        <v>6373.4732349005735</v>
      </c>
      <c r="AC374" s="323">
        <f>AC61*(1+AFUDC!$C13)</f>
        <v>6513.6896460683865</v>
      </c>
      <c r="AD374" s="323">
        <f>AD61*(1+AFUDC!$C13)</f>
        <v>6656.9908182818908</v>
      </c>
      <c r="AE374" s="323">
        <f>AE61*(1+AFUDC!$C13)</f>
        <v>6803.4446162840923</v>
      </c>
    </row>
    <row r="375" spans="2:31" hidden="1" outlineLevel="1">
      <c r="B375" s="352"/>
      <c r="C375" s="352"/>
      <c r="D375" s="352" t="s">
        <v>302</v>
      </c>
      <c r="E375" s="352" t="s">
        <v>173</v>
      </c>
      <c r="H375" s="323">
        <f>H62*(1+AFUDC!$C13)</f>
        <v>4075.45165</v>
      </c>
      <c r="I375" s="323">
        <f>I62*(1+AFUDC!$C13)</f>
        <v>4204.7249763379996</v>
      </c>
      <c r="J375" s="323">
        <f>J62*(1+AFUDC!$C13)</f>
        <v>4303.6323715626504</v>
      </c>
      <c r="K375" s="323">
        <f>K62*(1+AFUDC!$C13)</f>
        <v>4399.7468278608821</v>
      </c>
      <c r="L375" s="323">
        <f>L62*(1+AFUDC!$C13)</f>
        <v>4498.0078403497764</v>
      </c>
      <c r="M375" s="323">
        <f>M62*(1+AFUDC!$C13)</f>
        <v>4598.4633487842539</v>
      </c>
      <c r="N375" s="323">
        <f>N62*(1+AFUDC!$C13)</f>
        <v>4699.6295424575073</v>
      </c>
      <c r="O375" s="323">
        <f>O62*(1+AFUDC!$C13)</f>
        <v>4803.0213923915726</v>
      </c>
      <c r="P375" s="323">
        <f>P62*(1+AFUDC!$C13)</f>
        <v>4908.6878630241872</v>
      </c>
      <c r="Q375" s="323">
        <f>Q62*(1+AFUDC!$C13)</f>
        <v>5016.6789960107199</v>
      </c>
      <c r="R375" s="323">
        <f>R62*(1+AFUDC!$C13)</f>
        <v>5127.0459339229565</v>
      </c>
      <c r="S375" s="323">
        <f>S62*(1+AFUDC!$C13)</f>
        <v>5239.8409444692606</v>
      </c>
      <c r="T375" s="323">
        <f>T62*(1+AFUDC!$C13)</f>
        <v>5355.1174452475843</v>
      </c>
      <c r="U375" s="323">
        <f>U62*(1+AFUDC!$C13)</f>
        <v>5472.9300290430319</v>
      </c>
      <c r="V375" s="323">
        <f>V62*(1+AFUDC!$C13)</f>
        <v>5593.3344896819781</v>
      </c>
      <c r="W375" s="323">
        <f>W62*(1+AFUDC!$C13)</f>
        <v>5716.3878484549814</v>
      </c>
      <c r="X375" s="323">
        <f>X62*(1+AFUDC!$C13)</f>
        <v>5842.1483811209919</v>
      </c>
      <c r="Y375" s="323">
        <f>Y62*(1+AFUDC!$C13)</f>
        <v>5970.6756455056529</v>
      </c>
      <c r="Z375" s="323">
        <f>Z62*(1+AFUDC!$C13)</f>
        <v>6102.0305097067776</v>
      </c>
      <c r="AA375" s="323">
        <f>AA62*(1+AFUDC!$C13)</f>
        <v>6236.2751809203255</v>
      </c>
      <c r="AB375" s="323">
        <f>AB62*(1+AFUDC!$C13)</f>
        <v>6373.4732349005735</v>
      </c>
      <c r="AC375" s="323">
        <f>AC62*(1+AFUDC!$C13)</f>
        <v>6513.6896460683865</v>
      </c>
      <c r="AD375" s="323">
        <f>AD62*(1+AFUDC!$C13)</f>
        <v>6656.9908182818908</v>
      </c>
      <c r="AE375" s="323">
        <f>AE62*(1+AFUDC!$C13)</f>
        <v>6803.4446162840923</v>
      </c>
    </row>
    <row r="376" spans="2:31" hidden="1" outlineLevel="1">
      <c r="B376" s="352"/>
      <c r="C376" s="352"/>
      <c r="D376" s="352" t="s">
        <v>302</v>
      </c>
      <c r="E376" s="352" t="s">
        <v>176</v>
      </c>
      <c r="H376" s="323">
        <f>H63*(1+AFUDC!$C14)</f>
        <v>3356.2543000000001</v>
      </c>
      <c r="I376" s="323">
        <f>I63*(1+AFUDC!$C14)</f>
        <v>3462.7146863960002</v>
      </c>
      <c r="J376" s="323">
        <f>J63*(1+AFUDC!$C14)</f>
        <v>3544.1678354045357</v>
      </c>
      <c r="K376" s="323">
        <f>K63*(1+AFUDC!$C14)</f>
        <v>3623.3209170619034</v>
      </c>
      <c r="L376" s="323">
        <f>L63*(1+AFUDC!$C14)</f>
        <v>3704.2417508762856</v>
      </c>
      <c r="M376" s="323">
        <f>M63*(1+AFUDC!$C14)</f>
        <v>3786.9698166458561</v>
      </c>
      <c r="N376" s="323">
        <f>N63*(1+AFUDC!$C14)</f>
        <v>3870.2831526120649</v>
      </c>
      <c r="O376" s="323">
        <f>O63*(1+AFUDC!$C14)</f>
        <v>3955.4293819695308</v>
      </c>
      <c r="P376" s="323">
        <f>P63*(1+AFUDC!$C14)</f>
        <v>4042.4488283728606</v>
      </c>
      <c r="Q376" s="323">
        <f>Q63*(1+AFUDC!$C14)</f>
        <v>4131.3827025970631</v>
      </c>
      <c r="R376" s="323">
        <f>R63*(1+AFUDC!$C14)</f>
        <v>4222.2731220541991</v>
      </c>
      <c r="S376" s="323">
        <f>S63*(1+AFUDC!$C14)</f>
        <v>4315.1631307393909</v>
      </c>
      <c r="T376" s="323">
        <f>T63*(1+AFUDC!$C14)</f>
        <v>4410.096719615658</v>
      </c>
      <c r="U376" s="323">
        <f>U63*(1+AFUDC!$C14)</f>
        <v>4507.1188474472019</v>
      </c>
      <c r="V376" s="323">
        <f>V63*(1+AFUDC!$C14)</f>
        <v>4606.27546209104</v>
      </c>
      <c r="W376" s="323">
        <f>W63*(1+AFUDC!$C14)</f>
        <v>4707.6135222570429</v>
      </c>
      <c r="X376" s="323">
        <f>X63*(1+AFUDC!$C14)</f>
        <v>4811.1810197466984</v>
      </c>
      <c r="Y376" s="323">
        <f>Y63*(1+AFUDC!$C14)</f>
        <v>4917.0270021811266</v>
      </c>
      <c r="Z376" s="323">
        <f>Z63*(1+AFUDC!$C14)</f>
        <v>5025.2015962291107</v>
      </c>
      <c r="AA376" s="323">
        <f>AA63*(1+AFUDC!$C14)</f>
        <v>5135.7560313461518</v>
      </c>
      <c r="AB376" s="323">
        <f>AB63*(1+AFUDC!$C14)</f>
        <v>5248.7426640357662</v>
      </c>
      <c r="AC376" s="323">
        <f>AC63*(1+AFUDC!$C14)</f>
        <v>5364.2150026445534</v>
      </c>
      <c r="AD376" s="323">
        <f>AD63*(1+AFUDC!$C14)</f>
        <v>5482.2277327027341</v>
      </c>
      <c r="AE376" s="323">
        <f>AE63*(1+AFUDC!$C14)</f>
        <v>5602.8367428221927</v>
      </c>
    </row>
    <row r="377" spans="2:31" hidden="1" outlineLevel="1">
      <c r="B377" s="352"/>
      <c r="C377" s="352"/>
      <c r="D377" s="352" t="s">
        <v>302</v>
      </c>
      <c r="E377" s="352" t="s">
        <v>133</v>
      </c>
      <c r="H377" s="323">
        <f>H64*(1+AFUDC!$C15)</f>
        <v>2766.5124730000002</v>
      </c>
      <c r="I377" s="323">
        <f>I64*(1+AFUDC!$C15)</f>
        <v>2854.2662486435602</v>
      </c>
      <c r="J377" s="323">
        <f>J64*(1+AFUDC!$C15)</f>
        <v>2921.4069157548815</v>
      </c>
      <c r="K377" s="323">
        <f>K64*(1+AFUDC!$C15)</f>
        <v>2986.6516702067406</v>
      </c>
      <c r="L377" s="323">
        <f>L64*(1+AFUDC!$C15)</f>
        <v>3053.3535575080241</v>
      </c>
      <c r="M377" s="323">
        <f>M64*(1+AFUDC!$C15)</f>
        <v>3121.54512029237</v>
      </c>
      <c r="N377" s="323">
        <f>N64*(1+AFUDC!$C15)</f>
        <v>3190.2191129388025</v>
      </c>
      <c r="O377" s="323">
        <f>O64*(1+AFUDC!$C15)</f>
        <v>3260.4039334234562</v>
      </c>
      <c r="P377" s="323">
        <f>P64*(1+AFUDC!$C15)</f>
        <v>3332.132819958772</v>
      </c>
      <c r="Q377" s="323">
        <f>Q64*(1+AFUDC!$C15)</f>
        <v>3405.439741997865</v>
      </c>
      <c r="R377" s="323">
        <f>R64*(1+AFUDC!$C15)</f>
        <v>3480.3594163218181</v>
      </c>
      <c r="S377" s="323">
        <f>S64*(1+AFUDC!$C15)</f>
        <v>3556.9273234808979</v>
      </c>
      <c r="T377" s="323">
        <f>T64*(1+AFUDC!$C15)</f>
        <v>3635.1797245974781</v>
      </c>
      <c r="U377" s="323">
        <f>U64*(1+AFUDC!$C15)</f>
        <v>3715.1536785386229</v>
      </c>
      <c r="V377" s="323">
        <f>V64*(1+AFUDC!$C15)</f>
        <v>3796.8870594664722</v>
      </c>
      <c r="W377" s="323">
        <f>W64*(1+AFUDC!$C15)</f>
        <v>3880.4185747747338</v>
      </c>
      <c r="X377" s="323">
        <f>X64*(1+AFUDC!$C15)</f>
        <v>3965.7877834197789</v>
      </c>
      <c r="Y377" s="323">
        <f>Y64*(1+AFUDC!$C15)</f>
        <v>4053.0351146550138</v>
      </c>
      <c r="Z377" s="323">
        <f>Z64*(1+AFUDC!$C15)</f>
        <v>4142.2018871774244</v>
      </c>
      <c r="AA377" s="323">
        <f>AA64*(1+AFUDC!$C15)</f>
        <v>4233.3303286953278</v>
      </c>
      <c r="AB377" s="323">
        <f>AB64*(1+AFUDC!$C15)</f>
        <v>4326.4635959266252</v>
      </c>
      <c r="AC377" s="323">
        <f>AC64*(1+AFUDC!$C15)</f>
        <v>4421.6457950370104</v>
      </c>
      <c r="AD377" s="323">
        <f>AD64*(1+AFUDC!$C15)</f>
        <v>4518.9220025278246</v>
      </c>
      <c r="AE377" s="323">
        <f>AE64*(1+AFUDC!$C15)</f>
        <v>4618.3382865834365</v>
      </c>
    </row>
    <row r="378" spans="2:31" hidden="1" outlineLevel="1">
      <c r="B378" s="352"/>
      <c r="C378" s="352"/>
      <c r="D378" s="352" t="s">
        <v>302</v>
      </c>
      <c r="E378" s="352" t="s">
        <v>174</v>
      </c>
      <c r="H378" s="323">
        <f>H65*(1+AFUDC!$C15)</f>
        <v>2766.5124730000002</v>
      </c>
      <c r="I378" s="323">
        <f>I65*(1+AFUDC!$C15)</f>
        <v>2854.2662486435602</v>
      </c>
      <c r="J378" s="323">
        <f>J65*(1+AFUDC!$C15)</f>
        <v>2921.4069157548815</v>
      </c>
      <c r="K378" s="323">
        <f>K65*(1+AFUDC!$C15)</f>
        <v>2986.6516702067406</v>
      </c>
      <c r="L378" s="323">
        <f>L65*(1+AFUDC!$C15)</f>
        <v>3053.3535575080241</v>
      </c>
      <c r="M378" s="323">
        <f>M65*(1+AFUDC!$C15)</f>
        <v>3121.54512029237</v>
      </c>
      <c r="N378" s="323">
        <f>N65*(1+AFUDC!$C15)</f>
        <v>3190.2191129388025</v>
      </c>
      <c r="O378" s="323">
        <f>O65*(1+AFUDC!$C15)</f>
        <v>3260.4039334234562</v>
      </c>
      <c r="P378" s="323">
        <f>P65*(1+AFUDC!$C15)</f>
        <v>3332.132819958772</v>
      </c>
      <c r="Q378" s="323">
        <f>Q65*(1+AFUDC!$C15)</f>
        <v>3405.439741997865</v>
      </c>
      <c r="R378" s="323">
        <f>R65*(1+AFUDC!$C15)</f>
        <v>3480.3594163218181</v>
      </c>
      <c r="S378" s="323">
        <f>S65*(1+AFUDC!$C15)</f>
        <v>3556.9273234808979</v>
      </c>
      <c r="T378" s="323">
        <f>T65*(1+AFUDC!$C15)</f>
        <v>3635.1797245974781</v>
      </c>
      <c r="U378" s="323">
        <f>U65*(1+AFUDC!$C15)</f>
        <v>3715.1536785386229</v>
      </c>
      <c r="V378" s="323">
        <f>V65*(1+AFUDC!$C15)</f>
        <v>3796.8870594664722</v>
      </c>
      <c r="W378" s="323">
        <f>W65*(1+AFUDC!$C15)</f>
        <v>3880.4185747747338</v>
      </c>
      <c r="X378" s="323">
        <f>X65*(1+AFUDC!$C15)</f>
        <v>3965.7877834197789</v>
      </c>
      <c r="Y378" s="323">
        <f>Y65*(1+AFUDC!$C15)</f>
        <v>4053.0351146550138</v>
      </c>
      <c r="Z378" s="323">
        <f>Z65*(1+AFUDC!$C15)</f>
        <v>4142.2018871774244</v>
      </c>
      <c r="AA378" s="323">
        <f>AA65*(1+AFUDC!$C15)</f>
        <v>4233.3303286953278</v>
      </c>
      <c r="AB378" s="323">
        <f>AB65*(1+AFUDC!$C15)</f>
        <v>4326.4635959266252</v>
      </c>
      <c r="AC378" s="323">
        <f>AC65*(1+AFUDC!$C15)</f>
        <v>4421.6457950370104</v>
      </c>
      <c r="AD378" s="323">
        <f>AD65*(1+AFUDC!$C15)</f>
        <v>4518.9220025278246</v>
      </c>
      <c r="AE378" s="323">
        <f>AE65*(1+AFUDC!$C15)</f>
        <v>4618.3382865834365</v>
      </c>
    </row>
    <row r="379" spans="2:31" hidden="1" outlineLevel="1">
      <c r="B379" s="352"/>
      <c r="C379" s="352"/>
      <c r="D379" s="352" t="s">
        <v>302</v>
      </c>
      <c r="E379" s="352" t="s">
        <v>177</v>
      </c>
      <c r="H379" s="323">
        <f>H66*(1+AFUDC!$C16)</f>
        <v>2685.0034400000004</v>
      </c>
      <c r="I379" s="323">
        <f>I66*(1+AFUDC!$C16)</f>
        <v>2770.1717491168001</v>
      </c>
      <c r="J379" s="323">
        <f>J66*(1+AFUDC!$C16)</f>
        <v>2835.3342683236292</v>
      </c>
      <c r="K379" s="323">
        <f>K66*(1+AFUDC!$C16)</f>
        <v>2898.6567336495232</v>
      </c>
      <c r="L379" s="323">
        <f>L66*(1+AFUDC!$C16)</f>
        <v>2963.3934007010289</v>
      </c>
      <c r="M379" s="323">
        <f>M66*(1+AFUDC!$C16)</f>
        <v>3029.5758533166854</v>
      </c>
      <c r="N379" s="323">
        <f>N66*(1+AFUDC!$C16)</f>
        <v>3096.2265220896529</v>
      </c>
      <c r="O379" s="323">
        <f>O66*(1+AFUDC!$C16)</f>
        <v>3164.3435055756249</v>
      </c>
      <c r="P379" s="323">
        <f>P66*(1+AFUDC!$C16)</f>
        <v>3233.9590626982886</v>
      </c>
      <c r="Q379" s="323">
        <f>Q66*(1+AFUDC!$C16)</f>
        <v>3305.1061620776504</v>
      </c>
      <c r="R379" s="323">
        <f>R66*(1+AFUDC!$C16)</f>
        <v>3377.8184976433595</v>
      </c>
      <c r="S379" s="323">
        <f>S66*(1+AFUDC!$C16)</f>
        <v>3452.1305045915133</v>
      </c>
      <c r="T379" s="323">
        <f>T66*(1+AFUDC!$C16)</f>
        <v>3528.0773756925269</v>
      </c>
      <c r="U379" s="323">
        <f>U66*(1+AFUDC!$C16)</f>
        <v>3605.6950779577619</v>
      </c>
      <c r="V379" s="323">
        <f>V66*(1+AFUDC!$C16)</f>
        <v>3685.0203696728327</v>
      </c>
      <c r="W379" s="323">
        <f>W66*(1+AFUDC!$C16)</f>
        <v>3766.0908178056352</v>
      </c>
      <c r="X379" s="323">
        <f>X66*(1+AFUDC!$C16)</f>
        <v>3848.9448157973593</v>
      </c>
      <c r="Y379" s="323">
        <f>Y66*(1+AFUDC!$C16)</f>
        <v>3933.621601744901</v>
      </c>
      <c r="Z379" s="323">
        <f>Z66*(1+AFUDC!$C16)</f>
        <v>4020.1612769832891</v>
      </c>
      <c r="AA379" s="323">
        <f>AA66*(1+AFUDC!$C16)</f>
        <v>4108.6048250769218</v>
      </c>
      <c r="AB379" s="323">
        <f>AB66*(1+AFUDC!$C16)</f>
        <v>4198.9941312286137</v>
      </c>
      <c r="AC379" s="323">
        <f>AC66*(1+AFUDC!$C16)</f>
        <v>4291.3720021156432</v>
      </c>
      <c r="AD379" s="323">
        <f>AD66*(1+AFUDC!$C16)</f>
        <v>4385.7821861621878</v>
      </c>
      <c r="AE379" s="323">
        <f>AE66*(1+AFUDC!$C16)</f>
        <v>4482.2693942577553</v>
      </c>
    </row>
    <row r="380" spans="2:31" hidden="1" outlineLevel="1">
      <c r="B380" s="352"/>
      <c r="C380" s="352"/>
      <c r="D380" s="352" t="s">
        <v>302</v>
      </c>
      <c r="E380" s="352" t="s">
        <v>8</v>
      </c>
      <c r="F380" s="323">
        <f>F67*(1+AFUDC!$C17)</f>
        <v>2081.9348361347875</v>
      </c>
      <c r="G380" s="323">
        <f>G67*(1+AFUDC!$C17)</f>
        <v>1866.0445530971429</v>
      </c>
      <c r="H380" s="323">
        <f>H67*(1+AFUDC!$C17)</f>
        <v>1921.2475369637182</v>
      </c>
      <c r="I380" s="323">
        <f>I67*(1+AFUDC!$C17)</f>
        <v>1900.6975330389107</v>
      </c>
      <c r="J380" s="323">
        <f>J67*(1+AFUDC!$C17)</f>
        <v>1861.9985779641461</v>
      </c>
      <c r="K380" s="323">
        <f>K67*(1+AFUDC!$C17)</f>
        <v>1818.3115092462176</v>
      </c>
      <c r="L380" s="323">
        <f>L67*(1+AFUDC!$C17)</f>
        <v>1771.7443612792795</v>
      </c>
      <c r="M380" s="323">
        <f>M67*(1+AFUDC!$C17)</f>
        <v>1722.1902806625953</v>
      </c>
      <c r="N380" s="323">
        <f>N67*(1+AFUDC!$C17)</f>
        <v>1668.9947219821747</v>
      </c>
      <c r="O380" s="323">
        <f>O67*(1+AFUDC!$C17)</f>
        <v>1612.6250186239756</v>
      </c>
      <c r="P380" s="323">
        <f>P67*(1+AFUDC!$C17)</f>
        <v>1552.9672548725764</v>
      </c>
      <c r="Q380" s="323">
        <f>Q67*(1+AFUDC!$C17)</f>
        <v>1572.9898247538849</v>
      </c>
      <c r="R380" s="323">
        <f>R67*(1+AFUDC!$C17)</f>
        <v>1593.1417515586134</v>
      </c>
      <c r="S380" s="323">
        <f>S67*(1+AFUDC!$C17)</f>
        <v>1613.4190360675689</v>
      </c>
      <c r="T380" s="323">
        <f>T67*(1+AFUDC!$C17)</f>
        <v>1633.8174404871636</v>
      </c>
      <c r="U380" s="323">
        <f>U67*(1+AFUDC!$C17)</f>
        <v>1654.3324798877636</v>
      </c>
      <c r="V380" s="323">
        <f>V67*(1+AFUDC!$C17)</f>
        <v>1674.9594133807946</v>
      </c>
      <c r="W380" s="323">
        <f>W67*(1+AFUDC!$C17)</f>
        <v>1695.6932350272532</v>
      </c>
      <c r="X380" s="323">
        <f>X67*(1+AFUDC!$C17)</f>
        <v>1716.5286644700802</v>
      </c>
      <c r="Y380" s="323">
        <f>Y67*(1+AFUDC!$C17)</f>
        <v>1737.460137282638</v>
      </c>
      <c r="Z380" s="323">
        <f>Z67*(1+AFUDC!$C17)</f>
        <v>1758.4817950253446</v>
      </c>
      <c r="AA380" s="323">
        <f>AA67*(1+AFUDC!$C17)</f>
        <v>1779.5874750022854</v>
      </c>
      <c r="AB380" s="323">
        <f>AB67*(1+AFUDC!$C17)</f>
        <v>1800.7706997094197</v>
      </c>
      <c r="AC380" s="323">
        <f>AC67*(1+AFUDC!$C17)</f>
        <v>1822.0246659657669</v>
      </c>
      <c r="AD380" s="323">
        <f>AD67*(1+AFUDC!$C17)</f>
        <v>1843.3422337187337</v>
      </c>
      <c r="AE380" s="323">
        <f>AE67*(1+AFUDC!$C17)</f>
        <v>1864.7159145145038</v>
      </c>
    </row>
    <row r="381" spans="2:31" hidden="1" outlineLevel="1">
      <c r="B381" s="352"/>
      <c r="C381" s="352"/>
      <c r="D381" s="352" t="s">
        <v>302</v>
      </c>
      <c r="E381" s="352" t="s">
        <v>171</v>
      </c>
      <c r="F381" s="323">
        <f>F68*(1+AFUDC!$C17)</f>
        <v>2081.9348361347875</v>
      </c>
      <c r="G381" s="323">
        <f>G68*(1+AFUDC!$C17)</f>
        <v>1866.0445530971429</v>
      </c>
      <c r="H381" s="323">
        <f>H68*(1+AFUDC!$C17)</f>
        <v>1921.2475369637182</v>
      </c>
      <c r="I381" s="323">
        <f>I68*(1+AFUDC!$C17)</f>
        <v>1900.6975330389107</v>
      </c>
      <c r="J381" s="323">
        <f>J68*(1+AFUDC!$C17)</f>
        <v>1861.9985779641461</v>
      </c>
      <c r="K381" s="323">
        <f>K68*(1+AFUDC!$C17)</f>
        <v>1818.3115092462176</v>
      </c>
      <c r="L381" s="323">
        <f>L68*(1+AFUDC!$C17)</f>
        <v>1771.7443612792795</v>
      </c>
      <c r="M381" s="323">
        <f>M68*(1+AFUDC!$C17)</f>
        <v>1722.1902806625953</v>
      </c>
      <c r="N381" s="323">
        <f>N68*(1+AFUDC!$C17)</f>
        <v>1668.9947219821747</v>
      </c>
      <c r="O381" s="323">
        <f>O68*(1+AFUDC!$C17)</f>
        <v>1612.6250186239756</v>
      </c>
      <c r="P381" s="323">
        <f>P68*(1+AFUDC!$C17)</f>
        <v>1552.9672548725764</v>
      </c>
      <c r="Q381" s="323">
        <f>Q68*(1+AFUDC!$C17)</f>
        <v>1572.9898247538849</v>
      </c>
      <c r="R381" s="323">
        <f>R68*(1+AFUDC!$C17)</f>
        <v>1593.1417515586134</v>
      </c>
      <c r="S381" s="323">
        <f>S68*(1+AFUDC!$C17)</f>
        <v>1613.4190360675689</v>
      </c>
      <c r="T381" s="323">
        <f>T68*(1+AFUDC!$C17)</f>
        <v>1633.8174404871636</v>
      </c>
      <c r="U381" s="323">
        <f>U68*(1+AFUDC!$C17)</f>
        <v>1654.3324798877636</v>
      </c>
      <c r="V381" s="323">
        <f>V68*(1+AFUDC!$C17)</f>
        <v>1674.9594133807946</v>
      </c>
      <c r="W381" s="323">
        <f>W68*(1+AFUDC!$C17)</f>
        <v>1695.6932350272532</v>
      </c>
      <c r="X381" s="323">
        <f>X68*(1+AFUDC!$C17)</f>
        <v>1716.5286644700802</v>
      </c>
      <c r="Y381" s="323">
        <f>Y68*(1+AFUDC!$C17)</f>
        <v>1737.460137282638</v>
      </c>
      <c r="Z381" s="323">
        <f>Z68*(1+AFUDC!$C17)</f>
        <v>1758.4817950253446</v>
      </c>
      <c r="AA381" s="323">
        <f>AA68*(1+AFUDC!$C17)</f>
        <v>1779.5874750022854</v>
      </c>
      <c r="AB381" s="323">
        <f>AB68*(1+AFUDC!$C17)</f>
        <v>1800.7706997094197</v>
      </c>
      <c r="AC381" s="323">
        <f>AC68*(1+AFUDC!$C17)</f>
        <v>1822.0246659657669</v>
      </c>
      <c r="AD381" s="323">
        <f>AD68*(1+AFUDC!$C17)</f>
        <v>1843.3422337187337</v>
      </c>
      <c r="AE381" s="323">
        <f>AE68*(1+AFUDC!$C17)</f>
        <v>1864.7159145145038</v>
      </c>
    </row>
    <row r="382" spans="2:31" hidden="1" outlineLevel="1">
      <c r="B382" s="352"/>
      <c r="C382" s="352"/>
      <c r="D382" s="352" t="s">
        <v>302</v>
      </c>
      <c r="E382" s="352" t="s">
        <v>170</v>
      </c>
      <c r="F382" s="323">
        <f>F69*(1+AFUDC!$C18)</f>
        <v>2406.7417474372123</v>
      </c>
      <c r="G382" s="323">
        <f>G69*(1+AFUDC!$C18)</f>
        <v>2107.3111987025627</v>
      </c>
      <c r="H382" s="323">
        <f>H69*(1+AFUDC!$C18)</f>
        <v>2098.6483186517089</v>
      </c>
      <c r="I382" s="323">
        <f>I69*(1+AFUDC!$C18)</f>
        <v>1983.4052915902369</v>
      </c>
      <c r="J382" s="323">
        <f>J69*(1+AFUDC!$C18)</f>
        <v>1886.2647978444172</v>
      </c>
      <c r="K382" s="323">
        <f>K69*(1+AFUDC!$C18)</f>
        <v>1824.6214386885545</v>
      </c>
      <c r="L382" s="323">
        <f>L69*(1+AFUDC!$C18)</f>
        <v>1785.8057162661528</v>
      </c>
      <c r="M382" s="323">
        <f>M69*(1+AFUDC!$C18)</f>
        <v>1753.3842072061518</v>
      </c>
      <c r="N382" s="323">
        <f>N69*(1+AFUDC!$C18)</f>
        <v>1708.8265569920993</v>
      </c>
      <c r="O382" s="323">
        <f>O69*(1+AFUDC!$C18)</f>
        <v>1680.3399564420254</v>
      </c>
      <c r="P382" s="323">
        <f>P69*(1+AFUDC!$C18)</f>
        <v>1649.7728734141645</v>
      </c>
      <c r="Q382" s="323">
        <f>Q69*(1+AFUDC!$C18)</f>
        <v>1665.8301320866951</v>
      </c>
      <c r="R382" s="323">
        <f>R69*(1+AFUDC!$C18)</f>
        <v>1680.9388778686603</v>
      </c>
      <c r="S382" s="323">
        <f>S69*(1+AFUDC!$C18)</f>
        <v>1695.9061466811079</v>
      </c>
      <c r="T382" s="323">
        <f>T69*(1+AFUDC!$C18)</f>
        <v>1710.7184009044145</v>
      </c>
      <c r="U382" s="323">
        <f>U69*(1+AFUDC!$C18)</f>
        <v>1725.3615757385469</v>
      </c>
      <c r="V382" s="323">
        <f>V69*(1+AFUDC!$C18)</f>
        <v>1739.8210625593476</v>
      </c>
      <c r="W382" s="323">
        <f>W69*(1+AFUDC!$C18)</f>
        <v>1754.0816917976019</v>
      </c>
      <c r="X382" s="323">
        <f>X69*(1+AFUDC!$C18)</f>
        <v>1768.1277153280676</v>
      </c>
      <c r="Y382" s="323">
        <f>Y69*(1+AFUDC!$C18)</f>
        <v>1781.9427883550434</v>
      </c>
      <c r="Z382" s="323">
        <f>Z69*(1+AFUDC!$C18)</f>
        <v>1795.5099507809803</v>
      </c>
      <c r="AA382" s="323">
        <f>AA69*(1+AFUDC!$C18)</f>
        <v>1808.8116080440998</v>
      </c>
      <c r="AB382" s="323">
        <f>AB69*(1+AFUDC!$C18)</f>
        <v>1821.8295114106136</v>
      </c>
      <c r="AC382" s="323">
        <f>AC69*(1+AFUDC!$C18)</f>
        <v>1834.5447377069675</v>
      </c>
      <c r="AD382" s="323">
        <f>AD69*(1+AFUDC!$C18)</f>
        <v>1846.9376684768386</v>
      </c>
      <c r="AE382" s="323">
        <f>AE69*(1+AFUDC!$C18)</f>
        <v>1858.9879685475264</v>
      </c>
    </row>
    <row r="383" spans="2:31" hidden="1" outlineLevel="1">
      <c r="B383" s="352"/>
      <c r="C383" s="352"/>
      <c r="D383" s="352" t="s">
        <v>302</v>
      </c>
      <c r="E383" s="352" t="s">
        <v>138</v>
      </c>
      <c r="F383" s="323">
        <f>F70*(1+AFUDC!$C19)</f>
        <v>1374.8626276361804</v>
      </c>
      <c r="G383" s="323">
        <f>G70*(1+AFUDC!$C19)</f>
        <v>1232.2935727999998</v>
      </c>
      <c r="H383" s="323">
        <f>H70*(1+AFUDC!$C19)</f>
        <v>1268.7483734666059</v>
      </c>
      <c r="I383" s="323">
        <f>I70*(1+AFUDC!$C19)</f>
        <v>1255.1776161577714</v>
      </c>
      <c r="J383" s="323">
        <f>J70*(1+AFUDC!$C19)</f>
        <v>1229.6217024291532</v>
      </c>
      <c r="K383" s="323">
        <f>K70*(1+AFUDC!$C19)</f>
        <v>1200.7717513890116</v>
      </c>
      <c r="L383" s="323">
        <f>L70*(1+AFUDC!$C19)</f>
        <v>1170.0198612221657</v>
      </c>
      <c r="M383" s="323">
        <f>M70*(1+AFUDC!$C19)</f>
        <v>1137.295468362091</v>
      </c>
      <c r="N383" s="323">
        <f>N70*(1+AFUDC!$C19)</f>
        <v>1102.1663258372855</v>
      </c>
      <c r="O383" s="323">
        <f>O70*(1+AFUDC!$C19)</f>
        <v>1064.941050034701</v>
      </c>
      <c r="P383" s="323">
        <f>P70*(1+AFUDC!$C19)</f>
        <v>1025.5444135950977</v>
      </c>
      <c r="Q383" s="323">
        <f>Q70*(1+AFUDC!$C19)</f>
        <v>1038.766865403509</v>
      </c>
      <c r="R383" s="323">
        <f>R70*(1+AFUDC!$C19)</f>
        <v>1052.0747415953108</v>
      </c>
      <c r="S383" s="323">
        <f>S70*(1+AFUDC!$C19)</f>
        <v>1065.4654011766963</v>
      </c>
      <c r="T383" s="323">
        <f>T70*(1+AFUDC!$C19)</f>
        <v>1078.9360456047307</v>
      </c>
      <c r="U383" s="323">
        <f>U70*(1+AFUDC!$C19)</f>
        <v>1092.4837131334289</v>
      </c>
      <c r="V383" s="323">
        <f>V70*(1+AFUDC!$C19)</f>
        <v>1106.1052729873172</v>
      </c>
      <c r="W383" s="323">
        <f>W70*(1+AFUDC!$C19)</f>
        <v>1119.7974193576199</v>
      </c>
      <c r="X383" s="323">
        <f>X70*(1+AFUDC!$C19)</f>
        <v>1133.5566652160903</v>
      </c>
      <c r="Y383" s="323">
        <f>Y70*(1+AFUDC!$C19)</f>
        <v>1147.3793359413646</v>
      </c>
      <c r="Z383" s="323">
        <f>Z70*(1+AFUDC!$C19)</f>
        <v>1161.2615627525861</v>
      </c>
      <c r="AA383" s="323">
        <f>AA70*(1+AFUDC!$C19)</f>
        <v>1175.1992759449054</v>
      </c>
      <c r="AB383" s="323">
        <f>AB70*(1+AFUDC!$C19)</f>
        <v>1189.1881979213151</v>
      </c>
      <c r="AC383" s="323">
        <f>AC70*(1+AFUDC!$C19)</f>
        <v>1203.2238360151289</v>
      </c>
      <c r="AD383" s="323">
        <f>AD70*(1+AFUDC!$C19)</f>
        <v>1217.301475097277</v>
      </c>
      <c r="AE383" s="323">
        <f>AE70*(1+AFUDC!$C19)</f>
        <v>1231.416169962408</v>
      </c>
    </row>
    <row r="384" spans="2:31" hidden="1" outlineLevel="1">
      <c r="B384" s="352"/>
      <c r="C384" s="352"/>
      <c r="D384" s="352" t="s">
        <v>302</v>
      </c>
      <c r="E384" s="352" t="s">
        <v>10</v>
      </c>
      <c r="F384" s="323">
        <f>F71*(1+AFUDC!$C20)</f>
        <v>1533.1628776361804</v>
      </c>
      <c r="G384" s="323">
        <f>G71*(1+AFUDC!$C20)</f>
        <v>1394.55132905</v>
      </c>
      <c r="H384" s="323">
        <f>H71*(1+AFUDC!$C20)</f>
        <v>1442.674280032513</v>
      </c>
      <c r="I384" s="323">
        <f>I71*(1+AFUDC!$C20)</f>
        <v>1434.6204524799487</v>
      </c>
      <c r="J384" s="323">
        <f>J71*(1+AFUDC!$C20)</f>
        <v>1413.2855576365673</v>
      </c>
      <c r="K384" s="323">
        <f>K71*(1+AFUDC!$C20)</f>
        <v>1388.537432696058</v>
      </c>
      <c r="L384" s="323">
        <f>L71*(1+AFUDC!$C20)</f>
        <v>1361.9789760784026</v>
      </c>
      <c r="M384" s="323">
        <f>M71*(1+AFUDC!$C20)</f>
        <v>1333.541670116784</v>
      </c>
      <c r="N384" s="323">
        <f>N71*(1+AFUDC!$C20)</f>
        <v>1302.7299440305817</v>
      </c>
      <c r="O384" s="323">
        <f>O71*(1+AFUDC!$C20)</f>
        <v>1269.9170678282499</v>
      </c>
      <c r="P384" s="323">
        <f>P71*(1+AFUDC!$C20)</f>
        <v>1235.0299037801044</v>
      </c>
      <c r="Q384" s="323">
        <f>Q71*(1+AFUDC!$C20)</f>
        <v>1252.8610363725861</v>
      </c>
      <c r="R384" s="323">
        <f>R71*(1+AFUDC!$C20)</f>
        <v>1270.8789843257075</v>
      </c>
      <c r="S384" s="323">
        <f>S71*(1+AFUDC!$C20)</f>
        <v>1289.0833372471618</v>
      </c>
      <c r="T384" s="323">
        <f>T71*(1+AFUDC!$C20)</f>
        <v>1307.4735762687465</v>
      </c>
      <c r="U384" s="323">
        <f>U71*(1+AFUDC!$C20)</f>
        <v>1326.0490694720529</v>
      </c>
      <c r="V384" s="323">
        <f>V71*(1+AFUDC!$C20)</f>
        <v>1344.8090671653911</v>
      </c>
      <c r="W384" s="323">
        <f>W71*(1+AFUDC!$C20)</f>
        <v>1363.7526970076117</v>
      </c>
      <c r="X384" s="323">
        <f>X71*(1+AFUDC!$C20)</f>
        <v>1382.8789589743817</v>
      </c>
      <c r="Y384" s="323">
        <f>Y71*(1+AFUDC!$C20)</f>
        <v>1402.1867201623381</v>
      </c>
      <c r="Z384" s="323">
        <f>Z71*(1+AFUDC!$C20)</f>
        <v>1421.674709426421</v>
      </c>
      <c r="AA384" s="323">
        <f>AA71*(1+AFUDC!$C20)</f>
        <v>1441.341511845565</v>
      </c>
      <c r="AB384" s="323">
        <f>AB71*(1+AFUDC!$C20)</f>
        <v>1461.1855630117889</v>
      </c>
      <c r="AC384" s="323">
        <f>AC71*(1+AFUDC!$C20)</f>
        <v>1481.2051431375933</v>
      </c>
      <c r="AD384" s="323">
        <f>AD71*(1+AFUDC!$C20)</f>
        <v>1501.3983709764352</v>
      </c>
      <c r="AE384" s="323">
        <f>AE71*(1+AFUDC!$C20)</f>
        <v>1521.763197550908</v>
      </c>
    </row>
    <row r="385" spans="2:31" hidden="1" outlineLevel="1">
      <c r="B385" s="352"/>
      <c r="C385" s="352"/>
      <c r="D385" s="352" t="s">
        <v>302</v>
      </c>
      <c r="E385" s="352" t="s">
        <v>164</v>
      </c>
      <c r="F385" s="323">
        <f>F72*(1+AFUDC!$C19)</f>
        <v>1374.8626276361804</v>
      </c>
      <c r="G385" s="323">
        <f>G72*(1+AFUDC!$C19)</f>
        <v>1232.2935727999998</v>
      </c>
      <c r="H385" s="323">
        <f>H72*(1+AFUDC!$C19)</f>
        <v>1268.7483734666059</v>
      </c>
      <c r="I385" s="323">
        <f>I72*(1+AFUDC!$C19)</f>
        <v>1255.1776161577714</v>
      </c>
      <c r="J385" s="323">
        <f>J72*(1+AFUDC!$C19)</f>
        <v>1229.6217024291532</v>
      </c>
      <c r="K385" s="323">
        <f>K72*(1+AFUDC!$C19)</f>
        <v>1200.7717513890116</v>
      </c>
      <c r="L385" s="323">
        <f>L72*(1+AFUDC!$C19)</f>
        <v>1170.0198612221657</v>
      </c>
      <c r="M385" s="323">
        <f>M72*(1+AFUDC!$C19)</f>
        <v>1137.295468362091</v>
      </c>
      <c r="N385" s="323">
        <f>N72*(1+AFUDC!$C19)</f>
        <v>1102.1663258372855</v>
      </c>
      <c r="O385" s="323">
        <f>O72*(1+AFUDC!$C19)</f>
        <v>1064.941050034701</v>
      </c>
      <c r="P385" s="323">
        <f>P72*(1+AFUDC!$C19)</f>
        <v>1025.5444135950977</v>
      </c>
      <c r="Q385" s="323">
        <f>Q72*(1+AFUDC!$C19)</f>
        <v>1038.766865403509</v>
      </c>
      <c r="R385" s="323">
        <f>R72*(1+AFUDC!$C19)</f>
        <v>1052.0747415953108</v>
      </c>
      <c r="S385" s="323">
        <f>S72*(1+AFUDC!$C19)</f>
        <v>1065.4654011766963</v>
      </c>
      <c r="T385" s="323">
        <f>T72*(1+AFUDC!$C19)</f>
        <v>1078.9360456047307</v>
      </c>
      <c r="U385" s="323">
        <f>U72*(1+AFUDC!$C19)</f>
        <v>1092.4837131334289</v>
      </c>
      <c r="V385" s="323">
        <f>V72*(1+AFUDC!$C19)</f>
        <v>1106.1052729873172</v>
      </c>
      <c r="W385" s="323">
        <f>W72*(1+AFUDC!$C19)</f>
        <v>1119.7974193576199</v>
      </c>
      <c r="X385" s="323">
        <f>X72*(1+AFUDC!$C19)</f>
        <v>1133.5566652160903</v>
      </c>
      <c r="Y385" s="323">
        <f>Y72*(1+AFUDC!$C19)</f>
        <v>1147.3793359413646</v>
      </c>
      <c r="Z385" s="323">
        <f>Z72*(1+AFUDC!$C19)</f>
        <v>1161.2615627525861</v>
      </c>
      <c r="AA385" s="323">
        <f>AA72*(1+AFUDC!$C19)</f>
        <v>1175.1992759449054</v>
      </c>
      <c r="AB385" s="323">
        <f>AB72*(1+AFUDC!$C19)</f>
        <v>1189.1881979213151</v>
      </c>
      <c r="AC385" s="323">
        <f>AC72*(1+AFUDC!$C19)</f>
        <v>1203.2238360151289</v>
      </c>
      <c r="AD385" s="323">
        <f>AD72*(1+AFUDC!$C19)</f>
        <v>1217.301475097277</v>
      </c>
      <c r="AE385" s="323">
        <f>AE72*(1+AFUDC!$C19)</f>
        <v>1231.416169962408</v>
      </c>
    </row>
    <row r="386" spans="2:31" hidden="1" outlineLevel="1">
      <c r="B386" s="352"/>
      <c r="C386" s="352"/>
      <c r="D386" s="352" t="s">
        <v>302</v>
      </c>
      <c r="E386" s="352" t="s">
        <v>165</v>
      </c>
      <c r="F386" s="323">
        <f>F73*(1+AFUDC!$C21)</f>
        <v>1822.8109628131017</v>
      </c>
      <c r="G386" s="323">
        <f>G73*(1+AFUDC!$C21)</f>
        <v>1596.0291373780067</v>
      </c>
      <c r="H386" s="323">
        <f>H73*(1+AFUDC!$C21)</f>
        <v>1589.4680708476878</v>
      </c>
      <c r="I386" s="323">
        <f>I73*(1+AFUDC!$C21)</f>
        <v>1502.1856470732612</v>
      </c>
      <c r="J386" s="323">
        <f>J73*(1+AFUDC!$C21)</f>
        <v>1428.6136665641325</v>
      </c>
      <c r="K386" s="323">
        <f>K73*(1+AFUDC!$C21)</f>
        <v>1381.9264011051018</v>
      </c>
      <c r="L386" s="323">
        <f>L73*(1+AFUDC!$C21)</f>
        <v>1352.5282637950206</v>
      </c>
      <c r="M386" s="323">
        <f>M73*(1+AFUDC!$C21)</f>
        <v>1327.9729569331842</v>
      </c>
      <c r="N386" s="323">
        <f>N73*(1+AFUDC!$C21)</f>
        <v>1294.2260152956553</v>
      </c>
      <c r="O386" s="323">
        <f>O73*(1+AFUDC!$C21)</f>
        <v>1272.6509178298618</v>
      </c>
      <c r="P386" s="323">
        <f>P73*(1+AFUDC!$C21)</f>
        <v>1249.5001106841705</v>
      </c>
      <c r="Q386" s="323">
        <f>Q73*(1+AFUDC!$C21)</f>
        <v>1261.6615098754967</v>
      </c>
      <c r="R386" s="323">
        <f>R73*(1+AFUDC!$C21)</f>
        <v>1273.1045271726573</v>
      </c>
      <c r="S386" s="323">
        <f>S73*(1+AFUDC!$C21)</f>
        <v>1284.4403930601177</v>
      </c>
      <c r="T386" s="323">
        <f>T73*(1+AFUDC!$C21)</f>
        <v>1295.6588544554747</v>
      </c>
      <c r="U386" s="323">
        <f>U73*(1+AFUDC!$C21)</f>
        <v>1306.7492590019815</v>
      </c>
      <c r="V386" s="323">
        <f>V73*(1+AFUDC!$C21)</f>
        <v>1317.7005424629815</v>
      </c>
      <c r="W386" s="323">
        <f>W73*(1+AFUDC!$C21)</f>
        <v>1328.5012157549049</v>
      </c>
      <c r="X386" s="323">
        <f>X73*(1+AFUDC!$C21)</f>
        <v>1339.1393516091266</v>
      </c>
      <c r="Y386" s="323">
        <f>Y73*(1+AFUDC!$C21)</f>
        <v>1349.6025708525081</v>
      </c>
      <c r="Z386" s="323">
        <f>Z73*(1+AFUDC!$C21)</f>
        <v>1359.8780282964149</v>
      </c>
      <c r="AA386" s="323">
        <f>AA73*(1+AFUDC!$C21)</f>
        <v>1369.9523982235639</v>
      </c>
      <c r="AB386" s="323">
        <f>AB73*(1+AFUDC!$C21)</f>
        <v>1379.811859461809</v>
      </c>
      <c r="AC386" s="323">
        <f>AC73*(1+AFUDC!$C21)</f>
        <v>1389.4420800338019</v>
      </c>
      <c r="AD386" s="323">
        <f>AD73*(1+AFUDC!$C21)</f>
        <v>1398.8282013709827</v>
      </c>
      <c r="AE386" s="323">
        <f>AE73*(1+AFUDC!$C21)</f>
        <v>1407.9548220802576</v>
      </c>
    </row>
    <row r="387" spans="2:31" hidden="1" outlineLevel="1">
      <c r="B387" s="352"/>
      <c r="C387" s="352"/>
      <c r="D387" s="352" t="s">
        <v>302</v>
      </c>
      <c r="E387" s="352" t="s">
        <v>168</v>
      </c>
      <c r="F387" s="323">
        <f>F74*(1+AFUDC!$C19)</f>
        <v>1374.8626276361804</v>
      </c>
      <c r="G387" s="323">
        <f>G74*(1+AFUDC!$C19)</f>
        <v>1232.2935727999998</v>
      </c>
      <c r="H387" s="323">
        <f>H74*(1+AFUDC!$C19)</f>
        <v>1268.7483734666059</v>
      </c>
      <c r="I387" s="323">
        <f>I74*(1+AFUDC!$C19)</f>
        <v>1255.1776161577714</v>
      </c>
      <c r="J387" s="323">
        <f>J74*(1+AFUDC!$C19)</f>
        <v>1229.6217024291532</v>
      </c>
      <c r="K387" s="323">
        <f>K74*(1+AFUDC!$C19)</f>
        <v>1200.7717513890116</v>
      </c>
      <c r="L387" s="323">
        <f>L74*(1+AFUDC!$C19)</f>
        <v>1170.0198612221657</v>
      </c>
      <c r="M387" s="323">
        <f>M74*(1+AFUDC!$C19)</f>
        <v>1137.295468362091</v>
      </c>
      <c r="N387" s="323">
        <f>N74*(1+AFUDC!$C19)</f>
        <v>1102.1663258372855</v>
      </c>
      <c r="O387" s="323">
        <f>O74*(1+AFUDC!$C19)</f>
        <v>1064.941050034701</v>
      </c>
      <c r="P387" s="323">
        <f>P74*(1+AFUDC!$C19)</f>
        <v>1025.5444135950977</v>
      </c>
      <c r="Q387" s="323">
        <f>Q74*(1+AFUDC!$C19)</f>
        <v>1038.766865403509</v>
      </c>
      <c r="R387" s="323">
        <f>R74*(1+AFUDC!$C19)</f>
        <v>1052.0747415953108</v>
      </c>
      <c r="S387" s="323">
        <f>S74*(1+AFUDC!$C19)</f>
        <v>1065.4654011766963</v>
      </c>
      <c r="T387" s="323">
        <f>T74*(1+AFUDC!$C19)</f>
        <v>1078.9360456047307</v>
      </c>
      <c r="U387" s="323">
        <f>U74*(1+AFUDC!$C19)</f>
        <v>1092.4837131334289</v>
      </c>
      <c r="V387" s="323">
        <f>V74*(1+AFUDC!$C19)</f>
        <v>1106.1052729873172</v>
      </c>
      <c r="W387" s="323">
        <f>W74*(1+AFUDC!$C19)</f>
        <v>1119.7974193576199</v>
      </c>
      <c r="X387" s="323">
        <f>X74*(1+AFUDC!$C19)</f>
        <v>1133.5566652160903</v>
      </c>
      <c r="Y387" s="323">
        <f>Y74*(1+AFUDC!$C19)</f>
        <v>1147.3793359413646</v>
      </c>
      <c r="Z387" s="323">
        <f>Z74*(1+AFUDC!$C19)</f>
        <v>1161.2615627525861</v>
      </c>
      <c r="AA387" s="323">
        <f>AA74*(1+AFUDC!$C19)</f>
        <v>1175.1992759449054</v>
      </c>
      <c r="AB387" s="323">
        <f>AB74*(1+AFUDC!$C19)</f>
        <v>1189.1881979213151</v>
      </c>
      <c r="AC387" s="323">
        <f>AC74*(1+AFUDC!$C19)</f>
        <v>1203.2238360151289</v>
      </c>
      <c r="AD387" s="323">
        <f>AD74*(1+AFUDC!$C19)</f>
        <v>1217.301475097277</v>
      </c>
      <c r="AE387" s="323">
        <f>AE74*(1+AFUDC!$C19)</f>
        <v>1231.416169962408</v>
      </c>
    </row>
    <row r="388" spans="2:31" hidden="1" outlineLevel="1">
      <c r="B388" s="352"/>
      <c r="C388" s="352"/>
      <c r="D388" s="352" t="s">
        <v>302</v>
      </c>
      <c r="E388" s="352" t="s">
        <v>166</v>
      </c>
      <c r="F388" s="323">
        <f>F75*(1+AFUDC!$C22)</f>
        <v>1043.0104814351407</v>
      </c>
      <c r="G388" s="323">
        <f>G75*(1+AFUDC!$C22)</f>
        <v>926.86841554387081</v>
      </c>
      <c r="H388" s="323">
        <f>H75*(1+AFUDC!$C22)</f>
        <v>935.34400354877278</v>
      </c>
      <c r="I388" s="323">
        <f>I75*(1+AFUDC!$C22)</f>
        <v>892.47290475956186</v>
      </c>
      <c r="J388" s="323">
        <f>J75*(1+AFUDC!$C22)</f>
        <v>866.48782082118294</v>
      </c>
      <c r="K388" s="323">
        <f>K75*(1+AFUDC!$C22)</f>
        <v>841.33759729947337</v>
      </c>
      <c r="L388" s="323">
        <f>L75*(1+AFUDC!$C22)</f>
        <v>834.71886568008449</v>
      </c>
      <c r="M388" s="323">
        <f>M75*(1+AFUDC!$C22)</f>
        <v>829.13994554275519</v>
      </c>
      <c r="N388" s="323">
        <f>N75*(1+AFUDC!$C22)</f>
        <v>815.63137179592388</v>
      </c>
      <c r="O388" s="323">
        <f>O75*(1+AFUDC!$C22)</f>
        <v>815.42656558553131</v>
      </c>
      <c r="P388" s="323">
        <f>P75*(1+AFUDC!$C22)</f>
        <v>809.38445571335433</v>
      </c>
      <c r="Q388" s="323">
        <f>Q75*(1+AFUDC!$C22)</f>
        <v>817.34696138282652</v>
      </c>
      <c r="R388" s="323">
        <f>R75*(1+AFUDC!$C22)</f>
        <v>824.76123061023156</v>
      </c>
      <c r="S388" s="323">
        <f>S75*(1+AFUDC!$C22)</f>
        <v>832.10613175433491</v>
      </c>
      <c r="T388" s="323">
        <f>T75*(1+AFUDC!$C22)</f>
        <v>839.37502411316348</v>
      </c>
      <c r="U388" s="323">
        <f>U75*(1+AFUDC!$C22)</f>
        <v>846.56100836800965</v>
      </c>
      <c r="V388" s="323">
        <f>V75*(1+AFUDC!$C22)</f>
        <v>853.65691841839839</v>
      </c>
      <c r="W388" s="323">
        <f>W75*(1+AFUDC!$C22)</f>
        <v>860.65531298295377</v>
      </c>
      <c r="X388" s="323">
        <f>X75*(1+AFUDC!$C22)</f>
        <v>867.54846695983747</v>
      </c>
      <c r="Y388" s="323">
        <f>Y75*(1+AFUDC!$C22)</f>
        <v>874.32836254022016</v>
      </c>
      <c r="Z388" s="323">
        <f>Z75*(1+AFUDC!$C22)</f>
        <v>880.98668006812875</v>
      </c>
      <c r="AA388" s="323">
        <f>AA75*(1+AFUDC!$C22)</f>
        <v>887.51478863979639</v>
      </c>
      <c r="AB388" s="323">
        <f>AB75*(1+AFUDC!$C22)</f>
        <v>893.90373643546434</v>
      </c>
      <c r="AC388" s="323">
        <f>AC75*(1+AFUDC!$C22)</f>
        <v>900.14424077644173</v>
      </c>
      <c r="AD388" s="323">
        <f>AD75*(1+AFUDC!$C22)</f>
        <v>906.22667789998764</v>
      </c>
      <c r="AE388" s="323">
        <f>AE75*(1+AFUDC!$C22)</f>
        <v>912.14107244443142</v>
      </c>
    </row>
    <row r="389" spans="2:31" hidden="1" outlineLevel="1">
      <c r="B389" s="352"/>
      <c r="C389" s="352"/>
      <c r="D389" s="352" t="s">
        <v>302</v>
      </c>
      <c r="E389" s="352" t="s">
        <v>169</v>
      </c>
      <c r="F389" s="323">
        <f>F76*(1+AFUDC!$C19)</f>
        <v>1374.8626276361804</v>
      </c>
      <c r="G389" s="323">
        <f>G76*(1+AFUDC!$C19)</f>
        <v>1232.2935727999998</v>
      </c>
      <c r="H389" s="323">
        <f>H76*(1+AFUDC!$C19)</f>
        <v>1268.7483734666059</v>
      </c>
      <c r="I389" s="323">
        <f>I76*(1+AFUDC!$C19)</f>
        <v>1255.1776161577714</v>
      </c>
      <c r="J389" s="323">
        <f>J76*(1+AFUDC!$C19)</f>
        <v>1229.6217024291532</v>
      </c>
      <c r="K389" s="323">
        <f>K76*(1+AFUDC!$C19)</f>
        <v>1200.7717513890116</v>
      </c>
      <c r="L389" s="323">
        <f>L76*(1+AFUDC!$C19)</f>
        <v>1170.0198612221657</v>
      </c>
      <c r="M389" s="323">
        <f>M76*(1+AFUDC!$C19)</f>
        <v>1137.295468362091</v>
      </c>
      <c r="N389" s="323">
        <f>N76*(1+AFUDC!$C19)</f>
        <v>1102.1663258372855</v>
      </c>
      <c r="O389" s="323">
        <f>O76*(1+AFUDC!$C19)</f>
        <v>1064.941050034701</v>
      </c>
      <c r="P389" s="323">
        <f>P76*(1+AFUDC!$C19)</f>
        <v>1025.5444135950977</v>
      </c>
      <c r="Q389" s="323">
        <f>Q76*(1+AFUDC!$C19)</f>
        <v>1038.766865403509</v>
      </c>
      <c r="R389" s="323">
        <f>R76*(1+AFUDC!$C19)</f>
        <v>1052.0747415953108</v>
      </c>
      <c r="S389" s="323">
        <f>S76*(1+AFUDC!$C19)</f>
        <v>1065.4654011766963</v>
      </c>
      <c r="T389" s="323">
        <f>T76*(1+AFUDC!$C19)</f>
        <v>1078.9360456047307</v>
      </c>
      <c r="U389" s="323">
        <f>U76*(1+AFUDC!$C19)</f>
        <v>1092.4837131334289</v>
      </c>
      <c r="V389" s="323">
        <f>V76*(1+AFUDC!$C19)</f>
        <v>1106.1052729873172</v>
      </c>
      <c r="W389" s="323">
        <f>W76*(1+AFUDC!$C19)</f>
        <v>1119.7974193576199</v>
      </c>
      <c r="X389" s="323">
        <f>X76*(1+AFUDC!$C19)</f>
        <v>1133.5566652160903</v>
      </c>
      <c r="Y389" s="323">
        <f>Y76*(1+AFUDC!$C19)</f>
        <v>1147.3793359413646</v>
      </c>
      <c r="Z389" s="323">
        <f>Z76*(1+AFUDC!$C19)</f>
        <v>1161.2615627525861</v>
      </c>
      <c r="AA389" s="323">
        <f>AA76*(1+AFUDC!$C19)</f>
        <v>1175.1992759449054</v>
      </c>
      <c r="AB389" s="323">
        <f>AB76*(1+AFUDC!$C19)</f>
        <v>1189.1881979213151</v>
      </c>
      <c r="AC389" s="323">
        <f>AC76*(1+AFUDC!$C19)</f>
        <v>1203.2238360151289</v>
      </c>
      <c r="AD389" s="323">
        <f>AD76*(1+AFUDC!$C19)</f>
        <v>1217.301475097277</v>
      </c>
      <c r="AE389" s="323">
        <f>AE76*(1+AFUDC!$C19)</f>
        <v>1231.416169962408</v>
      </c>
    </row>
    <row r="390" spans="2:31" hidden="1" outlineLevel="1">
      <c r="B390" s="352"/>
      <c r="C390" s="352"/>
      <c r="D390" s="352" t="s">
        <v>302</v>
      </c>
      <c r="E390" s="352" t="s">
        <v>167</v>
      </c>
      <c r="F390" s="323">
        <f>F77*(1+AFUDC!$C23)</f>
        <v>1043.0104814351407</v>
      </c>
      <c r="G390" s="323">
        <f>G77*(1+AFUDC!$C23)</f>
        <v>926.86841554387081</v>
      </c>
      <c r="H390" s="323">
        <f>H77*(1+AFUDC!$C23)</f>
        <v>935.34400354877278</v>
      </c>
      <c r="I390" s="323">
        <f>I77*(1+AFUDC!$C23)</f>
        <v>892.47290475956186</v>
      </c>
      <c r="J390" s="323">
        <f>J77*(1+AFUDC!$C23)</f>
        <v>866.48782082118294</v>
      </c>
      <c r="K390" s="323">
        <f>K77*(1+AFUDC!$C23)</f>
        <v>841.33759729947337</v>
      </c>
      <c r="L390" s="323">
        <f>L77*(1+AFUDC!$C23)</f>
        <v>834.71886568008449</v>
      </c>
      <c r="M390" s="323">
        <f>M77*(1+AFUDC!$C23)</f>
        <v>829.13994554275519</v>
      </c>
      <c r="N390" s="323">
        <f>N77*(1+AFUDC!$C23)</f>
        <v>815.63137179592388</v>
      </c>
      <c r="O390" s="323">
        <f>O77*(1+AFUDC!$C23)</f>
        <v>815.42656558553131</v>
      </c>
      <c r="P390" s="323">
        <f>P77*(1+AFUDC!$C23)</f>
        <v>809.38445571335433</v>
      </c>
      <c r="Q390" s="323">
        <f>Q77*(1+AFUDC!$C23)</f>
        <v>817.34696138282652</v>
      </c>
      <c r="R390" s="323">
        <f>R77*(1+AFUDC!$C23)</f>
        <v>824.76123061023156</v>
      </c>
      <c r="S390" s="323">
        <f>S77*(1+AFUDC!$C23)</f>
        <v>832.10613175433491</v>
      </c>
      <c r="T390" s="323">
        <f>T77*(1+AFUDC!$C23)</f>
        <v>839.37502411316348</v>
      </c>
      <c r="U390" s="323">
        <f>U77*(1+AFUDC!$C23)</f>
        <v>846.56100836800965</v>
      </c>
      <c r="V390" s="323">
        <f>V77*(1+AFUDC!$C23)</f>
        <v>853.65691841839839</v>
      </c>
      <c r="W390" s="323">
        <f>W77*(1+AFUDC!$C23)</f>
        <v>860.65531298295377</v>
      </c>
      <c r="X390" s="323">
        <f>X77*(1+AFUDC!$C23)</f>
        <v>867.54846695983747</v>
      </c>
      <c r="Y390" s="323">
        <f>Y77*(1+AFUDC!$C23)</f>
        <v>874.32836254022016</v>
      </c>
      <c r="Z390" s="323">
        <f>Z77*(1+AFUDC!$C23)</f>
        <v>880.98668006812875</v>
      </c>
      <c r="AA390" s="323">
        <f>AA77*(1+AFUDC!$C23)</f>
        <v>887.51478863979639</v>
      </c>
      <c r="AB390" s="323">
        <f>AB77*(1+AFUDC!$C23)</f>
        <v>893.90373643546434</v>
      </c>
      <c r="AC390" s="323">
        <f>AC77*(1+AFUDC!$C23)</f>
        <v>900.14424077644173</v>
      </c>
      <c r="AD390" s="323">
        <f>AD77*(1+AFUDC!$C23)</f>
        <v>906.22667789998764</v>
      </c>
      <c r="AE390" s="323">
        <f>AE77*(1+AFUDC!$C23)</f>
        <v>912.14107244443142</v>
      </c>
    </row>
    <row r="391" spans="2:31" hidden="1" outlineLevel="1">
      <c r="B391" s="350"/>
      <c r="C391" s="350"/>
      <c r="D391" s="350" t="s">
        <v>302</v>
      </c>
      <c r="E391" s="350" t="s">
        <v>4</v>
      </c>
      <c r="F391" s="323">
        <f>F78*(1+AFUDC!$C7)</f>
        <v>1492.0682954682413</v>
      </c>
      <c r="G391" s="323">
        <f>G78*(1+AFUDC!$C7)</f>
        <v>1475.8106703336246</v>
      </c>
      <c r="H391" s="323">
        <f>H78*(1+AFUDC!$C7)</f>
        <v>1524.5271413247365</v>
      </c>
      <c r="I391" s="323">
        <f>I78*(1+AFUDC!$C7)</f>
        <v>1513.6532216215824</v>
      </c>
      <c r="J391" s="323">
        <f>J78*(1+AFUDC!$C7)</f>
        <v>1488.6335320571527</v>
      </c>
      <c r="K391" s="323">
        <f>K78*(1+AFUDC!$C7)</f>
        <v>1459.900489352015</v>
      </c>
      <c r="L391" s="323">
        <f>L78*(1+AFUDC!$C7)</f>
        <v>1429.1415400810026</v>
      </c>
      <c r="M391" s="323">
        <f>M78*(1+AFUDC!$C7)</f>
        <v>1396.2805251540301</v>
      </c>
      <c r="N391" s="323">
        <f>N78*(1+AFUDC!$C7)</f>
        <v>1360.7950601802174</v>
      </c>
      <c r="O391" s="323">
        <f>O78*(1+AFUDC!$C7)</f>
        <v>1323.0724349733816</v>
      </c>
      <c r="P391" s="323">
        <f>P78*(1+AFUDC!$C7)</f>
        <v>1283.0313894483184</v>
      </c>
      <c r="Q391" s="323">
        <f>Q78*(1+AFUDC!$C7)</f>
        <v>1298.1454992160195</v>
      </c>
      <c r="R391" s="323">
        <f>R78*(1+AFUDC!$C7)</f>
        <v>1313.3036426210067</v>
      </c>
      <c r="S391" s="323">
        <f>S78*(1+AFUDC!$C7)</f>
        <v>1328.5004419141926</v>
      </c>
      <c r="T391" s="323">
        <f>T78*(1+AFUDC!$C7)</f>
        <v>1343.73026141325</v>
      </c>
      <c r="U391" s="323">
        <f>U78*(1+AFUDC!$C7)</f>
        <v>1358.9871987563795</v>
      </c>
      <c r="V391" s="323">
        <f>V78*(1+AFUDC!$C7)</f>
        <v>1374.2650758960833</v>
      </c>
      <c r="W391" s="323">
        <f>W78*(1+AFUDC!$C7)</f>
        <v>1389.557429825735</v>
      </c>
      <c r="X391" s="323">
        <f>X78*(1+AFUDC!$C7)</f>
        <v>1404.8575030315585</v>
      </c>
      <c r="Y391" s="323">
        <f>Y78*(1+AFUDC!$C7)</f>
        <v>1420.1582336624019</v>
      </c>
      <c r="Z391" s="323">
        <f>Z78*(1+AFUDC!$C7)</f>
        <v>1435.4522454095354</v>
      </c>
      <c r="AA391" s="323">
        <f>AA78*(1+AFUDC!$C7)</f>
        <v>1450.7318370884507</v>
      </c>
      <c r="AB391" s="323">
        <f>AB78*(1+AFUDC!$C7)</f>
        <v>1465.9889719144592</v>
      </c>
      <c r="AC391" s="323">
        <f>AC78*(1+AFUDC!$C7)</f>
        <v>1481.2152664636619</v>
      </c>
      <c r="AD391" s="323">
        <f>AD78*(1+AFUDC!$C7)</f>
        <v>1496.4019793106224</v>
      </c>
      <c r="AE391" s="323">
        <f>AE78*(1+AFUDC!$C7)</f>
        <v>1511.5399993338813</v>
      </c>
    </row>
    <row r="392" spans="2:31" hidden="1" outlineLevel="1">
      <c r="B392" s="350"/>
      <c r="C392" s="350"/>
      <c r="D392" s="350" t="s">
        <v>302</v>
      </c>
      <c r="E392" s="350" t="s">
        <v>5</v>
      </c>
      <c r="F392" s="323">
        <f>F79*(1+AFUDC!$C8)</f>
        <v>1614.9531358226745</v>
      </c>
      <c r="G392" s="323">
        <f>G79*(1+AFUDC!$C8)</f>
        <v>1603.0739568803656</v>
      </c>
      <c r="H392" s="323">
        <f>H79*(1+AFUDC!$C8)</f>
        <v>1662.3423483990025</v>
      </c>
      <c r="I392" s="323">
        <f>I79*(1+AFUDC!$C8)</f>
        <v>1657.2846080551217</v>
      </c>
      <c r="J392" s="323">
        <f>J79*(1+AFUDC!$C8)</f>
        <v>1637.1222117259217</v>
      </c>
      <c r="K392" s="323">
        <f>K79*(1+AFUDC!$C8)</f>
        <v>1613.2171037997543</v>
      </c>
      <c r="L392" s="323">
        <f>L79*(1+AFUDC!$C8)</f>
        <v>1587.4276742075028</v>
      </c>
      <c r="M392" s="323">
        <f>M79*(1+AFUDC!$C8)</f>
        <v>1559.6816799180249</v>
      </c>
      <c r="N392" s="323">
        <f>N79*(1+AFUDC!$C8)</f>
        <v>1529.4057631911464</v>
      </c>
      <c r="O392" s="323">
        <f>O79*(1+AFUDC!$C8)</f>
        <v>1497.0428201952056</v>
      </c>
      <c r="P392" s="323">
        <f>P79*(1+AFUDC!$C8)</f>
        <v>1462.5156753180577</v>
      </c>
      <c r="Q392" s="323">
        <f>Q79*(1+AFUDC!$C8)</f>
        <v>1481.8982584188</v>
      </c>
      <c r="R392" s="323">
        <f>R79*(1+AFUDC!$C8)</f>
        <v>1501.4258175891205</v>
      </c>
      <c r="S392" s="323">
        <f>S79*(1+AFUDC!$C8)</f>
        <v>1521.0953506058606</v>
      </c>
      <c r="T392" s="323">
        <f>T79*(1+AFUDC!$C8)</f>
        <v>1540.9036529796238</v>
      </c>
      <c r="U392" s="323">
        <f>U79*(1+AFUDC!$C8)</f>
        <v>1560.8473105081393</v>
      </c>
      <c r="V392" s="323">
        <f>V79*(1+AFUDC!$C8)</f>
        <v>1580.9226915998674</v>
      </c>
      <c r="W392" s="323">
        <f>W79*(1+AFUDC!$C8)</f>
        <v>1601.1259393613459</v>
      </c>
      <c r="X392" s="323">
        <f>X79*(1+AFUDC!$C8)</f>
        <v>1621.4529634415953</v>
      </c>
      <c r="Y392" s="323">
        <f>Y79*(1+AFUDC!$C8)</f>
        <v>1641.8994316267244</v>
      </c>
      <c r="Z392" s="323">
        <f>Z79*(1+AFUDC!$C8)</f>
        <v>1662.4607611776937</v>
      </c>
      <c r="AA392" s="323">
        <f>AA79*(1+AFUDC!$C8)</f>
        <v>1683.1321099039981</v>
      </c>
      <c r="AB392" s="323">
        <f>AB79*(1+AFUDC!$C8)</f>
        <v>1703.9083669658498</v>
      </c>
      <c r="AC392" s="323">
        <f>AC79*(1+AFUDC!$C8)</f>
        <v>1724.7841433972294</v>
      </c>
      <c r="AD392" s="323">
        <f>AD79*(1+AFUDC!$C8)</f>
        <v>1745.7537623419785</v>
      </c>
      <c r="AE392" s="323">
        <f>AE79*(1+AFUDC!$C8)</f>
        <v>1766.8112489948926</v>
      </c>
    </row>
    <row r="393" spans="2:31" hidden="1" outlineLevel="1">
      <c r="B393" s="350"/>
      <c r="C393" s="350"/>
      <c r="D393" s="350" t="s">
        <v>302</v>
      </c>
      <c r="E393" s="350" t="s">
        <v>6</v>
      </c>
      <c r="F393" s="323">
        <f>F80*(1+AFUDC!$C9)</f>
        <v>1651.3450454682454</v>
      </c>
      <c r="G393" s="323">
        <f>G80*(1+AFUDC!$C9)</f>
        <v>1639.0693390836245</v>
      </c>
      <c r="H393" s="323">
        <f>H80*(1+AFUDC!$C9)</f>
        <v>1699.525937211801</v>
      </c>
      <c r="I393" s="323">
        <f>I80*(1+AFUDC!$C9)</f>
        <v>1694.2029793141846</v>
      </c>
      <c r="J393" s="323">
        <f>J80*(1+AFUDC!$C9)</f>
        <v>1673.4303466541448</v>
      </c>
      <c r="K393" s="323">
        <f>K80*(1+AFUDC!$C9)</f>
        <v>1648.8244328083399</v>
      </c>
      <c r="L393" s="323">
        <f>L80*(1+AFUDC!$C9)</f>
        <v>1622.2847849411855</v>
      </c>
      <c r="M393" s="323">
        <f>M80*(1+AFUDC!$C9)</f>
        <v>1593.7373024827568</v>
      </c>
      <c r="N393" s="323">
        <f>N80*(1+AFUDC!$C9)</f>
        <v>1562.5958866101762</v>
      </c>
      <c r="O393" s="323">
        <f>O80*(1+AFUDC!$C9)</f>
        <v>1529.3128795847997</v>
      </c>
      <c r="P393" s="323">
        <f>P80*(1+AFUDC!$C9)</f>
        <v>1493.8091238411876</v>
      </c>
      <c r="Q393" s="323">
        <f>Q80*(1+AFUDC!$C9)</f>
        <v>1513.5603437655318</v>
      </c>
      <c r="R393" s="323">
        <f>R80*(1+AFUDC!$C9)</f>
        <v>1533.4576137506083</v>
      </c>
      <c r="S393" s="323">
        <f>S80*(1+AFUDC!$C9)</f>
        <v>1553.4978004086454</v>
      </c>
      <c r="T393" s="323">
        <f>T80*(1+AFUDC!$C9)</f>
        <v>1573.6775617945809</v>
      </c>
      <c r="U393" s="323">
        <f>U80*(1+AFUDC!$C9)</f>
        <v>1593.9933397460998</v>
      </c>
      <c r="V393" s="323">
        <f>V80*(1+AFUDC!$C9)</f>
        <v>1614.4413519875768</v>
      </c>
      <c r="W393" s="323">
        <f>W80*(1+AFUDC!$C9)</f>
        <v>1635.017583991242</v>
      </c>
      <c r="X393" s="323">
        <f>X80*(1+AFUDC!$C9)</f>
        <v>1655.7177805887063</v>
      </c>
      <c r="Y393" s="323">
        <f>Y80*(1+AFUDC!$C9)</f>
        <v>1676.5374373258073</v>
      </c>
      <c r="Z393" s="323">
        <f>Z80*(1+AFUDC!$C9)</f>
        <v>1697.4717915535361</v>
      </c>
      <c r="AA393" s="323">
        <f>AA80*(1+AFUDC!$C9)</f>
        <v>1718.5158132476188</v>
      </c>
      <c r="AB393" s="323">
        <f>AB80*(1+AFUDC!$C9)</f>
        <v>1739.6641955491293</v>
      </c>
      <c r="AC393" s="323">
        <f>AC80*(1+AFUDC!$C9)</f>
        <v>1760.9113450182945</v>
      </c>
      <c r="AD393" s="323">
        <f>AD80*(1+AFUDC!$C9)</f>
        <v>1782.251371593457</v>
      </c>
      <c r="AE393" s="323">
        <f>AE80*(1+AFUDC!$C9)</f>
        <v>1803.6780782469382</v>
      </c>
    </row>
    <row r="394" spans="2:31" hidden="1" outlineLevel="1">
      <c r="B394" s="350"/>
      <c r="C394" s="350"/>
      <c r="D394" s="350" t="s">
        <v>302</v>
      </c>
      <c r="E394" s="350" t="s">
        <v>7</v>
      </c>
      <c r="F394" s="323">
        <f>F81*(1+AFUDC!$C10)</f>
        <v>5808.756666228629</v>
      </c>
      <c r="G394" s="323">
        <f>G81*(1+AFUDC!$C10)</f>
        <v>5455.3590877340712</v>
      </c>
      <c r="H394" s="323">
        <f>H81*(1+AFUDC!$C10)</f>
        <v>5581.7384128827616</v>
      </c>
      <c r="I394" s="323">
        <f>I81*(1+AFUDC!$C10)</f>
        <v>5564.1316564419176</v>
      </c>
      <c r="J394" s="323">
        <f>J81*(1+AFUDC!$C10)</f>
        <v>5540.4749073936391</v>
      </c>
      <c r="K394" s="323">
        <f>K81*(1+AFUDC!$C10)</f>
        <v>5535.122681389882</v>
      </c>
      <c r="L394" s="323">
        <f>L81*(1+AFUDC!$C10)</f>
        <v>5547.159264313751</v>
      </c>
      <c r="M394" s="323">
        <f>M81*(1+AFUDC!$C10)</f>
        <v>5572.2311760533012</v>
      </c>
      <c r="N394" s="323">
        <f>N81*(1+AFUDC!$C10)</f>
        <v>5605.7420324845816</v>
      </c>
      <c r="O394" s="323">
        <f>O81*(1+AFUDC!$C10)</f>
        <v>5647.6321354669371</v>
      </c>
      <c r="P394" s="323">
        <f>P81*(1+AFUDC!$C10)</f>
        <v>5696.5913225035592</v>
      </c>
      <c r="Q394" s="323">
        <f>Q81*(1+AFUDC!$C10)</f>
        <v>5751.6709846472577</v>
      </c>
      <c r="R394" s="323">
        <f>R81*(1+AFUDC!$C10)</f>
        <v>5812.1666631634107</v>
      </c>
      <c r="S394" s="323">
        <f>S81*(1+AFUDC!$C10)</f>
        <v>5877.5446582677532</v>
      </c>
      <c r="T394" s="323">
        <f>T81*(1+AFUDC!$C10)</f>
        <v>5947.3942655821684</v>
      </c>
      <c r="U394" s="323">
        <f>U81*(1+AFUDC!$C10)</f>
        <v>6021.3956248869581</v>
      </c>
      <c r="V394" s="323">
        <f>V81*(1+AFUDC!$C10)</f>
        <v>6099.2974484419346</v>
      </c>
      <c r="W394" s="323">
        <f>W81*(1+AFUDC!$C10)</f>
        <v>6180.9012075484607</v>
      </c>
      <c r="X394" s="323">
        <f>X81*(1+AFUDC!$C10)</f>
        <v>6266.0496610710597</v>
      </c>
      <c r="Y394" s="323">
        <f>Y81*(1+AFUDC!$C10)</f>
        <v>6354.6183756156561</v>
      </c>
      <c r="Z394" s="323">
        <f>Z81*(1+AFUDC!$C10)</f>
        <v>6446.509352056225</v>
      </c>
      <c r="AA394" s="323">
        <f>AA81*(1+AFUDC!$C10)</f>
        <v>6541.6461638612573</v>
      </c>
      <c r="AB394" s="323">
        <f>AB81*(1+AFUDC!$C10)</f>
        <v>6639.970199310118</v>
      </c>
      <c r="AC394" s="323">
        <f>AC81*(1+AFUDC!$C10)</f>
        <v>6741.4377223263209</v>
      </c>
      <c r="AD394" s="323">
        <f>AD81*(1+AFUDC!$C10)</f>
        <v>6846.0175489465009</v>
      </c>
      <c r="AE394" s="323">
        <f>AE81*(1+AFUDC!$C10)</f>
        <v>6953.689192719401</v>
      </c>
    </row>
    <row r="395" spans="2:31" hidden="1" outlineLevel="1">
      <c r="B395" s="351"/>
      <c r="C395" s="351"/>
      <c r="D395" s="351" t="s">
        <v>302</v>
      </c>
      <c r="E395" s="351" t="s">
        <v>3</v>
      </c>
      <c r="F395" s="323">
        <f>F82*(1+AFUDC!$C6)</f>
        <v>7873.3249329665223</v>
      </c>
      <c r="G395" s="323">
        <f>G82*(1+AFUDC!$C6)</f>
        <v>8019.7228737980913</v>
      </c>
      <c r="H395" s="323">
        <f>H82*(1+AFUDC!$C6)</f>
        <v>8542.368749751713</v>
      </c>
      <c r="I395" s="323">
        <f>I82*(1+AFUDC!$C6)</f>
        <v>8757.5558015789884</v>
      </c>
      <c r="J395" s="323">
        <f>J82*(1+AFUDC!$C6)</f>
        <v>8906.4611084129101</v>
      </c>
      <c r="K395" s="323">
        <f>K82*(1+AFUDC!$C6)</f>
        <v>9047.0055691293201</v>
      </c>
      <c r="L395" s="323">
        <f>L82*(1+AFUDC!$C6)</f>
        <v>9189.3877945294316</v>
      </c>
      <c r="M395" s="323">
        <f>M82*(1+AFUDC!$C6)</f>
        <v>9333.6124209190039</v>
      </c>
      <c r="N395" s="323">
        <f>N82*(1+AFUDC!$C6)</f>
        <v>9476.6083763725055</v>
      </c>
      <c r="O395" s="323">
        <f>O82*(1+AFUDC!$C6)</f>
        <v>9621.375363692985</v>
      </c>
      <c r="P395" s="323">
        <f>P82*(1+AFUDC!$C6)</f>
        <v>9767.9248335482334</v>
      </c>
      <c r="Q395" s="323">
        <f>Q82*(1+AFUDC!$C6)</f>
        <v>9916.2631998094657</v>
      </c>
      <c r="R395" s="323">
        <f>R82*(1+AFUDC!$C6)</f>
        <v>10066.403709527283</v>
      </c>
      <c r="S395" s="323">
        <f>S82*(1+AFUDC!$C6)</f>
        <v>10218.356615069304</v>
      </c>
      <c r="T395" s="323">
        <f>T82*(1+AFUDC!$C6)</f>
        <v>10372.109756562519</v>
      </c>
      <c r="U395" s="323">
        <f>U82*(1+AFUDC!$C6)</f>
        <v>10527.692765523056</v>
      </c>
      <c r="V395" s="323">
        <f>V82*(1+AFUDC!$C6)</f>
        <v>10685.098756884125</v>
      </c>
      <c r="W395" s="323">
        <f>W82*(1+AFUDC!$C6)</f>
        <v>10844.341425352628</v>
      </c>
      <c r="X395" s="323">
        <f>X82*(1+AFUDC!$C6)</f>
        <v>11005.412417192301</v>
      </c>
      <c r="Y395" s="323">
        <f>Y82*(1+AFUDC!$C6)</f>
        <v>11168.323745197846</v>
      </c>
      <c r="Z395" s="323">
        <f>Z82*(1+AFUDC!$C6)</f>
        <v>11333.079382990096</v>
      </c>
      <c r="AA395" s="323">
        <f>AA82*(1+AFUDC!$C6)</f>
        <v>11499.666584294369</v>
      </c>
      <c r="AB395" s="323">
        <f>AB82*(1+AFUDC!$C6)</f>
        <v>11668.107450595257</v>
      </c>
      <c r="AC395" s="323">
        <f>AC82*(1+AFUDC!$C6)</f>
        <v>11838.393419542268</v>
      </c>
      <c r="AD395" s="323">
        <f>AD82*(1+AFUDC!$C6)</f>
        <v>12010.524551759174</v>
      </c>
      <c r="AE395" s="323">
        <f>AE82*(1+AFUDC!$C6)</f>
        <v>12184.510999652326</v>
      </c>
    </row>
    <row r="396" spans="2:31" hidden="1" outlineLevel="1">
      <c r="B396" s="351"/>
      <c r="C396" s="351"/>
      <c r="D396" s="351" t="s">
        <v>302</v>
      </c>
      <c r="E396" s="351" t="s">
        <v>19</v>
      </c>
      <c r="F396" s="323">
        <f>F83*(1+AFUDC!$C32)</f>
        <v>5004.4917194417958</v>
      </c>
      <c r="G396" s="323">
        <f>G83*(1+AFUDC!$C32)</f>
        <v>5055.7146379947644</v>
      </c>
      <c r="H396" s="323">
        <f>H83*(1+AFUDC!$C32)</f>
        <v>5340.0743073439608</v>
      </c>
      <c r="I396" s="323">
        <f>I83*(1+AFUDC!$C32)</f>
        <v>5427.7463018514136</v>
      </c>
      <c r="J396" s="323">
        <f>J83*(1+AFUDC!$C32)</f>
        <v>5471.7853843177763</v>
      </c>
      <c r="K396" s="323">
        <f>K83*(1+AFUDC!$C32)</f>
        <v>5508.4833491279278</v>
      </c>
      <c r="L396" s="323">
        <f>L83*(1+AFUDC!$C32)</f>
        <v>5544.0912847451318</v>
      </c>
      <c r="M396" s="323">
        <f>M83*(1+AFUDC!$C32)</f>
        <v>5578.5421990694331</v>
      </c>
      <c r="N396" s="323">
        <f>N83*(1+AFUDC!$C32)</f>
        <v>5609.9369263445187</v>
      </c>
      <c r="O396" s="323">
        <f>O83*(1+AFUDC!$C32)</f>
        <v>5640.0130071953572</v>
      </c>
      <c r="P396" s="323">
        <f>P83*(1+AFUDC!$C32)</f>
        <v>5668.6972261312867</v>
      </c>
      <c r="Q396" s="323">
        <f>Q83*(1+AFUDC!$C32)</f>
        <v>5764.4415222806429</v>
      </c>
      <c r="R396" s="323">
        <f>R83*(1+AFUDC!$C32)</f>
        <v>5861.8029395919648</v>
      </c>
      <c r="S396" s="323">
        <f>S83*(1+AFUDC!$C32)</f>
        <v>5960.8087912416722</v>
      </c>
      <c r="T396" s="323">
        <f>T83*(1+AFUDC!$C32)</f>
        <v>6061.4868517257437</v>
      </c>
      <c r="U396" s="323">
        <f>U83*(1+AFUDC!$C32)</f>
        <v>6163.8653646513912</v>
      </c>
      <c r="V396" s="323">
        <f>V83*(1+AFUDC!$C32)</f>
        <v>6267.9730506603537</v>
      </c>
      <c r="W396" s="323">
        <f>W83*(1+AFUDC!$C32)</f>
        <v>6373.8391154860074</v>
      </c>
      <c r="X396" s="323">
        <f>X83*(1+AFUDC!$C32)</f>
        <v>6481.4932581465655</v>
      </c>
      <c r="Y396" s="323">
        <f>Y83*(1+AFUDC!$C32)</f>
        <v>6590.9656792766609</v>
      </c>
      <c r="Z396" s="323">
        <f>Z83*(1+AFUDC!$C32)</f>
        <v>6702.2870895996439</v>
      </c>
      <c r="AA396" s="323">
        <f>AA83*(1+AFUDC!$C32)</f>
        <v>6815.4887185429825</v>
      </c>
      <c r="AB396" s="323">
        <f>AB83*(1+AFUDC!$C32)</f>
        <v>6930.6023229991733</v>
      </c>
      <c r="AC396" s="323">
        <f>AC83*(1+AFUDC!$C32)</f>
        <v>7047.6601962346294</v>
      </c>
      <c r="AD396" s="323">
        <f>AD83*(1+AFUDC!$C32)</f>
        <v>7166.6951769490324</v>
      </c>
      <c r="AE396" s="323">
        <f>AE83*(1+AFUDC!$C32)</f>
        <v>7287.7406584877017</v>
      </c>
    </row>
    <row r="397" spans="2:31" hidden="1" outlineLevel="1">
      <c r="B397" s="353"/>
      <c r="C397" s="353"/>
      <c r="D397" s="353" t="s">
        <v>302</v>
      </c>
      <c r="E397" s="353" t="s">
        <v>0</v>
      </c>
      <c r="H397" s="323">
        <f>H84*(1+AFUDC!$C3)</f>
        <v>788.07610676196009</v>
      </c>
      <c r="I397" s="323">
        <f>I84*(1+AFUDC!$C3)</f>
        <v>813.07388086844946</v>
      </c>
      <c r="J397" s="323">
        <f>J84*(1+AFUDC!$C3)</f>
        <v>832.19975001196121</v>
      </c>
      <c r="K397" s="323">
        <f>K84*(1+AFUDC!$C3)</f>
        <v>850.78554442889492</v>
      </c>
      <c r="L397" s="323">
        <f>L84*(1+AFUDC!$C3)</f>
        <v>869.7864215878069</v>
      </c>
      <c r="M397" s="323">
        <f>M84*(1+AFUDC!$C3)</f>
        <v>889.21165166993467</v>
      </c>
      <c r="N397" s="323">
        <f>N84*(1+AFUDC!$C3)</f>
        <v>908.77430800667332</v>
      </c>
      <c r="O397" s="323">
        <f>O84*(1+AFUDC!$C3)</f>
        <v>928.76734278282015</v>
      </c>
      <c r="P397" s="323">
        <f>P84*(1+AFUDC!$C3)</f>
        <v>949.20022432404198</v>
      </c>
      <c r="Q397" s="323">
        <f>Q84*(1+AFUDC!$C3)</f>
        <v>970.08262925917097</v>
      </c>
      <c r="R397" s="323">
        <f>R84*(1+AFUDC!$C3)</f>
        <v>991.42444710287282</v>
      </c>
      <c r="S397" s="323">
        <f>S84*(1+AFUDC!$C3)</f>
        <v>1013.235784939136</v>
      </c>
      <c r="T397" s="323">
        <f>T84*(1+AFUDC!$C3)</f>
        <v>1035.5269722077971</v>
      </c>
      <c r="U397" s="323">
        <f>U84*(1+AFUDC!$C3)</f>
        <v>1058.3085655963687</v>
      </c>
      <c r="V397" s="323">
        <f>V84*(1+AFUDC!$C3)</f>
        <v>1081.5913540394886</v>
      </c>
      <c r="W397" s="323">
        <f>W84*(1+AFUDC!$C3)</f>
        <v>1105.3863638283574</v>
      </c>
      <c r="X397" s="323">
        <f>X84*(1+AFUDC!$C3)</f>
        <v>1129.7048638325812</v>
      </c>
      <c r="Y397" s="323">
        <f>Y84*(1+AFUDC!$C3)</f>
        <v>1154.5583708368981</v>
      </c>
      <c r="Z397" s="323">
        <f>Z84*(1+AFUDC!$C3)</f>
        <v>1179.9586549953096</v>
      </c>
      <c r="AA397" s="323">
        <f>AA84*(1+AFUDC!$C3)</f>
        <v>1205.9177454052067</v>
      </c>
      <c r="AB397" s="323">
        <f>AB84*(1+AFUDC!$C3)</f>
        <v>1232.4479358041215</v>
      </c>
      <c r="AC397" s="323">
        <f>AC84*(1+AFUDC!$C3)</f>
        <v>1259.5617903918119</v>
      </c>
      <c r="AD397" s="323">
        <f>AD84*(1+AFUDC!$C3)</f>
        <v>1287.2721497804318</v>
      </c>
      <c r="AE397" s="323">
        <f>AE84*(1+AFUDC!$C3)</f>
        <v>1315.5921370756014</v>
      </c>
    </row>
    <row r="398" spans="2:31" hidden="1" outlineLevel="1">
      <c r="B398" s="353"/>
      <c r="C398" s="353"/>
      <c r="D398" s="353" t="s">
        <v>302</v>
      </c>
      <c r="E398" s="353" t="s">
        <v>1</v>
      </c>
      <c r="H398" s="323">
        <f>H85*(1+AFUDC!$C4)</f>
        <v>1206.0771991716906</v>
      </c>
      <c r="I398" s="323">
        <f>I85*(1+AFUDC!$C4)</f>
        <v>1244.3339679294168</v>
      </c>
      <c r="J398" s="323">
        <f>J85*(1+AFUDC!$C4)</f>
        <v>1273.604332162523</v>
      </c>
      <c r="K398" s="323">
        <f>K85*(1+AFUDC!$C4)</f>
        <v>1302.0481622474861</v>
      </c>
      <c r="L398" s="323">
        <f>L85*(1+AFUDC!$C4)</f>
        <v>1331.1272378710132</v>
      </c>
      <c r="M398" s="323">
        <f>M85*(1+AFUDC!$C4)</f>
        <v>1360.8557461834655</v>
      </c>
      <c r="N398" s="323">
        <f>N85*(1+AFUDC!$C4)</f>
        <v>1390.7945725995021</v>
      </c>
      <c r="O398" s="323">
        <f>O85*(1+AFUDC!$C4)</f>
        <v>1421.3920531966912</v>
      </c>
      <c r="P398" s="323">
        <f>P85*(1+AFUDC!$C4)</f>
        <v>1452.6626783670183</v>
      </c>
      <c r="Q398" s="323">
        <f>Q85*(1+AFUDC!$C4)</f>
        <v>1484.6212572910927</v>
      </c>
      <c r="R398" s="323">
        <f>R85*(1+AFUDC!$C4)</f>
        <v>1517.2829249514969</v>
      </c>
      <c r="S398" s="323">
        <f>S85*(1+AFUDC!$C4)</f>
        <v>1550.6631493004297</v>
      </c>
      <c r="T398" s="323">
        <f>T85*(1+AFUDC!$C4)</f>
        <v>1584.7777385850391</v>
      </c>
      <c r="U398" s="323">
        <f>U85*(1+AFUDC!$C4)</f>
        <v>1619.64284883391</v>
      </c>
      <c r="V398" s="323">
        <f>V85*(1+AFUDC!$C4)</f>
        <v>1655.2749915082559</v>
      </c>
      <c r="W398" s="323">
        <f>W85*(1+AFUDC!$C4)</f>
        <v>1691.6910413214375</v>
      </c>
      <c r="X398" s="323">
        <f>X85*(1+AFUDC!$C4)</f>
        <v>1728.9082442305094</v>
      </c>
      <c r="Y398" s="323">
        <f>Y85*(1+AFUDC!$C4)</f>
        <v>1766.9442256035804</v>
      </c>
      <c r="Z398" s="323">
        <f>Z85*(1+AFUDC!$C4)</f>
        <v>1805.8169985668594</v>
      </c>
      <c r="AA398" s="323">
        <f>AA85*(1+AFUDC!$C4)</f>
        <v>1845.5449725353301</v>
      </c>
      <c r="AB398" s="323">
        <f>AB85*(1+AFUDC!$C4)</f>
        <v>1886.1469619311076</v>
      </c>
      <c r="AC398" s="323">
        <f>AC85*(1+AFUDC!$C4)</f>
        <v>1927.6421950935919</v>
      </c>
      <c r="AD398" s="323">
        <f>AD85*(1+AFUDC!$C4)</f>
        <v>1970.0503233856507</v>
      </c>
      <c r="AE398" s="323">
        <f>AE85*(1+AFUDC!$C4)</f>
        <v>2013.3914305001351</v>
      </c>
    </row>
    <row r="399" spans="2:31" hidden="1" outlineLevel="1">
      <c r="B399" s="353"/>
      <c r="C399" s="353"/>
      <c r="D399" s="353" t="s">
        <v>302</v>
      </c>
      <c r="E399" s="353" t="s">
        <v>2</v>
      </c>
      <c r="H399" s="323">
        <f>H86*(1+AFUDC!$C5)</f>
        <v>1205.8546243451799</v>
      </c>
      <c r="I399" s="323">
        <f>I86*(1+AFUDC!$C5)</f>
        <v>1244.104333029409</v>
      </c>
      <c r="J399" s="323">
        <f>J86*(1+AFUDC!$C5)</f>
        <v>1273.3692955798986</v>
      </c>
      <c r="K399" s="323">
        <f>K86*(1+AFUDC!$C5)</f>
        <v>1301.8078765145162</v>
      </c>
      <c r="L399" s="323">
        <f>L86*(1+AFUDC!$C5)</f>
        <v>1330.8815857566735</v>
      </c>
      <c r="M399" s="323">
        <f>M86*(1+AFUDC!$C5)</f>
        <v>1360.6046078385727</v>
      </c>
      <c r="N399" s="323">
        <f>N86*(1+AFUDC!$C5)</f>
        <v>1390.5379092110215</v>
      </c>
      <c r="O399" s="323">
        <f>O86*(1+AFUDC!$C5)</f>
        <v>1421.1297432136639</v>
      </c>
      <c r="P399" s="323">
        <f>P86*(1+AFUDC!$C5)</f>
        <v>1452.3945975643646</v>
      </c>
      <c r="Q399" s="323">
        <f>Q86*(1+AFUDC!$C5)</f>
        <v>1484.3472787107805</v>
      </c>
      <c r="R399" s="323">
        <f>R86*(1+AFUDC!$C5)</f>
        <v>1517.0029188424178</v>
      </c>
      <c r="S399" s="323">
        <f>S86*(1+AFUDC!$C5)</f>
        <v>1550.3769830569511</v>
      </c>
      <c r="T399" s="323">
        <f>T86*(1+AFUDC!$C5)</f>
        <v>1584.4852766842039</v>
      </c>
      <c r="U399" s="323">
        <f>U86*(1+AFUDC!$C5)</f>
        <v>1619.3439527712565</v>
      </c>
      <c r="V399" s="323">
        <f>V86*(1+AFUDC!$C5)</f>
        <v>1654.9695197322239</v>
      </c>
      <c r="W399" s="323">
        <f>W86*(1+AFUDC!$C5)</f>
        <v>1691.3788491663327</v>
      </c>
      <c r="X399" s="323">
        <f>X86*(1+AFUDC!$C5)</f>
        <v>1728.5891838479924</v>
      </c>
      <c r="Y399" s="323">
        <f>Y86*(1+AFUDC!$C5)</f>
        <v>1766.6181458926483</v>
      </c>
      <c r="Z399" s="323">
        <f>Z86*(1+AFUDC!$C5)</f>
        <v>1805.4837451022865</v>
      </c>
      <c r="AA399" s="323">
        <f>AA86*(1+AFUDC!$C5)</f>
        <v>1845.2043874945366</v>
      </c>
      <c r="AB399" s="323">
        <f>AB86*(1+AFUDC!$C5)</f>
        <v>1885.7988840194166</v>
      </c>
      <c r="AC399" s="323">
        <f>AC86*(1+AFUDC!$C5)</f>
        <v>1927.2864594678435</v>
      </c>
      <c r="AD399" s="323">
        <f>AD86*(1+AFUDC!$C5)</f>
        <v>1969.6867615761362</v>
      </c>
      <c r="AE399" s="323">
        <f>AE86*(1+AFUDC!$C5)</f>
        <v>2013.0198703308113</v>
      </c>
    </row>
    <row r="400" spans="2:31" hidden="1" outlineLevel="1">
      <c r="B400" s="353"/>
      <c r="C400" s="353"/>
      <c r="D400" s="353" t="s">
        <v>302</v>
      </c>
      <c r="E400" s="353" t="s">
        <v>20</v>
      </c>
      <c r="F400" s="323">
        <f>F87*(1+AFUDC!$C33)</f>
        <v>5669.8080399999999</v>
      </c>
      <c r="G400" s="323">
        <f>G87*(1+AFUDC!$C33)</f>
        <v>5811.5532409999978</v>
      </c>
      <c r="H400" s="323">
        <f>H87*(1+AFUDC!$C33)</f>
        <v>6229.4690211270463</v>
      </c>
      <c r="I400" s="323">
        <f>I87*(1+AFUDC!$C33)</f>
        <v>6427.0677784771951</v>
      </c>
      <c r="J400" s="323">
        <f>J87*(1+AFUDC!$C33)</f>
        <v>6578.2511582413335</v>
      </c>
      <c r="K400" s="323">
        <f>K87*(1+AFUDC!$C33)</f>
        <v>6725.1654341087233</v>
      </c>
      <c r="L400" s="323">
        <f>L87*(1+AFUDC!$C33)</f>
        <v>6875.3607954704839</v>
      </c>
      <c r="M400" s="323">
        <f>M87*(1+AFUDC!$C33)</f>
        <v>7028.9105199026581</v>
      </c>
      <c r="N400" s="323">
        <f>N87*(1+AFUDC!$C33)</f>
        <v>7183.5465513405179</v>
      </c>
      <c r="O400" s="323">
        <f>O87*(1+AFUDC!$C33)</f>
        <v>7341.5845754700085</v>
      </c>
      <c r="P400" s="323">
        <f>P87*(1+AFUDC!$C33)</f>
        <v>7503.0994361303492</v>
      </c>
      <c r="Q400" s="323">
        <f>Q87*(1+AFUDC!$C33)</f>
        <v>7668.1676237252159</v>
      </c>
      <c r="R400" s="323">
        <f>R87*(1+AFUDC!$C33)</f>
        <v>7836.8673114471712</v>
      </c>
      <c r="S400" s="323">
        <f>S87*(1+AFUDC!$C33)</f>
        <v>8009.2783922990102</v>
      </c>
      <c r="T400" s="323">
        <f>T87*(1+AFUDC!$C33)</f>
        <v>8185.4825169295873</v>
      </c>
      <c r="U400" s="323">
        <f>U87*(1+AFUDC!$C33)</f>
        <v>8365.563132302037</v>
      </c>
      <c r="V400" s="323">
        <f>V87*(1+AFUDC!$C33)</f>
        <v>8549.605521212683</v>
      </c>
      <c r="W400" s="323">
        <f>W87*(1+AFUDC!$C33)</f>
        <v>8737.696842679361</v>
      </c>
      <c r="X400" s="323">
        <f>X87*(1+AFUDC!$C33)</f>
        <v>8929.9261732183077</v>
      </c>
      <c r="Y400" s="323">
        <f>Y87*(1+AFUDC!$C33)</f>
        <v>9126.3845490291114</v>
      </c>
      <c r="Z400" s="323">
        <f>Z87*(1+AFUDC!$C33)</f>
        <v>9327.1650091077499</v>
      </c>
      <c r="AA400" s="323">
        <f>AA87*(1+AFUDC!$C33)</f>
        <v>9532.3626393081213</v>
      </c>
      <c r="AB400" s="323">
        <f>AB87*(1+AFUDC!$C33)</f>
        <v>9742.0746173729021</v>
      </c>
      <c r="AC400" s="323">
        <f>AC87*(1+AFUDC!$C33)</f>
        <v>9956.4002589551055</v>
      </c>
      <c r="AD400" s="323">
        <f>AD87*(1+AFUDC!$C33)</f>
        <v>10175.441064652116</v>
      </c>
      <c r="AE400" s="323">
        <f>AE87*(1+AFUDC!$C33)</f>
        <v>10399.300768074463</v>
      </c>
    </row>
    <row r="401" spans="2:31" hidden="1" outlineLevel="1">
      <c r="B401" s="353"/>
      <c r="C401" s="353"/>
      <c r="D401" s="353" t="s">
        <v>302</v>
      </c>
      <c r="E401" s="353" t="s">
        <v>21</v>
      </c>
      <c r="H401" s="323">
        <f>H88*(1+AFUDC!$C34)</f>
        <v>994.74325682830772</v>
      </c>
      <c r="I401" s="323">
        <f>I88*(1+AFUDC!$C34)</f>
        <v>934.09313068700385</v>
      </c>
      <c r="J401" s="323">
        <f>J88*(1+AFUDC!$C34)</f>
        <v>956.06572555906018</v>
      </c>
      <c r="K401" s="323">
        <f>K88*(1+AFUDC!$C34)</f>
        <v>977.41786009654572</v>
      </c>
      <c r="L401" s="323">
        <f>L88*(1+AFUDC!$C34)</f>
        <v>999.24685897203528</v>
      </c>
      <c r="M401" s="323">
        <f>M88*(1+AFUDC!$C34)</f>
        <v>1021.5633721557441</v>
      </c>
      <c r="N401" s="323">
        <f>N88*(1+AFUDC!$C34)</f>
        <v>1044.0377663431705</v>
      </c>
      <c r="O401" s="323">
        <f>O88*(1+AFUDC!$C34)</f>
        <v>1067.0065972027203</v>
      </c>
      <c r="P401" s="323">
        <f>P88*(1+AFUDC!$C34)</f>
        <v>1090.4807423411801</v>
      </c>
      <c r="Q401" s="323">
        <f>Q88*(1+AFUDC!$C34)</f>
        <v>1114.471318672686</v>
      </c>
      <c r="R401" s="323">
        <f>R88*(1+AFUDC!$C34)</f>
        <v>1138.9896876834853</v>
      </c>
      <c r="S401" s="323">
        <f>S88*(1+AFUDC!$C34)</f>
        <v>1164.0474608125216</v>
      </c>
      <c r="T401" s="323">
        <f>T88*(1+AFUDC!$C34)</f>
        <v>1189.6565049503972</v>
      </c>
      <c r="U401" s="323">
        <f>U88*(1+AFUDC!$C34)</f>
        <v>1215.828948059306</v>
      </c>
      <c r="V401" s="323">
        <f>V88*(1+AFUDC!$C34)</f>
        <v>1242.5771849166106</v>
      </c>
      <c r="W401" s="323">
        <f>W88*(1+AFUDC!$C34)</f>
        <v>1269.9138829847759</v>
      </c>
      <c r="X401" s="323">
        <f>X88*(1+AFUDC!$C34)</f>
        <v>1297.8519884104412</v>
      </c>
      <c r="Y401" s="323">
        <f>Y88*(1+AFUDC!$C34)</f>
        <v>1326.4047321554708</v>
      </c>
      <c r="Z401" s="323">
        <f>Z88*(1+AFUDC!$C34)</f>
        <v>1355.5856362628915</v>
      </c>
      <c r="AA401" s="323">
        <f>AA88*(1+AFUDC!$C34)</f>
        <v>1385.4085202606748</v>
      </c>
      <c r="AB401" s="323">
        <f>AB88*(1+AFUDC!$C34)</f>
        <v>1415.8875077064099</v>
      </c>
      <c r="AC401" s="323">
        <f>AC88*(1+AFUDC!$C34)</f>
        <v>1447.0370328759509</v>
      </c>
      <c r="AD401" s="323">
        <f>AD88*(1+AFUDC!$C34)</f>
        <v>1478.8718475992214</v>
      </c>
      <c r="AE401" s="323">
        <f>AE88*(1+AFUDC!$C34)</f>
        <v>1511.4070282464049</v>
      </c>
    </row>
    <row r="402" spans="2:31" collapsed="1"/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12DF3-9A8A-44D5-ADB2-7CF63389EA6A}">
  <sheetPr codeName="Sheet4"/>
  <dimension ref="B1:CD55"/>
  <sheetViews>
    <sheetView topLeftCell="A13" zoomScaleNormal="100" workbookViewId="0">
      <selection activeCell="C8" sqref="C8"/>
    </sheetView>
  </sheetViews>
  <sheetFormatPr defaultRowHeight="15"/>
  <cols>
    <col min="1" max="1" width="3.85546875" customWidth="1"/>
    <col min="2" max="2" width="25.140625" style="95" bestFit="1" customWidth="1"/>
    <col min="3" max="3" width="7.140625" style="95" bestFit="1" customWidth="1"/>
    <col min="4" max="4" width="3.85546875" style="95" customWidth="1"/>
    <col min="5" max="5" width="63.42578125" style="95" customWidth="1"/>
    <col min="6" max="6" width="5.28515625" style="95" bestFit="1" customWidth="1"/>
    <col min="7" max="7" width="6.5703125" style="95" bestFit="1" customWidth="1"/>
    <col min="8" max="8" width="9.140625" style="95"/>
    <col min="9" max="9" width="63.42578125" customWidth="1"/>
    <col min="10" max="19" width="5.140625" bestFit="1" customWidth="1"/>
    <col min="20" max="23" width="6.140625" bestFit="1" customWidth="1"/>
    <col min="24" max="29" width="5.140625" bestFit="1" customWidth="1"/>
    <col min="30" max="30" width="10" bestFit="1" customWidth="1"/>
    <col min="31" max="31" width="10.5703125" style="95" bestFit="1" customWidth="1"/>
    <col min="32" max="32" width="63.42578125" customWidth="1"/>
    <col min="33" max="33" width="8.28515625" bestFit="1" customWidth="1"/>
    <col min="34" max="44" width="7.140625" bestFit="1" customWidth="1"/>
    <col min="45" max="53" width="6.140625" bestFit="1" customWidth="1"/>
    <col min="54" max="62" width="5.42578125" bestFit="1" customWidth="1"/>
    <col min="63" max="82" width="5.140625" bestFit="1" customWidth="1"/>
  </cols>
  <sheetData>
    <row r="1" spans="2:82" ht="15.75" thickBot="1">
      <c r="J1" s="477" t="s">
        <v>142</v>
      </c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G1" s="477" t="s">
        <v>109</v>
      </c>
      <c r="AH1" s="477"/>
      <c r="AI1" s="477"/>
      <c r="AJ1" s="477"/>
      <c r="AK1" s="477"/>
      <c r="AL1" s="477"/>
      <c r="AM1" s="477"/>
      <c r="AN1" s="477"/>
      <c r="AO1" s="477"/>
      <c r="AP1" s="477"/>
      <c r="AQ1" s="477"/>
      <c r="AR1" s="477"/>
      <c r="AS1" s="477"/>
      <c r="AT1" s="477"/>
      <c r="AU1" s="477"/>
      <c r="AV1" s="477"/>
      <c r="AW1" s="477"/>
      <c r="AX1" s="477"/>
      <c r="AY1" s="477"/>
      <c r="AZ1" s="477"/>
      <c r="BA1" s="477"/>
      <c r="BB1" s="477"/>
      <c r="BC1" s="477"/>
      <c r="BD1" s="477"/>
      <c r="BE1" s="477"/>
      <c r="BF1" s="477"/>
      <c r="BG1" s="477"/>
      <c r="BH1" s="477"/>
      <c r="BI1" s="477"/>
      <c r="BJ1" s="477"/>
      <c r="BK1" s="477"/>
      <c r="BL1" s="477"/>
      <c r="BM1" s="477"/>
      <c r="BN1" s="477"/>
      <c r="BO1" s="477"/>
      <c r="BP1" s="477"/>
      <c r="BQ1" s="477"/>
      <c r="BR1" s="477"/>
      <c r="BS1" s="477"/>
      <c r="BT1" s="477"/>
      <c r="BU1" s="477"/>
      <c r="BV1" s="477"/>
      <c r="BW1" s="477"/>
      <c r="BX1" s="477"/>
      <c r="BY1" s="477"/>
      <c r="BZ1" s="477"/>
      <c r="CA1" s="477"/>
      <c r="CB1" s="477"/>
      <c r="CC1" s="477"/>
      <c r="CD1" s="477"/>
    </row>
    <row r="2" spans="2:82">
      <c r="B2" s="1" t="s">
        <v>74</v>
      </c>
      <c r="C2" s="448">
        <v>6.5100000000000005E-2</v>
      </c>
      <c r="E2" s="187" t="s">
        <v>29</v>
      </c>
      <c r="F2" s="171" t="s">
        <v>68</v>
      </c>
      <c r="G2" s="172" t="s">
        <v>69</v>
      </c>
      <c r="I2" s="187" t="s">
        <v>29</v>
      </c>
      <c r="J2" s="171">
        <v>1</v>
      </c>
      <c r="K2" s="171">
        <f>J2+1</f>
        <v>2</v>
      </c>
      <c r="L2" s="171">
        <f t="shared" ref="L2:AC2" si="0">K2+1</f>
        <v>3</v>
      </c>
      <c r="M2" s="171">
        <f t="shared" si="0"/>
        <v>4</v>
      </c>
      <c r="N2" s="171">
        <f t="shared" si="0"/>
        <v>5</v>
      </c>
      <c r="O2" s="171">
        <f t="shared" si="0"/>
        <v>6</v>
      </c>
      <c r="P2" s="171">
        <f t="shared" si="0"/>
        <v>7</v>
      </c>
      <c r="Q2" s="171">
        <f t="shared" si="0"/>
        <v>8</v>
      </c>
      <c r="R2" s="171">
        <f t="shared" si="0"/>
        <v>9</v>
      </c>
      <c r="S2" s="171">
        <f t="shared" si="0"/>
        <v>10</v>
      </c>
      <c r="T2" s="171">
        <f t="shared" si="0"/>
        <v>11</v>
      </c>
      <c r="U2" s="171">
        <f t="shared" si="0"/>
        <v>12</v>
      </c>
      <c r="V2" s="171">
        <f t="shared" si="0"/>
        <v>13</v>
      </c>
      <c r="W2" s="171">
        <f t="shared" si="0"/>
        <v>14</v>
      </c>
      <c r="X2" s="171">
        <f t="shared" si="0"/>
        <v>15</v>
      </c>
      <c r="Y2" s="171">
        <f t="shared" si="0"/>
        <v>16</v>
      </c>
      <c r="Z2" s="171">
        <f t="shared" si="0"/>
        <v>17</v>
      </c>
      <c r="AA2" s="171">
        <f t="shared" si="0"/>
        <v>18</v>
      </c>
      <c r="AB2" s="171">
        <f t="shared" si="0"/>
        <v>19</v>
      </c>
      <c r="AC2" s="171">
        <f t="shared" si="0"/>
        <v>20</v>
      </c>
      <c r="AD2" s="172">
        <v>21</v>
      </c>
      <c r="AF2" s="187" t="s">
        <v>29</v>
      </c>
      <c r="AG2" s="171">
        <v>1</v>
      </c>
      <c r="AH2" s="171">
        <v>2</v>
      </c>
      <c r="AI2" s="171">
        <v>3</v>
      </c>
      <c r="AJ2" s="171">
        <v>4</v>
      </c>
      <c r="AK2" s="171">
        <v>5</v>
      </c>
      <c r="AL2" s="171">
        <v>6</v>
      </c>
      <c r="AM2" s="171">
        <v>7</v>
      </c>
      <c r="AN2" s="171">
        <v>8</v>
      </c>
      <c r="AO2" s="171">
        <v>9</v>
      </c>
      <c r="AP2" s="171">
        <v>10</v>
      </c>
      <c r="AQ2" s="171">
        <v>11</v>
      </c>
      <c r="AR2" s="171">
        <v>12</v>
      </c>
      <c r="AS2" s="171">
        <v>13</v>
      </c>
      <c r="AT2" s="171">
        <v>14</v>
      </c>
      <c r="AU2" s="171">
        <v>15</v>
      </c>
      <c r="AV2" s="171">
        <v>16</v>
      </c>
      <c r="AW2" s="171">
        <v>17</v>
      </c>
      <c r="AX2" s="171">
        <v>18</v>
      </c>
      <c r="AY2" s="171">
        <v>19</v>
      </c>
      <c r="AZ2" s="171">
        <v>20</v>
      </c>
      <c r="BA2" s="171">
        <v>21</v>
      </c>
      <c r="BB2" s="171">
        <v>22</v>
      </c>
      <c r="BC2" s="171">
        <v>23</v>
      </c>
      <c r="BD2" s="171">
        <v>24</v>
      </c>
      <c r="BE2" s="171">
        <v>25</v>
      </c>
      <c r="BF2" s="171">
        <v>26</v>
      </c>
      <c r="BG2" s="171">
        <v>27</v>
      </c>
      <c r="BH2" s="171">
        <v>28</v>
      </c>
      <c r="BI2" s="171">
        <v>29</v>
      </c>
      <c r="BJ2" s="171">
        <v>30</v>
      </c>
      <c r="BK2" s="171">
        <v>31</v>
      </c>
      <c r="BL2" s="171">
        <v>32</v>
      </c>
      <c r="BM2" s="171">
        <v>33</v>
      </c>
      <c r="BN2" s="171">
        <v>34</v>
      </c>
      <c r="BO2" s="171">
        <v>35</v>
      </c>
      <c r="BP2" s="171">
        <v>36</v>
      </c>
      <c r="BQ2" s="171">
        <v>37</v>
      </c>
      <c r="BR2" s="171">
        <v>38</v>
      </c>
      <c r="BS2" s="171">
        <v>39</v>
      </c>
      <c r="BT2" s="171">
        <v>40</v>
      </c>
      <c r="BU2" s="171">
        <v>41</v>
      </c>
      <c r="BV2" s="171">
        <v>42</v>
      </c>
      <c r="BW2" s="171">
        <v>43</v>
      </c>
      <c r="BX2" s="171">
        <v>44</v>
      </c>
      <c r="BY2" s="171">
        <v>45</v>
      </c>
      <c r="BZ2" s="171">
        <v>46</v>
      </c>
      <c r="CA2" s="171">
        <v>47</v>
      </c>
      <c r="CB2" s="171">
        <v>48</v>
      </c>
      <c r="CC2" s="171">
        <v>49</v>
      </c>
      <c r="CD2" s="172">
        <v>50</v>
      </c>
    </row>
    <row r="3" spans="2:82">
      <c r="B3" s="1" t="s">
        <v>75</v>
      </c>
      <c r="C3" s="449">
        <v>2.9153999999999999E-2</v>
      </c>
      <c r="E3" s="188" t="s">
        <v>0</v>
      </c>
      <c r="F3" s="167"/>
      <c r="G3" s="174"/>
      <c r="I3" s="188" t="s">
        <v>0</v>
      </c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74"/>
      <c r="AF3" s="188" t="s">
        <v>0</v>
      </c>
      <c r="AG3" s="183">
        <v>0.14066112960097418</v>
      </c>
      <c r="AH3" s="183">
        <v>0.13667229000724065</v>
      </c>
      <c r="AI3" s="183">
        <v>0.13240206068290253</v>
      </c>
      <c r="AJ3" s="183">
        <v>0.1282318746336871</v>
      </c>
      <c r="AK3" s="183">
        <v>0.124154235821689</v>
      </c>
      <c r="AL3" s="183">
        <v>0.12016232093035326</v>
      </c>
      <c r="AM3" s="183">
        <v>0.11624969105532518</v>
      </c>
      <c r="AN3" s="183">
        <v>0.1124103878075004</v>
      </c>
      <c r="AO3" s="183">
        <v>0.10861231276815565</v>
      </c>
      <c r="AP3" s="183">
        <v>0.10482019611791521</v>
      </c>
      <c r="AQ3" s="183">
        <v>0.10102807946767481</v>
      </c>
      <c r="AR3" s="183">
        <v>9.7235962817434352E-2</v>
      </c>
      <c r="AS3" s="183">
        <v>9.3443846167193895E-2</v>
      </c>
      <c r="AT3" s="183">
        <v>8.9651729516953493E-2</v>
      </c>
      <c r="AU3" s="183">
        <v>8.585961286671305E-2</v>
      </c>
      <c r="AV3" s="183">
        <v>8.2067496216472635E-2</v>
      </c>
      <c r="AW3" s="183">
        <v>7.8275379566232192E-2</v>
      </c>
      <c r="AX3" s="183">
        <v>7.4483262915991791E-2</v>
      </c>
      <c r="AY3" s="183">
        <v>7.0691146265751362E-2</v>
      </c>
      <c r="AZ3" s="183">
        <v>6.689902961551096E-2</v>
      </c>
      <c r="BA3" s="183">
        <v>6.3321414973026513E-2</v>
      </c>
      <c r="BB3" s="183">
        <v>6.0172516036903906E-2</v>
      </c>
      <c r="BC3" s="183">
        <v>5.7237830799387109E-2</v>
      </c>
      <c r="BD3" s="183">
        <v>5.430314556187029E-2</v>
      </c>
      <c r="BE3" s="183">
        <v>5.1368460324353486E-2</v>
      </c>
      <c r="BF3" s="183">
        <v>4.8433775086836668E-2</v>
      </c>
      <c r="BG3" s="183">
        <v>4.5499089849319864E-2</v>
      </c>
      <c r="BH3" s="183">
        <v>4.2564404611803053E-2</v>
      </c>
      <c r="BI3" s="183">
        <v>3.9629719374286242E-2</v>
      </c>
      <c r="BJ3" s="183">
        <v>3.6695034136769437E-2</v>
      </c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31"/>
    </row>
    <row r="4" spans="2:82">
      <c r="B4" s="1" t="s">
        <v>76</v>
      </c>
      <c r="C4" s="450">
        <v>0.21</v>
      </c>
      <c r="E4" s="188" t="s">
        <v>1</v>
      </c>
      <c r="F4" s="167"/>
      <c r="G4" s="174"/>
      <c r="I4" s="188" t="s">
        <v>1</v>
      </c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74"/>
      <c r="AF4" s="188" t="s">
        <v>1</v>
      </c>
      <c r="AG4" s="183">
        <v>0.14066112960097418</v>
      </c>
      <c r="AH4" s="183">
        <v>0.13667229000724065</v>
      </c>
      <c r="AI4" s="183">
        <v>0.13240206068290253</v>
      </c>
      <c r="AJ4" s="183">
        <v>0.1282318746336871</v>
      </c>
      <c r="AK4" s="183">
        <v>0.124154235821689</v>
      </c>
      <c r="AL4" s="183">
        <v>0.12016232093035326</v>
      </c>
      <c r="AM4" s="183">
        <v>0.11624969105532518</v>
      </c>
      <c r="AN4" s="183">
        <v>0.1124103878075004</v>
      </c>
      <c r="AO4" s="183">
        <v>0.10861231276815565</v>
      </c>
      <c r="AP4" s="183">
        <v>0.10482019611791521</v>
      </c>
      <c r="AQ4" s="183">
        <v>0.10102807946767481</v>
      </c>
      <c r="AR4" s="183">
        <v>9.7235962817434352E-2</v>
      </c>
      <c r="AS4" s="183">
        <v>9.3443846167193895E-2</v>
      </c>
      <c r="AT4" s="183">
        <v>8.9651729516953493E-2</v>
      </c>
      <c r="AU4" s="183">
        <v>8.585961286671305E-2</v>
      </c>
      <c r="AV4" s="183">
        <v>8.2067496216472635E-2</v>
      </c>
      <c r="AW4" s="183">
        <v>7.8275379566232192E-2</v>
      </c>
      <c r="AX4" s="183">
        <v>7.4483262915991791E-2</v>
      </c>
      <c r="AY4" s="183">
        <v>7.0691146265751362E-2</v>
      </c>
      <c r="AZ4" s="183">
        <v>6.689902961551096E-2</v>
      </c>
      <c r="BA4" s="183">
        <v>6.3321414973026513E-2</v>
      </c>
      <c r="BB4" s="183">
        <v>6.0172516036903906E-2</v>
      </c>
      <c r="BC4" s="183">
        <v>5.7237830799387109E-2</v>
      </c>
      <c r="BD4" s="183">
        <v>5.430314556187029E-2</v>
      </c>
      <c r="BE4" s="183">
        <v>5.1368460324353486E-2</v>
      </c>
      <c r="BF4" s="183">
        <v>4.8433775086836668E-2</v>
      </c>
      <c r="BG4" s="183">
        <v>4.5499089849319864E-2</v>
      </c>
      <c r="BH4" s="183">
        <v>4.2564404611803053E-2</v>
      </c>
      <c r="BI4" s="183">
        <v>3.9629719374286242E-2</v>
      </c>
      <c r="BJ4" s="183">
        <v>3.6695034136769437E-2</v>
      </c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31"/>
    </row>
    <row r="5" spans="2:82">
      <c r="B5" s="1" t="s">
        <v>77</v>
      </c>
      <c r="C5" s="450">
        <v>5.5E-2</v>
      </c>
      <c r="E5" s="194" t="s">
        <v>2</v>
      </c>
      <c r="F5" s="168"/>
      <c r="G5" s="203"/>
      <c r="I5" s="194" t="s">
        <v>2</v>
      </c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203"/>
      <c r="AF5" s="194" t="s">
        <v>2</v>
      </c>
      <c r="AG5" s="195">
        <v>0.14066112960097418</v>
      </c>
      <c r="AH5" s="195">
        <v>0.13667229000724065</v>
      </c>
      <c r="AI5" s="195">
        <v>0.13240206068290253</v>
      </c>
      <c r="AJ5" s="195">
        <v>0.1282318746336871</v>
      </c>
      <c r="AK5" s="195">
        <v>0.124154235821689</v>
      </c>
      <c r="AL5" s="195">
        <v>0.12016232093035326</v>
      </c>
      <c r="AM5" s="195">
        <v>0.11624969105532518</v>
      </c>
      <c r="AN5" s="195">
        <v>0.1124103878075004</v>
      </c>
      <c r="AO5" s="195">
        <v>0.10861231276815565</v>
      </c>
      <c r="AP5" s="195">
        <v>0.10482019611791521</v>
      </c>
      <c r="AQ5" s="195">
        <v>0.10102807946767481</v>
      </c>
      <c r="AR5" s="195">
        <v>9.7235962817434352E-2</v>
      </c>
      <c r="AS5" s="195">
        <v>9.3443846167193895E-2</v>
      </c>
      <c r="AT5" s="195">
        <v>8.9651729516953493E-2</v>
      </c>
      <c r="AU5" s="195">
        <v>8.585961286671305E-2</v>
      </c>
      <c r="AV5" s="195">
        <v>8.2067496216472635E-2</v>
      </c>
      <c r="AW5" s="195">
        <v>7.8275379566232192E-2</v>
      </c>
      <c r="AX5" s="195">
        <v>7.4483262915991791E-2</v>
      </c>
      <c r="AY5" s="195">
        <v>7.0691146265751362E-2</v>
      </c>
      <c r="AZ5" s="195">
        <v>6.689902961551096E-2</v>
      </c>
      <c r="BA5" s="195">
        <v>6.3321414973026513E-2</v>
      </c>
      <c r="BB5" s="195">
        <v>6.0172516036903906E-2</v>
      </c>
      <c r="BC5" s="195">
        <v>5.7237830799387109E-2</v>
      </c>
      <c r="BD5" s="195">
        <v>5.430314556187029E-2</v>
      </c>
      <c r="BE5" s="195">
        <v>5.1368460324353486E-2</v>
      </c>
      <c r="BF5" s="195">
        <v>4.8433775086836668E-2</v>
      </c>
      <c r="BG5" s="195">
        <v>4.5499089849319864E-2</v>
      </c>
      <c r="BH5" s="195">
        <v>4.2564404611803053E-2</v>
      </c>
      <c r="BI5" s="195">
        <v>3.9629719374286242E-2</v>
      </c>
      <c r="BJ5" s="195">
        <v>3.6695034136769437E-2</v>
      </c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7"/>
    </row>
    <row r="6" spans="2:82">
      <c r="B6" s="1" t="s">
        <v>49</v>
      </c>
      <c r="C6" s="450">
        <v>0.01</v>
      </c>
      <c r="E6" s="204" t="s">
        <v>3</v>
      </c>
      <c r="F6" s="168">
        <v>0.67</v>
      </c>
      <c r="G6" s="206">
        <f>1-F6</f>
        <v>0.32999999999999996</v>
      </c>
      <c r="I6" s="204" t="s">
        <v>3</v>
      </c>
      <c r="J6" s="195">
        <v>3.7499999999999999E-2</v>
      </c>
      <c r="K6" s="195">
        <v>7.2190000000000004E-2</v>
      </c>
      <c r="L6" s="195">
        <v>6.6780000000000006E-2</v>
      </c>
      <c r="M6" s="195">
        <v>6.1780000000000002E-2</v>
      </c>
      <c r="N6" s="195">
        <v>5.7149999999999999E-2</v>
      </c>
      <c r="O6" s="195">
        <v>5.2859999999999997E-2</v>
      </c>
      <c r="P6" s="195">
        <v>4.8899999999999999E-2</v>
      </c>
      <c r="Q6" s="195">
        <v>4.5229999999999999E-2</v>
      </c>
      <c r="R6" s="195">
        <v>4.4609999999999997E-2</v>
      </c>
      <c r="S6" s="195">
        <v>4.4609999999999997E-2</v>
      </c>
      <c r="T6" s="195">
        <v>4.4609999999999997E-2</v>
      </c>
      <c r="U6" s="195">
        <v>4.4609999999999997E-2</v>
      </c>
      <c r="V6" s="195">
        <v>4.4609999999999997E-2</v>
      </c>
      <c r="W6" s="195">
        <v>4.4609999999999997E-2</v>
      </c>
      <c r="X6" s="195">
        <v>4.4609999999999997E-2</v>
      </c>
      <c r="Y6" s="195">
        <v>4.4609999999999997E-2</v>
      </c>
      <c r="Z6" s="195">
        <v>4.4609999999999997E-2</v>
      </c>
      <c r="AA6" s="195">
        <v>4.4609999999999997E-2</v>
      </c>
      <c r="AB6" s="195">
        <v>4.4609999999999997E-2</v>
      </c>
      <c r="AC6" s="195">
        <v>4.4609999999999997E-2</v>
      </c>
      <c r="AD6" s="205">
        <v>2.2290000000000001E-2</v>
      </c>
      <c r="AF6" s="198" t="s">
        <v>3</v>
      </c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99"/>
    </row>
    <row r="7" spans="2:82">
      <c r="B7" s="1" t="s">
        <v>78</v>
      </c>
      <c r="C7" s="450">
        <v>0.08</v>
      </c>
      <c r="E7" s="189" t="s">
        <v>4</v>
      </c>
      <c r="F7" s="167">
        <v>0.67100000000000004</v>
      </c>
      <c r="G7" s="175">
        <f t="shared" ref="G7:G32" si="1">1-F7</f>
        <v>0.32899999999999996</v>
      </c>
      <c r="I7" s="189" t="s">
        <v>4</v>
      </c>
      <c r="J7" s="167">
        <v>0.2</v>
      </c>
      <c r="K7" s="167">
        <v>0.32</v>
      </c>
      <c r="L7" s="167">
        <v>0.192</v>
      </c>
      <c r="M7" s="167">
        <v>0.1152</v>
      </c>
      <c r="N7" s="167">
        <v>0.1152</v>
      </c>
      <c r="O7" s="167">
        <v>5.7599999999999998E-2</v>
      </c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74"/>
      <c r="AF7" s="189" t="s">
        <v>4</v>
      </c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4"/>
      <c r="CA7" s="184"/>
      <c r="CB7" s="184"/>
      <c r="CC7" s="184"/>
      <c r="CD7" s="131"/>
    </row>
    <row r="8" spans="2:82">
      <c r="B8" s="1" t="s">
        <v>105</v>
      </c>
      <c r="C8" s="451">
        <v>8.8999999999999996E-2</v>
      </c>
      <c r="E8" s="189" t="s">
        <v>5</v>
      </c>
      <c r="F8" s="167">
        <v>0.67100000000000004</v>
      </c>
      <c r="G8" s="175">
        <f t="shared" si="1"/>
        <v>0.32899999999999996</v>
      </c>
      <c r="I8" s="189" t="s">
        <v>5</v>
      </c>
      <c r="J8" s="167">
        <v>0.2</v>
      </c>
      <c r="K8" s="167">
        <v>0.32</v>
      </c>
      <c r="L8" s="167">
        <v>0.192</v>
      </c>
      <c r="M8" s="167">
        <v>0.1152</v>
      </c>
      <c r="N8" s="167">
        <v>0.1152</v>
      </c>
      <c r="O8" s="167">
        <v>5.7599999999999998E-2</v>
      </c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74"/>
      <c r="AF8" s="189" t="s">
        <v>5</v>
      </c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31"/>
    </row>
    <row r="9" spans="2:82">
      <c r="B9" s="1" t="s">
        <v>106</v>
      </c>
      <c r="C9" s="451">
        <v>0.06</v>
      </c>
      <c r="E9" s="189" t="s">
        <v>6</v>
      </c>
      <c r="F9" s="167">
        <v>0.67100000000000004</v>
      </c>
      <c r="G9" s="175">
        <f t="shared" si="1"/>
        <v>0.32899999999999996</v>
      </c>
      <c r="I9" s="189" t="s">
        <v>6</v>
      </c>
      <c r="J9" s="167">
        <v>0.2</v>
      </c>
      <c r="K9" s="167">
        <v>0.32</v>
      </c>
      <c r="L9" s="167">
        <v>0.192</v>
      </c>
      <c r="M9" s="167">
        <v>0.1152</v>
      </c>
      <c r="N9" s="167">
        <v>0.1152</v>
      </c>
      <c r="O9" s="167">
        <v>5.7599999999999998E-2</v>
      </c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74"/>
      <c r="AF9" s="189" t="s">
        <v>6</v>
      </c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31"/>
    </row>
    <row r="10" spans="2:82">
      <c r="E10" s="200" t="s">
        <v>7</v>
      </c>
      <c r="F10" s="168">
        <v>0.68500000000000005</v>
      </c>
      <c r="G10" s="206">
        <f t="shared" si="1"/>
        <v>0.31499999999999995</v>
      </c>
      <c r="I10" s="200" t="s">
        <v>7</v>
      </c>
      <c r="J10" s="168">
        <v>0.2</v>
      </c>
      <c r="K10" s="168">
        <v>0.32</v>
      </c>
      <c r="L10" s="168">
        <v>0.192</v>
      </c>
      <c r="M10" s="168">
        <v>0.1152</v>
      </c>
      <c r="N10" s="168">
        <v>0.1152</v>
      </c>
      <c r="O10" s="168">
        <v>5.7599999999999998E-2</v>
      </c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203"/>
      <c r="AF10" s="200" t="s">
        <v>7</v>
      </c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7"/>
    </row>
    <row r="11" spans="2:82">
      <c r="E11" s="190" t="s">
        <v>130</v>
      </c>
      <c r="F11" s="167">
        <v>0.75800000000000001</v>
      </c>
      <c r="G11" s="175">
        <f t="shared" si="1"/>
        <v>0.24199999999999999</v>
      </c>
      <c r="I11" s="190" t="s">
        <v>130</v>
      </c>
      <c r="J11" s="167">
        <v>0.2</v>
      </c>
      <c r="K11" s="167">
        <v>0.32</v>
      </c>
      <c r="L11" s="167">
        <v>0.192</v>
      </c>
      <c r="M11" s="167">
        <v>0.1152</v>
      </c>
      <c r="N11" s="167">
        <v>0.1152</v>
      </c>
      <c r="O11" s="167">
        <v>5.7599999999999998E-2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74"/>
      <c r="AF11" s="190" t="s">
        <v>130</v>
      </c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31"/>
    </row>
    <row r="12" spans="2:82">
      <c r="E12" s="190" t="s">
        <v>139</v>
      </c>
      <c r="F12" s="167">
        <v>0.75800000000000001</v>
      </c>
      <c r="G12" s="175">
        <f t="shared" si="1"/>
        <v>0.24199999999999999</v>
      </c>
      <c r="H12" s="183"/>
      <c r="I12" s="190" t="s">
        <v>139</v>
      </c>
      <c r="J12" s="167">
        <v>0.2</v>
      </c>
      <c r="K12" s="167">
        <v>0.32</v>
      </c>
      <c r="L12" s="167">
        <v>0.192</v>
      </c>
      <c r="M12" s="167">
        <v>0.1152</v>
      </c>
      <c r="N12" s="167">
        <v>0.1152</v>
      </c>
      <c r="O12" s="167">
        <v>5.7599999999999998E-2</v>
      </c>
      <c r="P12" s="167"/>
      <c r="Q12" s="167"/>
      <c r="R12" s="167"/>
      <c r="S12" s="167"/>
      <c r="T12" s="183">
        <v>0.14285999999999999</v>
      </c>
      <c r="U12" s="183">
        <v>0.24490000000000001</v>
      </c>
      <c r="V12" s="183">
        <v>0.17493</v>
      </c>
      <c r="W12" s="183">
        <v>0.12495000000000001</v>
      </c>
      <c r="X12" s="183">
        <v>8.9249999999999996E-2</v>
      </c>
      <c r="Y12" s="183">
        <v>8.9249999999999996E-2</v>
      </c>
      <c r="Z12" s="183">
        <v>8.9249999999999996E-2</v>
      </c>
      <c r="AA12" s="183">
        <v>4.4609999999999997E-2</v>
      </c>
      <c r="AB12" s="167"/>
      <c r="AC12" s="167"/>
      <c r="AD12" s="174"/>
      <c r="AF12" s="190" t="s">
        <v>139</v>
      </c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31"/>
    </row>
    <row r="13" spans="2:82">
      <c r="E13" s="190" t="s">
        <v>131</v>
      </c>
      <c r="F13" s="167">
        <v>0.75800000000000001</v>
      </c>
      <c r="G13" s="175">
        <f t="shared" si="1"/>
        <v>0.24199999999999999</v>
      </c>
      <c r="I13" s="190" t="s">
        <v>131</v>
      </c>
      <c r="J13" s="167">
        <v>0.2</v>
      </c>
      <c r="K13" s="167">
        <v>0.32</v>
      </c>
      <c r="L13" s="167">
        <v>0.192</v>
      </c>
      <c r="M13" s="167">
        <v>0.1152</v>
      </c>
      <c r="N13" s="167">
        <v>0.1152</v>
      </c>
      <c r="O13" s="167">
        <v>5.7599999999999998E-2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74"/>
      <c r="AF13" s="190" t="s">
        <v>131</v>
      </c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31"/>
    </row>
    <row r="14" spans="2:82">
      <c r="E14" s="190" t="s">
        <v>132</v>
      </c>
      <c r="F14" s="167">
        <v>0.75800000000000001</v>
      </c>
      <c r="G14" s="175">
        <f t="shared" si="1"/>
        <v>0.24199999999999999</v>
      </c>
      <c r="I14" s="190" t="s">
        <v>132</v>
      </c>
      <c r="J14" s="167">
        <v>0.2</v>
      </c>
      <c r="K14" s="167">
        <v>0.32</v>
      </c>
      <c r="L14" s="167">
        <v>0.192</v>
      </c>
      <c r="M14" s="167">
        <v>0.1152</v>
      </c>
      <c r="N14" s="167">
        <v>0.1152</v>
      </c>
      <c r="O14" s="167">
        <v>5.7599999999999998E-2</v>
      </c>
      <c r="P14" s="167"/>
      <c r="Q14" s="167"/>
      <c r="R14" s="167"/>
      <c r="S14" s="167"/>
      <c r="T14" s="183">
        <v>0.14285999999999999</v>
      </c>
      <c r="U14" s="183">
        <v>0.24490000000000001</v>
      </c>
      <c r="V14" s="183">
        <v>0.17493</v>
      </c>
      <c r="W14" s="183">
        <v>0.12495000000000001</v>
      </c>
      <c r="X14" s="183">
        <v>8.9249999999999996E-2</v>
      </c>
      <c r="Y14" s="183">
        <v>8.9249999999999996E-2</v>
      </c>
      <c r="Z14" s="183">
        <v>8.9249999999999996E-2</v>
      </c>
      <c r="AA14" s="183">
        <v>4.4609999999999997E-2</v>
      </c>
      <c r="AB14" s="167"/>
      <c r="AC14" s="167"/>
      <c r="AD14" s="174"/>
      <c r="AF14" s="190" t="s">
        <v>132</v>
      </c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31"/>
    </row>
    <row r="15" spans="2:82">
      <c r="E15" s="190" t="s">
        <v>133</v>
      </c>
      <c r="F15" s="167">
        <v>0.75900000000000001</v>
      </c>
      <c r="G15" s="175">
        <f t="shared" si="1"/>
        <v>0.24099999999999999</v>
      </c>
      <c r="I15" s="190" t="s">
        <v>133</v>
      </c>
      <c r="J15" s="167">
        <v>0.2</v>
      </c>
      <c r="K15" s="167">
        <v>0.32</v>
      </c>
      <c r="L15" s="167">
        <v>0.192</v>
      </c>
      <c r="M15" s="167">
        <v>0.1152</v>
      </c>
      <c r="N15" s="167">
        <v>0.1152</v>
      </c>
      <c r="O15" s="167">
        <v>5.7599999999999998E-2</v>
      </c>
      <c r="P15" s="167"/>
      <c r="Q15" s="167"/>
      <c r="R15" s="167"/>
      <c r="S15" s="167"/>
      <c r="T15" s="184"/>
      <c r="U15" s="184"/>
      <c r="V15" s="184"/>
      <c r="W15" s="184"/>
      <c r="X15" s="184"/>
      <c r="Y15" s="184"/>
      <c r="Z15" s="184"/>
      <c r="AA15" s="184"/>
      <c r="AB15" s="167"/>
      <c r="AC15" s="167"/>
      <c r="AD15" s="174"/>
      <c r="AF15" s="190" t="s">
        <v>133</v>
      </c>
      <c r="AG15" s="184"/>
      <c r="AH15" s="184"/>
      <c r="AI15" s="184"/>
      <c r="AJ15" s="184"/>
      <c r="AK15" s="262"/>
      <c r="AL15" s="262"/>
      <c r="AM15" s="262"/>
      <c r="AN15" s="262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31"/>
    </row>
    <row r="16" spans="2:82">
      <c r="E16" s="190" t="s">
        <v>134</v>
      </c>
      <c r="F16" s="167">
        <v>0.75900000000000001</v>
      </c>
      <c r="G16" s="175">
        <f t="shared" si="1"/>
        <v>0.24099999999999999</v>
      </c>
      <c r="I16" s="190" t="s">
        <v>134</v>
      </c>
      <c r="J16" s="167">
        <v>0.2</v>
      </c>
      <c r="K16" s="167">
        <v>0.32</v>
      </c>
      <c r="L16" s="167">
        <v>0.192</v>
      </c>
      <c r="M16" s="167">
        <v>0.1152</v>
      </c>
      <c r="N16" s="167">
        <v>0.1152</v>
      </c>
      <c r="O16" s="167">
        <v>5.7599999999999998E-2</v>
      </c>
      <c r="P16" s="167"/>
      <c r="Q16" s="167"/>
      <c r="R16" s="167"/>
      <c r="S16" s="167"/>
      <c r="T16" s="183">
        <v>0.14285999999999999</v>
      </c>
      <c r="U16" s="183">
        <v>0.24490000000000001</v>
      </c>
      <c r="V16" s="183">
        <v>0.17493</v>
      </c>
      <c r="W16" s="183">
        <v>0.12495000000000001</v>
      </c>
      <c r="X16" s="183">
        <v>8.9249999999999996E-2</v>
      </c>
      <c r="Y16" s="183">
        <v>8.9249999999999996E-2</v>
      </c>
      <c r="Z16" s="183">
        <v>8.9249999999999996E-2</v>
      </c>
      <c r="AA16" s="183">
        <v>4.4609999999999997E-2</v>
      </c>
      <c r="AB16" s="167"/>
      <c r="AC16" s="167"/>
      <c r="AD16" s="174"/>
      <c r="AF16" s="190" t="s">
        <v>134</v>
      </c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31"/>
    </row>
    <row r="17" spans="5:82">
      <c r="E17" s="190" t="s">
        <v>8</v>
      </c>
      <c r="F17" s="167">
        <v>0.73499999999999999</v>
      </c>
      <c r="G17" s="175">
        <f t="shared" si="1"/>
        <v>0.26500000000000001</v>
      </c>
      <c r="I17" s="190" t="s">
        <v>8</v>
      </c>
      <c r="J17" s="167">
        <v>0.2</v>
      </c>
      <c r="K17" s="167">
        <v>0.32</v>
      </c>
      <c r="L17" s="167">
        <v>0.192</v>
      </c>
      <c r="M17" s="167">
        <v>0.1152</v>
      </c>
      <c r="N17" s="167">
        <v>0.1152</v>
      </c>
      <c r="O17" s="167">
        <v>5.7599999999999998E-2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74"/>
      <c r="AF17" s="190" t="s">
        <v>8</v>
      </c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31"/>
    </row>
    <row r="18" spans="5:82">
      <c r="E18" s="190" t="s">
        <v>9</v>
      </c>
      <c r="F18" s="167">
        <v>0.73499999999999999</v>
      </c>
      <c r="G18" s="175">
        <f t="shared" si="1"/>
        <v>0.26500000000000001</v>
      </c>
      <c r="I18" s="190" t="s">
        <v>9</v>
      </c>
      <c r="J18" s="167">
        <v>0.2</v>
      </c>
      <c r="K18" s="167">
        <v>0.32</v>
      </c>
      <c r="L18" s="167">
        <v>0.192</v>
      </c>
      <c r="M18" s="167">
        <v>0.1152</v>
      </c>
      <c r="N18" s="167">
        <v>0.1152</v>
      </c>
      <c r="O18" s="167">
        <v>5.7599999999999998E-2</v>
      </c>
      <c r="P18" s="167"/>
      <c r="Q18" s="167"/>
      <c r="R18" s="167"/>
      <c r="S18" s="167"/>
      <c r="T18" s="183">
        <v>0.14285999999999999</v>
      </c>
      <c r="U18" s="183">
        <v>0.24490000000000001</v>
      </c>
      <c r="V18" s="183">
        <v>0.17493</v>
      </c>
      <c r="W18" s="183">
        <v>0.12495000000000001</v>
      </c>
      <c r="X18" s="183">
        <v>8.9249999999999996E-2</v>
      </c>
      <c r="Y18" s="183">
        <v>8.9249999999999996E-2</v>
      </c>
      <c r="Z18" s="183">
        <v>8.9249999999999996E-2</v>
      </c>
      <c r="AA18" s="183">
        <v>4.4609999999999997E-2</v>
      </c>
      <c r="AB18" s="167"/>
      <c r="AC18" s="167"/>
      <c r="AD18" s="174"/>
      <c r="AF18" s="190" t="s">
        <v>9</v>
      </c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31"/>
    </row>
    <row r="19" spans="5:82">
      <c r="E19" s="190" t="s">
        <v>138</v>
      </c>
      <c r="F19" s="167">
        <v>0.73499999999999999</v>
      </c>
      <c r="G19" s="175">
        <f t="shared" si="1"/>
        <v>0.26500000000000001</v>
      </c>
      <c r="I19" s="190" t="s">
        <v>138</v>
      </c>
      <c r="J19" s="167">
        <v>0.2</v>
      </c>
      <c r="K19" s="167">
        <v>0.32</v>
      </c>
      <c r="L19" s="167">
        <v>0.192</v>
      </c>
      <c r="M19" s="167">
        <v>0.1152</v>
      </c>
      <c r="N19" s="167">
        <v>0.1152</v>
      </c>
      <c r="O19" s="167">
        <v>5.7599999999999998E-2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74"/>
      <c r="AF19" s="190" t="s">
        <v>138</v>
      </c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31"/>
    </row>
    <row r="20" spans="5:82">
      <c r="E20" s="190" t="s">
        <v>10</v>
      </c>
      <c r="F20" s="167">
        <v>0.73499999999999999</v>
      </c>
      <c r="G20" s="175">
        <f t="shared" si="1"/>
        <v>0.26500000000000001</v>
      </c>
      <c r="I20" s="190" t="s">
        <v>10</v>
      </c>
      <c r="J20" s="167">
        <v>0.2</v>
      </c>
      <c r="K20" s="167">
        <v>0.32</v>
      </c>
      <c r="L20" s="167">
        <v>0.192</v>
      </c>
      <c r="M20" s="167">
        <v>0.1152</v>
      </c>
      <c r="N20" s="167">
        <v>0.1152</v>
      </c>
      <c r="O20" s="167">
        <v>5.7599999999999998E-2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74"/>
      <c r="AF20" s="190" t="s">
        <v>10</v>
      </c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31"/>
    </row>
    <row r="21" spans="5:82">
      <c r="E21" s="190" t="s">
        <v>135</v>
      </c>
      <c r="F21" s="167">
        <v>0.73499999999999999</v>
      </c>
      <c r="G21" s="175">
        <f t="shared" si="1"/>
        <v>0.26500000000000001</v>
      </c>
      <c r="I21" s="190" t="s">
        <v>135</v>
      </c>
      <c r="J21" s="167">
        <v>0.2</v>
      </c>
      <c r="K21" s="167">
        <v>0.32</v>
      </c>
      <c r="L21" s="167">
        <v>0.192</v>
      </c>
      <c r="M21" s="167">
        <v>0.1152</v>
      </c>
      <c r="N21" s="167">
        <v>0.1152</v>
      </c>
      <c r="O21" s="167">
        <v>5.7599999999999998E-2</v>
      </c>
      <c r="P21" s="167"/>
      <c r="Q21" s="167"/>
      <c r="R21" s="167"/>
      <c r="S21" s="167"/>
      <c r="T21" s="183">
        <v>0.14285999999999999</v>
      </c>
      <c r="U21" s="183">
        <v>0.24490000000000001</v>
      </c>
      <c r="V21" s="183">
        <v>0.17493</v>
      </c>
      <c r="W21" s="183">
        <v>0.12495000000000001</v>
      </c>
      <c r="X21" s="183">
        <v>8.9249999999999996E-2</v>
      </c>
      <c r="Y21" s="183">
        <v>8.9249999999999996E-2</v>
      </c>
      <c r="Z21" s="183">
        <v>8.9249999999999996E-2</v>
      </c>
      <c r="AA21" s="183">
        <v>4.4609999999999997E-2</v>
      </c>
      <c r="AB21" s="167"/>
      <c r="AC21" s="167"/>
      <c r="AD21" s="174"/>
      <c r="AF21" s="190" t="s">
        <v>135</v>
      </c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31"/>
    </row>
    <row r="22" spans="5:82">
      <c r="E22" s="190" t="s">
        <v>136</v>
      </c>
      <c r="F22" s="167">
        <v>0.73499999999999999</v>
      </c>
      <c r="G22" s="175">
        <f t="shared" si="1"/>
        <v>0.26500000000000001</v>
      </c>
      <c r="I22" s="190" t="s">
        <v>136</v>
      </c>
      <c r="J22" s="167">
        <v>0.2</v>
      </c>
      <c r="K22" s="167">
        <v>0.32</v>
      </c>
      <c r="L22" s="167">
        <v>0.192</v>
      </c>
      <c r="M22" s="167">
        <v>0.1152</v>
      </c>
      <c r="N22" s="167">
        <v>0.1152</v>
      </c>
      <c r="O22" s="167">
        <v>5.7599999999999998E-2</v>
      </c>
      <c r="P22" s="167"/>
      <c r="Q22" s="167"/>
      <c r="R22" s="167"/>
      <c r="S22" s="167"/>
      <c r="T22" s="183">
        <v>0.14285999999999999</v>
      </c>
      <c r="U22" s="183">
        <v>0.24490000000000001</v>
      </c>
      <c r="V22" s="183">
        <v>0.17493</v>
      </c>
      <c r="W22" s="183">
        <v>0.12495000000000001</v>
      </c>
      <c r="X22" s="183">
        <v>8.9249999999999996E-2</v>
      </c>
      <c r="Y22" s="183">
        <v>8.9249999999999996E-2</v>
      </c>
      <c r="Z22" s="183">
        <v>8.9249999999999996E-2</v>
      </c>
      <c r="AA22" s="183">
        <v>4.4609999999999997E-2</v>
      </c>
      <c r="AB22" s="167"/>
      <c r="AC22" s="167"/>
      <c r="AD22" s="174"/>
      <c r="AF22" s="190" t="s">
        <v>136</v>
      </c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31"/>
    </row>
    <row r="23" spans="5:82">
      <c r="E23" s="201" t="s">
        <v>137</v>
      </c>
      <c r="F23" s="168">
        <v>0.73499999999999999</v>
      </c>
      <c r="G23" s="206">
        <f t="shared" si="1"/>
        <v>0.26500000000000001</v>
      </c>
      <c r="I23" s="201" t="s">
        <v>137</v>
      </c>
      <c r="J23" s="168">
        <v>0.2</v>
      </c>
      <c r="K23" s="168">
        <v>0.32</v>
      </c>
      <c r="L23" s="168">
        <v>0.192</v>
      </c>
      <c r="M23" s="168">
        <v>0.1152</v>
      </c>
      <c r="N23" s="168">
        <v>0.1152</v>
      </c>
      <c r="O23" s="168">
        <v>5.7599999999999998E-2</v>
      </c>
      <c r="P23" s="168"/>
      <c r="Q23" s="168"/>
      <c r="R23" s="168"/>
      <c r="S23" s="168"/>
      <c r="T23" s="195">
        <v>0.14285999999999999</v>
      </c>
      <c r="U23" s="195">
        <v>0.24490000000000001</v>
      </c>
      <c r="V23" s="195">
        <v>0.17493</v>
      </c>
      <c r="W23" s="195">
        <v>0.12495000000000001</v>
      </c>
      <c r="X23" s="195">
        <v>8.9249999999999996E-2</v>
      </c>
      <c r="Y23" s="195">
        <v>8.9249999999999996E-2</v>
      </c>
      <c r="Z23" s="195">
        <v>8.9249999999999996E-2</v>
      </c>
      <c r="AA23" s="195">
        <v>4.4609999999999997E-2</v>
      </c>
      <c r="AB23" s="168"/>
      <c r="AC23" s="168"/>
      <c r="AD23" s="203"/>
      <c r="AF23" s="201" t="s">
        <v>137</v>
      </c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  <c r="BO23" s="196"/>
      <c r="BP23" s="196"/>
      <c r="BQ23" s="196"/>
      <c r="BR23" s="196"/>
      <c r="BS23" s="196"/>
      <c r="BT23" s="196"/>
      <c r="BU23" s="196"/>
      <c r="BV23" s="196"/>
      <c r="BW23" s="196"/>
      <c r="BX23" s="196"/>
      <c r="BY23" s="196"/>
      <c r="BZ23" s="196"/>
      <c r="CA23" s="196"/>
      <c r="CB23" s="196"/>
      <c r="CC23" s="196"/>
      <c r="CD23" s="197"/>
    </row>
    <row r="24" spans="5:82">
      <c r="E24" s="191" t="s">
        <v>11</v>
      </c>
      <c r="F24" s="167"/>
      <c r="G24" s="174"/>
      <c r="I24" s="191" t="s">
        <v>11</v>
      </c>
      <c r="J24" s="167"/>
      <c r="K24" s="167"/>
      <c r="L24" s="184"/>
      <c r="M24" s="184"/>
      <c r="N24" s="184"/>
      <c r="O24" s="184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74"/>
      <c r="AF24" s="191" t="s">
        <v>11</v>
      </c>
      <c r="AG24" s="183">
        <v>0.17584039407496896</v>
      </c>
      <c r="AH24" s="183">
        <v>0.16553106268670614</v>
      </c>
      <c r="AI24" s="183">
        <v>0.15528708137249078</v>
      </c>
      <c r="AJ24" s="183">
        <v>0.14671606195389222</v>
      </c>
      <c r="AK24" s="183">
        <v>0.13877240324614998</v>
      </c>
      <c r="AL24" s="183">
        <v>0.13129926507154993</v>
      </c>
      <c r="AM24" s="183">
        <v>0.12476716796323428</v>
      </c>
      <c r="AN24" s="183">
        <v>0.11870559138806087</v>
      </c>
      <c r="AO24" s="183">
        <v>0.11264401481288747</v>
      </c>
      <c r="AP24" s="183">
        <v>0.10658243823771406</v>
      </c>
      <c r="AQ24" s="183">
        <v>0.10052086166254062</v>
      </c>
      <c r="AR24" s="183">
        <v>9.4459285087367215E-2</v>
      </c>
      <c r="AS24" s="183">
        <v>8.8397708512193821E-2</v>
      </c>
      <c r="AT24" s="183">
        <v>8.2336131937020399E-2</v>
      </c>
      <c r="AU24" s="183">
        <v>7.6274555361846977E-2</v>
      </c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31"/>
    </row>
    <row r="25" spans="5:82">
      <c r="E25" s="191" t="s">
        <v>12</v>
      </c>
      <c r="F25" s="167"/>
      <c r="G25" s="174"/>
      <c r="I25" s="191" t="s">
        <v>12</v>
      </c>
      <c r="J25" s="167"/>
      <c r="K25" s="167"/>
      <c r="L25" s="184"/>
      <c r="M25" s="184"/>
      <c r="N25" s="184"/>
      <c r="O25" s="184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74"/>
      <c r="AF25" s="191" t="s">
        <v>12</v>
      </c>
      <c r="AG25" s="183">
        <v>0.17584039407496896</v>
      </c>
      <c r="AH25" s="183">
        <v>0.16553106268670614</v>
      </c>
      <c r="AI25" s="183">
        <v>0.15528708137249078</v>
      </c>
      <c r="AJ25" s="183">
        <v>0.14671606195389222</v>
      </c>
      <c r="AK25" s="183">
        <v>0.13877240324614998</v>
      </c>
      <c r="AL25" s="183">
        <v>0.13129926507154993</v>
      </c>
      <c r="AM25" s="183">
        <v>0.12476716796323428</v>
      </c>
      <c r="AN25" s="183">
        <v>0.11870559138806087</v>
      </c>
      <c r="AO25" s="183">
        <v>0.11264401481288747</v>
      </c>
      <c r="AP25" s="183">
        <v>0.10658243823771406</v>
      </c>
      <c r="AQ25" s="183">
        <v>0.10052086166254062</v>
      </c>
      <c r="AR25" s="183">
        <v>9.4459285087367215E-2</v>
      </c>
      <c r="AS25" s="183">
        <v>8.8397708512193821E-2</v>
      </c>
      <c r="AT25" s="183">
        <v>8.2336131937020399E-2</v>
      </c>
      <c r="AU25" s="183">
        <v>7.6274555361846977E-2</v>
      </c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31"/>
    </row>
    <row r="26" spans="5:82">
      <c r="E26" s="191" t="s">
        <v>13</v>
      </c>
      <c r="F26" s="167"/>
      <c r="G26" s="174"/>
      <c r="I26" s="191" t="s">
        <v>13</v>
      </c>
      <c r="J26" s="167"/>
      <c r="K26" s="167"/>
      <c r="L26" s="184"/>
      <c r="M26" s="184"/>
      <c r="N26" s="184"/>
      <c r="O26" s="184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74"/>
      <c r="AF26" s="191" t="s">
        <v>13</v>
      </c>
      <c r="AG26" s="354">
        <v>0.17584039407496896</v>
      </c>
      <c r="AH26" s="354">
        <v>0.16553106268670614</v>
      </c>
      <c r="AI26" s="354">
        <v>0.15528708137249078</v>
      </c>
      <c r="AJ26" s="354">
        <v>0.14671606195389222</v>
      </c>
      <c r="AK26" s="354">
        <v>0.13877240324614998</v>
      </c>
      <c r="AL26" s="354">
        <v>0.13129926507154993</v>
      </c>
      <c r="AM26" s="354">
        <v>0.12476716796323428</v>
      </c>
      <c r="AN26" s="354">
        <v>0.11870559138806087</v>
      </c>
      <c r="AO26" s="354">
        <v>0.11264401481288747</v>
      </c>
      <c r="AP26" s="354">
        <v>0.10658243823771406</v>
      </c>
      <c r="AQ26" s="354">
        <v>0.10052086166254062</v>
      </c>
      <c r="AR26" s="354">
        <v>9.4459285087367215E-2</v>
      </c>
      <c r="AS26" s="354">
        <v>8.8397708512193821E-2</v>
      </c>
      <c r="AT26" s="354">
        <v>8.2336131937020399E-2</v>
      </c>
      <c r="AU26" s="354">
        <v>7.6274555361846977E-2</v>
      </c>
      <c r="AV26" s="183"/>
      <c r="AW26" s="183"/>
      <c r="AX26" s="183"/>
      <c r="AY26" s="183"/>
      <c r="AZ26" s="183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31"/>
    </row>
    <row r="27" spans="5:82">
      <c r="E27" s="191" t="s">
        <v>14</v>
      </c>
      <c r="F27" s="167"/>
      <c r="G27" s="174"/>
      <c r="I27" s="191" t="s">
        <v>14</v>
      </c>
      <c r="J27" s="167"/>
      <c r="K27" s="167"/>
      <c r="L27" s="184"/>
      <c r="M27" s="184"/>
      <c r="N27" s="184"/>
      <c r="O27" s="184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74"/>
      <c r="AF27" s="191" t="s">
        <v>14</v>
      </c>
      <c r="AG27" s="183">
        <v>0.17584039407496896</v>
      </c>
      <c r="AH27" s="183">
        <v>0.16553106268670614</v>
      </c>
      <c r="AI27" s="183">
        <v>0.15528708137249078</v>
      </c>
      <c r="AJ27" s="183">
        <v>0.14671606195389222</v>
      </c>
      <c r="AK27" s="183">
        <v>0.13877240324614998</v>
      </c>
      <c r="AL27" s="183">
        <v>0.13129926507154993</v>
      </c>
      <c r="AM27" s="183">
        <v>0.12476716796323428</v>
      </c>
      <c r="AN27" s="183">
        <v>0.11870559138806087</v>
      </c>
      <c r="AO27" s="183">
        <v>0.11264401481288747</v>
      </c>
      <c r="AP27" s="183">
        <v>0.10658243823771406</v>
      </c>
      <c r="AQ27" s="183">
        <v>0.10052086166254062</v>
      </c>
      <c r="AR27" s="183">
        <v>9.4459285087367215E-2</v>
      </c>
      <c r="AS27" s="183">
        <v>8.8397708512193821E-2</v>
      </c>
      <c r="AT27" s="183">
        <v>8.2336131937020399E-2</v>
      </c>
      <c r="AU27" s="183">
        <v>7.6274555361846977E-2</v>
      </c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31"/>
    </row>
    <row r="28" spans="5:82">
      <c r="E28" s="191" t="s">
        <v>15</v>
      </c>
      <c r="F28" s="167"/>
      <c r="G28" s="174"/>
      <c r="I28" s="191" t="s">
        <v>15</v>
      </c>
      <c r="J28" s="167"/>
      <c r="K28" s="167"/>
      <c r="L28" s="184"/>
      <c r="M28" s="184"/>
      <c r="N28" s="184"/>
      <c r="O28" s="184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74"/>
      <c r="AF28" s="191" t="s">
        <v>15</v>
      </c>
      <c r="AG28" s="183">
        <v>0.17584039407496896</v>
      </c>
      <c r="AH28" s="183">
        <v>0.16553106268670614</v>
      </c>
      <c r="AI28" s="183">
        <v>0.15528708137249078</v>
      </c>
      <c r="AJ28" s="183">
        <v>0.14671606195389222</v>
      </c>
      <c r="AK28" s="183">
        <v>0.13877240324614998</v>
      </c>
      <c r="AL28" s="183">
        <v>0.13129926507154993</v>
      </c>
      <c r="AM28" s="183">
        <v>0.12476716796323428</v>
      </c>
      <c r="AN28" s="183">
        <v>0.11870559138806087</v>
      </c>
      <c r="AO28" s="183">
        <v>0.11264401481288747</v>
      </c>
      <c r="AP28" s="183">
        <v>0.10658243823771406</v>
      </c>
      <c r="AQ28" s="183">
        <v>0.10052086166254062</v>
      </c>
      <c r="AR28" s="183">
        <v>9.4459285087367215E-2</v>
      </c>
      <c r="AS28" s="183">
        <v>8.8397708512193821E-2</v>
      </c>
      <c r="AT28" s="183">
        <v>8.2336131937020399E-2</v>
      </c>
      <c r="AU28" s="183">
        <v>7.6274555361846977E-2</v>
      </c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31"/>
    </row>
    <row r="29" spans="5:82">
      <c r="E29" s="191" t="s">
        <v>16</v>
      </c>
      <c r="F29" s="167"/>
      <c r="G29" s="174"/>
      <c r="I29" s="191" t="s">
        <v>16</v>
      </c>
      <c r="J29" s="167"/>
      <c r="K29" s="167"/>
      <c r="L29" s="184"/>
      <c r="M29" s="184"/>
      <c r="N29" s="184"/>
      <c r="O29" s="184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74"/>
      <c r="AF29" s="191" t="s">
        <v>16</v>
      </c>
      <c r="AG29" s="183">
        <v>0.15828714937830055</v>
      </c>
      <c r="AH29" s="183">
        <v>0.14949321213383107</v>
      </c>
      <c r="AI29" s="183">
        <v>0.14076462496340908</v>
      </c>
      <c r="AJ29" s="183">
        <v>0.13370899968860389</v>
      </c>
      <c r="AK29" s="183">
        <v>0.12728073512465499</v>
      </c>
      <c r="AL29" s="183">
        <v>0.12132299109384827</v>
      </c>
      <c r="AM29" s="183">
        <v>0.116306288129326</v>
      </c>
      <c r="AN29" s="183">
        <v>0.11176010569794594</v>
      </c>
      <c r="AO29" s="183">
        <v>0.10721392326656588</v>
      </c>
      <c r="AP29" s="183">
        <v>0.10266774083518583</v>
      </c>
      <c r="AQ29" s="183">
        <v>9.8121558403805778E-2</v>
      </c>
      <c r="AR29" s="183">
        <v>9.3575375972425698E-2</v>
      </c>
      <c r="AS29" s="183">
        <v>8.9029193541045645E-2</v>
      </c>
      <c r="AT29" s="183">
        <v>8.4483011109665593E-2</v>
      </c>
      <c r="AU29" s="183">
        <v>7.9936828678285513E-2</v>
      </c>
      <c r="AV29" s="183">
        <v>7.5390646246905474E-2</v>
      </c>
      <c r="AW29" s="183">
        <v>7.0844463815525408E-2</v>
      </c>
      <c r="AX29" s="183">
        <v>6.6298281384145341E-2</v>
      </c>
      <c r="AY29" s="183">
        <v>6.1752098952765302E-2</v>
      </c>
      <c r="AZ29" s="183">
        <v>5.7205916521385229E-2</v>
      </c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31"/>
    </row>
    <row r="30" spans="5:82">
      <c r="E30" s="191" t="s">
        <v>17</v>
      </c>
      <c r="F30" s="167"/>
      <c r="G30" s="174"/>
      <c r="I30" s="191" t="s">
        <v>17</v>
      </c>
      <c r="J30" s="167"/>
      <c r="K30" s="167"/>
      <c r="L30" s="184"/>
      <c r="M30" s="184"/>
      <c r="N30" s="184"/>
      <c r="O30" s="184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74"/>
      <c r="AE30" s="263"/>
      <c r="AF30" s="191" t="s">
        <v>17</v>
      </c>
      <c r="AG30" s="354">
        <v>0.15828714937830055</v>
      </c>
      <c r="AH30" s="354">
        <v>0.14949321213383107</v>
      </c>
      <c r="AI30" s="354">
        <v>0.14076462496340908</v>
      </c>
      <c r="AJ30" s="354">
        <v>0.13370899968860389</v>
      </c>
      <c r="AK30" s="354">
        <v>0.12728073512465499</v>
      </c>
      <c r="AL30" s="354">
        <v>0.12132299109384827</v>
      </c>
      <c r="AM30" s="354">
        <v>0.116306288129326</v>
      </c>
      <c r="AN30" s="354">
        <v>0.11176010569794594</v>
      </c>
      <c r="AO30" s="354">
        <v>0.10721392326656588</v>
      </c>
      <c r="AP30" s="354">
        <v>0.10266774083518583</v>
      </c>
      <c r="AQ30" s="354">
        <v>9.8121558403805778E-2</v>
      </c>
      <c r="AR30" s="354">
        <v>9.3575375972425698E-2</v>
      </c>
      <c r="AS30" s="354">
        <v>8.9029193541045645E-2</v>
      </c>
      <c r="AT30" s="354">
        <v>8.4483011109665593E-2</v>
      </c>
      <c r="AU30" s="354">
        <v>7.9936828678285513E-2</v>
      </c>
      <c r="AV30" s="354">
        <v>7.5390646246905474E-2</v>
      </c>
      <c r="AW30" s="354">
        <v>7.0844463815525408E-2</v>
      </c>
      <c r="AX30" s="354">
        <v>6.6298281384145341E-2</v>
      </c>
      <c r="AY30" s="354">
        <v>6.1752098952765302E-2</v>
      </c>
      <c r="AZ30" s="354">
        <v>5.7205916521385229E-2</v>
      </c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31"/>
    </row>
    <row r="31" spans="5:82">
      <c r="E31" s="202" t="s">
        <v>18</v>
      </c>
      <c r="F31" s="168"/>
      <c r="G31" s="203"/>
      <c r="I31" s="202" t="s">
        <v>18</v>
      </c>
      <c r="J31" s="168"/>
      <c r="K31" s="168"/>
      <c r="L31" s="196"/>
      <c r="M31" s="196"/>
      <c r="N31" s="196"/>
      <c r="O31" s="196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203"/>
      <c r="AF31" s="202" t="s">
        <v>18</v>
      </c>
      <c r="AG31" s="195">
        <v>0.15828714937830055</v>
      </c>
      <c r="AH31" s="195">
        <v>0.14949321213383107</v>
      </c>
      <c r="AI31" s="195">
        <v>0.14076462496340908</v>
      </c>
      <c r="AJ31" s="195">
        <v>0.13370899968860389</v>
      </c>
      <c r="AK31" s="195">
        <v>0.12728073512465499</v>
      </c>
      <c r="AL31" s="195">
        <v>0.12132299109384827</v>
      </c>
      <c r="AM31" s="195">
        <v>0.116306288129326</v>
      </c>
      <c r="AN31" s="195">
        <v>0.11176010569794594</v>
      </c>
      <c r="AO31" s="195">
        <v>0.10721392326656588</v>
      </c>
      <c r="AP31" s="195">
        <v>0.10266774083518583</v>
      </c>
      <c r="AQ31" s="195">
        <v>9.8121558403805778E-2</v>
      </c>
      <c r="AR31" s="195">
        <v>9.3575375972425698E-2</v>
      </c>
      <c r="AS31" s="195">
        <v>8.9029193541045645E-2</v>
      </c>
      <c r="AT31" s="195">
        <v>8.4483011109665593E-2</v>
      </c>
      <c r="AU31" s="195">
        <v>7.9936828678285513E-2</v>
      </c>
      <c r="AV31" s="195">
        <v>7.5390646246905474E-2</v>
      </c>
      <c r="AW31" s="195">
        <v>7.0844463815525408E-2</v>
      </c>
      <c r="AX31" s="195">
        <v>6.6298281384145341E-2</v>
      </c>
      <c r="AY31" s="195">
        <v>6.1752098952765302E-2</v>
      </c>
      <c r="AZ31" s="195">
        <v>5.7205916521385229E-2</v>
      </c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7"/>
    </row>
    <row r="32" spans="5:82">
      <c r="E32" s="204" t="s">
        <v>19</v>
      </c>
      <c r="F32" s="168">
        <v>0.73699999999999999</v>
      </c>
      <c r="G32" s="206">
        <f t="shared" si="1"/>
        <v>0.26300000000000001</v>
      </c>
      <c r="I32" s="204" t="s">
        <v>19</v>
      </c>
      <c r="J32" s="168">
        <v>0.2</v>
      </c>
      <c r="K32" s="168">
        <v>0.32</v>
      </c>
      <c r="L32" s="168">
        <v>0.192</v>
      </c>
      <c r="M32" s="168">
        <v>0.1152</v>
      </c>
      <c r="N32" s="168">
        <v>0.1152</v>
      </c>
      <c r="O32" s="168">
        <v>5.7599999999999998E-2</v>
      </c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203"/>
      <c r="AF32" s="198" t="s">
        <v>19</v>
      </c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99"/>
    </row>
    <row r="33" spans="5:82">
      <c r="E33" s="188" t="s">
        <v>20</v>
      </c>
      <c r="F33" s="167"/>
      <c r="G33" s="174"/>
      <c r="I33" s="188" t="s">
        <v>20</v>
      </c>
      <c r="J33" s="167"/>
      <c r="K33" s="167"/>
      <c r="L33" s="184"/>
      <c r="M33" s="184"/>
      <c r="N33" s="184"/>
      <c r="O33" s="184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74"/>
      <c r="AF33" s="188" t="s">
        <v>20</v>
      </c>
      <c r="AG33" s="354">
        <v>0.14066112960097418</v>
      </c>
      <c r="AH33" s="354">
        <v>0.13667229000724065</v>
      </c>
      <c r="AI33" s="354">
        <v>0.13240206068290253</v>
      </c>
      <c r="AJ33" s="354">
        <v>0.1282318746336871</v>
      </c>
      <c r="AK33" s="354">
        <v>0.124154235821689</v>
      </c>
      <c r="AL33" s="354">
        <v>0.12016232093035326</v>
      </c>
      <c r="AM33" s="354">
        <v>0.11624969105532518</v>
      </c>
      <c r="AN33" s="354">
        <v>0.1124103878075004</v>
      </c>
      <c r="AO33" s="354">
        <v>0.10861231276815565</v>
      </c>
      <c r="AP33" s="354">
        <v>0.10482019611791521</v>
      </c>
      <c r="AQ33" s="354">
        <v>0.10102807946767481</v>
      </c>
      <c r="AR33" s="354">
        <v>9.7235962817434352E-2</v>
      </c>
      <c r="AS33" s="354">
        <v>9.3443846167193895E-2</v>
      </c>
      <c r="AT33" s="354">
        <v>8.9651729516953493E-2</v>
      </c>
      <c r="AU33" s="354">
        <v>8.585961286671305E-2</v>
      </c>
      <c r="AV33" s="354">
        <v>8.2067496216472635E-2</v>
      </c>
      <c r="AW33" s="354">
        <v>7.8275379566232192E-2</v>
      </c>
      <c r="AX33" s="354">
        <v>7.4483262915991791E-2</v>
      </c>
      <c r="AY33" s="354">
        <v>7.0691146265751362E-2</v>
      </c>
      <c r="AZ33" s="354">
        <v>6.689902961551096E-2</v>
      </c>
      <c r="BA33" s="354">
        <v>6.3321414973026513E-2</v>
      </c>
      <c r="BB33" s="354">
        <v>6.0172516036903906E-2</v>
      </c>
      <c r="BC33" s="354">
        <v>5.7237830799387109E-2</v>
      </c>
      <c r="BD33" s="354">
        <v>5.430314556187029E-2</v>
      </c>
      <c r="BE33" s="354">
        <v>5.1368460324353486E-2</v>
      </c>
      <c r="BF33" s="354">
        <v>4.8433775086836668E-2</v>
      </c>
      <c r="BG33" s="354">
        <v>4.5499089849319864E-2</v>
      </c>
      <c r="BH33" s="354">
        <v>4.2564404611803053E-2</v>
      </c>
      <c r="BI33" s="354">
        <v>3.9629719374286242E-2</v>
      </c>
      <c r="BJ33" s="354">
        <v>3.6695034136769437E-2</v>
      </c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31"/>
    </row>
    <row r="34" spans="5:82">
      <c r="E34" s="194" t="s">
        <v>21</v>
      </c>
      <c r="F34" s="168"/>
      <c r="G34" s="203"/>
      <c r="I34" s="194" t="s">
        <v>21</v>
      </c>
      <c r="J34" s="168"/>
      <c r="K34" s="168"/>
      <c r="L34" s="196"/>
      <c r="M34" s="196"/>
      <c r="N34" s="196"/>
      <c r="O34" s="196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203"/>
      <c r="AF34" s="194" t="s">
        <v>21</v>
      </c>
      <c r="AG34" s="195">
        <v>0.14066112960097418</v>
      </c>
      <c r="AH34" s="195">
        <v>0.13667229000724065</v>
      </c>
      <c r="AI34" s="195">
        <v>0.13240206068290253</v>
      </c>
      <c r="AJ34" s="195">
        <v>0.1282318746336871</v>
      </c>
      <c r="AK34" s="195">
        <v>0.124154235821689</v>
      </c>
      <c r="AL34" s="195">
        <v>0.12016232093035326</v>
      </c>
      <c r="AM34" s="195">
        <v>0.11624969105532518</v>
      </c>
      <c r="AN34" s="195">
        <v>0.1124103878075004</v>
      </c>
      <c r="AO34" s="195">
        <v>0.10861231276815565</v>
      </c>
      <c r="AP34" s="195">
        <v>0.10482019611791521</v>
      </c>
      <c r="AQ34" s="195">
        <v>0.10102807946767481</v>
      </c>
      <c r="AR34" s="195">
        <v>9.7235962817434352E-2</v>
      </c>
      <c r="AS34" s="195">
        <v>9.3443846167193895E-2</v>
      </c>
      <c r="AT34" s="195">
        <v>8.9651729516953493E-2</v>
      </c>
      <c r="AU34" s="195">
        <v>8.585961286671305E-2</v>
      </c>
      <c r="AV34" s="195">
        <v>8.2067496216472635E-2</v>
      </c>
      <c r="AW34" s="195">
        <v>7.8275379566232192E-2</v>
      </c>
      <c r="AX34" s="195">
        <v>7.4483262915991791E-2</v>
      </c>
      <c r="AY34" s="195">
        <v>7.0691146265751362E-2</v>
      </c>
      <c r="AZ34" s="195">
        <v>6.689902961551096E-2</v>
      </c>
      <c r="BA34" s="195">
        <v>6.3321414973026513E-2</v>
      </c>
      <c r="BB34" s="195">
        <v>6.0172516036903906E-2</v>
      </c>
      <c r="BC34" s="195">
        <v>5.7237830799387109E-2</v>
      </c>
      <c r="BD34" s="195">
        <v>5.430314556187029E-2</v>
      </c>
      <c r="BE34" s="195">
        <v>5.1368460324353486E-2</v>
      </c>
      <c r="BF34" s="195">
        <v>4.8433775086836668E-2</v>
      </c>
      <c r="BG34" s="195">
        <v>4.5499089849319864E-2</v>
      </c>
      <c r="BH34" s="195">
        <v>4.2564404611803053E-2</v>
      </c>
      <c r="BI34" s="195">
        <v>3.9629719374286242E-2</v>
      </c>
      <c r="BJ34" s="195">
        <v>3.6695034136769437E-2</v>
      </c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6"/>
      <c r="CA34" s="196"/>
      <c r="CB34" s="196"/>
      <c r="CC34" s="196"/>
      <c r="CD34" s="197"/>
    </row>
    <row r="35" spans="5:82">
      <c r="E35" s="191" t="s">
        <v>22</v>
      </c>
      <c r="F35" s="167"/>
      <c r="G35" s="174"/>
      <c r="I35" s="191" t="s">
        <v>22</v>
      </c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74"/>
      <c r="AF35" s="191" t="s">
        <v>22</v>
      </c>
      <c r="AG35" s="183">
        <v>0.15828714937830055</v>
      </c>
      <c r="AH35" s="183">
        <v>0.14949321213383107</v>
      </c>
      <c r="AI35" s="183">
        <v>0.14076462496340908</v>
      </c>
      <c r="AJ35" s="183">
        <v>0.13370899968860389</v>
      </c>
      <c r="AK35" s="183">
        <v>0.12728073512465499</v>
      </c>
      <c r="AL35" s="183">
        <v>0.12132299109384827</v>
      </c>
      <c r="AM35" s="183">
        <v>0.116306288129326</v>
      </c>
      <c r="AN35" s="183">
        <v>0.11176010569794594</v>
      </c>
      <c r="AO35" s="183">
        <v>0.10721392326656588</v>
      </c>
      <c r="AP35" s="183">
        <v>0.10266774083518583</v>
      </c>
      <c r="AQ35" s="183">
        <v>9.8121558403805778E-2</v>
      </c>
      <c r="AR35" s="183">
        <v>9.3575375972425698E-2</v>
      </c>
      <c r="AS35" s="183">
        <v>8.9029193541045645E-2</v>
      </c>
      <c r="AT35" s="183">
        <v>8.4483011109665593E-2</v>
      </c>
      <c r="AU35" s="183">
        <v>7.9936828678285513E-2</v>
      </c>
      <c r="AV35" s="183">
        <v>7.5390646246905474E-2</v>
      </c>
      <c r="AW35" s="183">
        <v>7.0844463815525408E-2</v>
      </c>
      <c r="AX35" s="183">
        <v>6.6298281384145341E-2</v>
      </c>
      <c r="AY35" s="183">
        <v>6.1752098952765302E-2</v>
      </c>
      <c r="AZ35" s="183">
        <v>5.7205916521385229E-2</v>
      </c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31"/>
    </row>
    <row r="36" spans="5:82">
      <c r="E36" s="191" t="s">
        <v>23</v>
      </c>
      <c r="F36" s="167"/>
      <c r="G36" s="174"/>
      <c r="I36" s="191" t="s">
        <v>23</v>
      </c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74"/>
      <c r="AE36" s="263"/>
      <c r="AF36" s="191" t="s">
        <v>23</v>
      </c>
      <c r="AG36" s="183">
        <v>0.12669130892429747</v>
      </c>
      <c r="AH36" s="183">
        <v>0.12062508113865601</v>
      </c>
      <c r="AI36" s="183">
        <v>0.11462420342706207</v>
      </c>
      <c r="AJ36" s="183">
        <v>0.11029628761108491</v>
      </c>
      <c r="AK36" s="183">
        <v>0.10659573250596403</v>
      </c>
      <c r="AL36" s="183">
        <v>0.10336569793398535</v>
      </c>
      <c r="AM36" s="183">
        <v>0.10107670442829113</v>
      </c>
      <c r="AN36" s="183">
        <v>9.9258231455739102E-2</v>
      </c>
      <c r="AO36" s="183">
        <v>9.7439758483187089E-2</v>
      </c>
      <c r="AP36" s="183">
        <v>9.5621285510635048E-2</v>
      </c>
      <c r="AQ36" s="183">
        <v>9.3802812538083036E-2</v>
      </c>
      <c r="AR36" s="183">
        <v>9.1984339565530995E-2</v>
      </c>
      <c r="AS36" s="183">
        <v>9.0165866592978969E-2</v>
      </c>
      <c r="AT36" s="183">
        <v>8.8347393620426956E-2</v>
      </c>
      <c r="AU36" s="183">
        <v>8.652892064787493E-2</v>
      </c>
      <c r="AV36" s="183">
        <v>8.4710447675322889E-2</v>
      </c>
      <c r="AW36" s="183">
        <v>8.289197470277089E-2</v>
      </c>
      <c r="AX36" s="183">
        <v>8.107350173021885E-2</v>
      </c>
      <c r="AY36" s="183">
        <v>7.9255028757666837E-2</v>
      </c>
      <c r="AZ36" s="183">
        <v>7.7436555785114825E-2</v>
      </c>
      <c r="BA36" s="183">
        <v>7.5618082812562784E-2</v>
      </c>
      <c r="BB36" s="183">
        <v>7.3799609840010758E-2</v>
      </c>
      <c r="BC36" s="183">
        <v>7.1981136867458759E-2</v>
      </c>
      <c r="BD36" s="183">
        <v>7.0162663894906718E-2</v>
      </c>
      <c r="BE36" s="183">
        <v>6.8344190922354692E-2</v>
      </c>
      <c r="BF36" s="183">
        <v>6.6525717949802679E-2</v>
      </c>
      <c r="BG36" s="183">
        <v>6.4707244977250652E-2</v>
      </c>
      <c r="BH36" s="183">
        <v>6.2888772004698626E-2</v>
      </c>
      <c r="BI36" s="183">
        <v>6.1070299032146606E-2</v>
      </c>
      <c r="BJ36" s="183">
        <v>5.9251826059594573E-2</v>
      </c>
      <c r="BK36" s="183">
        <v>5.7433353087042546E-2</v>
      </c>
      <c r="BL36" s="183">
        <v>5.5614880114490527E-2</v>
      </c>
      <c r="BM36" s="183">
        <v>5.37964071419385E-2</v>
      </c>
      <c r="BN36" s="183">
        <v>5.1977934169386487E-2</v>
      </c>
      <c r="BO36" s="183">
        <v>5.0159461196834454E-2</v>
      </c>
      <c r="BP36" s="183">
        <v>4.8340988224282434E-2</v>
      </c>
      <c r="BQ36" s="183">
        <v>4.6522515251730415E-2</v>
      </c>
      <c r="BR36" s="183">
        <v>4.4704042279178381E-2</v>
      </c>
      <c r="BS36" s="183">
        <v>4.2885569306626355E-2</v>
      </c>
      <c r="BT36" s="183">
        <v>4.1067096334074335E-2</v>
      </c>
      <c r="BU36" s="183">
        <v>3.9248623361522308E-2</v>
      </c>
      <c r="BV36" s="183">
        <v>3.7430150388970296E-2</v>
      </c>
      <c r="BW36" s="183">
        <v>3.5611677416418262E-2</v>
      </c>
      <c r="BX36" s="183">
        <v>3.3793204443866243E-2</v>
      </c>
      <c r="BY36" s="183">
        <v>3.1974731471314216E-2</v>
      </c>
      <c r="BZ36" s="183">
        <v>3.0156258498762193E-2</v>
      </c>
      <c r="CA36" s="183">
        <v>2.833778552621017E-2</v>
      </c>
      <c r="CB36" s="183">
        <v>2.6519312553658147E-2</v>
      </c>
      <c r="CC36" s="183">
        <v>2.470083958110612E-2</v>
      </c>
      <c r="CD36" s="66">
        <v>2.2882366608554097E-2</v>
      </c>
    </row>
    <row r="37" spans="5:82">
      <c r="E37" s="191" t="s">
        <v>24</v>
      </c>
      <c r="F37" s="167"/>
      <c r="G37" s="174"/>
      <c r="I37" s="191" t="s">
        <v>24</v>
      </c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74"/>
      <c r="AE37" s="263"/>
      <c r="AF37" s="191" t="s">
        <v>24</v>
      </c>
      <c r="AG37" s="354">
        <v>0.12669130892429747</v>
      </c>
      <c r="AH37" s="354">
        <v>0.12062508113865601</v>
      </c>
      <c r="AI37" s="354">
        <v>0.11462420342706207</v>
      </c>
      <c r="AJ37" s="354">
        <v>0.11029628761108491</v>
      </c>
      <c r="AK37" s="354">
        <v>0.10659573250596403</v>
      </c>
      <c r="AL37" s="354">
        <v>0.10336569793398535</v>
      </c>
      <c r="AM37" s="354">
        <v>0.10107670442829113</v>
      </c>
      <c r="AN37" s="354">
        <v>9.9258231455739102E-2</v>
      </c>
      <c r="AO37" s="354">
        <v>9.7439758483187089E-2</v>
      </c>
      <c r="AP37" s="354">
        <v>9.5621285510635048E-2</v>
      </c>
      <c r="AQ37" s="354">
        <v>9.3802812538083036E-2</v>
      </c>
      <c r="AR37" s="354">
        <v>9.1984339565530995E-2</v>
      </c>
      <c r="AS37" s="354">
        <v>9.0165866592978969E-2</v>
      </c>
      <c r="AT37" s="354">
        <v>8.8347393620426956E-2</v>
      </c>
      <c r="AU37" s="354">
        <v>8.652892064787493E-2</v>
      </c>
      <c r="AV37" s="354">
        <v>8.4710447675322889E-2</v>
      </c>
      <c r="AW37" s="354">
        <v>8.289197470277089E-2</v>
      </c>
      <c r="AX37" s="354">
        <v>8.107350173021885E-2</v>
      </c>
      <c r="AY37" s="354">
        <v>7.9255028757666837E-2</v>
      </c>
      <c r="AZ37" s="354">
        <v>7.7436555785114825E-2</v>
      </c>
      <c r="BA37" s="354">
        <v>7.5618082812562784E-2</v>
      </c>
      <c r="BB37" s="354">
        <v>7.3799609840010758E-2</v>
      </c>
      <c r="BC37" s="354">
        <v>7.1981136867458759E-2</v>
      </c>
      <c r="BD37" s="354">
        <v>7.0162663894906718E-2</v>
      </c>
      <c r="BE37" s="354">
        <v>6.8344190922354692E-2</v>
      </c>
      <c r="BF37" s="354">
        <v>6.6525717949802679E-2</v>
      </c>
      <c r="BG37" s="354">
        <v>6.4707244977250652E-2</v>
      </c>
      <c r="BH37" s="354">
        <v>6.2888772004698626E-2</v>
      </c>
      <c r="BI37" s="354">
        <v>6.1070299032146606E-2</v>
      </c>
      <c r="BJ37" s="354">
        <v>5.9251826059594573E-2</v>
      </c>
      <c r="BK37" s="354">
        <v>5.7433353087042546E-2</v>
      </c>
      <c r="BL37" s="354">
        <v>5.5614880114490527E-2</v>
      </c>
      <c r="BM37" s="354">
        <v>5.37964071419385E-2</v>
      </c>
      <c r="BN37" s="354">
        <v>5.1977934169386487E-2</v>
      </c>
      <c r="BO37" s="354">
        <v>5.0159461196834454E-2</v>
      </c>
      <c r="BP37" s="354">
        <v>4.8340988224282434E-2</v>
      </c>
      <c r="BQ37" s="354">
        <v>4.6522515251730415E-2</v>
      </c>
      <c r="BR37" s="354">
        <v>4.4704042279178381E-2</v>
      </c>
      <c r="BS37" s="354">
        <v>4.2885569306626355E-2</v>
      </c>
      <c r="BT37" s="354">
        <v>4.1067096334074335E-2</v>
      </c>
      <c r="BU37" s="354">
        <v>3.9248623361522308E-2</v>
      </c>
      <c r="BV37" s="354">
        <v>3.7430150388970296E-2</v>
      </c>
      <c r="BW37" s="354">
        <v>3.5611677416418262E-2</v>
      </c>
      <c r="BX37" s="354">
        <v>3.3793204443866243E-2</v>
      </c>
      <c r="BY37" s="354">
        <v>3.1974731471314216E-2</v>
      </c>
      <c r="BZ37" s="354">
        <v>3.0156258498762193E-2</v>
      </c>
      <c r="CA37" s="354">
        <v>2.833778552621017E-2</v>
      </c>
      <c r="CB37" s="354">
        <v>2.6519312553658147E-2</v>
      </c>
      <c r="CC37" s="354">
        <v>2.470083958110612E-2</v>
      </c>
      <c r="CD37" s="66">
        <v>2.2882366608554097E-2</v>
      </c>
    </row>
    <row r="38" spans="5:82">
      <c r="E38" s="202" t="s">
        <v>25</v>
      </c>
      <c r="F38" s="168"/>
      <c r="G38" s="203"/>
      <c r="I38" s="202" t="s">
        <v>25</v>
      </c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203"/>
      <c r="AE38" s="263"/>
      <c r="AF38" s="202" t="s">
        <v>25</v>
      </c>
      <c r="AG38" s="195">
        <v>0.12669130892429747</v>
      </c>
      <c r="AH38" s="195">
        <v>0.12062508113865601</v>
      </c>
      <c r="AI38" s="195">
        <v>0.11462420342706207</v>
      </c>
      <c r="AJ38" s="195">
        <v>0.11029628761108491</v>
      </c>
      <c r="AK38" s="195">
        <v>0.10659573250596403</v>
      </c>
      <c r="AL38" s="195">
        <v>0.10336569793398535</v>
      </c>
      <c r="AM38" s="195">
        <v>0.10107670442829113</v>
      </c>
      <c r="AN38" s="195">
        <v>9.9258231455739102E-2</v>
      </c>
      <c r="AO38" s="195">
        <v>9.7439758483187089E-2</v>
      </c>
      <c r="AP38" s="195">
        <v>9.5621285510635048E-2</v>
      </c>
      <c r="AQ38" s="195">
        <v>9.3802812538083036E-2</v>
      </c>
      <c r="AR38" s="195">
        <v>9.1984339565530995E-2</v>
      </c>
      <c r="AS38" s="195">
        <v>9.0165866592978969E-2</v>
      </c>
      <c r="AT38" s="195">
        <v>8.8347393620426956E-2</v>
      </c>
      <c r="AU38" s="195">
        <v>8.652892064787493E-2</v>
      </c>
      <c r="AV38" s="195">
        <v>8.4710447675322889E-2</v>
      </c>
      <c r="AW38" s="195">
        <v>8.289197470277089E-2</v>
      </c>
      <c r="AX38" s="195">
        <v>8.107350173021885E-2</v>
      </c>
      <c r="AY38" s="195">
        <v>7.9255028757666837E-2</v>
      </c>
      <c r="AZ38" s="195">
        <v>7.7436555785114825E-2</v>
      </c>
      <c r="BA38" s="195">
        <v>7.5618082812562784E-2</v>
      </c>
      <c r="BB38" s="195">
        <v>7.3799609840010758E-2</v>
      </c>
      <c r="BC38" s="195">
        <v>7.1981136867458759E-2</v>
      </c>
      <c r="BD38" s="195">
        <v>7.0162663894906718E-2</v>
      </c>
      <c r="BE38" s="195">
        <v>6.8344190922354692E-2</v>
      </c>
      <c r="BF38" s="195">
        <v>6.6525717949802679E-2</v>
      </c>
      <c r="BG38" s="195">
        <v>6.4707244977250652E-2</v>
      </c>
      <c r="BH38" s="195">
        <v>6.2888772004698626E-2</v>
      </c>
      <c r="BI38" s="195">
        <v>6.1070299032146606E-2</v>
      </c>
      <c r="BJ38" s="195">
        <v>5.9251826059594573E-2</v>
      </c>
      <c r="BK38" s="195">
        <v>5.7433353087042546E-2</v>
      </c>
      <c r="BL38" s="195">
        <v>5.5614880114490527E-2</v>
      </c>
      <c r="BM38" s="195">
        <v>5.37964071419385E-2</v>
      </c>
      <c r="BN38" s="195">
        <v>5.1977934169386487E-2</v>
      </c>
      <c r="BO38" s="195">
        <v>5.0159461196834454E-2</v>
      </c>
      <c r="BP38" s="195">
        <v>4.8340988224282434E-2</v>
      </c>
      <c r="BQ38" s="195">
        <v>4.6522515251730415E-2</v>
      </c>
      <c r="BR38" s="195">
        <v>4.4704042279178381E-2</v>
      </c>
      <c r="BS38" s="195">
        <v>4.2885569306626355E-2</v>
      </c>
      <c r="BT38" s="195">
        <v>4.1067096334074335E-2</v>
      </c>
      <c r="BU38" s="195">
        <v>3.9248623361522308E-2</v>
      </c>
      <c r="BV38" s="195">
        <v>3.7430150388970296E-2</v>
      </c>
      <c r="BW38" s="195">
        <v>3.5611677416418262E-2</v>
      </c>
      <c r="BX38" s="195">
        <v>3.3793204443866243E-2</v>
      </c>
      <c r="BY38" s="195">
        <v>3.1974731471314216E-2</v>
      </c>
      <c r="BZ38" s="195">
        <v>3.0156258498762193E-2</v>
      </c>
      <c r="CA38" s="195">
        <v>2.833778552621017E-2</v>
      </c>
      <c r="CB38" s="195">
        <v>2.6519312553658147E-2</v>
      </c>
      <c r="CC38" s="195">
        <v>2.470083958110612E-2</v>
      </c>
      <c r="CD38" s="205">
        <v>2.2882366608554097E-2</v>
      </c>
    </row>
    <row r="39" spans="5:82">
      <c r="E39" s="192" t="s">
        <v>26</v>
      </c>
      <c r="F39" s="167"/>
      <c r="G39" s="174"/>
      <c r="I39" s="192" t="s">
        <v>26</v>
      </c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74"/>
      <c r="AE39" s="263"/>
      <c r="AF39" s="192" t="s">
        <v>26</v>
      </c>
      <c r="AG39" s="183">
        <v>0.15754130405060052</v>
      </c>
      <c r="AH39" s="183">
        <v>0.15208512183810863</v>
      </c>
      <c r="AI39" s="183">
        <v>0.14634754989501203</v>
      </c>
      <c r="AJ39" s="183">
        <v>0.14071002122703821</v>
      </c>
      <c r="AK39" s="183">
        <v>0.13516503979628169</v>
      </c>
      <c r="AL39" s="183">
        <v>0.12970578228618757</v>
      </c>
      <c r="AM39" s="183">
        <v>0.1243258097924011</v>
      </c>
      <c r="AN39" s="183">
        <v>0.11901916392581791</v>
      </c>
      <c r="AO39" s="183">
        <v>0.11375374626771474</v>
      </c>
      <c r="AP39" s="183">
        <v>0.10849428699871594</v>
      </c>
      <c r="AQ39" s="183">
        <v>0.10323482772971711</v>
      </c>
      <c r="AR39" s="183">
        <v>9.7975368460718262E-2</v>
      </c>
      <c r="AS39" s="183">
        <v>9.2715909191719431E-2</v>
      </c>
      <c r="AT39" s="183">
        <v>8.74564499227206E-2</v>
      </c>
      <c r="AU39" s="183">
        <v>8.2196990653721783E-2</v>
      </c>
      <c r="AV39" s="183">
        <v>7.6937531384722938E-2</v>
      </c>
      <c r="AW39" s="183">
        <v>7.1678072115724106E-2</v>
      </c>
      <c r="AX39" s="183">
        <v>6.6418612846725275E-2</v>
      </c>
      <c r="AY39" s="183">
        <v>6.1159153577726423E-2</v>
      </c>
      <c r="AZ39" s="183">
        <v>5.5899694308727599E-2</v>
      </c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31"/>
    </row>
    <row r="40" spans="5:82">
      <c r="E40" s="192" t="s">
        <v>27</v>
      </c>
      <c r="F40" s="167"/>
      <c r="G40" s="174"/>
      <c r="I40" s="192" t="s">
        <v>27</v>
      </c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74"/>
      <c r="AE40" s="263"/>
      <c r="AF40" s="192" t="s">
        <v>27</v>
      </c>
      <c r="AG40" s="354">
        <v>0.15754130405060052</v>
      </c>
      <c r="AH40" s="354">
        <v>0.15208512183810863</v>
      </c>
      <c r="AI40" s="354">
        <v>0.14634754989501203</v>
      </c>
      <c r="AJ40" s="354">
        <v>0.14071002122703821</v>
      </c>
      <c r="AK40" s="354">
        <v>0.13516503979628169</v>
      </c>
      <c r="AL40" s="354">
        <v>0.12970578228618757</v>
      </c>
      <c r="AM40" s="354">
        <v>0.1243258097924011</v>
      </c>
      <c r="AN40" s="354">
        <v>0.11901916392581791</v>
      </c>
      <c r="AO40" s="354">
        <v>0.11375374626771474</v>
      </c>
      <c r="AP40" s="354">
        <v>0.10849428699871594</v>
      </c>
      <c r="AQ40" s="354">
        <v>0.10323482772971711</v>
      </c>
      <c r="AR40" s="354">
        <v>9.7975368460718262E-2</v>
      </c>
      <c r="AS40" s="354">
        <v>9.2715909191719431E-2</v>
      </c>
      <c r="AT40" s="354">
        <v>8.74564499227206E-2</v>
      </c>
      <c r="AU40" s="354">
        <v>8.2196990653721783E-2</v>
      </c>
      <c r="AV40" s="354">
        <v>7.6937531384722938E-2</v>
      </c>
      <c r="AW40" s="354">
        <v>7.1678072115724106E-2</v>
      </c>
      <c r="AX40" s="354">
        <v>6.6418612846725275E-2</v>
      </c>
      <c r="AY40" s="354">
        <v>6.1159153577726423E-2</v>
      </c>
      <c r="AZ40" s="354">
        <v>5.5899694308727599E-2</v>
      </c>
      <c r="BA40" s="263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31"/>
    </row>
    <row r="41" spans="5:82" s="263" customFormat="1" ht="15.75" thickBot="1">
      <c r="E41" s="193" t="s">
        <v>28</v>
      </c>
      <c r="F41" s="181"/>
      <c r="G41" s="182"/>
      <c r="I41" s="193" t="s">
        <v>28</v>
      </c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2"/>
      <c r="AF41" s="193" t="s">
        <v>28</v>
      </c>
      <c r="AG41" s="185">
        <v>0.15754130405060052</v>
      </c>
      <c r="AH41" s="185">
        <v>0.15208512183810863</v>
      </c>
      <c r="AI41" s="185">
        <v>0.14634754989501203</v>
      </c>
      <c r="AJ41" s="185">
        <v>0.14071002122703821</v>
      </c>
      <c r="AK41" s="185">
        <v>0.13516503979628169</v>
      </c>
      <c r="AL41" s="185">
        <v>0.12970578228618757</v>
      </c>
      <c r="AM41" s="185">
        <v>0.1243258097924011</v>
      </c>
      <c r="AN41" s="185">
        <v>0.11901916392581791</v>
      </c>
      <c r="AO41" s="185">
        <v>0.11375374626771474</v>
      </c>
      <c r="AP41" s="185">
        <v>0.10849428699871594</v>
      </c>
      <c r="AQ41" s="185">
        <v>0.10323482772971711</v>
      </c>
      <c r="AR41" s="185">
        <v>9.7975368460718262E-2</v>
      </c>
      <c r="AS41" s="185">
        <v>9.2715909191719431E-2</v>
      </c>
      <c r="AT41" s="185">
        <v>8.74564499227206E-2</v>
      </c>
      <c r="AU41" s="185">
        <v>8.2196990653721783E-2</v>
      </c>
      <c r="AV41" s="185">
        <v>7.6937531384722938E-2</v>
      </c>
      <c r="AW41" s="185">
        <v>7.1678072115724106E-2</v>
      </c>
      <c r="AX41" s="185">
        <v>6.6418612846725275E-2</v>
      </c>
      <c r="AY41" s="185">
        <v>6.1159153577726423E-2</v>
      </c>
      <c r="AZ41" s="185">
        <v>5.5899694308727599E-2</v>
      </c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64"/>
    </row>
    <row r="42" spans="5:82">
      <c r="L42" s="118"/>
      <c r="M42" s="118"/>
      <c r="N42" s="118"/>
      <c r="O42" s="118"/>
    </row>
    <row r="43" spans="5:82">
      <c r="L43" s="118"/>
      <c r="M43" s="118"/>
      <c r="N43" s="118"/>
      <c r="O43" s="118"/>
      <c r="AE43" s="433" t="s">
        <v>301</v>
      </c>
      <c r="AF43" s="433" t="s">
        <v>109</v>
      </c>
      <c r="AG43" s="263"/>
      <c r="AH43" s="263"/>
      <c r="AI43" s="263"/>
      <c r="AJ43" s="263"/>
      <c r="AK43" s="263"/>
      <c r="AL43" s="263"/>
      <c r="AM43" s="263"/>
      <c r="AN43" s="263"/>
      <c r="AO43" s="263"/>
      <c r="AP43" s="263"/>
      <c r="AQ43" s="263"/>
      <c r="AR43" s="263"/>
      <c r="AS43" s="263"/>
      <c r="AT43" s="263"/>
      <c r="AU43" s="263"/>
      <c r="AV43" s="263"/>
      <c r="AW43" s="263"/>
      <c r="AX43" s="263"/>
      <c r="AY43" s="263"/>
      <c r="AZ43" s="263"/>
      <c r="BA43" s="263"/>
    </row>
    <row r="44" spans="5:82">
      <c r="L44" s="118"/>
      <c r="M44" s="118"/>
      <c r="N44" s="118"/>
      <c r="O44" s="118"/>
      <c r="AD44" s="478" t="s">
        <v>289</v>
      </c>
      <c r="AE44" s="433">
        <v>2026</v>
      </c>
      <c r="AF44" s="433" t="s">
        <v>290</v>
      </c>
      <c r="AG44" s="434">
        <v>0.15754130405060052</v>
      </c>
      <c r="AH44" s="434">
        <v>0.15208512183810863</v>
      </c>
      <c r="AI44" s="434">
        <v>0.14634754989501203</v>
      </c>
      <c r="AJ44" s="434">
        <v>0.14071002122703821</v>
      </c>
      <c r="AK44" s="434">
        <v>0.13516503979628169</v>
      </c>
      <c r="AL44" s="434">
        <v>0.12970578228618757</v>
      </c>
      <c r="AM44" s="434">
        <v>0.1243258097924011</v>
      </c>
      <c r="AN44" s="434">
        <v>0.11901916392581791</v>
      </c>
      <c r="AO44" s="434">
        <v>0.11375374626771474</v>
      </c>
      <c r="AP44" s="434">
        <v>0.10849428699871594</v>
      </c>
      <c r="AQ44" s="434">
        <v>0.10323482772971711</v>
      </c>
      <c r="AR44" s="434">
        <v>9.7975368460718262E-2</v>
      </c>
      <c r="AS44" s="434">
        <v>9.2715909191719431E-2</v>
      </c>
      <c r="AT44" s="434">
        <v>8.74564499227206E-2</v>
      </c>
      <c r="AU44" s="434">
        <v>8.2196990653721783E-2</v>
      </c>
      <c r="AV44" s="434">
        <v>7.6937531384722938E-2</v>
      </c>
      <c r="AW44" s="434">
        <v>7.1678072115724106E-2</v>
      </c>
      <c r="AX44" s="434">
        <v>6.6418612846725275E-2</v>
      </c>
      <c r="AY44" s="434">
        <v>6.1159153577726423E-2</v>
      </c>
      <c r="AZ44" s="434">
        <v>5.5899694308727599E-2</v>
      </c>
      <c r="BA44" s="434"/>
    </row>
    <row r="45" spans="5:82">
      <c r="AD45" s="478"/>
      <c r="AE45" s="433">
        <v>2027</v>
      </c>
      <c r="AF45" s="433" t="s">
        <v>291</v>
      </c>
      <c r="AG45" s="434">
        <v>0.16020659475317311</v>
      </c>
      <c r="AH45" s="434">
        <v>0.15451872686403512</v>
      </c>
      <c r="AI45" s="434">
        <v>0.14854946924429246</v>
      </c>
      <c r="AJ45" s="434">
        <v>0.14268025489967265</v>
      </c>
      <c r="AK45" s="434">
        <v>0.13690358779227005</v>
      </c>
      <c r="AL45" s="434">
        <v>0.13121264460552984</v>
      </c>
      <c r="AM45" s="434">
        <v>0.12560098643509729</v>
      </c>
      <c r="AN45" s="434">
        <v>0.12006265489186808</v>
      </c>
      <c r="AO45" s="434">
        <v>0.11456555155711884</v>
      </c>
      <c r="AP45" s="434">
        <v>0.10907440661147394</v>
      </c>
      <c r="AQ45" s="434">
        <v>0.10358326166582905</v>
      </c>
      <c r="AR45" s="434">
        <v>9.8092116720184155E-2</v>
      </c>
      <c r="AS45" s="434">
        <v>9.2600971774539242E-2</v>
      </c>
      <c r="AT45" s="434">
        <v>8.7109826828894371E-2</v>
      </c>
      <c r="AU45" s="434">
        <v>8.1618681883249444E-2</v>
      </c>
      <c r="AV45" s="434">
        <v>7.6127536937604559E-2</v>
      </c>
      <c r="AW45" s="434">
        <v>7.063639199195966E-2</v>
      </c>
      <c r="AX45" s="434">
        <v>6.5145247046314775E-2</v>
      </c>
      <c r="AY45" s="434">
        <v>5.9654102100669855E-2</v>
      </c>
      <c r="AZ45" s="434">
        <v>8.5714310357342164E-4</v>
      </c>
      <c r="BA45" s="434"/>
    </row>
    <row r="46" spans="5:82">
      <c r="AD46" s="478"/>
      <c r="AE46" s="433">
        <f>AE45+1</f>
        <v>2028</v>
      </c>
      <c r="AF46" s="433" t="s">
        <v>292</v>
      </c>
      <c r="AG46" s="434">
        <v>0.16316802886714263</v>
      </c>
      <c r="AH46" s="434">
        <v>0.15722273244839796</v>
      </c>
      <c r="AI46" s="434">
        <v>0.15099604629904856</v>
      </c>
      <c r="AJ46" s="434">
        <v>0.14486940342482194</v>
      </c>
      <c r="AK46" s="434">
        <v>0.13883530778781267</v>
      </c>
      <c r="AL46" s="434">
        <v>0.13288693607146573</v>
      </c>
      <c r="AM46" s="434">
        <v>0.12701784937142643</v>
      </c>
      <c r="AN46" s="434">
        <v>0.12122208929859048</v>
      </c>
      <c r="AO46" s="434">
        <v>0.11546755743423452</v>
      </c>
      <c r="AP46" s="434">
        <v>0.10971898395898287</v>
      </c>
      <c r="AQ46" s="434">
        <v>0.10397041048373123</v>
      </c>
      <c r="AR46" s="434">
        <v>9.8221837008479598E-2</v>
      </c>
      <c r="AS46" s="434">
        <v>9.2473263533227962E-2</v>
      </c>
      <c r="AT46" s="434">
        <v>8.6724690057976325E-2</v>
      </c>
      <c r="AU46" s="434">
        <v>8.0976116582724703E-2</v>
      </c>
      <c r="AV46" s="434">
        <v>7.5227543107473038E-2</v>
      </c>
      <c r="AW46" s="434">
        <v>6.9478969632221416E-2</v>
      </c>
      <c r="AX46" s="434">
        <v>6.3730396156969765E-2</v>
      </c>
      <c r="AY46" s="434">
        <v>1.7145745162970658E-3</v>
      </c>
      <c r="AZ46" s="434">
        <v>8.5714310357344582E-4</v>
      </c>
      <c r="BA46" s="434"/>
    </row>
    <row r="47" spans="5:82">
      <c r="AD47" s="478"/>
      <c r="AE47" s="433">
        <f t="shared" ref="AE47:AE53" si="2">AE46+1</f>
        <v>2029</v>
      </c>
      <c r="AF47" s="433" t="s">
        <v>293</v>
      </c>
      <c r="AG47" s="434">
        <v>0.16647786699452038</v>
      </c>
      <c r="AH47" s="434">
        <v>0.16024485633680338</v>
      </c>
      <c r="AI47" s="434">
        <v>0.15373045594848178</v>
      </c>
      <c r="AJ47" s="434">
        <v>0.14731609883528293</v>
      </c>
      <c r="AK47" s="434">
        <v>0.14099428895930136</v>
      </c>
      <c r="AL47" s="434">
        <v>0.13475820300398222</v>
      </c>
      <c r="AM47" s="434">
        <v>0.12860140206497067</v>
      </c>
      <c r="AN47" s="434">
        <v>0.12251792775316252</v>
      </c>
      <c r="AO47" s="434">
        <v>0.11647568164983428</v>
      </c>
      <c r="AP47" s="434">
        <v>0.11043939393561041</v>
      </c>
      <c r="AQ47" s="434">
        <v>0.10440310622138656</v>
      </c>
      <c r="AR47" s="434">
        <v>9.8366818507162682E-2</v>
      </c>
      <c r="AS47" s="434">
        <v>9.2330530792938792E-2</v>
      </c>
      <c r="AT47" s="434">
        <v>8.629424307871493E-2</v>
      </c>
      <c r="AU47" s="434">
        <v>8.0257955364491054E-2</v>
      </c>
      <c r="AV47" s="434">
        <v>7.4221667650267165E-2</v>
      </c>
      <c r="AW47" s="434">
        <v>6.8185379936043303E-2</v>
      </c>
      <c r="AX47" s="434">
        <v>2.5720059290206512E-3</v>
      </c>
      <c r="AY47" s="434">
        <v>1.7145745162970322E-3</v>
      </c>
      <c r="AZ47" s="434">
        <v>8.5714310357341242E-4</v>
      </c>
      <c r="BA47" s="434"/>
    </row>
    <row r="48" spans="5:82">
      <c r="AD48" s="478"/>
      <c r="AE48" s="433">
        <f t="shared" si="2"/>
        <v>2030</v>
      </c>
      <c r="AF48" s="433" t="s">
        <v>294</v>
      </c>
      <c r="AG48" s="434">
        <v>0.17020143488782025</v>
      </c>
      <c r="AH48" s="434">
        <v>0.16364474571125953</v>
      </c>
      <c r="AI48" s="434">
        <v>0.15680666680409416</v>
      </c>
      <c r="AJ48" s="434">
        <v>0.1500686311720516</v>
      </c>
      <c r="AK48" s="434">
        <v>0.14342314277722623</v>
      </c>
      <c r="AL48" s="434">
        <v>0.13686337830306328</v>
      </c>
      <c r="AM48" s="434">
        <v>0.13038289884520801</v>
      </c>
      <c r="AN48" s="434">
        <v>0.12397574601455603</v>
      </c>
      <c r="AO48" s="434">
        <v>0.11760982139238409</v>
      </c>
      <c r="AP48" s="434">
        <v>0.11124985515931643</v>
      </c>
      <c r="AQ48" s="434">
        <v>0.1048898889262488</v>
      </c>
      <c r="AR48" s="434">
        <v>9.8529922693181171E-2</v>
      </c>
      <c r="AS48" s="434">
        <v>9.2169956460113542E-2</v>
      </c>
      <c r="AT48" s="434">
        <v>8.5809990227045899E-2</v>
      </c>
      <c r="AU48" s="434">
        <v>7.9450023993978255E-2</v>
      </c>
      <c r="AV48" s="434">
        <v>7.3090057760910626E-2</v>
      </c>
      <c r="AW48" s="434">
        <v>3.4294373417442683E-3</v>
      </c>
      <c r="AX48" s="434">
        <v>2.5720059290206491E-3</v>
      </c>
      <c r="AY48" s="434">
        <v>1.7145745162970292E-3</v>
      </c>
      <c r="AZ48" s="434">
        <v>8.571431035734095E-4</v>
      </c>
      <c r="BA48" s="434"/>
    </row>
    <row r="49" spans="30:53">
      <c r="AD49" s="478"/>
      <c r="AE49" s="433">
        <f t="shared" si="2"/>
        <v>2031</v>
      </c>
      <c r="AF49" s="433" t="s">
        <v>295</v>
      </c>
      <c r="AG49" s="434">
        <v>0.17340893676469038</v>
      </c>
      <c r="AH49" s="434">
        <v>0.16381307442014648</v>
      </c>
      <c r="AI49" s="434">
        <v>0.1539090095940284</v>
      </c>
      <c r="AJ49" s="434">
        <v>0.14515770085349872</v>
      </c>
      <c r="AK49" s="434">
        <v>0.13722980304596788</v>
      </c>
      <c r="AL49" s="434">
        <v>0.12964499312718661</v>
      </c>
      <c r="AM49" s="434">
        <v>0.12206018320840535</v>
      </c>
      <c r="AN49" s="434">
        <v>0.11490437730513607</v>
      </c>
      <c r="AO49" s="434">
        <v>0.10860629112374065</v>
      </c>
      <c r="AP49" s="434">
        <v>0.10273692064870701</v>
      </c>
      <c r="AQ49" s="434">
        <v>9.6867550173673406E-2</v>
      </c>
      <c r="AR49" s="434">
        <v>9.0998179698639797E-2</v>
      </c>
      <c r="AS49" s="434">
        <v>8.5128809223606161E-2</v>
      </c>
      <c r="AT49" s="434">
        <v>7.9259438748572567E-2</v>
      </c>
      <c r="AU49" s="434">
        <v>7.339006827353893E-2</v>
      </c>
      <c r="AV49" s="434"/>
      <c r="AW49" s="434"/>
      <c r="AX49" s="434"/>
      <c r="AY49" s="434"/>
      <c r="AZ49" s="434"/>
      <c r="BA49" s="434"/>
    </row>
    <row r="50" spans="30:53">
      <c r="AD50" s="478"/>
      <c r="AE50" s="433">
        <f t="shared" si="2"/>
        <v>2032</v>
      </c>
      <c r="AF50" s="433" t="s">
        <v>296</v>
      </c>
      <c r="AG50" s="434">
        <v>0.17823184375029794</v>
      </c>
      <c r="AH50" s="434">
        <v>0.16821674065753728</v>
      </c>
      <c r="AI50" s="434">
        <v>0.15789343508320253</v>
      </c>
      <c r="AJ50" s="434">
        <v>0.14872288559445615</v>
      </c>
      <c r="AK50" s="434">
        <v>0.14037574703870864</v>
      </c>
      <c r="AL50" s="434">
        <v>0.13237169637171067</v>
      </c>
      <c r="AM50" s="434">
        <v>0.12436764570471272</v>
      </c>
      <c r="AN50" s="434">
        <v>0.11679259905322679</v>
      </c>
      <c r="AO50" s="434">
        <v>0.11007527212361466</v>
      </c>
      <c r="AP50" s="434">
        <v>0.10378666090036438</v>
      </c>
      <c r="AQ50" s="434">
        <v>9.7498049677114076E-2</v>
      </c>
      <c r="AR50" s="434">
        <v>9.1209438453863756E-2</v>
      </c>
      <c r="AS50" s="434">
        <v>8.4920827230613449E-2</v>
      </c>
      <c r="AT50" s="434">
        <v>7.8632216007363157E-2</v>
      </c>
      <c r="AU50" s="434"/>
      <c r="AV50" s="434"/>
      <c r="AW50" s="434"/>
      <c r="AX50" s="434"/>
      <c r="AY50" s="434"/>
      <c r="AZ50" s="434"/>
      <c r="BA50" s="434"/>
    </row>
    <row r="51" spans="30:53">
      <c r="AD51" s="478"/>
      <c r="AE51" s="433">
        <f t="shared" si="2"/>
        <v>2033</v>
      </c>
      <c r="AF51" s="433" t="s">
        <v>297</v>
      </c>
      <c r="AG51" s="434">
        <v>0.18379673642599895</v>
      </c>
      <c r="AH51" s="434">
        <v>0.17329789400837287</v>
      </c>
      <c r="AI51" s="434">
        <v>0.16249084910917269</v>
      </c>
      <c r="AJ51" s="434">
        <v>0.15283656029556092</v>
      </c>
      <c r="AK51" s="434">
        <v>0.14400568241494804</v>
      </c>
      <c r="AL51" s="434">
        <v>0.13551789242308465</v>
      </c>
      <c r="AM51" s="434">
        <v>0.12703010243122126</v>
      </c>
      <c r="AN51" s="434">
        <v>0.1189713164548699</v>
      </c>
      <c r="AO51" s="434">
        <v>0.11177025020039237</v>
      </c>
      <c r="AP51" s="434">
        <v>0.10499789965227667</v>
      </c>
      <c r="AQ51" s="434">
        <v>9.8225549104160967E-2</v>
      </c>
      <c r="AR51" s="434">
        <v>9.1453198556045251E-2</v>
      </c>
      <c r="AS51" s="434">
        <v>8.4680848007929535E-2</v>
      </c>
      <c r="AT51" s="434"/>
      <c r="AU51" s="434"/>
      <c r="AV51" s="434"/>
      <c r="AW51" s="434"/>
      <c r="AX51" s="434"/>
      <c r="AY51" s="434"/>
      <c r="AZ51" s="434"/>
      <c r="BA51" s="434"/>
    </row>
    <row r="52" spans="30:53">
      <c r="AD52" s="478"/>
      <c r="AE52" s="433">
        <f t="shared" si="2"/>
        <v>2034</v>
      </c>
      <c r="AF52" s="433" t="s">
        <v>298</v>
      </c>
      <c r="AG52" s="434">
        <v>0.19028911121431671</v>
      </c>
      <c r="AH52" s="434">
        <v>0.17922590625101439</v>
      </c>
      <c r="AI52" s="434">
        <v>0.16785449880613787</v>
      </c>
      <c r="AJ52" s="434">
        <v>0.15763584744684978</v>
      </c>
      <c r="AK52" s="434">
        <v>0.14824060702056058</v>
      </c>
      <c r="AL52" s="434">
        <v>0.13918845448302086</v>
      </c>
      <c r="AM52" s="434">
        <v>0.1301363019454812</v>
      </c>
      <c r="AN52" s="434">
        <v>0.12151315342345353</v>
      </c>
      <c r="AO52" s="434">
        <v>0.11374772462329971</v>
      </c>
      <c r="AP52" s="434">
        <v>0.10641101152950769</v>
      </c>
      <c r="AQ52" s="434">
        <v>9.9074298435715663E-2</v>
      </c>
      <c r="AR52" s="434">
        <v>9.1737585341923639E-2</v>
      </c>
      <c r="AS52" s="434"/>
      <c r="AT52" s="434"/>
      <c r="AU52" s="434"/>
      <c r="AV52" s="434"/>
      <c r="AW52" s="434"/>
      <c r="AX52" s="434"/>
      <c r="AY52" s="434"/>
      <c r="AZ52" s="434"/>
      <c r="BA52" s="434"/>
    </row>
    <row r="53" spans="30:53">
      <c r="AD53" s="478"/>
      <c r="AE53" s="433">
        <f t="shared" si="2"/>
        <v>2035</v>
      </c>
      <c r="AF53" s="433" t="s">
        <v>299</v>
      </c>
      <c r="AG53" s="434">
        <v>0.19796191778232866</v>
      </c>
      <c r="AH53" s="434">
        <v>0.1862317389014089</v>
      </c>
      <c r="AI53" s="434">
        <v>0.17419335753891491</v>
      </c>
      <c r="AJ53" s="434">
        <v>0.1633077322620094</v>
      </c>
      <c r="AK53" s="434">
        <v>0.1532455179181027</v>
      </c>
      <c r="AL53" s="434">
        <v>0.14352639146294557</v>
      </c>
      <c r="AM53" s="434">
        <v>0.13380726500778845</v>
      </c>
      <c r="AN53" s="434">
        <v>0.12451714256814334</v>
      </c>
      <c r="AO53" s="434">
        <v>0.11608473985037202</v>
      </c>
      <c r="AP53" s="434">
        <v>0.10808105283896252</v>
      </c>
      <c r="AQ53" s="434">
        <v>0.10007736582755304</v>
      </c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</row>
    <row r="54" spans="30:53">
      <c r="AD54" s="478"/>
      <c r="AE54" s="433">
        <v>2036</v>
      </c>
      <c r="AF54" s="433" t="s">
        <v>300</v>
      </c>
      <c r="AG54" s="434">
        <v>0.20716928566394308</v>
      </c>
      <c r="AH54" s="434">
        <v>0.19463873808188231</v>
      </c>
      <c r="AI54" s="434">
        <v>0.18179998801824743</v>
      </c>
      <c r="AJ54" s="434">
        <v>0.17011399404020089</v>
      </c>
      <c r="AK54" s="434">
        <v>0.15925141099515325</v>
      </c>
      <c r="AL54" s="434">
        <v>0.1487319158388552</v>
      </c>
      <c r="AM54" s="434">
        <v>0.1382124206825571</v>
      </c>
      <c r="AN54" s="434">
        <v>0.12812192954177101</v>
      </c>
      <c r="AO54" s="434">
        <v>0.11888915812285879</v>
      </c>
      <c r="AP54" s="434">
        <v>0.11008510241030837</v>
      </c>
      <c r="AQ54" s="434"/>
      <c r="AR54" s="434"/>
      <c r="AS54" s="434"/>
      <c r="AT54" s="434"/>
      <c r="AU54" s="434"/>
      <c r="AV54" s="434"/>
      <c r="AW54" s="434"/>
      <c r="AX54" s="434"/>
      <c r="AY54" s="434"/>
      <c r="AZ54" s="434"/>
      <c r="BA54" s="434"/>
    </row>
    <row r="55" spans="30:53">
      <c r="AG55" s="263"/>
      <c r="AH55" s="263"/>
      <c r="AI55" s="263"/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/>
      <c r="AZ55" s="263"/>
    </row>
  </sheetData>
  <mergeCells count="3">
    <mergeCell ref="AG1:CD1"/>
    <mergeCell ref="J1:AD1"/>
    <mergeCell ref="AD44:AD54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20726-EB08-406F-81A8-864FB5058D08}">
  <sheetPr codeName="Sheet5"/>
  <dimension ref="A1:R41"/>
  <sheetViews>
    <sheetView zoomScale="85" zoomScaleNormal="85" workbookViewId="0"/>
  </sheetViews>
  <sheetFormatPr defaultRowHeight="15"/>
  <cols>
    <col min="1" max="1" width="9.140625" style="95"/>
    <col min="2" max="2" width="65.140625" bestFit="1" customWidth="1"/>
    <col min="3" max="3" width="7.7109375" bestFit="1" customWidth="1"/>
    <col min="4" max="4" width="16" style="262" bestFit="1" customWidth="1"/>
    <col min="5" max="18" width="7.140625" customWidth="1"/>
  </cols>
  <sheetData>
    <row r="1" spans="1:18" ht="15.75" thickBot="1">
      <c r="E1" s="479" t="s">
        <v>152</v>
      </c>
      <c r="F1" s="480"/>
      <c r="G1" s="480"/>
      <c r="H1" s="480"/>
      <c r="I1" s="480"/>
      <c r="J1" s="480"/>
      <c r="K1" s="481"/>
      <c r="L1" s="480" t="s">
        <v>153</v>
      </c>
      <c r="M1" s="480"/>
      <c r="N1" s="480"/>
      <c r="O1" s="480"/>
      <c r="P1" s="480"/>
      <c r="Q1" s="480"/>
      <c r="R1" s="481"/>
    </row>
    <row r="2" spans="1:18">
      <c r="B2" s="170" t="s">
        <v>29</v>
      </c>
      <c r="C2" s="293" t="s">
        <v>81</v>
      </c>
      <c r="D2" s="221" t="s">
        <v>178</v>
      </c>
      <c r="E2" s="220">
        <v>1</v>
      </c>
      <c r="F2" s="222">
        <v>2</v>
      </c>
      <c r="G2" s="222">
        <v>3</v>
      </c>
      <c r="H2" s="222">
        <v>4</v>
      </c>
      <c r="I2" s="222">
        <v>5</v>
      </c>
      <c r="J2" s="222">
        <v>6</v>
      </c>
      <c r="K2" s="223" t="s">
        <v>71</v>
      </c>
      <c r="L2" s="220">
        <v>1</v>
      </c>
      <c r="M2" s="222">
        <v>2</v>
      </c>
      <c r="N2" s="222">
        <v>3</v>
      </c>
      <c r="O2" s="222">
        <v>4</v>
      </c>
      <c r="P2" s="222">
        <v>5</v>
      </c>
      <c r="Q2" s="222">
        <v>6</v>
      </c>
      <c r="R2" s="223" t="s">
        <v>70</v>
      </c>
    </row>
    <row r="3" spans="1:18">
      <c r="A3" s="263"/>
      <c r="B3" s="173" t="s">
        <v>0</v>
      </c>
      <c r="C3" s="303">
        <f>$R3/1</f>
        <v>5.8590000000000017E-2</v>
      </c>
      <c r="D3" s="218"/>
      <c r="E3" s="214">
        <v>0</v>
      </c>
      <c r="F3" s="167">
        <v>0</v>
      </c>
      <c r="G3" s="167">
        <v>0</v>
      </c>
      <c r="H3" s="167">
        <v>0.05</v>
      </c>
      <c r="I3" s="167">
        <v>0.15</v>
      </c>
      <c r="J3" s="167">
        <v>0.8</v>
      </c>
      <c r="K3" s="224">
        <f>SUM(E3:J3)</f>
        <v>1</v>
      </c>
      <c r="L3" s="294">
        <f t="shared" ref="L3:L41" si="0">(E3*(Discount_Rate*0.65))</f>
        <v>0</v>
      </c>
      <c r="M3" s="295">
        <f>(SUM($E3:E3)*Discount_Rate)+(F3*(Discount_Rate*0.65))</f>
        <v>0</v>
      </c>
      <c r="N3" s="295">
        <f>(SUM($E3:F3)*Discount_Rate)+(G3*(Discount_Rate*0.65))</f>
        <v>0</v>
      </c>
      <c r="O3" s="295">
        <f>(SUM($E3:G3)*Discount_Rate)+(H3*(Discount_Rate*0.65))</f>
        <v>2.1157500000000004E-3</v>
      </c>
      <c r="P3" s="295">
        <f>(SUM($E3:H3)*Discount_Rate)+(I3*(Discount_Rate*0.65))</f>
        <v>9.6022500000000014E-3</v>
      </c>
      <c r="Q3" s="295">
        <f>(SUM($E3:I3)*Discount_Rate)+(J3*(Discount_Rate*0.65))</f>
        <v>4.6872000000000011E-2</v>
      </c>
      <c r="R3" s="296">
        <f>SUM(L3:Q3)</f>
        <v>5.8590000000000017E-2</v>
      </c>
    </row>
    <row r="4" spans="1:18">
      <c r="A4" s="263"/>
      <c r="B4" s="173" t="s">
        <v>1</v>
      </c>
      <c r="C4" s="303">
        <f t="shared" ref="C4:D18" si="1">$R4/1</f>
        <v>5.8590000000000017E-2</v>
      </c>
      <c r="D4" s="218"/>
      <c r="E4" s="214">
        <v>0</v>
      </c>
      <c r="F4" s="167">
        <v>0</v>
      </c>
      <c r="G4" s="167">
        <v>0</v>
      </c>
      <c r="H4" s="167">
        <v>0.05</v>
      </c>
      <c r="I4" s="167">
        <v>0.15</v>
      </c>
      <c r="J4" s="167">
        <v>0.8</v>
      </c>
      <c r="K4" s="224">
        <f t="shared" ref="K4:K41" si="2">SUM(E4:J4)</f>
        <v>1</v>
      </c>
      <c r="L4" s="294">
        <f t="shared" si="0"/>
        <v>0</v>
      </c>
      <c r="M4" s="295">
        <f>(SUM($E4:E4)*Discount_Rate)+(F4*(Discount_Rate*0.65))</f>
        <v>0</v>
      </c>
      <c r="N4" s="295">
        <f>(SUM($E4:F4)*Discount_Rate)+(G4*(Discount_Rate*0.65))</f>
        <v>0</v>
      </c>
      <c r="O4" s="295">
        <f>(SUM($E4:G4)*Discount_Rate)+(H4*(Discount_Rate*0.65))</f>
        <v>2.1157500000000004E-3</v>
      </c>
      <c r="P4" s="295">
        <f>(SUM($E4:H4)*Discount_Rate)+(I4*(Discount_Rate*0.65))</f>
        <v>9.6022500000000014E-3</v>
      </c>
      <c r="Q4" s="295">
        <f>(SUM($E4:I4)*Discount_Rate)+(J4*(Discount_Rate*0.65))</f>
        <v>4.6872000000000011E-2</v>
      </c>
      <c r="R4" s="296">
        <f t="shared" ref="R4:R41" si="3">SUM(L4:Q4)</f>
        <v>5.8590000000000017E-2</v>
      </c>
    </row>
    <row r="5" spans="1:18">
      <c r="A5" s="263"/>
      <c r="B5" s="209" t="s">
        <v>2</v>
      </c>
      <c r="C5" s="304">
        <f t="shared" si="1"/>
        <v>5.8590000000000017E-2</v>
      </c>
      <c r="D5" s="226"/>
      <c r="E5" s="227">
        <v>0</v>
      </c>
      <c r="F5" s="168">
        <v>0</v>
      </c>
      <c r="G5" s="168">
        <v>0</v>
      </c>
      <c r="H5" s="168">
        <v>0.05</v>
      </c>
      <c r="I5" s="168">
        <v>0.15</v>
      </c>
      <c r="J5" s="168">
        <v>0.8</v>
      </c>
      <c r="K5" s="228">
        <f t="shared" si="2"/>
        <v>1</v>
      </c>
      <c r="L5" s="297">
        <f t="shared" si="0"/>
        <v>0</v>
      </c>
      <c r="M5" s="298">
        <f>(SUM($E5:E5)*Discount_Rate)+(F5*(Discount_Rate*0.65))</f>
        <v>0</v>
      </c>
      <c r="N5" s="298">
        <f>(SUM($E5:F5)*Discount_Rate)+(G5*(Discount_Rate*0.65))</f>
        <v>0</v>
      </c>
      <c r="O5" s="298">
        <f>(SUM($E5:G5)*Discount_Rate)+(H5*(Discount_Rate*0.65))</f>
        <v>2.1157500000000004E-3</v>
      </c>
      <c r="P5" s="298">
        <f>(SUM($E5:H5)*Discount_Rate)+(I5*(Discount_Rate*0.65))</f>
        <v>9.6022500000000014E-3</v>
      </c>
      <c r="Q5" s="298">
        <f>(SUM($E5:I5)*Discount_Rate)+(J5*(Discount_Rate*0.65))</f>
        <v>4.6872000000000011E-2</v>
      </c>
      <c r="R5" s="299">
        <f t="shared" si="3"/>
        <v>5.8590000000000017E-2</v>
      </c>
    </row>
    <row r="6" spans="1:18">
      <c r="A6" s="263"/>
      <c r="B6" s="210" t="s">
        <v>3</v>
      </c>
      <c r="C6" s="304">
        <f t="shared" si="1"/>
        <v>0.15624000000000002</v>
      </c>
      <c r="D6" s="226"/>
      <c r="E6" s="227">
        <v>0.05</v>
      </c>
      <c r="F6" s="168">
        <v>0.05</v>
      </c>
      <c r="G6" s="168">
        <v>0.15</v>
      </c>
      <c r="H6" s="168">
        <v>0.25</v>
      </c>
      <c r="I6" s="168">
        <v>0.35</v>
      </c>
      <c r="J6" s="168">
        <v>0.15</v>
      </c>
      <c r="K6" s="228">
        <f t="shared" si="2"/>
        <v>1</v>
      </c>
      <c r="L6" s="297">
        <f t="shared" si="0"/>
        <v>2.1157500000000004E-3</v>
      </c>
      <c r="M6" s="298">
        <f>(SUM($E6:E6)*Discount_Rate)+(F6*(Discount_Rate*0.65))</f>
        <v>5.3707500000000005E-3</v>
      </c>
      <c r="N6" s="298">
        <f>(SUM($E6:F6)*Discount_Rate)+(G6*(Discount_Rate*0.65))</f>
        <v>1.2857250000000001E-2</v>
      </c>
      <c r="O6" s="298">
        <f>(SUM($E6:G6)*Discount_Rate)+(H6*(Discount_Rate*0.65))</f>
        <v>2.6853750000000003E-2</v>
      </c>
      <c r="P6" s="298">
        <f>(SUM($E6:H6)*Discount_Rate)+(I6*(Discount_Rate*0.65))</f>
        <v>4.7360250000000007E-2</v>
      </c>
      <c r="Q6" s="298">
        <f>(SUM($E6:I6)*Discount_Rate)+(J6*(Discount_Rate*0.65))</f>
        <v>6.1682250000000001E-2</v>
      </c>
      <c r="R6" s="299">
        <f t="shared" si="3"/>
        <v>0.15624000000000002</v>
      </c>
    </row>
    <row r="7" spans="1:18">
      <c r="A7" s="263"/>
      <c r="B7" s="176" t="s">
        <v>4</v>
      </c>
      <c r="C7" s="303">
        <f t="shared" si="1"/>
        <v>6.1844999999999997E-2</v>
      </c>
      <c r="D7" s="218"/>
      <c r="E7" s="214">
        <v>0</v>
      </c>
      <c r="F7" s="167">
        <v>0</v>
      </c>
      <c r="G7" s="167">
        <v>0</v>
      </c>
      <c r="H7" s="167">
        <v>0</v>
      </c>
      <c r="I7" s="167">
        <v>0.3</v>
      </c>
      <c r="J7" s="167">
        <v>0.7</v>
      </c>
      <c r="K7" s="224">
        <f t="shared" si="2"/>
        <v>1</v>
      </c>
      <c r="L7" s="294">
        <f t="shared" si="0"/>
        <v>0</v>
      </c>
      <c r="M7" s="295">
        <f>(SUM($E7:E7)*Discount_Rate)+(F7*(Discount_Rate*0.65))</f>
        <v>0</v>
      </c>
      <c r="N7" s="295">
        <f>(SUM($E7:F7)*Discount_Rate)+(G7*(Discount_Rate*0.65))</f>
        <v>0</v>
      </c>
      <c r="O7" s="295">
        <f>(SUM($E7:G7)*Discount_Rate)+(H7*(Discount_Rate*0.65))</f>
        <v>0</v>
      </c>
      <c r="P7" s="295">
        <f>(SUM($E7:H7)*Discount_Rate)+(I7*(Discount_Rate*0.65))</f>
        <v>1.2694500000000001E-2</v>
      </c>
      <c r="Q7" s="295">
        <f>(SUM($E7:I7)*Discount_Rate)+(J7*(Discount_Rate*0.65))</f>
        <v>4.91505E-2</v>
      </c>
      <c r="R7" s="296">
        <f t="shared" si="3"/>
        <v>6.1844999999999997E-2</v>
      </c>
    </row>
    <row r="8" spans="1:18">
      <c r="A8" s="263"/>
      <c r="B8" s="176" t="s">
        <v>5</v>
      </c>
      <c r="C8" s="303">
        <f t="shared" si="1"/>
        <v>6.1844999999999997E-2</v>
      </c>
      <c r="D8" s="218"/>
      <c r="E8" s="214">
        <v>0</v>
      </c>
      <c r="F8" s="167">
        <v>0</v>
      </c>
      <c r="G8" s="167">
        <v>0</v>
      </c>
      <c r="H8" s="167">
        <v>0</v>
      </c>
      <c r="I8" s="167">
        <v>0.3</v>
      </c>
      <c r="J8" s="167">
        <v>0.7</v>
      </c>
      <c r="K8" s="224">
        <f t="shared" si="2"/>
        <v>1</v>
      </c>
      <c r="L8" s="294">
        <f t="shared" si="0"/>
        <v>0</v>
      </c>
      <c r="M8" s="295">
        <f>(SUM($E8:E8)*Discount_Rate)+(F8*(Discount_Rate*0.65))</f>
        <v>0</v>
      </c>
      <c r="N8" s="295">
        <f>(SUM($E8:F8)*Discount_Rate)+(G8*(Discount_Rate*0.65))</f>
        <v>0</v>
      </c>
      <c r="O8" s="295">
        <f>(SUM($E8:G8)*Discount_Rate)+(H8*(Discount_Rate*0.65))</f>
        <v>0</v>
      </c>
      <c r="P8" s="295">
        <f>(SUM($E8:H8)*Discount_Rate)+(I8*(Discount_Rate*0.65))</f>
        <v>1.2694500000000001E-2</v>
      </c>
      <c r="Q8" s="295">
        <f>(SUM($E8:I8)*Discount_Rate)+(J8*(Discount_Rate*0.65))</f>
        <v>4.91505E-2</v>
      </c>
      <c r="R8" s="296">
        <f t="shared" si="3"/>
        <v>6.1844999999999997E-2</v>
      </c>
    </row>
    <row r="9" spans="1:18">
      <c r="A9" s="263"/>
      <c r="B9" s="176" t="s">
        <v>6</v>
      </c>
      <c r="C9" s="303">
        <f t="shared" si="1"/>
        <v>6.1844999999999997E-2</v>
      </c>
      <c r="D9" s="218"/>
      <c r="E9" s="214">
        <v>0</v>
      </c>
      <c r="F9" s="167">
        <v>0</v>
      </c>
      <c r="G9" s="167">
        <v>0</v>
      </c>
      <c r="H9" s="167">
        <v>0</v>
      </c>
      <c r="I9" s="167">
        <v>0.3</v>
      </c>
      <c r="J9" s="167">
        <v>0.7</v>
      </c>
      <c r="K9" s="224">
        <f t="shared" si="2"/>
        <v>1</v>
      </c>
      <c r="L9" s="294">
        <f t="shared" si="0"/>
        <v>0</v>
      </c>
      <c r="M9" s="295">
        <f>(SUM($E9:E9)*Discount_Rate)+(F9*(Discount_Rate*0.65))</f>
        <v>0</v>
      </c>
      <c r="N9" s="295">
        <f>(SUM($E9:F9)*Discount_Rate)+(G9*(Discount_Rate*0.65))</f>
        <v>0</v>
      </c>
      <c r="O9" s="295">
        <f>(SUM($E9:G9)*Discount_Rate)+(H9*(Discount_Rate*0.65))</f>
        <v>0</v>
      </c>
      <c r="P9" s="295">
        <f>(SUM($E9:H9)*Discount_Rate)+(I9*(Discount_Rate*0.65))</f>
        <v>1.2694500000000001E-2</v>
      </c>
      <c r="Q9" s="295">
        <f>(SUM($E9:I9)*Discount_Rate)+(J9*(Discount_Rate*0.65))</f>
        <v>4.91505E-2</v>
      </c>
      <c r="R9" s="296">
        <f t="shared" si="3"/>
        <v>6.1844999999999997E-2</v>
      </c>
    </row>
    <row r="10" spans="1:18">
      <c r="A10" s="263"/>
      <c r="B10" s="211" t="s">
        <v>7</v>
      </c>
      <c r="C10" s="304">
        <f t="shared" si="1"/>
        <v>9.7650000000000015E-2</v>
      </c>
      <c r="D10" s="226"/>
      <c r="E10" s="227">
        <v>0</v>
      </c>
      <c r="F10" s="168">
        <v>0</v>
      </c>
      <c r="G10" s="168">
        <v>0</v>
      </c>
      <c r="H10" s="168">
        <v>0.25</v>
      </c>
      <c r="I10" s="168">
        <v>0.35</v>
      </c>
      <c r="J10" s="168">
        <v>0.4</v>
      </c>
      <c r="K10" s="228">
        <f t="shared" si="2"/>
        <v>1</v>
      </c>
      <c r="L10" s="297">
        <f t="shared" si="0"/>
        <v>0</v>
      </c>
      <c r="M10" s="298">
        <f>(SUM($E10:E10)*Discount_Rate)+(F10*(Discount_Rate*0.65))</f>
        <v>0</v>
      </c>
      <c r="N10" s="298">
        <f>(SUM($E10:F10)*Discount_Rate)+(G10*(Discount_Rate*0.65))</f>
        <v>0</v>
      </c>
      <c r="O10" s="298">
        <f>(SUM($E10:G10)*Discount_Rate)+(H10*(Discount_Rate*0.65))</f>
        <v>1.0578750000000001E-2</v>
      </c>
      <c r="P10" s="298">
        <f>(SUM($E10:H10)*Discount_Rate)+(I10*(Discount_Rate*0.65))</f>
        <v>3.1085250000000002E-2</v>
      </c>
      <c r="Q10" s="298">
        <f>(SUM($E10:I10)*Discount_Rate)+(J10*(Discount_Rate*0.65))</f>
        <v>5.5986000000000008E-2</v>
      </c>
      <c r="R10" s="299">
        <f t="shared" si="3"/>
        <v>9.7650000000000015E-2</v>
      </c>
    </row>
    <row r="11" spans="1:18">
      <c r="A11" s="263"/>
      <c r="B11" s="177" t="s">
        <v>130</v>
      </c>
      <c r="C11" s="303">
        <f t="shared" si="1"/>
        <v>4.2315000000000005E-2</v>
      </c>
      <c r="D11" s="218"/>
      <c r="E11" s="214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1</v>
      </c>
      <c r="K11" s="224">
        <f t="shared" si="2"/>
        <v>1</v>
      </c>
      <c r="L11" s="294">
        <f t="shared" si="0"/>
        <v>0</v>
      </c>
      <c r="M11" s="295">
        <f>(SUM($E11:E11)*Discount_Rate)+(F11*(Discount_Rate*0.65))</f>
        <v>0</v>
      </c>
      <c r="N11" s="295">
        <f>(SUM($E11:F11)*Discount_Rate)+(G11*(Discount_Rate*0.65))</f>
        <v>0</v>
      </c>
      <c r="O11" s="295">
        <f>(SUM($E11:G11)*Discount_Rate)+(H11*(Discount_Rate*0.65))</f>
        <v>0</v>
      </c>
      <c r="P11" s="295">
        <f>(SUM($E11:H11)*Discount_Rate)+(I11*(Discount_Rate*0.65))</f>
        <v>0</v>
      </c>
      <c r="Q11" s="295">
        <f>(SUM($E11:I11)*Discount_Rate)+(J11*(Discount_Rate*0.65))</f>
        <v>4.2315000000000005E-2</v>
      </c>
      <c r="R11" s="296">
        <f t="shared" si="3"/>
        <v>4.2315000000000005E-2</v>
      </c>
    </row>
    <row r="12" spans="1:18">
      <c r="A12" s="263"/>
      <c r="B12" s="177" t="s">
        <v>139</v>
      </c>
      <c r="C12" s="310">
        <f>C11</f>
        <v>4.2315000000000005E-2</v>
      </c>
      <c r="D12" s="218">
        <f t="shared" si="1"/>
        <v>4.2315000000000005E-2</v>
      </c>
      <c r="E12" s="214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1</v>
      </c>
      <c r="K12" s="224">
        <f t="shared" si="2"/>
        <v>1</v>
      </c>
      <c r="L12" s="294">
        <f t="shared" si="0"/>
        <v>0</v>
      </c>
      <c r="M12" s="295">
        <f>(SUM($E12:E12)*Discount_Rate)+(F12*(Discount_Rate*0.65))</f>
        <v>0</v>
      </c>
      <c r="N12" s="295">
        <f>(SUM($E12:F12)*Discount_Rate)+(G12*(Discount_Rate*0.65))</f>
        <v>0</v>
      </c>
      <c r="O12" s="295">
        <f>(SUM($E12:G12)*Discount_Rate)+(H12*(Discount_Rate*0.65))</f>
        <v>0</v>
      </c>
      <c r="P12" s="295">
        <f>(SUM($E12:H12)*Discount_Rate)+(I12*(Discount_Rate*0.65))</f>
        <v>0</v>
      </c>
      <c r="Q12" s="295">
        <f>(SUM($E12:I12)*Discount_Rate)+(J12*(Discount_Rate*0.65))</f>
        <v>4.2315000000000005E-2</v>
      </c>
      <c r="R12" s="296">
        <f t="shared" si="3"/>
        <v>4.2315000000000005E-2</v>
      </c>
    </row>
    <row r="13" spans="1:18">
      <c r="A13" s="263"/>
      <c r="B13" s="177" t="s">
        <v>131</v>
      </c>
      <c r="C13" s="303">
        <f>$R13/1</f>
        <v>4.2315000000000005E-2</v>
      </c>
      <c r="D13" s="218"/>
      <c r="E13" s="214">
        <v>0</v>
      </c>
      <c r="F13" s="167">
        <v>0</v>
      </c>
      <c r="G13" s="167">
        <v>0</v>
      </c>
      <c r="H13" s="167">
        <v>0</v>
      </c>
      <c r="I13" s="167">
        <v>0</v>
      </c>
      <c r="J13" s="167">
        <v>1</v>
      </c>
      <c r="K13" s="224">
        <f t="shared" si="2"/>
        <v>1</v>
      </c>
      <c r="L13" s="294">
        <f t="shared" si="0"/>
        <v>0</v>
      </c>
      <c r="M13" s="295">
        <f>(SUM($E13:E13)*Discount_Rate)+(F13*(Discount_Rate*0.65))</f>
        <v>0</v>
      </c>
      <c r="N13" s="295">
        <f>(SUM($E13:F13)*Discount_Rate)+(G13*(Discount_Rate*0.65))</f>
        <v>0</v>
      </c>
      <c r="O13" s="295">
        <f>(SUM($E13:G13)*Discount_Rate)+(H13*(Discount_Rate*0.65))</f>
        <v>0</v>
      </c>
      <c r="P13" s="295">
        <f>(SUM($E13:H13)*Discount_Rate)+(I13*(Discount_Rate*0.65))</f>
        <v>0</v>
      </c>
      <c r="Q13" s="295">
        <f>(SUM($E13:I13)*Discount_Rate)+(J13*(Discount_Rate*0.65))</f>
        <v>4.2315000000000005E-2</v>
      </c>
      <c r="R13" s="296">
        <f t="shared" si="3"/>
        <v>4.2315000000000005E-2</v>
      </c>
    </row>
    <row r="14" spans="1:18">
      <c r="A14" s="263"/>
      <c r="B14" s="177" t="s">
        <v>132</v>
      </c>
      <c r="C14" s="310">
        <f>C13</f>
        <v>4.2315000000000005E-2</v>
      </c>
      <c r="D14" s="218">
        <f t="shared" si="1"/>
        <v>4.2315000000000005E-2</v>
      </c>
      <c r="E14" s="214">
        <v>0</v>
      </c>
      <c r="F14" s="167">
        <v>0</v>
      </c>
      <c r="G14" s="167">
        <v>0</v>
      </c>
      <c r="H14" s="167">
        <v>0</v>
      </c>
      <c r="I14" s="167">
        <v>0</v>
      </c>
      <c r="J14" s="167">
        <v>1</v>
      </c>
      <c r="K14" s="224">
        <f t="shared" si="2"/>
        <v>1</v>
      </c>
      <c r="L14" s="294">
        <f t="shared" si="0"/>
        <v>0</v>
      </c>
      <c r="M14" s="295">
        <f>(SUM($E14:E14)*Discount_Rate)+(F14*(Discount_Rate*0.65))</f>
        <v>0</v>
      </c>
      <c r="N14" s="295">
        <f>(SUM($E14:F14)*Discount_Rate)+(G14*(Discount_Rate*0.65))</f>
        <v>0</v>
      </c>
      <c r="O14" s="295">
        <f>(SUM($E14:G14)*Discount_Rate)+(H14*(Discount_Rate*0.65))</f>
        <v>0</v>
      </c>
      <c r="P14" s="295">
        <f>(SUM($E14:H14)*Discount_Rate)+(I14*(Discount_Rate*0.65))</f>
        <v>0</v>
      </c>
      <c r="Q14" s="295">
        <f>(SUM($E14:I14)*Discount_Rate)+(J14*(Discount_Rate*0.65))</f>
        <v>4.2315000000000005E-2</v>
      </c>
      <c r="R14" s="296">
        <f t="shared" si="3"/>
        <v>4.2315000000000005E-2</v>
      </c>
    </row>
    <row r="15" spans="1:18">
      <c r="A15" s="263"/>
      <c r="B15" s="177" t="s">
        <v>133</v>
      </c>
      <c r="C15" s="303">
        <f>$R15/1</f>
        <v>4.2315000000000005E-2</v>
      </c>
      <c r="D15" s="218"/>
      <c r="E15" s="214">
        <v>0</v>
      </c>
      <c r="F15" s="167">
        <v>0</v>
      </c>
      <c r="G15" s="167">
        <v>0</v>
      </c>
      <c r="H15" s="167">
        <v>0</v>
      </c>
      <c r="I15" s="167">
        <v>0</v>
      </c>
      <c r="J15" s="167">
        <v>1</v>
      </c>
      <c r="K15" s="224">
        <f t="shared" si="2"/>
        <v>1</v>
      </c>
      <c r="L15" s="294">
        <f t="shared" si="0"/>
        <v>0</v>
      </c>
      <c r="M15" s="295">
        <f>(SUM($E15:E15)*Discount_Rate)+(F15*(Discount_Rate*0.65))</f>
        <v>0</v>
      </c>
      <c r="N15" s="295">
        <f>(SUM($E15:F15)*Discount_Rate)+(G15*(Discount_Rate*0.65))</f>
        <v>0</v>
      </c>
      <c r="O15" s="295">
        <f>(SUM($E15:G15)*Discount_Rate)+(H15*(Discount_Rate*0.65))</f>
        <v>0</v>
      </c>
      <c r="P15" s="295">
        <f>(SUM($E15:H15)*Discount_Rate)+(I15*(Discount_Rate*0.65))</f>
        <v>0</v>
      </c>
      <c r="Q15" s="295">
        <f>(SUM($E15:I15)*Discount_Rate)+(J15*(Discount_Rate*0.65))</f>
        <v>4.2315000000000005E-2</v>
      </c>
      <c r="R15" s="296">
        <f t="shared" si="3"/>
        <v>4.2315000000000005E-2</v>
      </c>
    </row>
    <row r="16" spans="1:18">
      <c r="A16" s="263"/>
      <c r="B16" s="177" t="s">
        <v>134</v>
      </c>
      <c r="C16" s="310">
        <f>C15</f>
        <v>4.2315000000000005E-2</v>
      </c>
      <c r="D16" s="218">
        <f t="shared" si="1"/>
        <v>4.2315000000000005E-2</v>
      </c>
      <c r="E16" s="214">
        <v>0</v>
      </c>
      <c r="F16" s="167">
        <v>0</v>
      </c>
      <c r="G16" s="167">
        <v>0</v>
      </c>
      <c r="H16" s="167">
        <v>0</v>
      </c>
      <c r="I16" s="167">
        <v>0</v>
      </c>
      <c r="J16" s="167">
        <v>1</v>
      </c>
      <c r="K16" s="224">
        <f t="shared" si="2"/>
        <v>1</v>
      </c>
      <c r="L16" s="294">
        <f t="shared" si="0"/>
        <v>0</v>
      </c>
      <c r="M16" s="295">
        <f>(SUM($E16:E16)*Discount_Rate)+(F16*(Discount_Rate*0.65))</f>
        <v>0</v>
      </c>
      <c r="N16" s="295">
        <f>(SUM($E16:F16)*Discount_Rate)+(G16*(Discount_Rate*0.65))</f>
        <v>0</v>
      </c>
      <c r="O16" s="295">
        <f>(SUM($E16:G16)*Discount_Rate)+(H16*(Discount_Rate*0.65))</f>
        <v>0</v>
      </c>
      <c r="P16" s="295">
        <f>(SUM($E16:H16)*Discount_Rate)+(I16*(Discount_Rate*0.65))</f>
        <v>0</v>
      </c>
      <c r="Q16" s="295">
        <f>(SUM($E16:I16)*Discount_Rate)+(J16*(Discount_Rate*0.65))</f>
        <v>4.2315000000000005E-2</v>
      </c>
      <c r="R16" s="296">
        <f t="shared" si="3"/>
        <v>4.2315000000000005E-2</v>
      </c>
    </row>
    <row r="17" spans="1:18">
      <c r="A17" s="263"/>
      <c r="B17" s="177" t="s">
        <v>8</v>
      </c>
      <c r="C17" s="303">
        <f>$R17/1</f>
        <v>5.5335000000000009E-2</v>
      </c>
      <c r="D17" s="218"/>
      <c r="E17" s="214">
        <v>0</v>
      </c>
      <c r="F17" s="167">
        <v>0</v>
      </c>
      <c r="G17" s="167">
        <v>0</v>
      </c>
      <c r="H17" s="167">
        <v>0</v>
      </c>
      <c r="I17" s="167">
        <v>0.2</v>
      </c>
      <c r="J17" s="167">
        <v>0.8</v>
      </c>
      <c r="K17" s="224">
        <f t="shared" si="2"/>
        <v>1</v>
      </c>
      <c r="L17" s="294">
        <f t="shared" si="0"/>
        <v>0</v>
      </c>
      <c r="M17" s="295">
        <f>(SUM($E17:E17)*Discount_Rate)+(F17*(Discount_Rate*0.65))</f>
        <v>0</v>
      </c>
      <c r="N17" s="295">
        <f>(SUM($E17:F17)*Discount_Rate)+(G17*(Discount_Rate*0.65))</f>
        <v>0</v>
      </c>
      <c r="O17" s="295">
        <f>(SUM($E17:G17)*Discount_Rate)+(H17*(Discount_Rate*0.65))</f>
        <v>0</v>
      </c>
      <c r="P17" s="295">
        <f>(SUM($E17:H17)*Discount_Rate)+(I17*(Discount_Rate*0.65))</f>
        <v>8.4630000000000018E-3</v>
      </c>
      <c r="Q17" s="295">
        <f>(SUM($E17:I17)*Discount_Rate)+(J17*(Discount_Rate*0.65))</f>
        <v>4.6872000000000011E-2</v>
      </c>
      <c r="R17" s="296">
        <f t="shared" si="3"/>
        <v>5.5335000000000009E-2</v>
      </c>
    </row>
    <row r="18" spans="1:18">
      <c r="A18" s="263"/>
      <c r="B18" s="177" t="s">
        <v>9</v>
      </c>
      <c r="C18" s="310">
        <f>C17</f>
        <v>5.5335000000000009E-2</v>
      </c>
      <c r="D18" s="218">
        <f t="shared" si="1"/>
        <v>5.5335000000000009E-2</v>
      </c>
      <c r="E18" s="214">
        <v>0</v>
      </c>
      <c r="F18" s="167">
        <v>0</v>
      </c>
      <c r="G18" s="167">
        <v>0</v>
      </c>
      <c r="H18" s="167">
        <v>0</v>
      </c>
      <c r="I18" s="167">
        <v>0.2</v>
      </c>
      <c r="J18" s="167">
        <v>0.8</v>
      </c>
      <c r="K18" s="224">
        <f t="shared" si="2"/>
        <v>1</v>
      </c>
      <c r="L18" s="294">
        <f t="shared" si="0"/>
        <v>0</v>
      </c>
      <c r="M18" s="295">
        <f>(SUM($E18:E18)*Discount_Rate)+(F18*(Discount_Rate*0.65))</f>
        <v>0</v>
      </c>
      <c r="N18" s="295">
        <f>(SUM($E18:F18)*Discount_Rate)+(G18*(Discount_Rate*0.65))</f>
        <v>0</v>
      </c>
      <c r="O18" s="295">
        <f>(SUM($E18:G18)*Discount_Rate)+(H18*(Discount_Rate*0.65))</f>
        <v>0</v>
      </c>
      <c r="P18" s="295">
        <f>(SUM($E18:H18)*Discount_Rate)+(I18*(Discount_Rate*0.65))</f>
        <v>8.4630000000000018E-3</v>
      </c>
      <c r="Q18" s="295">
        <f>(SUM($E18:I18)*Discount_Rate)+(J18*(Discount_Rate*0.65))</f>
        <v>4.6872000000000011E-2</v>
      </c>
      <c r="R18" s="296">
        <f t="shared" si="3"/>
        <v>5.5335000000000009E-2</v>
      </c>
    </row>
    <row r="19" spans="1:18">
      <c r="A19" s="263"/>
      <c r="B19" s="177" t="s">
        <v>138</v>
      </c>
      <c r="C19" s="303">
        <f t="shared" ref="C19:C20" si="4">$R19/1</f>
        <v>5.5335000000000009E-2</v>
      </c>
      <c r="D19" s="218"/>
      <c r="E19" s="214">
        <v>0</v>
      </c>
      <c r="F19" s="167">
        <v>0</v>
      </c>
      <c r="G19" s="167">
        <v>0</v>
      </c>
      <c r="H19" s="167">
        <v>0</v>
      </c>
      <c r="I19" s="167">
        <v>0.2</v>
      </c>
      <c r="J19" s="167">
        <v>0.8</v>
      </c>
      <c r="K19" s="224">
        <f t="shared" si="2"/>
        <v>1</v>
      </c>
      <c r="L19" s="294">
        <f t="shared" si="0"/>
        <v>0</v>
      </c>
      <c r="M19" s="295">
        <f>(SUM($E19:E19)*Discount_Rate)+(F19*(Discount_Rate*0.65))</f>
        <v>0</v>
      </c>
      <c r="N19" s="295">
        <f>(SUM($E19:F19)*Discount_Rate)+(G19*(Discount_Rate*0.65))</f>
        <v>0</v>
      </c>
      <c r="O19" s="295">
        <f>(SUM($E19:G19)*Discount_Rate)+(H19*(Discount_Rate*0.65))</f>
        <v>0</v>
      </c>
      <c r="P19" s="295">
        <f>(SUM($E19:H19)*Discount_Rate)+(I19*(Discount_Rate*0.65))</f>
        <v>8.4630000000000018E-3</v>
      </c>
      <c r="Q19" s="295">
        <f>(SUM($E19:I19)*Discount_Rate)+(J19*(Discount_Rate*0.65))</f>
        <v>4.6872000000000011E-2</v>
      </c>
      <c r="R19" s="296">
        <f t="shared" si="3"/>
        <v>5.5335000000000009E-2</v>
      </c>
    </row>
    <row r="20" spans="1:18">
      <c r="A20" s="263"/>
      <c r="B20" s="177" t="s">
        <v>10</v>
      </c>
      <c r="C20" s="303">
        <f t="shared" si="4"/>
        <v>5.5335000000000009E-2</v>
      </c>
      <c r="D20" s="218"/>
      <c r="E20" s="214">
        <v>0</v>
      </c>
      <c r="F20" s="167">
        <v>0</v>
      </c>
      <c r="G20" s="167">
        <v>0</v>
      </c>
      <c r="H20" s="167">
        <v>0</v>
      </c>
      <c r="I20" s="167">
        <v>0.2</v>
      </c>
      <c r="J20" s="167">
        <v>0.8</v>
      </c>
      <c r="K20" s="224">
        <f t="shared" si="2"/>
        <v>1</v>
      </c>
      <c r="L20" s="294">
        <f t="shared" si="0"/>
        <v>0</v>
      </c>
      <c r="M20" s="295">
        <f>(SUM($E20:E20)*Discount_Rate)+(F20*(Discount_Rate*0.65))</f>
        <v>0</v>
      </c>
      <c r="N20" s="295">
        <f>(SUM($E20:F20)*Discount_Rate)+(G20*(Discount_Rate*0.65))</f>
        <v>0</v>
      </c>
      <c r="O20" s="295">
        <f>(SUM($E20:G20)*Discount_Rate)+(H20*(Discount_Rate*0.65))</f>
        <v>0</v>
      </c>
      <c r="P20" s="295">
        <f>(SUM($E20:H20)*Discount_Rate)+(I20*(Discount_Rate*0.65))</f>
        <v>8.4630000000000018E-3</v>
      </c>
      <c r="Q20" s="295">
        <f>(SUM($E20:I20)*Discount_Rate)+(J20*(Discount_Rate*0.65))</f>
        <v>4.6872000000000011E-2</v>
      </c>
      <c r="R20" s="296">
        <f t="shared" si="3"/>
        <v>5.5335000000000009E-2</v>
      </c>
    </row>
    <row r="21" spans="1:18">
      <c r="A21" s="263"/>
      <c r="B21" s="177" t="s">
        <v>135</v>
      </c>
      <c r="C21" s="310">
        <f>C19</f>
        <v>5.5335000000000009E-2</v>
      </c>
      <c r="D21" s="218">
        <f t="shared" ref="D21:D23" si="5">$R21/1</f>
        <v>5.5335000000000009E-2</v>
      </c>
      <c r="E21" s="214">
        <v>0</v>
      </c>
      <c r="F21" s="167">
        <v>0</v>
      </c>
      <c r="G21" s="167">
        <v>0</v>
      </c>
      <c r="H21" s="167">
        <v>0</v>
      </c>
      <c r="I21" s="167">
        <v>0.2</v>
      </c>
      <c r="J21" s="167">
        <v>0.8</v>
      </c>
      <c r="K21" s="224">
        <f t="shared" si="2"/>
        <v>1</v>
      </c>
      <c r="L21" s="294">
        <f t="shared" si="0"/>
        <v>0</v>
      </c>
      <c r="M21" s="295">
        <f>(SUM($E21:E21)*Discount_Rate)+(F21*(Discount_Rate*0.65))</f>
        <v>0</v>
      </c>
      <c r="N21" s="295">
        <f>(SUM($E21:F21)*Discount_Rate)+(G21*(Discount_Rate*0.65))</f>
        <v>0</v>
      </c>
      <c r="O21" s="295">
        <f>(SUM($E21:G21)*Discount_Rate)+(H21*(Discount_Rate*0.65))</f>
        <v>0</v>
      </c>
      <c r="P21" s="295">
        <f>(SUM($E21:H21)*Discount_Rate)+(I21*(Discount_Rate*0.65))</f>
        <v>8.4630000000000018E-3</v>
      </c>
      <c r="Q21" s="295">
        <f>(SUM($E21:I21)*Discount_Rate)+(J21*(Discount_Rate*0.65))</f>
        <v>4.6872000000000011E-2</v>
      </c>
      <c r="R21" s="296">
        <f t="shared" si="3"/>
        <v>5.5335000000000009E-2</v>
      </c>
    </row>
    <row r="22" spans="1:18">
      <c r="A22" s="263"/>
      <c r="B22" s="177" t="s">
        <v>136</v>
      </c>
      <c r="C22" s="310">
        <f>C19</f>
        <v>5.5335000000000009E-2</v>
      </c>
      <c r="D22" s="218">
        <f t="shared" si="5"/>
        <v>5.5335000000000009E-2</v>
      </c>
      <c r="E22" s="214">
        <v>0</v>
      </c>
      <c r="F22" s="167">
        <v>0</v>
      </c>
      <c r="G22" s="167">
        <v>0</v>
      </c>
      <c r="H22" s="167">
        <v>0</v>
      </c>
      <c r="I22" s="167">
        <v>0.2</v>
      </c>
      <c r="J22" s="167">
        <v>0.8</v>
      </c>
      <c r="K22" s="224">
        <f t="shared" si="2"/>
        <v>1</v>
      </c>
      <c r="L22" s="294">
        <f t="shared" si="0"/>
        <v>0</v>
      </c>
      <c r="M22" s="295">
        <f>(SUM($E22:E22)*Discount_Rate)+(F22*(Discount_Rate*0.65))</f>
        <v>0</v>
      </c>
      <c r="N22" s="295">
        <f>(SUM($E22:F22)*Discount_Rate)+(G22*(Discount_Rate*0.65))</f>
        <v>0</v>
      </c>
      <c r="O22" s="295">
        <f>(SUM($E22:G22)*Discount_Rate)+(H22*(Discount_Rate*0.65))</f>
        <v>0</v>
      </c>
      <c r="P22" s="295">
        <f>(SUM($E22:H22)*Discount_Rate)+(I22*(Discount_Rate*0.65))</f>
        <v>8.4630000000000018E-3</v>
      </c>
      <c r="Q22" s="295">
        <f>(SUM($E22:I22)*Discount_Rate)+(J22*(Discount_Rate*0.65))</f>
        <v>4.6872000000000011E-2</v>
      </c>
      <c r="R22" s="296">
        <f t="shared" si="3"/>
        <v>5.5335000000000009E-2</v>
      </c>
    </row>
    <row r="23" spans="1:18">
      <c r="A23" s="263"/>
      <c r="B23" s="212" t="s">
        <v>137</v>
      </c>
      <c r="C23" s="311">
        <f>C19</f>
        <v>5.5335000000000009E-2</v>
      </c>
      <c r="D23" s="226">
        <f t="shared" si="5"/>
        <v>5.5335000000000009E-2</v>
      </c>
      <c r="E23" s="227">
        <v>0</v>
      </c>
      <c r="F23" s="168">
        <v>0</v>
      </c>
      <c r="G23" s="168">
        <v>0</v>
      </c>
      <c r="H23" s="168">
        <v>0</v>
      </c>
      <c r="I23" s="168">
        <v>0.2</v>
      </c>
      <c r="J23" s="168">
        <v>0.8</v>
      </c>
      <c r="K23" s="228">
        <f t="shared" si="2"/>
        <v>1</v>
      </c>
      <c r="L23" s="297">
        <f t="shared" si="0"/>
        <v>0</v>
      </c>
      <c r="M23" s="298">
        <f>(SUM($E23:E23)*Discount_Rate)+(F23*(Discount_Rate*0.65))</f>
        <v>0</v>
      </c>
      <c r="N23" s="298">
        <f>(SUM($E23:F23)*Discount_Rate)+(G23*(Discount_Rate*0.65))</f>
        <v>0</v>
      </c>
      <c r="O23" s="298">
        <f>(SUM($E23:G23)*Discount_Rate)+(H23*(Discount_Rate*0.65))</f>
        <v>0</v>
      </c>
      <c r="P23" s="298">
        <f>(SUM($E23:H23)*Discount_Rate)+(I23*(Discount_Rate*0.65))</f>
        <v>8.4630000000000018E-3</v>
      </c>
      <c r="Q23" s="298">
        <f>(SUM($E23:I23)*Discount_Rate)+(J23*(Discount_Rate*0.65))</f>
        <v>4.6872000000000011E-2</v>
      </c>
      <c r="R23" s="299">
        <f t="shared" si="3"/>
        <v>5.5335000000000009E-2</v>
      </c>
    </row>
    <row r="24" spans="1:18">
      <c r="A24" s="263"/>
      <c r="B24" s="178" t="s">
        <v>11</v>
      </c>
      <c r="C24" s="303">
        <f t="shared" ref="C24:C33" si="6">$R24/1</f>
        <v>4.2315000000000005E-2</v>
      </c>
      <c r="D24" s="218"/>
      <c r="E24" s="214">
        <v>0</v>
      </c>
      <c r="F24" s="167">
        <v>0</v>
      </c>
      <c r="G24" s="167">
        <v>0</v>
      </c>
      <c r="H24" s="167">
        <v>0</v>
      </c>
      <c r="I24" s="167">
        <v>0</v>
      </c>
      <c r="J24" s="207">
        <v>1</v>
      </c>
      <c r="K24" s="224">
        <f t="shared" si="2"/>
        <v>1</v>
      </c>
      <c r="L24" s="294">
        <f t="shared" si="0"/>
        <v>0</v>
      </c>
      <c r="M24" s="295">
        <f>(SUM($E24:E24)*Discount_Rate)+(F24*(Discount_Rate*0.65))</f>
        <v>0</v>
      </c>
      <c r="N24" s="295">
        <f>(SUM($E24:F24)*Discount_Rate)+(G24*(Discount_Rate*0.65))</f>
        <v>0</v>
      </c>
      <c r="O24" s="295">
        <f>(SUM($E24:G24)*Discount_Rate)+(H24*(Discount_Rate*0.65))</f>
        <v>0</v>
      </c>
      <c r="P24" s="295">
        <f>(SUM($E24:H24)*Discount_Rate)+(I24*(Discount_Rate*0.65))</f>
        <v>0</v>
      </c>
      <c r="Q24" s="295">
        <f>(SUM($E24:I24)*Discount_Rate)+(J24*(Discount_Rate*0.65))</f>
        <v>4.2315000000000005E-2</v>
      </c>
      <c r="R24" s="296">
        <f t="shared" si="3"/>
        <v>4.2315000000000005E-2</v>
      </c>
    </row>
    <row r="25" spans="1:18">
      <c r="A25" s="263"/>
      <c r="B25" s="178" t="s">
        <v>12</v>
      </c>
      <c r="C25" s="303">
        <f t="shared" si="6"/>
        <v>4.2315000000000005E-2</v>
      </c>
      <c r="D25" s="218"/>
      <c r="E25" s="214">
        <v>0</v>
      </c>
      <c r="F25" s="167">
        <v>0</v>
      </c>
      <c r="G25" s="167">
        <v>0</v>
      </c>
      <c r="H25" s="167">
        <v>0</v>
      </c>
      <c r="I25" s="167">
        <v>0</v>
      </c>
      <c r="J25" s="207">
        <v>1</v>
      </c>
      <c r="K25" s="224">
        <f t="shared" si="2"/>
        <v>1</v>
      </c>
      <c r="L25" s="294">
        <f t="shared" si="0"/>
        <v>0</v>
      </c>
      <c r="M25" s="295">
        <f>(SUM($E25:E25)*Discount_Rate)+(F25*(Discount_Rate*0.65))</f>
        <v>0</v>
      </c>
      <c r="N25" s="295">
        <f>(SUM($E25:F25)*Discount_Rate)+(G25*(Discount_Rate*0.65))</f>
        <v>0</v>
      </c>
      <c r="O25" s="295">
        <f>(SUM($E25:G25)*Discount_Rate)+(H25*(Discount_Rate*0.65))</f>
        <v>0</v>
      </c>
      <c r="P25" s="295">
        <f>(SUM($E25:H25)*Discount_Rate)+(I25*(Discount_Rate*0.65))</f>
        <v>0</v>
      </c>
      <c r="Q25" s="295">
        <f>(SUM($E25:I25)*Discount_Rate)+(J25*(Discount_Rate*0.65))</f>
        <v>4.2315000000000005E-2</v>
      </c>
      <c r="R25" s="296">
        <f t="shared" si="3"/>
        <v>4.2315000000000005E-2</v>
      </c>
    </row>
    <row r="26" spans="1:18">
      <c r="A26" s="263"/>
      <c r="B26" s="178" t="s">
        <v>13</v>
      </c>
      <c r="C26" s="303">
        <f t="shared" si="6"/>
        <v>5.5335000000000009E-2</v>
      </c>
      <c r="D26" s="218"/>
      <c r="E26" s="214">
        <v>0</v>
      </c>
      <c r="F26" s="167">
        <v>0</v>
      </c>
      <c r="G26" s="167">
        <v>0</v>
      </c>
      <c r="H26" s="167">
        <v>0</v>
      </c>
      <c r="I26" s="167">
        <v>0.2</v>
      </c>
      <c r="J26" s="207">
        <v>0.8</v>
      </c>
      <c r="K26" s="224">
        <f t="shared" si="2"/>
        <v>1</v>
      </c>
      <c r="L26" s="294">
        <f t="shared" si="0"/>
        <v>0</v>
      </c>
      <c r="M26" s="295">
        <f>(SUM($E26:E26)*Discount_Rate)+(F26*(Discount_Rate*0.65))</f>
        <v>0</v>
      </c>
      <c r="N26" s="295">
        <f>(SUM($E26:F26)*Discount_Rate)+(G26*(Discount_Rate*0.65))</f>
        <v>0</v>
      </c>
      <c r="O26" s="295">
        <f>(SUM($E26:G26)*Discount_Rate)+(H26*(Discount_Rate*0.65))</f>
        <v>0</v>
      </c>
      <c r="P26" s="295">
        <f>(SUM($E26:H26)*Discount_Rate)+(I26*(Discount_Rate*0.65))</f>
        <v>8.4630000000000018E-3</v>
      </c>
      <c r="Q26" s="295">
        <f>(SUM($E26:I26)*Discount_Rate)+(J26*(Discount_Rate*0.65))</f>
        <v>4.6872000000000011E-2</v>
      </c>
      <c r="R26" s="296">
        <f t="shared" si="3"/>
        <v>5.5335000000000009E-2</v>
      </c>
    </row>
    <row r="27" spans="1:18">
      <c r="A27" s="263"/>
      <c r="B27" s="178" t="s">
        <v>14</v>
      </c>
      <c r="C27" s="303">
        <f t="shared" si="6"/>
        <v>5.5335000000000009E-2</v>
      </c>
      <c r="D27" s="218"/>
      <c r="E27" s="214">
        <v>0</v>
      </c>
      <c r="F27" s="167">
        <v>0</v>
      </c>
      <c r="G27" s="167">
        <v>0</v>
      </c>
      <c r="H27" s="167">
        <v>0</v>
      </c>
      <c r="I27" s="167">
        <v>0.2</v>
      </c>
      <c r="J27" s="207">
        <v>0.8</v>
      </c>
      <c r="K27" s="224">
        <f t="shared" si="2"/>
        <v>1</v>
      </c>
      <c r="L27" s="294">
        <f t="shared" si="0"/>
        <v>0</v>
      </c>
      <c r="M27" s="295">
        <f>(SUM($E27:E27)*Discount_Rate)+(F27*(Discount_Rate*0.65))</f>
        <v>0</v>
      </c>
      <c r="N27" s="295">
        <f>(SUM($E27:F27)*Discount_Rate)+(G27*(Discount_Rate*0.65))</f>
        <v>0</v>
      </c>
      <c r="O27" s="295">
        <f>(SUM($E27:G27)*Discount_Rate)+(H27*(Discount_Rate*0.65))</f>
        <v>0</v>
      </c>
      <c r="P27" s="295">
        <f>(SUM($E27:H27)*Discount_Rate)+(I27*(Discount_Rate*0.65))</f>
        <v>8.4630000000000018E-3</v>
      </c>
      <c r="Q27" s="295">
        <f>(SUM($E27:I27)*Discount_Rate)+(J27*(Discount_Rate*0.65))</f>
        <v>4.6872000000000011E-2</v>
      </c>
      <c r="R27" s="296">
        <f t="shared" si="3"/>
        <v>5.5335000000000009E-2</v>
      </c>
    </row>
    <row r="28" spans="1:18">
      <c r="A28" s="263"/>
      <c r="B28" s="178" t="s">
        <v>15</v>
      </c>
      <c r="C28" s="303">
        <f t="shared" si="6"/>
        <v>5.5335000000000009E-2</v>
      </c>
      <c r="D28" s="218"/>
      <c r="E28" s="214">
        <v>0</v>
      </c>
      <c r="F28" s="167">
        <v>0</v>
      </c>
      <c r="G28" s="167">
        <v>0</v>
      </c>
      <c r="H28" s="167">
        <v>0</v>
      </c>
      <c r="I28" s="167">
        <v>0.2</v>
      </c>
      <c r="J28" s="207">
        <v>0.8</v>
      </c>
      <c r="K28" s="224">
        <f t="shared" si="2"/>
        <v>1</v>
      </c>
      <c r="L28" s="294">
        <f t="shared" si="0"/>
        <v>0</v>
      </c>
      <c r="M28" s="295">
        <f>(SUM($E28:E28)*Discount_Rate)+(F28*(Discount_Rate*0.65))</f>
        <v>0</v>
      </c>
      <c r="N28" s="295">
        <f>(SUM($E28:F28)*Discount_Rate)+(G28*(Discount_Rate*0.65))</f>
        <v>0</v>
      </c>
      <c r="O28" s="295">
        <f>(SUM($E28:G28)*Discount_Rate)+(H28*(Discount_Rate*0.65))</f>
        <v>0</v>
      </c>
      <c r="P28" s="295">
        <f>(SUM($E28:H28)*Discount_Rate)+(I28*(Discount_Rate*0.65))</f>
        <v>8.4630000000000018E-3</v>
      </c>
      <c r="Q28" s="295">
        <f>(SUM($E28:I28)*Discount_Rate)+(J28*(Discount_Rate*0.65))</f>
        <v>4.6872000000000011E-2</v>
      </c>
      <c r="R28" s="296">
        <f t="shared" si="3"/>
        <v>5.5335000000000009E-2</v>
      </c>
    </row>
    <row r="29" spans="1:18">
      <c r="A29" s="263"/>
      <c r="B29" s="178" t="s">
        <v>16</v>
      </c>
      <c r="C29" s="303">
        <f t="shared" si="6"/>
        <v>5.5335000000000009E-2</v>
      </c>
      <c r="D29" s="218"/>
      <c r="E29" s="214">
        <v>0</v>
      </c>
      <c r="F29" s="167">
        <v>0</v>
      </c>
      <c r="G29" s="167">
        <v>0</v>
      </c>
      <c r="H29" s="167">
        <v>0</v>
      </c>
      <c r="I29" s="167">
        <v>0.2</v>
      </c>
      <c r="J29" s="207">
        <v>0.8</v>
      </c>
      <c r="K29" s="224">
        <f t="shared" si="2"/>
        <v>1</v>
      </c>
      <c r="L29" s="294">
        <f t="shared" si="0"/>
        <v>0</v>
      </c>
      <c r="M29" s="295">
        <f>(SUM($E29:E29)*Discount_Rate)+(F29*(Discount_Rate*0.65))</f>
        <v>0</v>
      </c>
      <c r="N29" s="295">
        <f>(SUM($E29:F29)*Discount_Rate)+(G29*(Discount_Rate*0.65))</f>
        <v>0</v>
      </c>
      <c r="O29" s="295">
        <f>(SUM($E29:G29)*Discount_Rate)+(H29*(Discount_Rate*0.65))</f>
        <v>0</v>
      </c>
      <c r="P29" s="295">
        <f>(SUM($E29:H29)*Discount_Rate)+(I29*(Discount_Rate*0.65))</f>
        <v>8.4630000000000018E-3</v>
      </c>
      <c r="Q29" s="295">
        <f>(SUM($E29:I29)*Discount_Rate)+(J29*(Discount_Rate*0.65))</f>
        <v>4.6872000000000011E-2</v>
      </c>
      <c r="R29" s="296">
        <f t="shared" si="3"/>
        <v>5.5335000000000009E-2</v>
      </c>
    </row>
    <row r="30" spans="1:18">
      <c r="A30" s="263"/>
      <c r="B30" s="178" t="s">
        <v>17</v>
      </c>
      <c r="C30" s="303">
        <f t="shared" si="6"/>
        <v>5.5335000000000009E-2</v>
      </c>
      <c r="D30" s="218"/>
      <c r="E30" s="214">
        <v>0</v>
      </c>
      <c r="F30" s="167">
        <v>0</v>
      </c>
      <c r="G30" s="167">
        <v>0</v>
      </c>
      <c r="H30" s="167">
        <v>0</v>
      </c>
      <c r="I30" s="167">
        <v>0.2</v>
      </c>
      <c r="J30" s="207">
        <v>0.8</v>
      </c>
      <c r="K30" s="224">
        <f t="shared" si="2"/>
        <v>1</v>
      </c>
      <c r="L30" s="294">
        <f t="shared" si="0"/>
        <v>0</v>
      </c>
      <c r="M30" s="295">
        <f>(SUM($E30:E30)*Discount_Rate)+(F30*(Discount_Rate*0.65))</f>
        <v>0</v>
      </c>
      <c r="N30" s="295">
        <f>(SUM($E30:F30)*Discount_Rate)+(G30*(Discount_Rate*0.65))</f>
        <v>0</v>
      </c>
      <c r="O30" s="295">
        <f>(SUM($E30:G30)*Discount_Rate)+(H30*(Discount_Rate*0.65))</f>
        <v>0</v>
      </c>
      <c r="P30" s="295">
        <f>(SUM($E30:H30)*Discount_Rate)+(I30*(Discount_Rate*0.65))</f>
        <v>8.4630000000000018E-3</v>
      </c>
      <c r="Q30" s="295">
        <f>(SUM($E30:I30)*Discount_Rate)+(J30*(Discount_Rate*0.65))</f>
        <v>4.6872000000000011E-2</v>
      </c>
      <c r="R30" s="296">
        <f t="shared" si="3"/>
        <v>5.5335000000000009E-2</v>
      </c>
    </row>
    <row r="31" spans="1:18">
      <c r="A31" s="263"/>
      <c r="B31" s="213" t="s">
        <v>18</v>
      </c>
      <c r="C31" s="304">
        <f t="shared" si="6"/>
        <v>5.5335000000000009E-2</v>
      </c>
      <c r="D31" s="226"/>
      <c r="E31" s="227">
        <v>0</v>
      </c>
      <c r="F31" s="168">
        <v>0</v>
      </c>
      <c r="G31" s="168">
        <v>0</v>
      </c>
      <c r="H31" s="168">
        <v>0</v>
      </c>
      <c r="I31" s="168">
        <v>0.2</v>
      </c>
      <c r="J31" s="208">
        <v>0.8</v>
      </c>
      <c r="K31" s="228">
        <f t="shared" si="2"/>
        <v>1</v>
      </c>
      <c r="L31" s="297">
        <f t="shared" si="0"/>
        <v>0</v>
      </c>
      <c r="M31" s="298">
        <f>(SUM($E31:E31)*Discount_Rate)+(F31*(Discount_Rate*0.65))</f>
        <v>0</v>
      </c>
      <c r="N31" s="298">
        <f>(SUM($E31:F31)*Discount_Rate)+(G31*(Discount_Rate*0.65))</f>
        <v>0</v>
      </c>
      <c r="O31" s="298">
        <f>(SUM($E31:G31)*Discount_Rate)+(H31*(Discount_Rate*0.65))</f>
        <v>0</v>
      </c>
      <c r="P31" s="298">
        <f>(SUM($E31:H31)*Discount_Rate)+(I31*(Discount_Rate*0.65))</f>
        <v>8.4630000000000018E-3</v>
      </c>
      <c r="Q31" s="298">
        <f>(SUM($E31:I31)*Discount_Rate)+(J31*(Discount_Rate*0.65))</f>
        <v>4.6872000000000011E-2</v>
      </c>
      <c r="R31" s="299">
        <f t="shared" si="3"/>
        <v>5.5335000000000009E-2</v>
      </c>
    </row>
    <row r="32" spans="1:18">
      <c r="A32" s="263"/>
      <c r="B32" s="210" t="s">
        <v>19</v>
      </c>
      <c r="C32" s="304">
        <f t="shared" si="6"/>
        <v>9.7650000000000015E-2</v>
      </c>
      <c r="D32" s="226"/>
      <c r="E32" s="227">
        <v>0</v>
      </c>
      <c r="F32" s="168">
        <v>0</v>
      </c>
      <c r="G32" s="168">
        <v>0.05</v>
      </c>
      <c r="H32" s="168">
        <v>0.15</v>
      </c>
      <c r="I32" s="168">
        <v>0.4</v>
      </c>
      <c r="J32" s="168">
        <v>0.4</v>
      </c>
      <c r="K32" s="228">
        <f t="shared" si="2"/>
        <v>1</v>
      </c>
      <c r="L32" s="297">
        <f t="shared" si="0"/>
        <v>0</v>
      </c>
      <c r="M32" s="298">
        <f>(SUM($E32:E32)*Discount_Rate)+(F32*(Discount_Rate*0.65))</f>
        <v>0</v>
      </c>
      <c r="N32" s="298">
        <f>(SUM($E32:F32)*Discount_Rate)+(G32*(Discount_Rate*0.65))</f>
        <v>2.1157500000000004E-3</v>
      </c>
      <c r="O32" s="298">
        <f>(SUM($E32:G32)*Discount_Rate)+(H32*(Discount_Rate*0.65))</f>
        <v>9.6022500000000014E-3</v>
      </c>
      <c r="P32" s="298">
        <f>(SUM($E32:H32)*Discount_Rate)+(I32*(Discount_Rate*0.65))</f>
        <v>2.9946000000000007E-2</v>
      </c>
      <c r="Q32" s="298">
        <f>(SUM($E32:I32)*Discount_Rate)+(J32*(Discount_Rate*0.65))</f>
        <v>5.5986000000000015E-2</v>
      </c>
      <c r="R32" s="299">
        <f t="shared" si="3"/>
        <v>9.7650000000000015E-2</v>
      </c>
    </row>
    <row r="33" spans="1:18">
      <c r="A33" s="263"/>
      <c r="B33" s="173" t="s">
        <v>20</v>
      </c>
      <c r="C33" s="303">
        <f t="shared" si="6"/>
        <v>5.8590000000000017E-2</v>
      </c>
      <c r="D33" s="218"/>
      <c r="E33" s="214">
        <v>0</v>
      </c>
      <c r="F33" s="167">
        <v>0</v>
      </c>
      <c r="G33" s="167">
        <v>0</v>
      </c>
      <c r="H33" s="167">
        <v>0.05</v>
      </c>
      <c r="I33" s="167">
        <v>0.15</v>
      </c>
      <c r="J33" s="167">
        <v>0.8</v>
      </c>
      <c r="K33" s="224">
        <f t="shared" si="2"/>
        <v>1</v>
      </c>
      <c r="L33" s="294">
        <f t="shared" si="0"/>
        <v>0</v>
      </c>
      <c r="M33" s="295">
        <f>(SUM($E33:E33)*Discount_Rate)+(F33*(Discount_Rate*0.65))</f>
        <v>0</v>
      </c>
      <c r="N33" s="295">
        <f>(SUM($E33:F33)*Discount_Rate)+(G33*(Discount_Rate*0.65))</f>
        <v>0</v>
      </c>
      <c r="O33" s="295">
        <f>(SUM($E33:G33)*Discount_Rate)+(H33*(Discount_Rate*0.65))</f>
        <v>2.1157500000000004E-3</v>
      </c>
      <c r="P33" s="295">
        <f>(SUM($E33:H33)*Discount_Rate)+(I33*(Discount_Rate*0.65))</f>
        <v>9.6022500000000014E-3</v>
      </c>
      <c r="Q33" s="295">
        <f>(SUM($E33:I33)*Discount_Rate)+(J33*(Discount_Rate*0.65))</f>
        <v>4.6872000000000011E-2</v>
      </c>
      <c r="R33" s="296">
        <f t="shared" si="3"/>
        <v>5.8590000000000017E-2</v>
      </c>
    </row>
    <row r="34" spans="1:18">
      <c r="A34" s="263"/>
      <c r="B34" s="209" t="s">
        <v>21</v>
      </c>
      <c r="C34" s="311">
        <f>C3</f>
        <v>5.8590000000000017E-2</v>
      </c>
      <c r="D34" s="226">
        <f t="shared" ref="D34" si="7">$R34/1</f>
        <v>5.8590000000000017E-2</v>
      </c>
      <c r="E34" s="227">
        <v>0</v>
      </c>
      <c r="F34" s="168">
        <v>0</v>
      </c>
      <c r="G34" s="168">
        <v>0</v>
      </c>
      <c r="H34" s="168">
        <v>0.05</v>
      </c>
      <c r="I34" s="168">
        <v>0.15</v>
      </c>
      <c r="J34" s="168">
        <v>0.8</v>
      </c>
      <c r="K34" s="228">
        <f t="shared" si="2"/>
        <v>1</v>
      </c>
      <c r="L34" s="297">
        <f t="shared" si="0"/>
        <v>0</v>
      </c>
      <c r="M34" s="298">
        <f>(SUM($E34:E34)*Discount_Rate)+(F34*(Discount_Rate*0.65))</f>
        <v>0</v>
      </c>
      <c r="N34" s="298">
        <f>(SUM($E34:F34)*Discount_Rate)+(G34*(Discount_Rate*0.65))</f>
        <v>0</v>
      </c>
      <c r="O34" s="298">
        <f>(SUM($E34:G34)*Discount_Rate)+(H34*(Discount_Rate*0.65))</f>
        <v>2.1157500000000004E-3</v>
      </c>
      <c r="P34" s="298">
        <f>(SUM($E34:H34)*Discount_Rate)+(I34*(Discount_Rate*0.65))</f>
        <v>9.6022500000000014E-3</v>
      </c>
      <c r="Q34" s="298">
        <f>(SUM($E34:I34)*Discount_Rate)+(J34*(Discount_Rate*0.65))</f>
        <v>4.6872000000000011E-2</v>
      </c>
      <c r="R34" s="299">
        <f t="shared" si="3"/>
        <v>5.8590000000000017E-2</v>
      </c>
    </row>
    <row r="35" spans="1:18">
      <c r="A35" s="263"/>
      <c r="B35" s="178" t="s">
        <v>22</v>
      </c>
      <c r="C35" s="303">
        <f t="shared" ref="C35:C41" si="8">$R35/1</f>
        <v>7.8120000000000009E-2</v>
      </c>
      <c r="D35" s="218"/>
      <c r="E35" s="214">
        <v>0</v>
      </c>
      <c r="F35" s="167">
        <v>0</v>
      </c>
      <c r="G35" s="167">
        <v>0</v>
      </c>
      <c r="H35" s="167">
        <v>0.05</v>
      </c>
      <c r="I35" s="167">
        <v>0.45</v>
      </c>
      <c r="J35" s="167">
        <v>0.5</v>
      </c>
      <c r="K35" s="224">
        <f t="shared" si="2"/>
        <v>1</v>
      </c>
      <c r="L35" s="294">
        <f t="shared" si="0"/>
        <v>0</v>
      </c>
      <c r="M35" s="295">
        <f>(SUM($E35:E35)*Discount_Rate)+(F35*(Discount_Rate*0.65))</f>
        <v>0</v>
      </c>
      <c r="N35" s="295">
        <f>(SUM($E35:F35)*Discount_Rate)+(G35*(Discount_Rate*0.65))</f>
        <v>0</v>
      </c>
      <c r="O35" s="295">
        <f>(SUM($E35:G35)*Discount_Rate)+(H35*(Discount_Rate*0.65))</f>
        <v>2.1157500000000004E-3</v>
      </c>
      <c r="P35" s="295">
        <f>(SUM($E35:H35)*Discount_Rate)+(I35*(Discount_Rate*0.65))</f>
        <v>2.2296750000000004E-2</v>
      </c>
      <c r="Q35" s="295">
        <f>(SUM($E35:I35)*Discount_Rate)+(J35*(Discount_Rate*0.65))</f>
        <v>5.3707500000000005E-2</v>
      </c>
      <c r="R35" s="296">
        <f t="shared" si="3"/>
        <v>7.8120000000000009E-2</v>
      </c>
    </row>
    <row r="36" spans="1:18">
      <c r="A36" s="263"/>
      <c r="B36" s="178" t="s">
        <v>23</v>
      </c>
      <c r="C36" s="305">
        <f t="shared" si="8"/>
        <v>0.15624000000000002</v>
      </c>
      <c r="D36" s="306"/>
      <c r="E36" s="215">
        <v>0.05</v>
      </c>
      <c r="F36" s="207">
        <v>0.05</v>
      </c>
      <c r="G36" s="207">
        <v>0.15</v>
      </c>
      <c r="H36" s="207">
        <v>0.25</v>
      </c>
      <c r="I36" s="207">
        <v>0.35</v>
      </c>
      <c r="J36" s="207">
        <v>0.15</v>
      </c>
      <c r="K36" s="224">
        <f t="shared" si="2"/>
        <v>1</v>
      </c>
      <c r="L36" s="294">
        <f t="shared" si="0"/>
        <v>2.1157500000000004E-3</v>
      </c>
      <c r="M36" s="295">
        <f>(SUM($E36:E36)*Discount_Rate)+(F36*(Discount_Rate*0.65))</f>
        <v>5.3707500000000005E-3</v>
      </c>
      <c r="N36" s="295">
        <f>(SUM($E36:F36)*Discount_Rate)+(G36*(Discount_Rate*0.65))</f>
        <v>1.2857250000000001E-2</v>
      </c>
      <c r="O36" s="295">
        <f>(SUM($E36:G36)*Discount_Rate)+(H36*(Discount_Rate*0.65))</f>
        <v>2.6853750000000003E-2</v>
      </c>
      <c r="P36" s="295">
        <f>(SUM($E36:H36)*Discount_Rate)+(I36*(Discount_Rate*0.65))</f>
        <v>4.7360250000000007E-2</v>
      </c>
      <c r="Q36" s="295">
        <f>(SUM($E36:I36)*Discount_Rate)+(J36*(Discount_Rate*0.65))</f>
        <v>6.1682250000000001E-2</v>
      </c>
      <c r="R36" s="296">
        <f t="shared" si="3"/>
        <v>0.15624000000000002</v>
      </c>
    </row>
    <row r="37" spans="1:18">
      <c r="A37" s="263"/>
      <c r="B37" s="178" t="s">
        <v>24</v>
      </c>
      <c r="C37" s="305">
        <f t="shared" si="8"/>
        <v>0.15624000000000002</v>
      </c>
      <c r="D37" s="306"/>
      <c r="E37" s="215">
        <v>0.05</v>
      </c>
      <c r="F37" s="207">
        <v>0.05</v>
      </c>
      <c r="G37" s="207">
        <v>0.15</v>
      </c>
      <c r="H37" s="207">
        <v>0.25</v>
      </c>
      <c r="I37" s="207">
        <v>0.35</v>
      </c>
      <c r="J37" s="207">
        <v>0.15</v>
      </c>
      <c r="K37" s="224">
        <f t="shared" si="2"/>
        <v>1</v>
      </c>
      <c r="L37" s="294">
        <f t="shared" si="0"/>
        <v>2.1157500000000004E-3</v>
      </c>
      <c r="M37" s="295">
        <f>(SUM($E37:E37)*Discount_Rate)+(F37*(Discount_Rate*0.65))</f>
        <v>5.3707500000000005E-3</v>
      </c>
      <c r="N37" s="295">
        <f>(SUM($E37:F37)*Discount_Rate)+(G37*(Discount_Rate*0.65))</f>
        <v>1.2857250000000001E-2</v>
      </c>
      <c r="O37" s="295">
        <f>(SUM($E37:G37)*Discount_Rate)+(H37*(Discount_Rate*0.65))</f>
        <v>2.6853750000000003E-2</v>
      </c>
      <c r="P37" s="295">
        <f>(SUM($E37:H37)*Discount_Rate)+(I37*(Discount_Rate*0.65))</f>
        <v>4.7360250000000007E-2</v>
      </c>
      <c r="Q37" s="295">
        <f>(SUM($E37:I37)*Discount_Rate)+(J37*(Discount_Rate*0.65))</f>
        <v>6.1682250000000001E-2</v>
      </c>
      <c r="R37" s="296">
        <f t="shared" si="3"/>
        <v>0.15624000000000002</v>
      </c>
    </row>
    <row r="38" spans="1:18">
      <c r="A38" s="263"/>
      <c r="B38" s="213" t="s">
        <v>25</v>
      </c>
      <c r="C38" s="307">
        <f t="shared" si="8"/>
        <v>0.15624000000000002</v>
      </c>
      <c r="D38" s="308"/>
      <c r="E38" s="229">
        <v>0.05</v>
      </c>
      <c r="F38" s="208">
        <v>0.05</v>
      </c>
      <c r="G38" s="208">
        <v>0.15</v>
      </c>
      <c r="H38" s="208">
        <v>0.25</v>
      </c>
      <c r="I38" s="208">
        <v>0.35</v>
      </c>
      <c r="J38" s="208">
        <v>0.15</v>
      </c>
      <c r="K38" s="228">
        <f t="shared" si="2"/>
        <v>1</v>
      </c>
      <c r="L38" s="297">
        <f t="shared" si="0"/>
        <v>2.1157500000000004E-3</v>
      </c>
      <c r="M38" s="298">
        <f>(SUM($E38:E38)*Discount_Rate)+(F38*(Discount_Rate*0.65))</f>
        <v>5.3707500000000005E-3</v>
      </c>
      <c r="N38" s="298">
        <f>(SUM($E38:F38)*Discount_Rate)+(G38*(Discount_Rate*0.65))</f>
        <v>1.2857250000000001E-2</v>
      </c>
      <c r="O38" s="298">
        <f>(SUM($E38:G38)*Discount_Rate)+(H38*(Discount_Rate*0.65))</f>
        <v>2.6853750000000003E-2</v>
      </c>
      <c r="P38" s="298">
        <f>(SUM($E38:H38)*Discount_Rate)+(I38*(Discount_Rate*0.65))</f>
        <v>4.7360250000000007E-2</v>
      </c>
      <c r="Q38" s="298">
        <f>(SUM($E38:I38)*Discount_Rate)+(J38*(Discount_Rate*0.65))</f>
        <v>6.1682250000000001E-2</v>
      </c>
      <c r="R38" s="299">
        <f t="shared" si="3"/>
        <v>0.15624000000000002</v>
      </c>
    </row>
    <row r="39" spans="1:18">
      <c r="A39" s="263"/>
      <c r="B39" s="179" t="s">
        <v>26</v>
      </c>
      <c r="C39" s="303">
        <f t="shared" si="8"/>
        <v>6.5100000000000005E-2</v>
      </c>
      <c r="D39" s="218"/>
      <c r="E39" s="214">
        <v>0</v>
      </c>
      <c r="F39" s="167">
        <v>0</v>
      </c>
      <c r="G39" s="167">
        <v>0</v>
      </c>
      <c r="H39" s="167">
        <v>0.05</v>
      </c>
      <c r="I39" s="207">
        <v>0.25</v>
      </c>
      <c r="J39" s="207">
        <v>0.7</v>
      </c>
      <c r="K39" s="224">
        <f t="shared" si="2"/>
        <v>1</v>
      </c>
      <c r="L39" s="294">
        <f t="shared" si="0"/>
        <v>0</v>
      </c>
      <c r="M39" s="295">
        <f>(SUM($E39:E39)*Discount_Rate)+(F39*(Discount_Rate*0.65))</f>
        <v>0</v>
      </c>
      <c r="N39" s="295">
        <f>(SUM($E39:F39)*Discount_Rate)+(G39*(Discount_Rate*0.65))</f>
        <v>0</v>
      </c>
      <c r="O39" s="295">
        <f>(SUM($E39:G39)*Discount_Rate)+(H39*(Discount_Rate*0.65))</f>
        <v>2.1157500000000004E-3</v>
      </c>
      <c r="P39" s="295">
        <f>(SUM($E39:H39)*Discount_Rate)+(I39*(Discount_Rate*0.65))</f>
        <v>1.3833750000000002E-2</v>
      </c>
      <c r="Q39" s="295">
        <f>(SUM($E39:I39)*Discount_Rate)+(J39*(Discount_Rate*0.65))</f>
        <v>4.91505E-2</v>
      </c>
      <c r="R39" s="296">
        <f t="shared" si="3"/>
        <v>6.5100000000000005E-2</v>
      </c>
    </row>
    <row r="40" spans="1:18">
      <c r="A40" s="263"/>
      <c r="B40" s="179" t="s">
        <v>27</v>
      </c>
      <c r="C40" s="303">
        <f t="shared" si="8"/>
        <v>4.2315000000000005E-2</v>
      </c>
      <c r="D40" s="218"/>
      <c r="E40" s="214">
        <v>0</v>
      </c>
      <c r="F40" s="167">
        <v>0</v>
      </c>
      <c r="G40" s="167">
        <v>0</v>
      </c>
      <c r="H40" s="167">
        <v>0</v>
      </c>
      <c r="I40" s="167">
        <v>0</v>
      </c>
      <c r="J40" s="207">
        <v>1</v>
      </c>
      <c r="K40" s="224">
        <f t="shared" si="2"/>
        <v>1</v>
      </c>
      <c r="L40" s="294">
        <f t="shared" si="0"/>
        <v>0</v>
      </c>
      <c r="M40" s="295">
        <f>(SUM($E40:E40)*Discount_Rate)+(F40*(Discount_Rate*0.65))</f>
        <v>0</v>
      </c>
      <c r="N40" s="295">
        <f>(SUM($E40:F40)*Discount_Rate)+(G40*(Discount_Rate*0.65))</f>
        <v>0</v>
      </c>
      <c r="O40" s="295">
        <f>(SUM($E40:G40)*Discount_Rate)+(H40*(Discount_Rate*0.65))</f>
        <v>0</v>
      </c>
      <c r="P40" s="295">
        <f>(SUM($E40:H40)*Discount_Rate)+(I40*(Discount_Rate*0.65))</f>
        <v>0</v>
      </c>
      <c r="Q40" s="295">
        <f>(SUM($E40:I40)*Discount_Rate)+(J40*(Discount_Rate*0.65))</f>
        <v>4.2315000000000005E-2</v>
      </c>
      <c r="R40" s="296">
        <f t="shared" si="3"/>
        <v>4.2315000000000005E-2</v>
      </c>
    </row>
    <row r="41" spans="1:18" s="263" customFormat="1" ht="15.75" thickBot="1">
      <c r="B41" s="180" t="s">
        <v>28</v>
      </c>
      <c r="C41" s="309">
        <f t="shared" si="8"/>
        <v>4.2315000000000005E-2</v>
      </c>
      <c r="D41" s="219"/>
      <c r="E41" s="216">
        <v>0</v>
      </c>
      <c r="F41" s="181">
        <v>0</v>
      </c>
      <c r="G41" s="181">
        <v>0</v>
      </c>
      <c r="H41" s="181">
        <v>0</v>
      </c>
      <c r="I41" s="181">
        <v>0</v>
      </c>
      <c r="J41" s="217">
        <v>1</v>
      </c>
      <c r="K41" s="225">
        <f t="shared" si="2"/>
        <v>1</v>
      </c>
      <c r="L41" s="300">
        <f t="shared" si="0"/>
        <v>0</v>
      </c>
      <c r="M41" s="301">
        <f>(SUM($E41:E41)*Discount_Rate)+(F41*(Discount_Rate*0.65))</f>
        <v>0</v>
      </c>
      <c r="N41" s="301">
        <f>(SUM($E41:F41)*Discount_Rate)+(G41*(Discount_Rate*0.65))</f>
        <v>0</v>
      </c>
      <c r="O41" s="301">
        <f>(SUM($E41:G41)*Discount_Rate)+(H41*(Discount_Rate*0.65))</f>
        <v>0</v>
      </c>
      <c r="P41" s="301">
        <f>(SUM($E41:H41)*Discount_Rate)+(I41*(Discount_Rate*0.65))</f>
        <v>0</v>
      </c>
      <c r="Q41" s="301">
        <f>(SUM($E41:I41)*Discount_Rate)+(J41*(Discount_Rate*0.65))</f>
        <v>4.2315000000000005E-2</v>
      </c>
      <c r="R41" s="302">
        <f t="shared" si="3"/>
        <v>4.2315000000000005E-2</v>
      </c>
    </row>
  </sheetData>
  <mergeCells count="2">
    <mergeCell ref="E1:K1"/>
    <mergeCell ref="L1:R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7D189-121A-4C8D-8778-8F7B5175DAE9}">
  <sheetPr codeName="Sheet23">
    <tabColor rgb="FFFFFF00"/>
  </sheetPr>
  <dimension ref="B2:J10"/>
  <sheetViews>
    <sheetView tabSelected="1" workbookViewId="0">
      <selection activeCell="J18" sqref="J18"/>
    </sheetView>
  </sheetViews>
  <sheetFormatPr defaultRowHeight="15"/>
  <cols>
    <col min="2" max="2" width="35.85546875" bestFit="1" customWidth="1"/>
    <col min="9" max="9" width="22.85546875" bestFit="1" customWidth="1"/>
    <col min="10" max="10" width="15.85546875" bestFit="1" customWidth="1"/>
  </cols>
  <sheetData>
    <row r="2" spans="2:10">
      <c r="B2" t="s">
        <v>251</v>
      </c>
    </row>
    <row r="3" spans="2:10">
      <c r="B3" s="253" t="s">
        <v>32</v>
      </c>
      <c r="I3" s="368" t="s">
        <v>252</v>
      </c>
      <c r="J3" s="367">
        <v>45051.417962962965</v>
      </c>
    </row>
    <row r="4" spans="2:10">
      <c r="B4" s="97" t="s">
        <v>36</v>
      </c>
      <c r="I4" s="368" t="s">
        <v>253</v>
      </c>
      <c r="J4">
        <v>90.19</v>
      </c>
    </row>
    <row r="5" spans="2:10">
      <c r="B5" s="96" t="s">
        <v>34</v>
      </c>
      <c r="I5" s="368" t="s">
        <v>255</v>
      </c>
      <c r="J5" t="s">
        <v>256</v>
      </c>
    </row>
    <row r="6" spans="2:10">
      <c r="B6" s="251" t="s">
        <v>33</v>
      </c>
    </row>
    <row r="8" spans="2:10">
      <c r="B8" s="263" t="s">
        <v>251</v>
      </c>
      <c r="I8" s="368" t="s">
        <v>252</v>
      </c>
      <c r="J8" s="367">
        <v>45051.416886574072</v>
      </c>
    </row>
    <row r="9" spans="2:10">
      <c r="B9" s="250" t="s">
        <v>35</v>
      </c>
      <c r="I9" s="368" t="s">
        <v>253</v>
      </c>
      <c r="J9">
        <v>2.02</v>
      </c>
    </row>
    <row r="10" spans="2:10">
      <c r="B10" s="252" t="s">
        <v>31</v>
      </c>
      <c r="I10" s="368" t="s">
        <v>255</v>
      </c>
      <c r="J10" t="s">
        <v>256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4F488-99BE-496A-9856-8A577B38DEEC}">
  <sheetPr codeName="Sheet14">
    <tabColor rgb="FFFF0000"/>
  </sheetPr>
  <dimension ref="A1:AZ49"/>
  <sheetViews>
    <sheetView zoomScale="70" zoomScaleNormal="70" workbookViewId="0">
      <pane xSplit="2" ySplit="2" topLeftCell="E3" activePane="bottomRight" state="frozen"/>
      <selection activeCell="A2" sqref="A2"/>
      <selection pane="topRight" activeCell="A2" sqref="A2"/>
      <selection pane="bottomLeft" activeCell="A2" sqref="A2"/>
      <selection pane="bottomRight" activeCell="AD5" sqref="AD5"/>
    </sheetView>
  </sheetViews>
  <sheetFormatPr defaultRowHeight="15"/>
  <cols>
    <col min="1" max="1" width="12.42578125" style="263" bestFit="1" customWidth="1"/>
    <col min="2" max="2" width="68.5703125" style="263" bestFit="1" customWidth="1"/>
    <col min="3" max="3" width="3" style="403" customWidth="1"/>
    <col min="4" max="4" width="8.140625" style="263" customWidth="1"/>
    <col min="5" max="14" width="7.7109375" style="263" bestFit="1" customWidth="1"/>
    <col min="15" max="19" width="8.140625" style="263" customWidth="1"/>
    <col min="20" max="20" width="7.7109375" style="263" bestFit="1" customWidth="1"/>
    <col min="21" max="25" width="8.140625" style="263" customWidth="1"/>
    <col min="26" max="26" width="7.7109375" style="263" bestFit="1" customWidth="1"/>
    <col min="27" max="27" width="8.140625" style="263" customWidth="1"/>
    <col min="28" max="28" width="3" style="403" customWidth="1"/>
    <col min="29" max="30" width="8.140625" style="263" customWidth="1"/>
    <col min="31" max="31" width="9.140625" style="263" bestFit="1" customWidth="1"/>
    <col min="32" max="34" width="9.5703125" style="263" bestFit="1" customWidth="1"/>
    <col min="35" max="36" width="8.7109375" style="263" bestFit="1" customWidth="1"/>
    <col min="37" max="38" width="9.140625" style="263" bestFit="1" customWidth="1"/>
    <col min="39" max="39" width="8.7109375" style="263" bestFit="1" customWidth="1"/>
    <col min="40" max="45" width="9.5703125" style="263" bestFit="1" customWidth="1"/>
    <col min="46" max="46" width="9.140625" style="263" bestFit="1" customWidth="1"/>
    <col min="47" max="48" width="9.5703125" style="263" bestFit="1" customWidth="1"/>
    <col min="49" max="49" width="8.7109375" style="263" bestFit="1" customWidth="1"/>
    <col min="50" max="52" width="9.5703125" style="263" bestFit="1" customWidth="1"/>
  </cols>
  <sheetData>
    <row r="1" spans="1:52">
      <c r="D1" s="404" t="s">
        <v>206</v>
      </c>
      <c r="AC1" s="404" t="s">
        <v>207</v>
      </c>
    </row>
    <row r="2" spans="1:52" ht="15.75" thickBot="1">
      <c r="A2" s="412" t="s">
        <v>204</v>
      </c>
      <c r="B2" s="412" t="s">
        <v>260</v>
      </c>
      <c r="C2" s="406"/>
      <c r="D2" s="405"/>
      <c r="E2" s="405">
        <v>2023</v>
      </c>
      <c r="F2" s="405">
        <v>2024</v>
      </c>
      <c r="G2" s="405">
        <v>2025</v>
      </c>
      <c r="H2" s="405">
        <v>2026</v>
      </c>
      <c r="I2" s="405">
        <v>2027</v>
      </c>
      <c r="J2" s="405">
        <v>2028</v>
      </c>
      <c r="K2" s="405">
        <v>2029</v>
      </c>
      <c r="L2" s="405">
        <v>2030</v>
      </c>
      <c r="M2" s="405">
        <v>2031</v>
      </c>
      <c r="N2" s="405">
        <v>2032</v>
      </c>
      <c r="O2" s="405">
        <v>2033</v>
      </c>
      <c r="P2" s="405">
        <v>2034</v>
      </c>
      <c r="Q2" s="405">
        <v>2035</v>
      </c>
      <c r="R2" s="405">
        <v>2036</v>
      </c>
      <c r="S2" s="405">
        <v>2037</v>
      </c>
      <c r="T2" s="405">
        <v>2038</v>
      </c>
      <c r="U2" s="405">
        <v>2039</v>
      </c>
      <c r="V2" s="405">
        <v>2040</v>
      </c>
      <c r="W2" s="405">
        <v>2041</v>
      </c>
      <c r="X2" s="405">
        <v>2042</v>
      </c>
      <c r="Y2" s="405">
        <v>2043</v>
      </c>
      <c r="Z2" s="405">
        <v>2044</v>
      </c>
      <c r="AA2" s="405">
        <v>2045</v>
      </c>
      <c r="AB2" s="406"/>
      <c r="AC2" s="405"/>
      <c r="AD2" s="405">
        <v>2023</v>
      </c>
      <c r="AE2" s="405">
        <v>2024</v>
      </c>
      <c r="AF2" s="405">
        <v>2025</v>
      </c>
      <c r="AG2" s="405">
        <v>2026</v>
      </c>
      <c r="AH2" s="405">
        <v>2027</v>
      </c>
      <c r="AI2" s="405">
        <v>2028</v>
      </c>
      <c r="AJ2" s="405">
        <v>2029</v>
      </c>
      <c r="AK2" s="405">
        <v>2030</v>
      </c>
      <c r="AL2" s="405">
        <v>2031</v>
      </c>
      <c r="AM2" s="405">
        <v>2032</v>
      </c>
      <c r="AN2" s="405">
        <v>2033</v>
      </c>
      <c r="AO2" s="405">
        <v>2034</v>
      </c>
      <c r="AP2" s="405">
        <v>2035</v>
      </c>
      <c r="AQ2" s="405">
        <v>2036</v>
      </c>
      <c r="AR2" s="405">
        <v>2037</v>
      </c>
      <c r="AS2" s="405">
        <v>2038</v>
      </c>
      <c r="AT2" s="405">
        <v>2039</v>
      </c>
      <c r="AU2" s="405">
        <v>2040</v>
      </c>
      <c r="AV2" s="405">
        <v>2041</v>
      </c>
      <c r="AW2" s="405">
        <v>2042</v>
      </c>
      <c r="AX2" s="405">
        <v>2043</v>
      </c>
      <c r="AY2" s="405">
        <v>2044</v>
      </c>
      <c r="AZ2" s="405">
        <v>2045</v>
      </c>
    </row>
    <row r="3" spans="1:52">
      <c r="A3" s="421" t="s">
        <v>261</v>
      </c>
      <c r="B3" s="422" t="s">
        <v>262</v>
      </c>
      <c r="C3" s="423"/>
      <c r="D3" s="424">
        <v>0</v>
      </c>
      <c r="E3" s="425">
        <v>37.210370934996028</v>
      </c>
      <c r="F3" s="425">
        <v>33.701980066962754</v>
      </c>
      <c r="G3" s="425">
        <v>31.507203494057308</v>
      </c>
      <c r="H3" s="425">
        <v>31.325264001109218</v>
      </c>
      <c r="I3" s="425">
        <v>30.959908583990924</v>
      </c>
      <c r="J3" s="425">
        <v>29.810228445332346</v>
      </c>
      <c r="K3" s="425">
        <v>29.854644800979063</v>
      </c>
      <c r="L3" s="425">
        <v>30.699571507172099</v>
      </c>
      <c r="M3" s="425">
        <v>30.856183912782949</v>
      </c>
      <c r="N3" s="425">
        <v>30.931112732547589</v>
      </c>
      <c r="O3" s="425">
        <v>31.841405387467937</v>
      </c>
      <c r="P3" s="425">
        <v>32.616827517295256</v>
      </c>
      <c r="Q3" s="425">
        <v>32.810188371189774</v>
      </c>
      <c r="R3" s="425">
        <v>33.298020618966056</v>
      </c>
      <c r="S3" s="425">
        <v>33.620385836166534</v>
      </c>
      <c r="T3" s="425">
        <v>32.928620530950873</v>
      </c>
      <c r="U3" s="425">
        <v>32.374293730544842</v>
      </c>
      <c r="V3" s="425">
        <v>32.189935654531077</v>
      </c>
      <c r="W3" s="425">
        <v>31.667621460324291</v>
      </c>
      <c r="X3" s="425">
        <v>31.997364537759207</v>
      </c>
      <c r="Y3" s="425">
        <v>32.25562259593358</v>
      </c>
      <c r="Z3" s="425">
        <v>35.211201697218627</v>
      </c>
      <c r="AA3" s="425">
        <v>34.949588408263125</v>
      </c>
      <c r="AB3" s="423"/>
      <c r="AC3" s="424">
        <v>0</v>
      </c>
      <c r="AD3" s="425">
        <v>0</v>
      </c>
      <c r="AE3" s="425">
        <v>0</v>
      </c>
      <c r="AF3" s="425">
        <v>0</v>
      </c>
      <c r="AG3" s="425">
        <v>0</v>
      </c>
      <c r="AH3" s="425">
        <v>0</v>
      </c>
      <c r="AI3" s="425">
        <v>0</v>
      </c>
      <c r="AJ3" s="425">
        <v>0</v>
      </c>
      <c r="AK3" s="425">
        <v>0</v>
      </c>
      <c r="AL3" s="425">
        <v>0</v>
      </c>
      <c r="AM3" s="425">
        <v>0</v>
      </c>
      <c r="AN3" s="425">
        <v>0</v>
      </c>
      <c r="AO3" s="425">
        <v>0</v>
      </c>
      <c r="AP3" s="425">
        <v>0</v>
      </c>
      <c r="AQ3" s="425">
        <v>0</v>
      </c>
      <c r="AR3" s="425">
        <v>0</v>
      </c>
      <c r="AS3" s="425">
        <v>0</v>
      </c>
      <c r="AT3" s="425">
        <v>0</v>
      </c>
      <c r="AU3" s="425">
        <v>0</v>
      </c>
      <c r="AV3" s="425">
        <v>0</v>
      </c>
      <c r="AW3" s="425">
        <v>0</v>
      </c>
      <c r="AX3" s="425">
        <v>0</v>
      </c>
      <c r="AY3" s="425">
        <v>0</v>
      </c>
      <c r="AZ3" s="426">
        <v>0</v>
      </c>
    </row>
    <row r="4" spans="1:52" ht="15.75" thickBot="1">
      <c r="A4" s="427" t="s">
        <v>261</v>
      </c>
      <c r="B4" s="428" t="s">
        <v>263</v>
      </c>
      <c r="C4" s="429"/>
      <c r="D4" s="430">
        <v>0</v>
      </c>
      <c r="E4" s="431">
        <v>36.710370934996028</v>
      </c>
      <c r="F4" s="431">
        <v>33.201980066962754</v>
      </c>
      <c r="G4" s="431">
        <v>31.007203494057308</v>
      </c>
      <c r="H4" s="431">
        <v>30.825264001109218</v>
      </c>
      <c r="I4" s="431">
        <v>30.459908583990924</v>
      </c>
      <c r="J4" s="431">
        <v>29.310228445332346</v>
      </c>
      <c r="K4" s="431">
        <v>29.354644800979063</v>
      </c>
      <c r="L4" s="431">
        <v>30.199571507172099</v>
      </c>
      <c r="M4" s="431">
        <v>30.356183912782949</v>
      </c>
      <c r="N4" s="431">
        <v>30.431112732547589</v>
      </c>
      <c r="O4" s="431">
        <v>31.341405387467937</v>
      </c>
      <c r="P4" s="431">
        <v>32.116827517295256</v>
      </c>
      <c r="Q4" s="431">
        <v>32.310188371189774</v>
      </c>
      <c r="R4" s="431">
        <v>32.798020618966056</v>
      </c>
      <c r="S4" s="431">
        <v>33.120385836166534</v>
      </c>
      <c r="T4" s="431">
        <v>32.428620530950873</v>
      </c>
      <c r="U4" s="431">
        <v>31.874293730544842</v>
      </c>
      <c r="V4" s="431">
        <v>31.689935654531077</v>
      </c>
      <c r="W4" s="431">
        <v>31.167621460324291</v>
      </c>
      <c r="X4" s="431">
        <v>31.497364537759207</v>
      </c>
      <c r="Y4" s="431">
        <v>31.75562259593358</v>
      </c>
      <c r="Z4" s="431">
        <v>34.711201697218627</v>
      </c>
      <c r="AA4" s="431">
        <v>34.449588408263125</v>
      </c>
      <c r="AB4" s="429"/>
      <c r="AC4" s="430">
        <v>0</v>
      </c>
      <c r="AD4" s="431">
        <v>0</v>
      </c>
      <c r="AE4" s="431">
        <v>0</v>
      </c>
      <c r="AF4" s="431">
        <v>0</v>
      </c>
      <c r="AG4" s="431">
        <v>0</v>
      </c>
      <c r="AH4" s="431">
        <v>0</v>
      </c>
      <c r="AI4" s="431">
        <v>0</v>
      </c>
      <c r="AJ4" s="431">
        <v>0</v>
      </c>
      <c r="AK4" s="431">
        <v>0</v>
      </c>
      <c r="AL4" s="431">
        <v>0</v>
      </c>
      <c r="AM4" s="431">
        <v>0</v>
      </c>
      <c r="AN4" s="431">
        <v>0</v>
      </c>
      <c r="AO4" s="431">
        <v>0</v>
      </c>
      <c r="AP4" s="431">
        <v>0</v>
      </c>
      <c r="AQ4" s="431">
        <v>0</v>
      </c>
      <c r="AR4" s="431">
        <v>0</v>
      </c>
      <c r="AS4" s="431">
        <v>0</v>
      </c>
      <c r="AT4" s="431">
        <v>0</v>
      </c>
      <c r="AU4" s="431">
        <v>0</v>
      </c>
      <c r="AV4" s="431">
        <v>0</v>
      </c>
      <c r="AW4" s="431">
        <v>0</v>
      </c>
      <c r="AX4" s="431">
        <v>0</v>
      </c>
      <c r="AY4" s="431">
        <v>0</v>
      </c>
      <c r="AZ4" s="432">
        <v>0</v>
      </c>
    </row>
    <row r="5" spans="1:52">
      <c r="A5" s="38" t="s">
        <v>264</v>
      </c>
      <c r="B5" s="38" t="s">
        <v>0</v>
      </c>
      <c r="C5" s="407"/>
      <c r="D5" s="408">
        <v>0</v>
      </c>
      <c r="E5" s="409">
        <v>0</v>
      </c>
      <c r="F5" s="409">
        <v>0</v>
      </c>
      <c r="G5" s="409">
        <v>0</v>
      </c>
      <c r="H5" s="409">
        <v>0</v>
      </c>
      <c r="I5" s="409">
        <v>0</v>
      </c>
      <c r="J5" s="409">
        <v>0</v>
      </c>
      <c r="K5" s="409">
        <v>0</v>
      </c>
      <c r="L5" s="409">
        <v>0</v>
      </c>
      <c r="M5" s="409">
        <v>0</v>
      </c>
      <c r="N5" s="409">
        <v>0</v>
      </c>
      <c r="O5" s="409">
        <v>0</v>
      </c>
      <c r="P5" s="409">
        <v>0</v>
      </c>
      <c r="Q5" s="409">
        <v>0</v>
      </c>
      <c r="R5" s="409">
        <v>0</v>
      </c>
      <c r="S5" s="409">
        <v>0</v>
      </c>
      <c r="T5" s="409">
        <v>0</v>
      </c>
      <c r="U5" s="409">
        <v>0</v>
      </c>
      <c r="V5" s="409">
        <v>0</v>
      </c>
      <c r="W5" s="409">
        <v>0</v>
      </c>
      <c r="X5" s="409">
        <v>0</v>
      </c>
      <c r="Y5" s="409">
        <v>0</v>
      </c>
      <c r="Z5" s="409">
        <v>0</v>
      </c>
      <c r="AA5" s="409">
        <v>0</v>
      </c>
      <c r="AB5" s="407"/>
      <c r="AC5" s="408">
        <v>0</v>
      </c>
      <c r="AD5" s="409">
        <f>'Levelized Cost Summary'!AC4</f>
        <v>101.79327534829017</v>
      </c>
      <c r="AE5" s="409">
        <f>'Levelized Cost Summary'!AD4</f>
        <v>104.17921120259645</v>
      </c>
      <c r="AF5" s="409">
        <f>'Levelized Cost Summary'!AE4</f>
        <v>106.50416817171551</v>
      </c>
      <c r="AG5" s="409">
        <f>'Levelized Cost Summary'!AF4</f>
        <v>108.88086525397611</v>
      </c>
      <c r="AH5" s="409">
        <f>'Levelized Cost Summary'!AG4</f>
        <v>111.31044441067387</v>
      </c>
      <c r="AI5" s="409">
        <f>'Levelized Cost Summary'!AH4</f>
        <v>113.75927418770873</v>
      </c>
      <c r="AJ5" s="409">
        <f>'Levelized Cost Summary'!AI4</f>
        <v>116.26197821983826</v>
      </c>
      <c r="AK5" s="409">
        <f>'Levelized Cost Summary'!AJ4</f>
        <v>118.81974174067474</v>
      </c>
      <c r="AL5" s="409">
        <f>'Levelized Cost Summary'!AK4</f>
        <v>121.43377605896954</v>
      </c>
      <c r="AM5" s="409">
        <f>'Levelized Cost Summary'!AL4</f>
        <v>124.10531913226693</v>
      </c>
      <c r="AN5" s="409">
        <f>'Levelized Cost Summary'!AM4</f>
        <v>126.83563615317678</v>
      </c>
      <c r="AO5" s="409">
        <f>'Levelized Cost Summary'!AN4</f>
        <v>129.62602014854673</v>
      </c>
      <c r="AP5" s="409">
        <f>'Levelized Cost Summary'!AO4</f>
        <v>132.47779259181473</v>
      </c>
      <c r="AQ5" s="409">
        <f>'Levelized Cost Summary'!AP4</f>
        <v>135.39230402883462</v>
      </c>
      <c r="AR5" s="409">
        <f>'Levelized Cost Summary'!AQ4</f>
        <v>138.37093471746894</v>
      </c>
      <c r="AS5" s="409">
        <f>'Levelized Cost Summary'!AR4</f>
        <v>141.41509528125331</v>
      </c>
      <c r="AT5" s="409">
        <f>'Levelized Cost Summary'!AS4</f>
        <v>144.5262273774409</v>
      </c>
      <c r="AU5" s="409">
        <f>'Levelized Cost Summary'!AT4</f>
        <v>147.70580437974456</v>
      </c>
      <c r="AV5" s="409">
        <f>'Levelized Cost Summary'!AU4</f>
        <v>150.95533207609895</v>
      </c>
      <c r="AW5" s="409">
        <f>'Levelized Cost Summary'!AV4</f>
        <v>154.27634938177312</v>
      </c>
      <c r="AX5" s="409">
        <f>'Levelized Cost Summary'!AW4</f>
        <v>157.67042906817215</v>
      </c>
      <c r="AY5" s="409">
        <f>'Levelized Cost Summary'!AX4</f>
        <v>161.13917850767189</v>
      </c>
      <c r="AZ5" s="409">
        <f>'Levelized Cost Summary'!AY4</f>
        <v>164.68424043484075</v>
      </c>
    </row>
    <row r="6" spans="1:52">
      <c r="A6" s="38" t="s">
        <v>264</v>
      </c>
      <c r="B6" s="38" t="s">
        <v>1</v>
      </c>
      <c r="C6" s="407"/>
      <c r="D6" s="408">
        <v>0</v>
      </c>
      <c r="E6" s="409">
        <v>0</v>
      </c>
      <c r="F6" s="409">
        <v>0</v>
      </c>
      <c r="G6" s="409">
        <v>0</v>
      </c>
      <c r="H6" s="409">
        <v>0</v>
      </c>
      <c r="I6" s="409">
        <v>0</v>
      </c>
      <c r="J6" s="409">
        <v>0</v>
      </c>
      <c r="K6" s="409">
        <v>0</v>
      </c>
      <c r="L6" s="409">
        <v>0</v>
      </c>
      <c r="M6" s="409">
        <v>0</v>
      </c>
      <c r="N6" s="409">
        <v>0</v>
      </c>
      <c r="O6" s="409">
        <v>0</v>
      </c>
      <c r="P6" s="409">
        <v>0</v>
      </c>
      <c r="Q6" s="409">
        <v>0</v>
      </c>
      <c r="R6" s="409">
        <v>0</v>
      </c>
      <c r="S6" s="409">
        <v>0</v>
      </c>
      <c r="T6" s="409">
        <v>0</v>
      </c>
      <c r="U6" s="409">
        <v>0</v>
      </c>
      <c r="V6" s="409">
        <v>0</v>
      </c>
      <c r="W6" s="409">
        <v>0</v>
      </c>
      <c r="X6" s="409">
        <v>0</v>
      </c>
      <c r="Y6" s="409">
        <v>0</v>
      </c>
      <c r="Z6" s="409">
        <v>0</v>
      </c>
      <c r="AA6" s="409">
        <v>0</v>
      </c>
      <c r="AB6" s="407"/>
      <c r="AC6" s="408">
        <v>0</v>
      </c>
      <c r="AD6" s="409">
        <f>'Levelized Cost Summary'!AC6</f>
        <v>152.37852896413463</v>
      </c>
      <c r="AE6" s="409">
        <f>'Levelized Cost Summary'!AD6</f>
        <v>155.9544380832337</v>
      </c>
      <c r="AF6" s="409">
        <f>'Levelized Cost Summary'!AE6</f>
        <v>159.43572059510592</v>
      </c>
      <c r="AG6" s="409">
        <f>'Levelized Cost Summary'!AF6</f>
        <v>162.9945691283464</v>
      </c>
      <c r="AH6" s="409">
        <f>'Levelized Cost Summary'!AG6</f>
        <v>166.63270251909407</v>
      </c>
      <c r="AI6" s="409">
        <f>'Levelized Cost Summary'!AH6</f>
        <v>170.29862197451416</v>
      </c>
      <c r="AJ6" s="409">
        <f>'Levelized Cost Summary'!AI6</f>
        <v>174.04519165795352</v>
      </c>
      <c r="AK6" s="409">
        <f>'Levelized Cost Summary'!AJ6</f>
        <v>177.87418587442843</v>
      </c>
      <c r="AL6" s="409">
        <f>'Levelized Cost Summary'!AK6</f>
        <v>181.78741796366583</v>
      </c>
      <c r="AM6" s="409">
        <f>'Levelized Cost Summary'!AL6</f>
        <v>185.78674115886648</v>
      </c>
      <c r="AN6" s="409">
        <f>'Levelized Cost Summary'!AM6</f>
        <v>189.87404946436152</v>
      </c>
      <c r="AO6" s="409">
        <f>'Levelized Cost Summary'!AN6</f>
        <v>194.05127855257754</v>
      </c>
      <c r="AP6" s="409">
        <f>'Levelized Cost Summary'!AO6</f>
        <v>198.32040668073421</v>
      </c>
      <c r="AQ6" s="409">
        <f>'Levelized Cost Summary'!AP6</f>
        <v>202.68345562771034</v>
      </c>
      <c r="AR6" s="409">
        <f>'Levelized Cost Summary'!AQ6</f>
        <v>207.14249165151998</v>
      </c>
      <c r="AS6" s="409">
        <f>'Levelized Cost Summary'!AR6</f>
        <v>211.69962646785345</v>
      </c>
      <c r="AT6" s="409">
        <f>'Levelized Cost Summary'!AS6</f>
        <v>216.35701825014621</v>
      </c>
      <c r="AU6" s="409">
        <f>'Levelized Cost Summary'!AT6</f>
        <v>221.1168726516494</v>
      </c>
      <c r="AV6" s="409">
        <f>'Levelized Cost Summary'!AU6</f>
        <v>225.98144384998577</v>
      </c>
      <c r="AW6" s="409">
        <f>'Levelized Cost Summary'!AV6</f>
        <v>230.95303561468532</v>
      </c>
      <c r="AX6" s="409">
        <f>'Levelized Cost Summary'!AW6</f>
        <v>236.03400239820849</v>
      </c>
      <c r="AY6" s="409">
        <f>'Levelized Cost Summary'!AX6</f>
        <v>241.22675045096904</v>
      </c>
      <c r="AZ6" s="409">
        <f>'Levelized Cost Summary'!AY6</f>
        <v>246.53373896089042</v>
      </c>
    </row>
    <row r="7" spans="1:52">
      <c r="A7" s="38" t="s">
        <v>264</v>
      </c>
      <c r="B7" s="1" t="s">
        <v>2</v>
      </c>
      <c r="C7" s="407"/>
      <c r="D7" s="408">
        <v>0</v>
      </c>
      <c r="E7" s="409">
        <v>0</v>
      </c>
      <c r="F7" s="409">
        <v>0</v>
      </c>
      <c r="G7" s="409">
        <v>0</v>
      </c>
      <c r="H7" s="409">
        <v>0</v>
      </c>
      <c r="I7" s="409">
        <v>0</v>
      </c>
      <c r="J7" s="409">
        <v>0</v>
      </c>
      <c r="K7" s="409">
        <v>0</v>
      </c>
      <c r="L7" s="409">
        <v>0</v>
      </c>
      <c r="M7" s="409">
        <v>0</v>
      </c>
      <c r="N7" s="409">
        <v>0</v>
      </c>
      <c r="O7" s="409">
        <v>0</v>
      </c>
      <c r="P7" s="409">
        <v>0</v>
      </c>
      <c r="Q7" s="409">
        <v>0</v>
      </c>
      <c r="R7" s="409">
        <v>0</v>
      </c>
      <c r="S7" s="409">
        <v>0</v>
      </c>
      <c r="T7" s="409">
        <v>0</v>
      </c>
      <c r="U7" s="409">
        <v>0</v>
      </c>
      <c r="V7" s="409">
        <v>0</v>
      </c>
      <c r="W7" s="409">
        <v>0</v>
      </c>
      <c r="X7" s="409">
        <v>0</v>
      </c>
      <c r="Y7" s="409">
        <v>0</v>
      </c>
      <c r="Z7" s="409">
        <v>0</v>
      </c>
      <c r="AA7" s="409">
        <v>0</v>
      </c>
      <c r="AB7" s="407"/>
      <c r="AC7" s="408">
        <v>0</v>
      </c>
      <c r="AD7" s="409">
        <f>'Levelized Cost Summary'!AC8</f>
        <v>183.32329882681694</v>
      </c>
      <c r="AE7" s="409">
        <f>'Levelized Cost Summary'!AD8</f>
        <v>187.58539179124369</v>
      </c>
      <c r="AF7" s="409">
        <f>'Levelized Cost Summary'!AE8</f>
        <v>191.76473241757932</v>
      </c>
      <c r="AG7" s="409">
        <f>'Levelized Cost Summary'!AF8</f>
        <v>196.03633022960017</v>
      </c>
      <c r="AH7" s="409">
        <f>'Levelized Cost Summary'!AG8</f>
        <v>200.40216586314156</v>
      </c>
      <c r="AI7" s="409">
        <f>'Levelized Cost Summary'!AH8</f>
        <v>204.81101351213067</v>
      </c>
      <c r="AJ7" s="409">
        <f>'Levelized Cost Summary'!AI8</f>
        <v>209.31685580939757</v>
      </c>
      <c r="AK7" s="409">
        <f>'Levelized Cost Summary'!AJ8</f>
        <v>213.92182663720425</v>
      </c>
      <c r="AL7" s="409">
        <f>'Levelized Cost Summary'!AK8</f>
        <v>218.62810682322277</v>
      </c>
      <c r="AM7" s="409">
        <f>'Levelized Cost Summary'!AL8</f>
        <v>223.43792517333372</v>
      </c>
      <c r="AN7" s="409">
        <f>'Levelized Cost Summary'!AM8</f>
        <v>228.35355952714707</v>
      </c>
      <c r="AO7" s="409">
        <f>'Levelized Cost Summary'!AN8</f>
        <v>233.3773378367442</v>
      </c>
      <c r="AP7" s="409">
        <f>'Levelized Cost Summary'!AO8</f>
        <v>238.51163926915268</v>
      </c>
      <c r="AQ7" s="409">
        <f>'Levelized Cost Summary'!AP8</f>
        <v>243.75889533307401</v>
      </c>
      <c r="AR7" s="409">
        <f>'Levelized Cost Summary'!AQ8</f>
        <v>249.12159103040159</v>
      </c>
      <c r="AS7" s="409">
        <f>'Levelized Cost Summary'!AR8</f>
        <v>254.60226603307058</v>
      </c>
      <c r="AT7" s="409">
        <f>'Levelized Cost Summary'!AS8</f>
        <v>260.20351588579808</v>
      </c>
      <c r="AU7" s="409">
        <f>'Levelized Cost Summary'!AT8</f>
        <v>265.92799323528556</v>
      </c>
      <c r="AV7" s="409">
        <f>'Levelized Cost Summary'!AU8</f>
        <v>271.77840908646203</v>
      </c>
      <c r="AW7" s="409">
        <f>'Levelized Cost Summary'!AV8</f>
        <v>277.7575340863641</v>
      </c>
      <c r="AX7" s="409">
        <f>'Levelized Cost Summary'!AW8</f>
        <v>283.86819983626401</v>
      </c>
      <c r="AY7" s="409">
        <f>'Levelized Cost Summary'!AX8</f>
        <v>290.11330023266191</v>
      </c>
      <c r="AZ7" s="409">
        <f>'Levelized Cost Summary'!AY8</f>
        <v>296.49579283778036</v>
      </c>
    </row>
    <row r="8" spans="1:52">
      <c r="A8" s="38" t="s">
        <v>265</v>
      </c>
      <c r="B8" s="38" t="s">
        <v>266</v>
      </c>
      <c r="C8" s="407"/>
      <c r="D8" s="408">
        <v>0</v>
      </c>
      <c r="E8" s="409">
        <f>'Levelized Cost Summary'!E9</f>
        <v>123.42362054157678</v>
      </c>
      <c r="F8" s="409">
        <f>'Levelized Cost Summary'!F9</f>
        <v>125.6400678223942</v>
      </c>
      <c r="G8" s="409">
        <f>'Levelized Cost Summary'!G9</f>
        <v>127.76692847036539</v>
      </c>
      <c r="H8" s="409">
        <f>'Levelized Cost Summary'!H9</f>
        <v>129.92578700318504</v>
      </c>
      <c r="I8" s="409">
        <f>'Levelized Cost Summary'!I9</f>
        <v>132.11813883102906</v>
      </c>
      <c r="J8" s="409">
        <f>'Levelized Cost Summary'!J9</f>
        <v>134.30632571187132</v>
      </c>
      <c r="K8" s="409">
        <f>'Levelized Cost Summary'!K9</f>
        <v>136.52790146778904</v>
      </c>
      <c r="L8" s="409">
        <f>'Levelized Cost Summary'!L9</f>
        <v>138.78206110002844</v>
      </c>
      <c r="M8" s="409">
        <f>'Levelized Cost Summary'!M9</f>
        <v>141.06912771914241</v>
      </c>
      <c r="N8" s="409">
        <f>'Levelized Cost Summary'!N9</f>
        <v>143.01914544287331</v>
      </c>
      <c r="O8" s="409">
        <f>'Levelized Cost Summary'!O9</f>
        <v>152.18066948827411</v>
      </c>
      <c r="P8" s="409">
        <f>'Levelized Cost Summary'!P9</f>
        <v>157.9667535090866</v>
      </c>
      <c r="Q8" s="409">
        <f>'Levelized Cost Summary'!Q9</f>
        <v>167.67913411227838</v>
      </c>
      <c r="R8" s="409">
        <f>'Levelized Cost Summary'!R9</f>
        <v>170.01506202865255</v>
      </c>
      <c r="S8" s="409">
        <f>'Levelized Cost Summary'!S9</f>
        <v>172.34491017708308</v>
      </c>
      <c r="T8" s="409">
        <f>'Levelized Cost Summary'!T9</f>
        <v>174.6666395901577</v>
      </c>
      <c r="U8" s="409">
        <f>'Levelized Cost Summary'!U9</f>
        <v>176.97513244081694</v>
      </c>
      <c r="V8" s="409">
        <f>'Levelized Cost Summary'!V9</f>
        <v>179.26629246140618</v>
      </c>
      <c r="W8" s="409">
        <f>'Levelized Cost Summary'!W9</f>
        <v>181.53547956096472</v>
      </c>
      <c r="X8" s="409">
        <f>'Levelized Cost Summary'!X9</f>
        <v>183.77810023483005</v>
      </c>
      <c r="Y8" s="409">
        <f>'Levelized Cost Summary'!Y9</f>
        <v>185.98879044846967</v>
      </c>
      <c r="Z8" s="409">
        <f>'Levelized Cost Summary'!Z9</f>
        <v>188.16186104906791</v>
      </c>
      <c r="AA8" s="409">
        <f>'Levelized Cost Summary'!AA9</f>
        <v>190.29127563928739</v>
      </c>
      <c r="AB8" s="407"/>
      <c r="AC8" s="408">
        <v>0</v>
      </c>
      <c r="AD8" s="409">
        <v>0</v>
      </c>
      <c r="AE8" s="409">
        <v>0</v>
      </c>
      <c r="AF8" s="409">
        <v>0</v>
      </c>
      <c r="AG8" s="409">
        <v>0</v>
      </c>
      <c r="AH8" s="409">
        <v>0</v>
      </c>
      <c r="AI8" s="409">
        <v>0</v>
      </c>
      <c r="AJ8" s="409">
        <v>0</v>
      </c>
      <c r="AK8" s="409">
        <v>0</v>
      </c>
      <c r="AL8" s="409">
        <v>0</v>
      </c>
      <c r="AM8" s="409">
        <v>0</v>
      </c>
      <c r="AN8" s="409">
        <v>0</v>
      </c>
      <c r="AO8" s="409">
        <v>0</v>
      </c>
      <c r="AP8" s="409">
        <v>0</v>
      </c>
      <c r="AQ8" s="409">
        <v>0</v>
      </c>
      <c r="AR8" s="409">
        <v>0</v>
      </c>
      <c r="AS8" s="409">
        <v>0</v>
      </c>
      <c r="AT8" s="409">
        <v>0</v>
      </c>
      <c r="AU8" s="409">
        <v>0</v>
      </c>
      <c r="AV8" s="409">
        <v>0</v>
      </c>
      <c r="AW8" s="409">
        <v>0</v>
      </c>
      <c r="AX8" s="409">
        <v>0</v>
      </c>
      <c r="AY8" s="409">
        <v>0</v>
      </c>
      <c r="AZ8" s="409">
        <v>0</v>
      </c>
    </row>
    <row r="9" spans="1:52">
      <c r="A9" s="38" t="s">
        <v>267</v>
      </c>
      <c r="B9" s="38" t="s">
        <v>268</v>
      </c>
      <c r="C9" s="407"/>
      <c r="D9" s="408">
        <v>0</v>
      </c>
      <c r="E9" s="409">
        <f>'Levelized Cost Summary'!E10</f>
        <v>44.808985938322863</v>
      </c>
      <c r="F9" s="409">
        <f>'Levelized Cost Summary'!F10</f>
        <v>43.645660965487522</v>
      </c>
      <c r="G9" s="409">
        <f>'Levelized Cost Summary'!G10</f>
        <v>42.351248474471163</v>
      </c>
      <c r="H9" s="409">
        <f>'Levelized Cost Summary'!H10</f>
        <v>40.981288694943196</v>
      </c>
      <c r="I9" s="409">
        <f>'Levelized Cost Summary'!I10</f>
        <v>38.455376989167291</v>
      </c>
      <c r="J9" s="409">
        <f>'Levelized Cost Summary'!J10</f>
        <v>35.881561361714084</v>
      </c>
      <c r="K9" s="409">
        <f>'Levelized Cost Summary'!K10</f>
        <v>33.274869493464678</v>
      </c>
      <c r="L9" s="409">
        <f>'Levelized Cost Summary'!L10</f>
        <v>30.635088449499367</v>
      </c>
      <c r="M9" s="409">
        <f>'Levelized Cost Summary'!M10</f>
        <v>30.677357471281692</v>
      </c>
      <c r="N9" s="409">
        <f>'Levelized Cost Summary'!N10</f>
        <v>30.182825825372174</v>
      </c>
      <c r="O9" s="409">
        <f>'Levelized Cost Summary'!O10</f>
        <v>42.062865146116536</v>
      </c>
      <c r="P9" s="409">
        <f>'Levelized Cost Summary'!P10</f>
        <v>48.076007690632494</v>
      </c>
      <c r="Q9" s="409">
        <f>'Levelized Cost Summary'!Q10</f>
        <v>60.801768801473642</v>
      </c>
      <c r="R9" s="409">
        <f>'Levelized Cost Summary'!R10</f>
        <v>60.767767296478013</v>
      </c>
      <c r="S9" s="409">
        <f>'Levelized Cost Summary'!S10</f>
        <v>60.674957711836676</v>
      </c>
      <c r="T9" s="409">
        <f>'Levelized Cost Summary'!T10</f>
        <v>60.518614586659467</v>
      </c>
      <c r="U9" s="409">
        <f>'Levelized Cost Summary'!U10</f>
        <v>60.293681278057889</v>
      </c>
      <c r="V9" s="409">
        <f>'Levelized Cost Summary'!V10</f>
        <v>59.994737152354055</v>
      </c>
      <c r="W9" s="409">
        <f>'Levelized Cost Summary'!W10</f>
        <v>59.615971251087281</v>
      </c>
      <c r="X9" s="409">
        <f>'Levelized Cost Summary'!X10</f>
        <v>59.151154028740095</v>
      </c>
      <c r="Y9" s="409">
        <f>'Levelized Cost Summary'!Y10</f>
        <v>58.593607024492655</v>
      </c>
      <c r="Z9" s="409">
        <f>'Levelized Cost Summary'!Z10</f>
        <v>57.936170314809516</v>
      </c>
      <c r="AA9" s="409">
        <f>'Levelized Cost Summary'!AA10</f>
        <v>57.17116758764643</v>
      </c>
      <c r="AB9" s="407"/>
      <c r="AC9" s="408">
        <v>0</v>
      </c>
      <c r="AD9" s="409">
        <v>0</v>
      </c>
      <c r="AE9" s="409">
        <v>0</v>
      </c>
      <c r="AF9" s="409">
        <v>0</v>
      </c>
      <c r="AG9" s="409">
        <v>0</v>
      </c>
      <c r="AH9" s="409">
        <v>0</v>
      </c>
      <c r="AI9" s="409">
        <v>0</v>
      </c>
      <c r="AJ9" s="409">
        <v>0</v>
      </c>
      <c r="AK9" s="409">
        <v>0</v>
      </c>
      <c r="AL9" s="409">
        <v>0</v>
      </c>
      <c r="AM9" s="409">
        <v>0</v>
      </c>
      <c r="AN9" s="409">
        <v>0</v>
      </c>
      <c r="AO9" s="409">
        <v>0</v>
      </c>
      <c r="AP9" s="409">
        <v>0</v>
      </c>
      <c r="AQ9" s="409">
        <v>0</v>
      </c>
      <c r="AR9" s="409">
        <v>0</v>
      </c>
      <c r="AS9" s="409">
        <v>0</v>
      </c>
      <c r="AT9" s="409">
        <v>0</v>
      </c>
      <c r="AU9" s="409">
        <v>0</v>
      </c>
      <c r="AV9" s="409">
        <v>0</v>
      </c>
      <c r="AW9" s="409">
        <v>0</v>
      </c>
      <c r="AX9" s="409">
        <v>0</v>
      </c>
      <c r="AY9" s="409">
        <v>0</v>
      </c>
      <c r="AZ9" s="409">
        <v>0</v>
      </c>
    </row>
    <row r="10" spans="1:52">
      <c r="A10" s="38" t="s">
        <v>267</v>
      </c>
      <c r="B10" s="1" t="s">
        <v>5</v>
      </c>
      <c r="C10" s="407"/>
      <c r="D10" s="408">
        <v>0</v>
      </c>
      <c r="E10" s="409">
        <f>'Levelized Cost Summary'!E11</f>
        <v>49.230375147012445</v>
      </c>
      <c r="F10" s="409">
        <f>'Levelized Cost Summary'!F11</f>
        <v>48.225880650999365</v>
      </c>
      <c r="G10" s="409">
        <f>'Levelized Cost Summary'!G11</f>
        <v>47.089239270015185</v>
      </c>
      <c r="H10" s="409">
        <f>'Levelized Cost Summary'!H11</f>
        <v>45.881738491964541</v>
      </c>
      <c r="I10" s="409">
        <f>'Levelized Cost Summary'!I11</f>
        <v>43.441298773353658</v>
      </c>
      <c r="J10" s="409">
        <f>'Levelized Cost Summary'!J11</f>
        <v>40.951955543172865</v>
      </c>
      <c r="K10" s="409">
        <f>'Levelized Cost Summary'!K11</f>
        <v>38.430387547463411</v>
      </c>
      <c r="L10" s="409">
        <f>'Levelized Cost Summary'!L11</f>
        <v>35.876409922466429</v>
      </c>
      <c r="M10" s="409">
        <f>'Levelized Cost Summary'!M11</f>
        <v>36.042561295038887</v>
      </c>
      <c r="N10" s="409">
        <f>'Levelized Cost Summary'!N11</f>
        <v>35.687612922049226</v>
      </c>
      <c r="O10" s="409">
        <f>'Levelized Cost Summary'!O11</f>
        <v>47.711267413014752</v>
      </c>
      <c r="P10" s="409">
        <f>'Levelized Cost Summary'!P11</f>
        <v>53.872267070152624</v>
      </c>
      <c r="Q10" s="409">
        <f>'Levelized Cost Summary'!Q11</f>
        <v>66.750211196279935</v>
      </c>
      <c r="R10" s="409">
        <f>'Levelized Cost Summary'!R11</f>
        <v>66.872946210221798</v>
      </c>
      <c r="S10" s="409">
        <f>'Levelized Cost Summary'!S11</f>
        <v>66.941574716249463</v>
      </c>
      <c r="T10" s="409">
        <f>'Levelized Cost Summary'!T11</f>
        <v>66.951558866697539</v>
      </c>
      <c r="U10" s="409">
        <f>'Levelized Cost Summary'!U11</f>
        <v>66.898035334541234</v>
      </c>
      <c r="V10" s="409">
        <f>'Levelized Cost Summary'!V11</f>
        <v>66.775787054470001</v>
      </c>
      <c r="W10" s="409">
        <f>'Levelized Cost Summary'!W11</f>
        <v>66.579217837931395</v>
      </c>
      <c r="X10" s="409">
        <f>'Levelized Cost Summary'!X11</f>
        <v>66.302324656073196</v>
      </c>
      <c r="Y10" s="409">
        <f>'Levelized Cost Summary'!Y11</f>
        <v>65.938668074136132</v>
      </c>
      <c r="Z10" s="409">
        <f>'Levelized Cost Summary'!Z11</f>
        <v>65.481340526720217</v>
      </c>
      <c r="AA10" s="409">
        <f>'Levelized Cost Summary'!AA11</f>
        <v>64.922932270376165</v>
      </c>
      <c r="AB10" s="407"/>
      <c r="AC10" s="408">
        <v>0</v>
      </c>
      <c r="AD10" s="409">
        <v>0</v>
      </c>
      <c r="AE10" s="409">
        <v>0</v>
      </c>
      <c r="AF10" s="409">
        <v>0</v>
      </c>
      <c r="AG10" s="409">
        <v>0</v>
      </c>
      <c r="AH10" s="409">
        <v>0</v>
      </c>
      <c r="AI10" s="409">
        <v>0</v>
      </c>
      <c r="AJ10" s="409">
        <v>0</v>
      </c>
      <c r="AK10" s="409">
        <v>0</v>
      </c>
      <c r="AL10" s="409">
        <v>0</v>
      </c>
      <c r="AM10" s="409">
        <v>0</v>
      </c>
      <c r="AN10" s="409">
        <v>0</v>
      </c>
      <c r="AO10" s="409">
        <v>0</v>
      </c>
      <c r="AP10" s="409">
        <v>0</v>
      </c>
      <c r="AQ10" s="409">
        <v>0</v>
      </c>
      <c r="AR10" s="409">
        <v>0</v>
      </c>
      <c r="AS10" s="409">
        <v>0</v>
      </c>
      <c r="AT10" s="409">
        <v>0</v>
      </c>
      <c r="AU10" s="409">
        <v>0</v>
      </c>
      <c r="AV10" s="409">
        <v>0</v>
      </c>
      <c r="AW10" s="409">
        <v>0</v>
      </c>
      <c r="AX10" s="409">
        <v>0</v>
      </c>
      <c r="AY10" s="409">
        <v>0</v>
      </c>
      <c r="AZ10" s="409">
        <v>0</v>
      </c>
    </row>
    <row r="11" spans="1:52">
      <c r="A11" s="38" t="s">
        <v>267</v>
      </c>
      <c r="B11" s="38" t="s">
        <v>6</v>
      </c>
      <c r="C11" s="407"/>
      <c r="D11" s="408">
        <v>0</v>
      </c>
      <c r="E11" s="409">
        <f>'Levelized Cost Summary'!E12</f>
        <v>34.637505919817016</v>
      </c>
      <c r="F11" s="409">
        <f>'Levelized Cost Summary'!F12</f>
        <v>33.717392367760439</v>
      </c>
      <c r="G11" s="409">
        <f>'Levelized Cost Summary'!G12</f>
        <v>32.68946872628905</v>
      </c>
      <c r="H11" s="409">
        <f>'Levelized Cost Summary'!H12</f>
        <v>31.602195383154513</v>
      </c>
      <c r="I11" s="409">
        <f>'Levelized Cost Summary'!I12</f>
        <v>29.522212136246207</v>
      </c>
      <c r="J11" s="409">
        <f>'Levelized Cost Summary'!J12</f>
        <v>27.400543985769417</v>
      </c>
      <c r="K11" s="409">
        <f>'Levelized Cost Summary'!K12</f>
        <v>25.250379378016202</v>
      </c>
      <c r="L11" s="409">
        <f>'Levelized Cost Summary'!L12</f>
        <v>23.07148946216569</v>
      </c>
      <c r="M11" s="409">
        <f>'Levelized Cost Summary'!M12</f>
        <v>23.077574526091063</v>
      </c>
      <c r="N11" s="409">
        <f>'Levelized Cost Summary'!N12</f>
        <v>22.661366086814606</v>
      </c>
      <c r="O11" s="409">
        <f>'Levelized Cost Summary'!O12</f>
        <v>34.631285600130802</v>
      </c>
      <c r="P11" s="409">
        <f>'Levelized Cost Summary'!P12</f>
        <v>40.746729662261288</v>
      </c>
      <c r="Q11" s="409">
        <f>'Levelized Cost Summary'!Q12</f>
        <v>53.588018022369702</v>
      </c>
      <c r="R11" s="409">
        <f>'Levelized Cost Summary'!R12</f>
        <v>53.68375114823381</v>
      </c>
      <c r="S11" s="409">
        <f>'Levelized Cost Summary'!S12</f>
        <v>53.73587184629023</v>
      </c>
      <c r="T11" s="409">
        <f>'Levelized Cost Summary'!T12</f>
        <v>53.740718273509309</v>
      </c>
      <c r="U11" s="409">
        <f>'Levelized Cost Summary'!U12</f>
        <v>53.694374064344203</v>
      </c>
      <c r="V11" s="409">
        <f>'Levelized Cost Summary'!V12</f>
        <v>53.592638085528904</v>
      </c>
      <c r="W11" s="409">
        <f>'Levelized Cost Summary'!W12</f>
        <v>53.43100397387385</v>
      </c>
      <c r="X11" s="409">
        <f>'Levelized Cost Summary'!X12</f>
        <v>53.204637826874105</v>
      </c>
      <c r="Y11" s="409">
        <f>'Levelized Cost Summary'!Y12</f>
        <v>52.908354404608467</v>
      </c>
      <c r="Z11" s="409">
        <f>'Levelized Cost Summary'!Z12</f>
        <v>52.536591590832792</v>
      </c>
      <c r="AA11" s="409">
        <f>'Levelized Cost Summary'!AA12</f>
        <v>52.083382983860091</v>
      </c>
      <c r="AB11" s="407"/>
      <c r="AC11" s="408">
        <v>0</v>
      </c>
      <c r="AD11" s="409">
        <v>0</v>
      </c>
      <c r="AE11" s="409">
        <v>0</v>
      </c>
      <c r="AF11" s="409">
        <v>0</v>
      </c>
      <c r="AG11" s="409">
        <v>0</v>
      </c>
      <c r="AH11" s="409">
        <v>0</v>
      </c>
      <c r="AI11" s="409">
        <v>0</v>
      </c>
      <c r="AJ11" s="409">
        <v>0</v>
      </c>
      <c r="AK11" s="409">
        <v>0</v>
      </c>
      <c r="AL11" s="409">
        <v>0</v>
      </c>
      <c r="AM11" s="409">
        <v>0</v>
      </c>
      <c r="AN11" s="409">
        <v>0</v>
      </c>
      <c r="AO11" s="409">
        <v>0</v>
      </c>
      <c r="AP11" s="409">
        <v>0</v>
      </c>
      <c r="AQ11" s="409">
        <v>0</v>
      </c>
      <c r="AR11" s="409">
        <v>0</v>
      </c>
      <c r="AS11" s="409">
        <v>0</v>
      </c>
      <c r="AT11" s="409">
        <v>0</v>
      </c>
      <c r="AU11" s="409">
        <v>0</v>
      </c>
      <c r="AV11" s="409">
        <v>0</v>
      </c>
      <c r="AW11" s="409">
        <v>0</v>
      </c>
      <c r="AX11" s="409">
        <v>0</v>
      </c>
      <c r="AY11" s="409">
        <v>0</v>
      </c>
      <c r="AZ11" s="409">
        <v>0</v>
      </c>
    </row>
    <row r="12" spans="1:52">
      <c r="A12" s="38" t="s">
        <v>267</v>
      </c>
      <c r="B12" s="38" t="s">
        <v>269</v>
      </c>
      <c r="C12" s="407"/>
      <c r="D12" s="408">
        <v>0</v>
      </c>
      <c r="E12" s="409">
        <f>'Levelized Cost Summary'!E13</f>
        <v>128.27477932132945</v>
      </c>
      <c r="F12" s="409">
        <f>'Levelized Cost Summary'!F13</f>
        <v>126.09674008801613</v>
      </c>
      <c r="G12" s="409">
        <f>'Levelized Cost Summary'!G13</f>
        <v>124.41987348393539</v>
      </c>
      <c r="H12" s="409">
        <f>'Levelized Cost Summary'!H13</f>
        <v>123.1952398739468</v>
      </c>
      <c r="I12" s="409">
        <f>'Levelized Cost Summary'!I13</f>
        <v>122.30512885654335</v>
      </c>
      <c r="J12" s="409">
        <f>'Levelized Cost Summary'!J13</f>
        <v>121.63315267159105</v>
      </c>
      <c r="K12" s="409">
        <f>'Levelized Cost Summary'!K13</f>
        <v>121.16721467529588</v>
      </c>
      <c r="L12" s="409">
        <f>'Levelized Cost Summary'!L13</f>
        <v>120.87004436130501</v>
      </c>
      <c r="M12" s="409">
        <f>'Levelized Cost Summary'!M13</f>
        <v>121.30539132832925</v>
      </c>
      <c r="N12" s="409">
        <f>'Levelized Cost Summary'!N13</f>
        <v>121.1866745413914</v>
      </c>
      <c r="O12" s="409">
        <f>'Levelized Cost Summary'!O13</f>
        <v>132.8439422368547</v>
      </c>
      <c r="P12" s="409">
        <f>'Levelized Cost Summary'!P13</f>
        <v>139.05900122556065</v>
      </c>
      <c r="Q12" s="409">
        <f>'Levelized Cost Summary'!Q13</f>
        <v>151.68727428070795</v>
      </c>
      <c r="R12" s="409">
        <f>'Levelized Cost Summary'!R13</f>
        <v>152.35367823521952</v>
      </c>
      <c r="S12" s="409">
        <f>'Levelized Cost Summary'!S13</f>
        <v>153.031047100899</v>
      </c>
      <c r="T12" s="409">
        <f>'Levelized Cost Summary'!T13</f>
        <v>153.70893482299925</v>
      </c>
      <c r="U12" s="409">
        <f>'Levelized Cost Summary'!U13</f>
        <v>154.37733084701475</v>
      </c>
      <c r="V12" s="409">
        <f>'Levelized Cost Summary'!V13</f>
        <v>155.02646310858842</v>
      </c>
      <c r="W12" s="409">
        <f>'Levelized Cost Summary'!W13</f>
        <v>155.64663658150786</v>
      </c>
      <c r="X12" s="409">
        <f>'Levelized Cost Summary'!X13</f>
        <v>156.22809796881992</v>
      </c>
      <c r="Y12" s="409">
        <f>'Levelized Cost Summary'!Y13</f>
        <v>156.76091904989019</v>
      </c>
      <c r="Z12" s="409">
        <f>'Levelized Cost Summary'!Z13</f>
        <v>157.23489326552723</v>
      </c>
      <c r="AA12" s="409">
        <f>'Levelized Cost Summary'!AA13</f>
        <v>157.63944154534607</v>
      </c>
      <c r="AB12" s="407"/>
      <c r="AC12" s="408">
        <v>0</v>
      </c>
      <c r="AD12" s="409">
        <v>0</v>
      </c>
      <c r="AE12" s="409">
        <v>0</v>
      </c>
      <c r="AF12" s="409">
        <v>0</v>
      </c>
      <c r="AG12" s="409"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v>0</v>
      </c>
      <c r="AN12" s="409">
        <v>0</v>
      </c>
      <c r="AO12" s="409">
        <v>0</v>
      </c>
      <c r="AP12" s="409">
        <v>0</v>
      </c>
      <c r="AQ12" s="409">
        <v>0</v>
      </c>
      <c r="AR12" s="409">
        <v>0</v>
      </c>
      <c r="AS12" s="409">
        <v>0</v>
      </c>
      <c r="AT12" s="409">
        <v>0</v>
      </c>
      <c r="AU12" s="409">
        <v>0</v>
      </c>
      <c r="AV12" s="409">
        <v>0</v>
      </c>
      <c r="AW12" s="409">
        <v>0</v>
      </c>
      <c r="AX12" s="409">
        <v>0</v>
      </c>
      <c r="AY12" s="409">
        <v>0</v>
      </c>
      <c r="AZ12" s="409">
        <v>0</v>
      </c>
    </row>
    <row r="13" spans="1:52">
      <c r="A13" s="38" t="s">
        <v>270</v>
      </c>
      <c r="B13" s="38" t="s">
        <v>130</v>
      </c>
      <c r="C13" s="407"/>
      <c r="D13" s="408">
        <v>0</v>
      </c>
      <c r="E13" s="465">
        <f>MIN('Levelized Cost Summary'!E14,'Levelized Cost Summary'!E27)</f>
        <v>145.60156147837293</v>
      </c>
      <c r="F13" s="465">
        <f>MIN('Levelized Cost Summary'!F14,'Levelized Cost Summary'!F27)</f>
        <v>147.93419063180869</v>
      </c>
      <c r="G13" s="465">
        <f>MIN('Levelized Cost Summary'!G14,'Levelized Cost Summary'!G27)</f>
        <v>150.23333568773643</v>
      </c>
      <c r="H13" s="465">
        <f>MIN('Levelized Cost Summary'!H14,'Levelized Cost Summary'!H27)</f>
        <v>152.66339970515989</v>
      </c>
      <c r="I13" s="465">
        <f>MIN('Levelized Cost Summary'!I14,'Levelized Cost Summary'!I27)</f>
        <v>155.23608202701462</v>
      </c>
      <c r="J13" s="465">
        <f>MIN('Levelized Cost Summary'!J14,'Levelized Cost Summary'!J27)</f>
        <v>157.91697653093988</v>
      </c>
      <c r="K13" s="465">
        <f>MIN('Levelized Cost Summary'!K14,'Levelized Cost Summary'!K27)</f>
        <v>160.76539303948769</v>
      </c>
      <c r="L13" s="465">
        <f>MIN('Levelized Cost Summary'!L14,'Levelized Cost Summary'!L27)</f>
        <v>163.79604370438966</v>
      </c>
      <c r="M13" s="465">
        <f>MIN('Levelized Cost Summary'!M14,'Levelized Cost Summary'!M27)</f>
        <v>167.06321376210585</v>
      </c>
      <c r="N13" s="465">
        <f>MIN('Levelized Cost Summary'!N14,'Levelized Cost Summary'!N27)</f>
        <v>170.02613664671736</v>
      </c>
      <c r="O13" s="465">
        <f>MIN('Levelized Cost Summary'!O14,'Levelized Cost Summary'!O27)</f>
        <v>187.50185814946525</v>
      </c>
      <c r="P13" s="465">
        <f>MIN('Levelized Cost Summary'!P14,'Levelized Cost Summary'!P27)</f>
        <v>205.61106817816622</v>
      </c>
      <c r="Q13" s="465">
        <f>MIN('Levelized Cost Summary'!Q14,'Levelized Cost Summary'!Q27)</f>
        <v>322.95330444703126</v>
      </c>
      <c r="R13" s="465">
        <f>MIN('Levelized Cost Summary'!R14,'Levelized Cost Summary'!R27)</f>
        <v>329.02795927202072</v>
      </c>
      <c r="S13" s="465">
        <f>MIN('Levelized Cost Summary'!S14,'Levelized Cost Summary'!S27)</f>
        <v>335.1952372032336</v>
      </c>
      <c r="T13" s="465">
        <f>MIN('Levelized Cost Summary'!T14,'Levelized Cost Summary'!T27)</f>
        <v>341.4548268067756</v>
      </c>
      <c r="U13" s="465">
        <f>MIN('Levelized Cost Summary'!U14,'Levelized Cost Summary'!U27)</f>
        <v>347.80625059103266</v>
      </c>
      <c r="V13" s="465">
        <f>MIN('Levelized Cost Summary'!V14,'Levelized Cost Summary'!V27)</f>
        <v>354.2488490866769</v>
      </c>
      <c r="W13" s="465">
        <f>MIN('Levelized Cost Summary'!W14,'Levelized Cost Summary'!W27)</f>
        <v>360.78176446403955</v>
      </c>
      <c r="X13" s="465">
        <f>MIN('Levelized Cost Summary'!X14,'Levelized Cost Summary'!X27)</f>
        <v>367.40392288259926</v>
      </c>
      <c r="Y13" s="465">
        <f>MIN('Levelized Cost Summary'!Y14,'Levelized Cost Summary'!Y27)</f>
        <v>374.11401547724483</v>
      </c>
      <c r="Z13" s="465">
        <f>MIN('Levelized Cost Summary'!Z14,'Levelized Cost Summary'!Z27)</f>
        <v>380.91047787993188</v>
      </c>
      <c r="AA13" s="465">
        <f>MIN('Levelized Cost Summary'!AA14,'Levelized Cost Summary'!AA27)</f>
        <v>387.79146816741394</v>
      </c>
      <c r="AB13" s="407"/>
      <c r="AC13" s="408">
        <v>0</v>
      </c>
      <c r="AD13" s="409">
        <v>0</v>
      </c>
      <c r="AE13" s="409">
        <v>0</v>
      </c>
      <c r="AF13" s="409">
        <v>0</v>
      </c>
      <c r="AG13" s="409">
        <v>0</v>
      </c>
      <c r="AH13" s="409">
        <v>0</v>
      </c>
      <c r="AI13" s="409">
        <v>0</v>
      </c>
      <c r="AJ13" s="409">
        <v>0</v>
      </c>
      <c r="AK13" s="409">
        <v>0</v>
      </c>
      <c r="AL13" s="409">
        <v>0</v>
      </c>
      <c r="AM13" s="409">
        <v>0</v>
      </c>
      <c r="AN13" s="409">
        <v>0</v>
      </c>
      <c r="AO13" s="409">
        <v>0</v>
      </c>
      <c r="AP13" s="409">
        <v>0</v>
      </c>
      <c r="AQ13" s="409">
        <v>0</v>
      </c>
      <c r="AR13" s="409">
        <v>0</v>
      </c>
      <c r="AS13" s="409">
        <v>0</v>
      </c>
      <c r="AT13" s="409">
        <v>0</v>
      </c>
      <c r="AU13" s="409">
        <v>0</v>
      </c>
      <c r="AV13" s="409">
        <v>0</v>
      </c>
      <c r="AW13" s="409">
        <v>0</v>
      </c>
      <c r="AX13" s="409">
        <v>0</v>
      </c>
      <c r="AY13" s="409">
        <v>0</v>
      </c>
      <c r="AZ13" s="409">
        <v>0</v>
      </c>
    </row>
    <row r="14" spans="1:52">
      <c r="A14" s="38" t="s">
        <v>271</v>
      </c>
      <c r="B14" s="38" t="s">
        <v>272</v>
      </c>
      <c r="C14" s="407"/>
      <c r="D14" s="408">
        <v>0</v>
      </c>
      <c r="E14" s="465">
        <v>0</v>
      </c>
      <c r="F14" s="465">
        <v>0</v>
      </c>
      <c r="G14" s="465">
        <v>0</v>
      </c>
      <c r="H14" s="465">
        <v>0</v>
      </c>
      <c r="I14" s="465">
        <v>0</v>
      </c>
      <c r="J14" s="465">
        <v>0</v>
      </c>
      <c r="K14" s="465">
        <v>0</v>
      </c>
      <c r="L14" s="465">
        <v>0</v>
      </c>
      <c r="M14" s="465">
        <v>0</v>
      </c>
      <c r="N14" s="465">
        <v>0</v>
      </c>
      <c r="O14" s="465">
        <v>0</v>
      </c>
      <c r="P14" s="465">
        <v>0</v>
      </c>
      <c r="Q14" s="465">
        <v>0</v>
      </c>
      <c r="R14" s="465">
        <v>0</v>
      </c>
      <c r="S14" s="465">
        <v>0</v>
      </c>
      <c r="T14" s="465">
        <v>0</v>
      </c>
      <c r="U14" s="465">
        <v>0</v>
      </c>
      <c r="V14" s="465">
        <v>0</v>
      </c>
      <c r="W14" s="465">
        <v>0</v>
      </c>
      <c r="X14" s="465">
        <v>0</v>
      </c>
      <c r="Y14" s="465">
        <v>0</v>
      </c>
      <c r="Z14" s="465">
        <v>0</v>
      </c>
      <c r="AA14" s="465">
        <v>0</v>
      </c>
      <c r="AB14" s="407"/>
      <c r="AC14" s="408">
        <v>0</v>
      </c>
      <c r="AD14" s="409">
        <f>MIN('Levelized Cost Summary'!AC15,'Levelized Cost Summary'!AC28)</f>
        <v>255.33106739677854</v>
      </c>
      <c r="AE14" s="409">
        <f>MIN('Levelized Cost Summary'!AD15,'Levelized Cost Summary'!AD28)</f>
        <v>259.37290410038923</v>
      </c>
      <c r="AF14" s="409">
        <f>MIN('Levelized Cost Summary'!AE15,'Levelized Cost Summary'!AE28)</f>
        <v>263.64635682927849</v>
      </c>
      <c r="AG14" s="409">
        <f>MIN('Levelized Cost Summary'!AF15,'Levelized Cost Summary'!AF28)</f>
        <v>268.3196098997571</v>
      </c>
      <c r="AH14" s="409">
        <f>MIN('Levelized Cost Summary'!AG15,'Levelized Cost Summary'!AG28)</f>
        <v>273.19393197783813</v>
      </c>
      <c r="AI14" s="409">
        <f>MIN('Levelized Cost Summary'!AH15,'Levelized Cost Summary'!AH28)</f>
        <v>278.21042889398103</v>
      </c>
      <c r="AJ14" s="409">
        <f>MIN('Levelized Cost Summary'!AI15,'Levelized Cost Summary'!AI28)</f>
        <v>283.3956268610944</v>
      </c>
      <c r="AK14" s="409">
        <f>MIN('Levelized Cost Summary'!AJ15,'Levelized Cost Summary'!AJ28)</f>
        <v>288.75171280685663</v>
      </c>
      <c r="AL14" s="409">
        <f>MIN('Levelized Cost Summary'!AK15,'Levelized Cost Summary'!AK28)</f>
        <v>294.26998144671768</v>
      </c>
      <c r="AM14" s="409">
        <f>MIN('Levelized Cost Summary'!AL15,'Levelized Cost Summary'!AL28)</f>
        <v>298.44078740043835</v>
      </c>
      <c r="AN14" s="409">
        <f>MIN('Levelized Cost Summary'!AM15,'Levelized Cost Summary'!AM28)</f>
        <v>316.83505113692632</v>
      </c>
      <c r="AO14" s="409">
        <f>MIN('Levelized Cost Summary'!AN15,'Levelized Cost Summary'!AN28)</f>
        <v>335.8394971246243</v>
      </c>
      <c r="AP14" s="409">
        <f>MIN('Levelized Cost Summary'!AO15,'Levelized Cost Summary'!AO28)</f>
        <v>452.63868769788814</v>
      </c>
      <c r="AQ14" s="409">
        <f>MIN('Levelized Cost Summary'!AP15,'Levelized Cost Summary'!AP28)</f>
        <v>459.84892497320209</v>
      </c>
      <c r="AR14" s="409">
        <f>MIN('Levelized Cost Summary'!AQ15,'Levelized Cost Summary'!AQ28)</f>
        <v>467.08938016963589</v>
      </c>
      <c r="AS14" s="409">
        <f>MIN('Levelized Cost Summary'!AR15,'Levelized Cost Summary'!AR28)</f>
        <v>474.35268586329437</v>
      </c>
      <c r="AT14" s="409">
        <f>MIN('Levelized Cost Summary'!AS15,'Levelized Cost Summary'!AS28)</f>
        <v>481.63085589965448</v>
      </c>
      <c r="AU14" s="409">
        <f>MIN('Levelized Cost Summary'!AT15,'Levelized Cost Summary'!AT28)</f>
        <v>488.91513014149166</v>
      </c>
      <c r="AV14" s="409">
        <f>MIN('Levelized Cost Summary'!AU15,'Levelized Cost Summary'!AU28)</f>
        <v>496.19591339855981</v>
      </c>
      <c r="AW14" s="409">
        <f>MIN('Levelized Cost Summary'!AV15,'Levelized Cost Summary'!AV28)</f>
        <v>503.46270977250026</v>
      </c>
      <c r="AX14" s="409">
        <f>MIN('Levelized Cost Summary'!AW15,'Levelized Cost Summary'!AW28)</f>
        <v>510.70405196876214</v>
      </c>
      <c r="AY14" s="409">
        <f>MIN('Levelized Cost Summary'!AX15,'Levelized Cost Summary'!AX28)</f>
        <v>517.90742531711237</v>
      </c>
      <c r="AZ14" s="409">
        <f>MIN('Levelized Cost Summary'!AY15,'Levelized Cost Summary'!AY28)</f>
        <v>525.05918600239477</v>
      </c>
    </row>
    <row r="15" spans="1:52">
      <c r="A15" s="38" t="s">
        <v>270</v>
      </c>
      <c r="B15" s="38" t="s">
        <v>131</v>
      </c>
      <c r="C15" s="407"/>
      <c r="D15" s="408">
        <v>0</v>
      </c>
      <c r="E15" s="465">
        <f>MIN('Levelized Cost Summary'!E16,'Levelized Cost Summary'!E29)</f>
        <v>157.27838138409012</v>
      </c>
      <c r="F15" s="465">
        <f>MIN('Levelized Cost Summary'!F16,'Levelized Cost Summary'!F29)</f>
        <v>159.86733712095472</v>
      </c>
      <c r="G15" s="465">
        <f>MIN('Levelized Cost Summary'!G16,'Levelized Cost Summary'!G29)</f>
        <v>162.41428755858183</v>
      </c>
      <c r="H15" s="465">
        <f>MIN('Levelized Cost Summary'!H16,'Levelized Cost Summary'!H29)</f>
        <v>165.09733232863783</v>
      </c>
      <c r="I15" s="465">
        <f>MIN('Levelized Cost Summary'!I16,'Levelized Cost Summary'!I29)</f>
        <v>167.92827917774616</v>
      </c>
      <c r="J15" s="465">
        <f>MIN('Levelized Cost Summary'!J16,'Levelized Cost Summary'!J29)</f>
        <v>170.86860853246549</v>
      </c>
      <c r="K15" s="465">
        <f>MIN('Levelized Cost Summary'!K16,'Levelized Cost Summary'!K29)</f>
        <v>173.98179369808562</v>
      </c>
      <c r="L15" s="465">
        <f>MIN('Levelized Cost Summary'!L16,'Levelized Cost Summary'!L29)</f>
        <v>177.28265695888757</v>
      </c>
      <c r="M15" s="465">
        <f>MIN('Levelized Cost Summary'!M16,'Levelized Cost Summary'!M29)</f>
        <v>180.82875842659925</v>
      </c>
      <c r="N15" s="465">
        <f>MIN('Levelized Cost Summary'!N16,'Levelized Cost Summary'!N29)</f>
        <v>184.0764050733728</v>
      </c>
      <c r="O15" s="465">
        <f>MIN('Levelized Cost Summary'!O16,'Levelized Cost Summary'!O29)</f>
        <v>203.14202611656995</v>
      </c>
      <c r="P15" s="465">
        <f>MIN('Levelized Cost Summary'!P16,'Levelized Cost Summary'!P29)</f>
        <v>222.90086438665853</v>
      </c>
      <c r="Q15" s="465">
        <f>MIN('Levelized Cost Summary'!Q16,'Levelized Cost Summary'!Q29)</f>
        <v>350.8014580474993</v>
      </c>
      <c r="R15" s="465">
        <f>MIN('Levelized Cost Summary'!R16,'Levelized Cost Summary'!R29)</f>
        <v>357.45230616616294</v>
      </c>
      <c r="S15" s="465">
        <f>MIN('Levelized Cost Summary'!S16,'Levelized Cost Summary'!S29)</f>
        <v>364.20774673734246</v>
      </c>
      <c r="T15" s="465">
        <f>MIN('Levelized Cost Summary'!T16,'Levelized Cost Summary'!T29)</f>
        <v>371.06771785758889</v>
      </c>
      <c r="U15" s="465">
        <f>MIN('Levelized Cost Summary'!U16,'Levelized Cost Summary'!U29)</f>
        <v>378.03199675142054</v>
      </c>
      <c r="V15" s="465">
        <f>MIN('Levelized Cost Summary'!V16,'Levelized Cost Summary'!V29)</f>
        <v>385.10018399148856</v>
      </c>
      <c r="W15" s="465">
        <f>MIN('Levelized Cost Summary'!W16,'Levelized Cost Summary'!W29)</f>
        <v>392.27168722761672</v>
      </c>
      <c r="X15" s="465">
        <f>MIN('Levelized Cost Summary'!X16,'Levelized Cost Summary'!X29)</f>
        <v>399.54570365025506</v>
      </c>
      <c r="Y15" s="465">
        <f>MIN('Levelized Cost Summary'!Y16,'Levelized Cost Summary'!Y29)</f>
        <v>406.92120109308723</v>
      </c>
      <c r="Z15" s="465">
        <f>MIN('Levelized Cost Summary'!Z16,'Levelized Cost Summary'!Z29)</f>
        <v>414.39689767369856</v>
      </c>
      <c r="AA15" s="465">
        <f>MIN('Levelized Cost Summary'!AA16,'Levelized Cost Summary'!AA29)</f>
        <v>421.97123986246004</v>
      </c>
      <c r="AB15" s="407"/>
      <c r="AC15" s="408">
        <v>0</v>
      </c>
      <c r="AD15" s="409">
        <v>0</v>
      </c>
      <c r="AE15" s="409">
        <v>0</v>
      </c>
      <c r="AF15" s="409">
        <v>0</v>
      </c>
      <c r="AG15" s="409">
        <v>0</v>
      </c>
      <c r="AH15" s="409">
        <v>0</v>
      </c>
      <c r="AI15" s="409">
        <v>0</v>
      </c>
      <c r="AJ15" s="409">
        <v>0</v>
      </c>
      <c r="AK15" s="409">
        <v>0</v>
      </c>
      <c r="AL15" s="409">
        <v>0</v>
      </c>
      <c r="AM15" s="409">
        <v>0</v>
      </c>
      <c r="AN15" s="409">
        <v>0</v>
      </c>
      <c r="AO15" s="409">
        <v>0</v>
      </c>
      <c r="AP15" s="409">
        <v>0</v>
      </c>
      <c r="AQ15" s="409">
        <v>0</v>
      </c>
      <c r="AR15" s="409">
        <v>0</v>
      </c>
      <c r="AS15" s="409">
        <v>0</v>
      </c>
      <c r="AT15" s="409">
        <v>0</v>
      </c>
      <c r="AU15" s="409">
        <v>0</v>
      </c>
      <c r="AV15" s="409">
        <v>0</v>
      </c>
      <c r="AW15" s="409">
        <v>0</v>
      </c>
      <c r="AX15" s="409">
        <v>0</v>
      </c>
      <c r="AY15" s="409">
        <v>0</v>
      </c>
      <c r="AZ15" s="409">
        <v>0</v>
      </c>
    </row>
    <row r="16" spans="1:52">
      <c r="A16" s="38" t="s">
        <v>271</v>
      </c>
      <c r="B16" s="38" t="s">
        <v>273</v>
      </c>
      <c r="C16" s="407"/>
      <c r="D16" s="408">
        <v>0</v>
      </c>
      <c r="E16" s="465">
        <v>0</v>
      </c>
      <c r="F16" s="465">
        <v>0</v>
      </c>
      <c r="G16" s="465">
        <v>0</v>
      </c>
      <c r="H16" s="465">
        <v>0</v>
      </c>
      <c r="I16" s="465">
        <v>0</v>
      </c>
      <c r="J16" s="465">
        <v>0</v>
      </c>
      <c r="K16" s="465">
        <v>0</v>
      </c>
      <c r="L16" s="465">
        <v>0</v>
      </c>
      <c r="M16" s="465">
        <v>0</v>
      </c>
      <c r="N16" s="465">
        <v>0</v>
      </c>
      <c r="O16" s="465">
        <v>0</v>
      </c>
      <c r="P16" s="465">
        <v>0</v>
      </c>
      <c r="Q16" s="465">
        <v>0</v>
      </c>
      <c r="R16" s="465">
        <v>0</v>
      </c>
      <c r="S16" s="465">
        <v>0</v>
      </c>
      <c r="T16" s="465">
        <v>0</v>
      </c>
      <c r="U16" s="465">
        <v>0</v>
      </c>
      <c r="V16" s="465">
        <v>0</v>
      </c>
      <c r="W16" s="465">
        <v>0</v>
      </c>
      <c r="X16" s="465">
        <v>0</v>
      </c>
      <c r="Y16" s="465">
        <v>0</v>
      </c>
      <c r="Z16" s="465">
        <v>0</v>
      </c>
      <c r="AA16" s="465">
        <v>0</v>
      </c>
      <c r="AB16" s="407"/>
      <c r="AC16" s="408">
        <v>0</v>
      </c>
      <c r="AD16" s="409">
        <f>MIN('Levelized Cost Summary'!AC17,'Levelized Cost Summary'!AC30)</f>
        <v>270.57901224128233</v>
      </c>
      <c r="AE16" s="409">
        <f>MIN('Levelized Cost Summary'!AD17,'Levelized Cost Summary'!AD30)</f>
        <v>274.9710697586458</v>
      </c>
      <c r="AF16" s="409">
        <f>MIN('Levelized Cost Summary'!AE17,'Levelized Cost Summary'!AE30)</f>
        <v>279.59099092621659</v>
      </c>
      <c r="AG16" s="409">
        <f>MIN('Levelized Cost Summary'!AF17,'Levelized Cost Summary'!AF30)</f>
        <v>284.61840839733418</v>
      </c>
      <c r="AH16" s="409">
        <f>MIN('Levelized Cost Summary'!AG17,'Levelized Cost Summary'!AG30)</f>
        <v>289.85476211210403</v>
      </c>
      <c r="AI16" s="409">
        <f>MIN('Levelized Cost Summary'!AH17,'Levelized Cost Summary'!AH30)</f>
        <v>295.2377973777929</v>
      </c>
      <c r="AJ16" s="409">
        <f>MIN('Levelized Cost Summary'!AI17,'Levelized Cost Summary'!AI30)</f>
        <v>300.79759748074389</v>
      </c>
      <c r="AK16" s="409">
        <f>MIN('Levelized Cost Summary'!AJ17,'Levelized Cost Summary'!AJ30)</f>
        <v>306.53652681555241</v>
      </c>
      <c r="AL16" s="409">
        <f>MIN('Levelized Cost Summary'!AK17,'Levelized Cost Summary'!AK30)</f>
        <v>312.44606135174843</v>
      </c>
      <c r="AM16" s="409">
        <f>MIN('Levelized Cost Summary'!AL17,'Levelized Cost Summary'!AL30)</f>
        <v>317.01674135635693</v>
      </c>
      <c r="AN16" s="409">
        <f>MIN('Levelized Cost Summary'!AM17,'Levelized Cost Summary'!AM30)</f>
        <v>336.91451642668341</v>
      </c>
      <c r="AO16" s="409">
        <f>MIN('Levelized Cost Summary'!AN17,'Levelized Cost Summary'!AN30)</f>
        <v>357.47972364941893</v>
      </c>
      <c r="AP16" s="409">
        <f>MIN('Levelized Cost Summary'!AO17,'Levelized Cost Summary'!AO30)</f>
        <v>483.3732389226825</v>
      </c>
      <c r="AQ16" s="409">
        <f>MIN('Levelized Cost Summary'!AP17,'Levelized Cost Summary'!AP30)</f>
        <v>491.25962631483412</v>
      </c>
      <c r="AR16" s="409">
        <f>MIN('Levelized Cost Summary'!AQ17,'Levelized Cost Summary'!AQ30)</f>
        <v>499.19111694884623</v>
      </c>
      <c r="AS16" s="409">
        <f>MIN('Levelized Cost Summary'!AR17,'Levelized Cost Summary'!AR30)</f>
        <v>507.16066085733343</v>
      </c>
      <c r="AT16" s="409">
        <f>MIN('Levelized Cost Summary'!AS17,'Levelized Cost Summary'!AS30)</f>
        <v>515.16060634811072</v>
      </c>
      <c r="AU16" s="409">
        <f>MIN('Levelized Cost Summary'!AT17,'Levelized Cost Summary'!AT30)</f>
        <v>523.18253510044156</v>
      </c>
      <c r="AV16" s="409">
        <f>MIN('Levelized Cost Summary'!AU17,'Levelized Cost Summary'!AU30)</f>
        <v>531.21720126886487</v>
      </c>
      <c r="AW16" s="409">
        <f>MIN('Levelized Cost Summary'!AV17,'Levelized Cost Summary'!AV30)</f>
        <v>539.25446597398604</v>
      </c>
      <c r="AX16" s="409">
        <f>MIN('Levelized Cost Summary'!AW17,'Levelized Cost Summary'!AW30)</f>
        <v>547.28322680458359</v>
      </c>
      <c r="AY16" s="409">
        <f>MIN('Levelized Cost Summary'!AX17,'Levelized Cost Summary'!AX30)</f>
        <v>555.29134199949726</v>
      </c>
      <c r="AZ16" s="409">
        <f>MIN('Levelized Cost Summary'!AY17,'Levelized Cost Summary'!AY30)</f>
        <v>563.26554884902066</v>
      </c>
    </row>
    <row r="17" spans="1:52">
      <c r="A17" s="38" t="s">
        <v>270</v>
      </c>
      <c r="B17" s="38" t="s">
        <v>133</v>
      </c>
      <c r="C17" s="407"/>
      <c r="D17" s="408">
        <v>0</v>
      </c>
      <c r="E17" s="465">
        <f>MIN('Levelized Cost Summary'!E18,'Levelized Cost Summary'!E31)</f>
        <v>123.08201688529327</v>
      </c>
      <c r="F17" s="465">
        <f>MIN('Levelized Cost Summary'!F18,'Levelized Cost Summary'!F31)</f>
        <v>124.32248551951014</v>
      </c>
      <c r="G17" s="465">
        <f>MIN('Levelized Cost Summary'!G18,'Levelized Cost Summary'!G31)</f>
        <v>125.48567323998029</v>
      </c>
      <c r="H17" s="465">
        <f>MIN('Levelized Cost Summary'!H18,'Levelized Cost Summary'!H31)</f>
        <v>126.70569190268843</v>
      </c>
      <c r="I17" s="465">
        <f>MIN('Levelized Cost Summary'!I18,'Levelized Cost Summary'!I31)</f>
        <v>127.98571740786463</v>
      </c>
      <c r="J17" s="465">
        <f>MIN('Levelized Cost Summary'!J18,'Levelized Cost Summary'!J31)</f>
        <v>129.2904994344029</v>
      </c>
      <c r="K17" s="465">
        <f>MIN('Levelized Cost Summary'!K18,'Levelized Cost Summary'!K31)</f>
        <v>130.661765087503</v>
      </c>
      <c r="L17" s="465">
        <f>MIN('Levelized Cost Summary'!L18,'Levelized Cost Summary'!L31)</f>
        <v>132.10341799956399</v>
      </c>
      <c r="M17" s="465">
        <f>MIN('Levelized Cost Summary'!M18,'Levelized Cost Summary'!M31)</f>
        <v>134.42178837677244</v>
      </c>
      <c r="N17" s="465">
        <f>MIN('Levelized Cost Summary'!N18,'Levelized Cost Summary'!N31)</f>
        <v>136.49431163836255</v>
      </c>
      <c r="O17" s="465">
        <f>MIN('Levelized Cost Summary'!O18,'Levelized Cost Summary'!O31)</f>
        <v>148.21010834394573</v>
      </c>
      <c r="P17" s="465">
        <f>MIN('Levelized Cost Summary'!P18,'Levelized Cost Summary'!P31)</f>
        <v>160.29870157684016</v>
      </c>
      <c r="Q17" s="465">
        <f>MIN('Levelized Cost Summary'!Q18,'Levelized Cost Summary'!Q31)</f>
        <v>185.96549759396757</v>
      </c>
      <c r="R17" s="465">
        <f>MIN('Levelized Cost Summary'!R18,'Levelized Cost Summary'!R31)</f>
        <v>188.90738331291138</v>
      </c>
      <c r="S17" s="465">
        <f>MIN('Levelized Cost Summary'!S18,'Levelized Cost Summary'!S31)</f>
        <v>191.88103211590391</v>
      </c>
      <c r="T17" s="465">
        <f>MIN('Levelized Cost Summary'!T18,'Levelized Cost Summary'!T31)</f>
        <v>194.88549367619862</v>
      </c>
      <c r="U17" s="465">
        <f>MIN('Levelized Cost Summary'!U18,'Levelized Cost Summary'!U31)</f>
        <v>197.91968447540714</v>
      </c>
      <c r="V17" s="465">
        <f>MIN('Levelized Cost Summary'!V18,'Levelized Cost Summary'!V31)</f>
        <v>200.98238244409708</v>
      </c>
      <c r="W17" s="465">
        <f>MIN('Levelized Cost Summary'!W18,'Levelized Cost Summary'!W31)</f>
        <v>204.07221585748317</v>
      </c>
      <c r="X17" s="465">
        <f>MIN('Levelized Cost Summary'!X18,'Levelized Cost Summary'!X31)</f>
        <v>207.18765141752115</v>
      </c>
      <c r="Y17" s="465">
        <f>MIN('Levelized Cost Summary'!Y18,'Levelized Cost Summary'!Y31)</f>
        <v>210.32698144450643</v>
      </c>
      <c r="Z17" s="465">
        <f>MIN('Levelized Cost Summary'!Z18,'Levelized Cost Summary'!Z31)</f>
        <v>213.48831013047959</v>
      </c>
      <c r="AA17" s="465">
        <f>MIN('Levelized Cost Summary'!AA18,'Levelized Cost Summary'!AA31)</f>
        <v>216.66953877722113</v>
      </c>
      <c r="AB17" s="407"/>
      <c r="AC17" s="408">
        <v>0</v>
      </c>
      <c r="AD17" s="409">
        <v>0</v>
      </c>
      <c r="AE17" s="409">
        <v>0</v>
      </c>
      <c r="AF17" s="409">
        <v>0</v>
      </c>
      <c r="AG17" s="409">
        <v>0</v>
      </c>
      <c r="AH17" s="409">
        <v>0</v>
      </c>
      <c r="AI17" s="409">
        <v>0</v>
      </c>
      <c r="AJ17" s="409">
        <v>0</v>
      </c>
      <c r="AK17" s="409">
        <v>0</v>
      </c>
      <c r="AL17" s="409">
        <v>0</v>
      </c>
      <c r="AM17" s="409">
        <v>0</v>
      </c>
      <c r="AN17" s="409">
        <v>0</v>
      </c>
      <c r="AO17" s="409">
        <v>0</v>
      </c>
      <c r="AP17" s="409">
        <v>0</v>
      </c>
      <c r="AQ17" s="409">
        <v>0</v>
      </c>
      <c r="AR17" s="409">
        <v>0</v>
      </c>
      <c r="AS17" s="409">
        <v>0</v>
      </c>
      <c r="AT17" s="409">
        <v>0</v>
      </c>
      <c r="AU17" s="409">
        <v>0</v>
      </c>
      <c r="AV17" s="409">
        <v>0</v>
      </c>
      <c r="AW17" s="409">
        <v>0</v>
      </c>
      <c r="AX17" s="409">
        <v>0</v>
      </c>
      <c r="AY17" s="409">
        <v>0</v>
      </c>
      <c r="AZ17" s="409">
        <v>0</v>
      </c>
    </row>
    <row r="18" spans="1:52">
      <c r="A18" s="38" t="s">
        <v>271</v>
      </c>
      <c r="B18" s="38" t="s">
        <v>274</v>
      </c>
      <c r="C18" s="407"/>
      <c r="D18" s="408">
        <v>0</v>
      </c>
      <c r="E18" s="465">
        <v>0</v>
      </c>
      <c r="F18" s="465">
        <v>0</v>
      </c>
      <c r="G18" s="465">
        <v>0</v>
      </c>
      <c r="H18" s="465">
        <v>0</v>
      </c>
      <c r="I18" s="465">
        <v>0</v>
      </c>
      <c r="J18" s="465">
        <v>0</v>
      </c>
      <c r="K18" s="465">
        <v>0</v>
      </c>
      <c r="L18" s="465">
        <v>0</v>
      </c>
      <c r="M18" s="465">
        <v>0</v>
      </c>
      <c r="N18" s="465">
        <v>0</v>
      </c>
      <c r="O18" s="465">
        <v>0</v>
      </c>
      <c r="P18" s="465">
        <v>0</v>
      </c>
      <c r="Q18" s="465">
        <v>0</v>
      </c>
      <c r="R18" s="465">
        <v>0</v>
      </c>
      <c r="S18" s="465">
        <v>0</v>
      </c>
      <c r="T18" s="465">
        <v>0</v>
      </c>
      <c r="U18" s="465">
        <v>0</v>
      </c>
      <c r="V18" s="465">
        <v>0</v>
      </c>
      <c r="W18" s="465">
        <v>0</v>
      </c>
      <c r="X18" s="465">
        <v>0</v>
      </c>
      <c r="Y18" s="465">
        <v>0</v>
      </c>
      <c r="Z18" s="465">
        <v>0</v>
      </c>
      <c r="AA18" s="465">
        <v>0</v>
      </c>
      <c r="AB18" s="407"/>
      <c r="AC18" s="408">
        <v>0</v>
      </c>
      <c r="AD18" s="409">
        <f>MIN('Levelized Cost Summary'!AC19,'Levelized Cost Summary'!AC32)</f>
        <v>311.6639144562937</v>
      </c>
      <c r="AE18" s="409">
        <f>MIN('Levelized Cost Summary'!AD19,'Levelized Cost Summary'!AD32)</f>
        <v>317.85000974435673</v>
      </c>
      <c r="AF18" s="409">
        <f>MIN('Levelized Cost Summary'!AE19,'Levelized Cost Summary'!AE32)</f>
        <v>324.10389837321674</v>
      </c>
      <c r="AG18" s="409">
        <f>MIN('Levelized Cost Summary'!AF19,'Levelized Cost Summary'!AF32)</f>
        <v>330.68247005583868</v>
      </c>
      <c r="AH18" s="409">
        <f>MIN('Levelized Cost Summary'!AG19,'Levelized Cost Summary'!AG32)</f>
        <v>337.46545686868188</v>
      </c>
      <c r="AI18" s="409">
        <f>MIN('Levelized Cost Summary'!AH19,'Levelized Cost Summary'!AH32)</f>
        <v>344.37405958124253</v>
      </c>
      <c r="AJ18" s="409">
        <f>MIN('Levelized Cost Summary'!AI19,'Levelized Cost Summary'!AI32)</f>
        <v>351.47181748112894</v>
      </c>
      <c r="AK18" s="409">
        <f>MIN('Levelized Cost Summary'!AJ19,'Levelized Cost Summary'!AJ32)</f>
        <v>358.76146877828228</v>
      </c>
      <c r="AL18" s="409">
        <f>MIN('Levelized Cost Summary'!AK19,'Levelized Cost Summary'!AK32)</f>
        <v>366.24160359301624</v>
      </c>
      <c r="AM18" s="409">
        <f>MIN('Levelized Cost Summary'!AL19,'Levelized Cost Summary'!AL32)</f>
        <v>373.17383990974287</v>
      </c>
      <c r="AN18" s="409">
        <f>MIN('Levelized Cost Summary'!AM19,'Levelized Cost Summary'!AM32)</f>
        <v>395.13629346432566</v>
      </c>
      <c r="AO18" s="409">
        <f>MIN('Levelized Cost Summary'!AN19,'Levelized Cost Summary'!AN32)</f>
        <v>417.85818182050178</v>
      </c>
      <c r="AP18" s="409">
        <f>MIN('Levelized Cost Summary'!AO19,'Levelized Cost Summary'!AO32)</f>
        <v>468.74698269885289</v>
      </c>
      <c r="AQ18" s="409">
        <f>MIN('Levelized Cost Summary'!AP19,'Levelized Cost Summary'!AP32)</f>
        <v>477.71905689137446</v>
      </c>
      <c r="AR18" s="409">
        <f>MIN('Levelized Cost Summary'!AQ19,'Levelized Cost Summary'!AQ32)</f>
        <v>486.82628301412905</v>
      </c>
      <c r="AS18" s="409">
        <f>MIN('Levelized Cost Summary'!AR19,'Levelized Cost Summary'!AR32)</f>
        <v>496.06784978838618</v>
      </c>
      <c r="AT18" s="409">
        <f>MIN('Levelized Cost Summary'!AS19,'Levelized Cost Summary'!AS32)</f>
        <v>505.44262319525586</v>
      </c>
      <c r="AU18" s="409">
        <f>MIN('Levelized Cost Summary'!AT19,'Levelized Cost Summary'!AT32)</f>
        <v>514.94915650973257</v>
      </c>
      <c r="AV18" s="409">
        <f>MIN('Levelized Cost Summary'!AU19,'Levelized Cost Summary'!AU32)</f>
        <v>524.58566226303515</v>
      </c>
      <c r="AW18" s="409">
        <f>MIN('Levelized Cost Summary'!AV19,'Levelized Cost Summary'!AV32)</f>
        <v>534.34998200120117</v>
      </c>
      <c r="AX18" s="409">
        <f>MIN('Levelized Cost Summary'!AW19,'Levelized Cost Summary'!AW32)</f>
        <v>544.23955368746886</v>
      </c>
      <c r="AY18" s="409">
        <f>MIN('Levelized Cost Summary'!AX19,'Levelized Cost Summary'!AX32)</f>
        <v>554.25137655901472</v>
      </c>
      <c r="AZ18" s="409">
        <f>MIN('Levelized Cost Summary'!AY19,'Levelized Cost Summary'!AY32)</f>
        <v>564.38197325209819</v>
      </c>
    </row>
    <row r="19" spans="1:52">
      <c r="A19" s="38" t="s">
        <v>270</v>
      </c>
      <c r="B19" s="38" t="s">
        <v>8</v>
      </c>
      <c r="C19" s="407"/>
      <c r="D19" s="408">
        <v>0</v>
      </c>
      <c r="E19" s="465">
        <f>MIN('Levelized Cost Summary'!E20,'Levelized Cost Summary'!E33)</f>
        <v>64.436474067867323</v>
      </c>
      <c r="F19" s="465">
        <f>MIN('Levelized Cost Summary'!F20,'Levelized Cost Summary'!F33)</f>
        <v>62.72232916279485</v>
      </c>
      <c r="G19" s="465">
        <f>MIN('Levelized Cost Summary'!G20,'Levelized Cost Summary'!G33)</f>
        <v>60.920910811966756</v>
      </c>
      <c r="H19" s="465">
        <f>MIN('Levelized Cost Summary'!H20,'Levelized Cost Summary'!H33)</f>
        <v>57.713246937122179</v>
      </c>
      <c r="I19" s="465">
        <f>MIN('Levelized Cost Summary'!I20,'Levelized Cost Summary'!I33)</f>
        <v>54.415834544783202</v>
      </c>
      <c r="J19" s="465">
        <f>MIN('Levelized Cost Summary'!J20,'Levelized Cost Summary'!J33)</f>
        <v>51.038617141823615</v>
      </c>
      <c r="K19" s="465">
        <f>MIN('Levelized Cost Summary'!K20,'Levelized Cost Summary'!K33)</f>
        <v>47.603662663240982</v>
      </c>
      <c r="L19" s="465">
        <f>MIN('Levelized Cost Summary'!L20,'Levelized Cost Summary'!L33)</f>
        <v>44.110456865492637</v>
      </c>
      <c r="M19" s="465">
        <f>MIN('Levelized Cost Summary'!M20,'Levelized Cost Summary'!M33)</f>
        <v>44.19135353433721</v>
      </c>
      <c r="N19" s="465">
        <f>MIN('Levelized Cost Summary'!N20,'Levelized Cost Summary'!N33)</f>
        <v>43.950131329751969</v>
      </c>
      <c r="O19" s="465">
        <f>MIN('Levelized Cost Summary'!O20,'Levelized Cost Summary'!O33)</f>
        <v>55.112845319609249</v>
      </c>
      <c r="P19" s="465">
        <f>MIN('Levelized Cost Summary'!P20,'Levelized Cost Summary'!P33)</f>
        <v>58.045347692722309</v>
      </c>
      <c r="Q19" s="465">
        <f>MIN('Levelized Cost Summary'!Q20,'Levelized Cost Summary'!Q33)</f>
        <v>65.288693890568993</v>
      </c>
      <c r="R19" s="465">
        <f>MIN('Levelized Cost Summary'!R20,'Levelized Cost Summary'!R33)</f>
        <v>65.483801223859942</v>
      </c>
      <c r="S19" s="465">
        <f>MIN('Levelized Cost Summary'!S20,'Levelized Cost Summary'!S33)</f>
        <v>65.646447404658176</v>
      </c>
      <c r="T19" s="465">
        <f>MIN('Levelized Cost Summary'!T20,'Levelized Cost Summary'!T33)</f>
        <v>65.774005534399947</v>
      </c>
      <c r="U19" s="465">
        <f>MIN('Levelized Cost Summary'!U20,'Levelized Cost Summary'!U33)</f>
        <v>65.863674125503536</v>
      </c>
      <c r="V19" s="465">
        <f>MIN('Levelized Cost Summary'!V20,'Levelized Cost Summary'!V33)</f>
        <v>65.912456460393216</v>
      </c>
      <c r="W19" s="465">
        <f>MIN('Levelized Cost Summary'!W20,'Levelized Cost Summary'!W33)</f>
        <v>65.91714688904446</v>
      </c>
      <c r="X19" s="465">
        <f>MIN('Levelized Cost Summary'!X20,'Levelized Cost Summary'!X33)</f>
        <v>65.874316097195162</v>
      </c>
      <c r="Y19" s="465">
        <f>MIN('Levelized Cost Summary'!Y20,'Levelized Cost Summary'!Y33)</f>
        <v>65.780295357091134</v>
      </c>
      <c r="Z19" s="465">
        <f>MIN('Levelized Cost Summary'!Z20,'Levelized Cost Summary'!Z33)</f>
        <v>65.631159840617087</v>
      </c>
      <c r="AA19" s="465">
        <f>MIN('Levelized Cost Summary'!AA20,'Levelized Cost Summary'!AA33)</f>
        <v>65.422710479713601</v>
      </c>
      <c r="AB19" s="407"/>
      <c r="AC19" s="408">
        <v>0</v>
      </c>
      <c r="AD19" s="409">
        <v>0</v>
      </c>
      <c r="AE19" s="409">
        <v>0</v>
      </c>
      <c r="AF19" s="409">
        <v>0</v>
      </c>
      <c r="AG19" s="409">
        <v>0</v>
      </c>
      <c r="AH19" s="409">
        <v>0</v>
      </c>
      <c r="AI19" s="409">
        <v>0</v>
      </c>
      <c r="AJ19" s="409">
        <v>0</v>
      </c>
      <c r="AK19" s="409">
        <v>0</v>
      </c>
      <c r="AL19" s="409">
        <v>0</v>
      </c>
      <c r="AM19" s="409">
        <v>0</v>
      </c>
      <c r="AN19" s="409">
        <v>0</v>
      </c>
      <c r="AO19" s="409">
        <v>0</v>
      </c>
      <c r="AP19" s="409">
        <v>0</v>
      </c>
      <c r="AQ19" s="409">
        <v>0</v>
      </c>
      <c r="AR19" s="409">
        <v>0</v>
      </c>
      <c r="AS19" s="409">
        <v>0</v>
      </c>
      <c r="AT19" s="409">
        <v>0</v>
      </c>
      <c r="AU19" s="409">
        <v>0</v>
      </c>
      <c r="AV19" s="409">
        <v>0</v>
      </c>
      <c r="AW19" s="409">
        <v>0</v>
      </c>
      <c r="AX19" s="409">
        <v>0</v>
      </c>
      <c r="AY19" s="409">
        <v>0</v>
      </c>
      <c r="AZ19" s="409">
        <v>0</v>
      </c>
    </row>
    <row r="20" spans="1:52">
      <c r="A20" s="38" t="s">
        <v>271</v>
      </c>
      <c r="B20" s="38" t="s">
        <v>275</v>
      </c>
      <c r="C20" s="407"/>
      <c r="D20" s="408">
        <v>0</v>
      </c>
      <c r="E20" s="465">
        <v>0</v>
      </c>
      <c r="F20" s="465">
        <v>0</v>
      </c>
      <c r="G20" s="465">
        <v>0</v>
      </c>
      <c r="H20" s="465">
        <v>0</v>
      </c>
      <c r="I20" s="465">
        <v>0</v>
      </c>
      <c r="J20" s="465">
        <v>0</v>
      </c>
      <c r="K20" s="465">
        <v>0</v>
      </c>
      <c r="L20" s="465">
        <v>0</v>
      </c>
      <c r="M20" s="465">
        <v>0</v>
      </c>
      <c r="N20" s="465">
        <v>0</v>
      </c>
      <c r="O20" s="465">
        <v>0</v>
      </c>
      <c r="P20" s="465">
        <v>0</v>
      </c>
      <c r="Q20" s="465">
        <v>0</v>
      </c>
      <c r="R20" s="465">
        <v>0</v>
      </c>
      <c r="S20" s="465">
        <v>0</v>
      </c>
      <c r="T20" s="465">
        <v>0</v>
      </c>
      <c r="U20" s="465">
        <v>0</v>
      </c>
      <c r="V20" s="465">
        <v>0</v>
      </c>
      <c r="W20" s="465">
        <v>0</v>
      </c>
      <c r="X20" s="465">
        <v>0</v>
      </c>
      <c r="Y20" s="465">
        <v>0</v>
      </c>
      <c r="Z20" s="465">
        <v>0</v>
      </c>
      <c r="AA20" s="465">
        <v>0</v>
      </c>
      <c r="AB20" s="407"/>
      <c r="AC20" s="408">
        <v>0</v>
      </c>
      <c r="AD20" s="409">
        <f>MIN('Levelized Cost Summary'!AC21,'Levelized Cost Summary'!AC34)</f>
        <v>176.65248840425812</v>
      </c>
      <c r="AE20" s="409">
        <f>MIN('Levelized Cost Summary'!AD21,'Levelized Cost Summary'!AD34)</f>
        <v>170.45880162646577</v>
      </c>
      <c r="AF20" s="409">
        <f>MIN('Levelized Cost Summary'!AE21,'Levelized Cost Summary'!AE34)</f>
        <v>166.64723220673102</v>
      </c>
      <c r="AG20" s="409">
        <f>MIN('Levelized Cost Summary'!AF21,'Levelized Cost Summary'!AF34)</f>
        <v>164.36278795308647</v>
      </c>
      <c r="AH20" s="409">
        <f>MIN('Levelized Cost Summary'!AG21,'Levelized Cost Summary'!AG34)</f>
        <v>162.51121758468389</v>
      </c>
      <c r="AI20" s="409">
        <f>MIN('Levelized Cost Summary'!AH21,'Levelized Cost Summary'!AH34)</f>
        <v>159.87171420189202</v>
      </c>
      <c r="AJ20" s="409">
        <f>MIN('Levelized Cost Summary'!AI21,'Levelized Cost Summary'!AI34)</f>
        <v>158.30512400062912</v>
      </c>
      <c r="AK20" s="409">
        <f>MIN('Levelized Cost Summary'!AJ21,'Levelized Cost Summary'!AJ34)</f>
        <v>156.60854131759231</v>
      </c>
      <c r="AL20" s="409">
        <f>MIN('Levelized Cost Summary'!AK21,'Levelized Cost Summary'!AK34)</f>
        <v>157.98458871164243</v>
      </c>
      <c r="AM20" s="409">
        <f>MIN('Levelized Cost Summary'!AL21,'Levelized Cost Summary'!AL34)</f>
        <v>159.11510116757543</v>
      </c>
      <c r="AN20" s="409">
        <f>MIN('Levelized Cost Summary'!AM21,'Levelized Cost Summary'!AM34)</f>
        <v>167.56308922103528</v>
      </c>
      <c r="AO20" s="409">
        <f>MIN('Levelized Cost Summary'!AN21,'Levelized Cost Summary'!AN34)</f>
        <v>176.10578786102047</v>
      </c>
      <c r="AP20" s="409">
        <f>MIN('Levelized Cost Summary'!AO21,'Levelized Cost Summary'!AO34)</f>
        <v>196.22450583200589</v>
      </c>
      <c r="AQ20" s="409">
        <f>MIN('Levelized Cost Summary'!AP21,'Levelized Cost Summary'!AP34)</f>
        <v>197.49918186518067</v>
      </c>
      <c r="AR20" s="409">
        <f>MIN('Levelized Cost Summary'!AQ21,'Levelized Cost Summary'!AQ34)</f>
        <v>198.72885740690558</v>
      </c>
      <c r="AS20" s="409">
        <f>MIN('Levelized Cost Summary'!AR21,'Levelized Cost Summary'!AR34)</f>
        <v>199.91031578056521</v>
      </c>
      <c r="AT20" s="409">
        <f>MIN('Levelized Cost Summary'!AS21,'Levelized Cost Summary'!AS34)</f>
        <v>201.04034433585468</v>
      </c>
      <c r="AU20" s="409">
        <f>MIN('Levelized Cost Summary'!AT21,'Levelized Cost Summary'!AT34)</f>
        <v>202.11557525031316</v>
      </c>
      <c r="AV20" s="409">
        <f>MIN('Levelized Cost Summary'!AU21,'Levelized Cost Summary'!AU34)</f>
        <v>203.1324774715381</v>
      </c>
      <c r="AW20" s="409">
        <f>MIN('Levelized Cost Summary'!AV21,'Levelized Cost Summary'!AV34)</f>
        <v>204.08734830886436</v>
      </c>
      <c r="AX20" s="409">
        <f>MIN('Levelized Cost Summary'!AW21,'Levelized Cost Summary'!AW34)</f>
        <v>204.97630443249682</v>
      </c>
      <c r="AY20" s="409">
        <f>MIN('Levelized Cost Summary'!AX21,'Levelized Cost Summary'!AX34)</f>
        <v>205.79527182919327</v>
      </c>
      <c r="AZ20" s="409">
        <f>MIN('Levelized Cost Summary'!AY21,'Levelized Cost Summary'!AY34)</f>
        <v>206.53997582287539</v>
      </c>
    </row>
    <row r="21" spans="1:52">
      <c r="A21" s="38" t="s">
        <v>270</v>
      </c>
      <c r="B21" s="38" t="s">
        <v>138</v>
      </c>
      <c r="C21" s="407"/>
      <c r="D21" s="408">
        <v>0</v>
      </c>
      <c r="E21" s="465">
        <f>MIN('Levelized Cost Summary'!E22,'Levelized Cost Summary'!E35)</f>
        <v>38.000020464403825</v>
      </c>
      <c r="F21" s="465">
        <f>MIN('Levelized Cost Summary'!F22,'Levelized Cost Summary'!F35)</f>
        <v>35.801491361790653</v>
      </c>
      <c r="G21" s="465">
        <f>MIN('Levelized Cost Summary'!G22,'Levelized Cost Summary'!G35)</f>
        <v>33.506432662021012</v>
      </c>
      <c r="H21" s="465">
        <f>MIN('Levelized Cost Summary'!H22,'Levelized Cost Summary'!H35)</f>
        <v>31.17297496082573</v>
      </c>
      <c r="I21" s="465">
        <f>MIN('Levelized Cost Summary'!I22,'Levelized Cost Summary'!I35)</f>
        <v>28.459568647282691</v>
      </c>
      <c r="J21" s="465">
        <f>MIN('Levelized Cost Summary'!J22,'Levelized Cost Summary'!J35)</f>
        <v>25.713164907602433</v>
      </c>
      <c r="K21" s="465">
        <f>MIN('Levelized Cost Summary'!K22,'Levelized Cost Summary'!K35)</f>
        <v>22.949237477832121</v>
      </c>
      <c r="L21" s="465">
        <f>MIN('Levelized Cost Summary'!L22,'Levelized Cost Summary'!L35)</f>
        <v>20.168639070102142</v>
      </c>
      <c r="M21" s="465">
        <f>MIN('Levelized Cost Summary'!M22,'Levelized Cost Summary'!M35)</f>
        <v>20.101119680662631</v>
      </c>
      <c r="N21" s="465">
        <f>MIN('Levelized Cost Summary'!N22,'Levelized Cost Summary'!N35)</f>
        <v>19.778507206876334</v>
      </c>
      <c r="O21" s="465">
        <f>MIN('Levelized Cost Summary'!O22,'Levelized Cost Summary'!O35)</f>
        <v>31.130630626254757</v>
      </c>
      <c r="P21" s="465">
        <f>MIN('Levelized Cost Summary'!P22,'Levelized Cost Summary'!P35)</f>
        <v>36.981792684705496</v>
      </c>
      <c r="Q21" s="465">
        <f>MIN('Levelized Cost Summary'!Q22,'Levelized Cost Summary'!Q35)</f>
        <v>43.811254717185356</v>
      </c>
      <c r="R21" s="465">
        <f>MIN('Levelized Cost Summary'!R22,'Levelized Cost Summary'!R35)</f>
        <v>43.964912962241478</v>
      </c>
      <c r="S21" s="465">
        <f>MIN('Levelized Cost Summary'!S22,'Levelized Cost Summary'!S35)</f>
        <v>44.092670255081828</v>
      </c>
      <c r="T21" s="465">
        <f>MIN('Levelized Cost Summary'!T22,'Levelized Cost Summary'!T35)</f>
        <v>44.192350743437395</v>
      </c>
      <c r="U21" s="465">
        <f>MIN('Levelized Cost Summary'!U22,'Levelized Cost Summary'!U35)</f>
        <v>44.261627934971727</v>
      </c>
      <c r="V21" s="465">
        <f>MIN('Levelized Cost Summary'!V22,'Levelized Cost Summary'!V35)</f>
        <v>44.298009472597414</v>
      </c>
      <c r="W21" s="465">
        <f>MIN('Levelized Cost Summary'!W22,'Levelized Cost Summary'!W35)</f>
        <v>44.29882530658351</v>
      </c>
      <c r="X21" s="465">
        <f>MIN('Levelized Cost Summary'!X22,'Levelized Cost Summary'!X35)</f>
        <v>44.26121494993135</v>
      </c>
      <c r="Y21" s="465">
        <f>MIN('Levelized Cost Summary'!Y22,'Levelized Cost Summary'!Y35)</f>
        <v>44.182113892692918</v>
      </c>
      <c r="Z21" s="465">
        <f>MIN('Levelized Cost Summary'!Z22,'Levelized Cost Summary'!Z35)</f>
        <v>44.058239145139915</v>
      </c>
      <c r="AA21" s="465">
        <f>MIN('Levelized Cost Summary'!AA22,'Levelized Cost Summary'!AA35)</f>
        <v>43.88607352681958</v>
      </c>
      <c r="AB21" s="407"/>
      <c r="AC21" s="408">
        <v>0</v>
      </c>
      <c r="AD21" s="409">
        <v>0</v>
      </c>
      <c r="AE21" s="409">
        <v>0</v>
      </c>
      <c r="AF21" s="409">
        <v>0</v>
      </c>
      <c r="AG21" s="409">
        <v>0</v>
      </c>
      <c r="AH21" s="409">
        <v>0</v>
      </c>
      <c r="AI21" s="409">
        <v>0</v>
      </c>
      <c r="AJ21" s="409">
        <v>0</v>
      </c>
      <c r="AK21" s="409">
        <v>0</v>
      </c>
      <c r="AL21" s="409">
        <v>0</v>
      </c>
      <c r="AM21" s="409">
        <v>0</v>
      </c>
      <c r="AN21" s="409">
        <v>0</v>
      </c>
      <c r="AO21" s="409">
        <v>0</v>
      </c>
      <c r="AP21" s="409">
        <v>0</v>
      </c>
      <c r="AQ21" s="409">
        <v>0</v>
      </c>
      <c r="AR21" s="409">
        <v>0</v>
      </c>
      <c r="AS21" s="409">
        <v>0</v>
      </c>
      <c r="AT21" s="409">
        <v>0</v>
      </c>
      <c r="AU21" s="409">
        <v>0</v>
      </c>
      <c r="AV21" s="409">
        <v>0</v>
      </c>
      <c r="AW21" s="409">
        <v>0</v>
      </c>
      <c r="AX21" s="409">
        <v>0</v>
      </c>
      <c r="AY21" s="409">
        <v>0</v>
      </c>
      <c r="AZ21" s="409">
        <v>0</v>
      </c>
    </row>
    <row r="22" spans="1:52">
      <c r="A22" s="414" t="s">
        <v>270</v>
      </c>
      <c r="B22" s="413" t="s">
        <v>138</v>
      </c>
      <c r="C22" s="407"/>
      <c r="D22" s="408">
        <v>0</v>
      </c>
      <c r="E22" s="409">
        <f>E21</f>
        <v>38.000020464403825</v>
      </c>
      <c r="F22" s="409">
        <f t="shared" ref="F22:AA22" si="0">F21</f>
        <v>35.801491361790653</v>
      </c>
      <c r="G22" s="409">
        <f t="shared" si="0"/>
        <v>33.506432662021012</v>
      </c>
      <c r="H22" s="409">
        <f t="shared" si="0"/>
        <v>31.17297496082573</v>
      </c>
      <c r="I22" s="409">
        <f t="shared" si="0"/>
        <v>28.459568647282691</v>
      </c>
      <c r="J22" s="409">
        <f t="shared" si="0"/>
        <v>25.713164907602433</v>
      </c>
      <c r="K22" s="409">
        <f t="shared" si="0"/>
        <v>22.949237477832121</v>
      </c>
      <c r="L22" s="409">
        <f t="shared" si="0"/>
        <v>20.168639070102142</v>
      </c>
      <c r="M22" s="409">
        <f t="shared" si="0"/>
        <v>20.101119680662631</v>
      </c>
      <c r="N22" s="409">
        <f t="shared" si="0"/>
        <v>19.778507206876334</v>
      </c>
      <c r="O22" s="409">
        <f t="shared" si="0"/>
        <v>31.130630626254757</v>
      </c>
      <c r="P22" s="409">
        <f t="shared" si="0"/>
        <v>36.981792684705496</v>
      </c>
      <c r="Q22" s="409">
        <f t="shared" si="0"/>
        <v>43.811254717185356</v>
      </c>
      <c r="R22" s="409">
        <f t="shared" si="0"/>
        <v>43.964912962241478</v>
      </c>
      <c r="S22" s="409">
        <f t="shared" si="0"/>
        <v>44.092670255081828</v>
      </c>
      <c r="T22" s="409">
        <f t="shared" si="0"/>
        <v>44.192350743437395</v>
      </c>
      <c r="U22" s="409">
        <f t="shared" si="0"/>
        <v>44.261627934971727</v>
      </c>
      <c r="V22" s="409">
        <f t="shared" si="0"/>
        <v>44.298009472597414</v>
      </c>
      <c r="W22" s="409">
        <f t="shared" si="0"/>
        <v>44.29882530658351</v>
      </c>
      <c r="X22" s="409">
        <f t="shared" si="0"/>
        <v>44.26121494993135</v>
      </c>
      <c r="Y22" s="409">
        <f t="shared" si="0"/>
        <v>44.182113892692918</v>
      </c>
      <c r="Z22" s="409">
        <f t="shared" si="0"/>
        <v>44.058239145139915</v>
      </c>
      <c r="AA22" s="409">
        <f t="shared" si="0"/>
        <v>43.88607352681958</v>
      </c>
      <c r="AB22" s="407"/>
      <c r="AC22" s="408">
        <v>0</v>
      </c>
      <c r="AD22" s="409">
        <v>0</v>
      </c>
      <c r="AE22" s="409">
        <v>0</v>
      </c>
      <c r="AF22" s="409">
        <v>0</v>
      </c>
      <c r="AG22" s="409">
        <v>0</v>
      </c>
      <c r="AH22" s="409">
        <v>0</v>
      </c>
      <c r="AI22" s="409">
        <v>0</v>
      </c>
      <c r="AJ22" s="409">
        <v>0</v>
      </c>
      <c r="AK22" s="409">
        <v>0</v>
      </c>
      <c r="AL22" s="409">
        <v>0</v>
      </c>
      <c r="AM22" s="409">
        <v>0</v>
      </c>
      <c r="AN22" s="409">
        <v>0</v>
      </c>
      <c r="AO22" s="409">
        <v>0</v>
      </c>
      <c r="AP22" s="409">
        <v>0</v>
      </c>
      <c r="AQ22" s="409">
        <v>0</v>
      </c>
      <c r="AR22" s="409">
        <v>0</v>
      </c>
      <c r="AS22" s="409">
        <v>0</v>
      </c>
      <c r="AT22" s="409">
        <v>0</v>
      </c>
      <c r="AU22" s="409">
        <v>0</v>
      </c>
      <c r="AV22" s="409">
        <v>0</v>
      </c>
      <c r="AW22" s="409">
        <v>0</v>
      </c>
      <c r="AX22" s="409">
        <v>0</v>
      </c>
      <c r="AY22" s="409">
        <v>0</v>
      </c>
      <c r="AZ22" s="409">
        <v>0</v>
      </c>
    </row>
    <row r="23" spans="1:52">
      <c r="A23" s="414" t="s">
        <v>270</v>
      </c>
      <c r="B23" s="413" t="s">
        <v>276</v>
      </c>
      <c r="C23" s="407"/>
      <c r="D23" s="408">
        <v>0</v>
      </c>
      <c r="E23" s="409">
        <f>E21</f>
        <v>38.000020464403825</v>
      </c>
      <c r="F23" s="409">
        <f t="shared" ref="F23:AA23" si="1">F21</f>
        <v>35.801491361790653</v>
      </c>
      <c r="G23" s="409">
        <f t="shared" si="1"/>
        <v>33.506432662021012</v>
      </c>
      <c r="H23" s="409">
        <f t="shared" si="1"/>
        <v>31.17297496082573</v>
      </c>
      <c r="I23" s="409">
        <f t="shared" si="1"/>
        <v>28.459568647282691</v>
      </c>
      <c r="J23" s="409">
        <f t="shared" si="1"/>
        <v>25.713164907602433</v>
      </c>
      <c r="K23" s="409">
        <f t="shared" si="1"/>
        <v>22.949237477832121</v>
      </c>
      <c r="L23" s="409">
        <f t="shared" si="1"/>
        <v>20.168639070102142</v>
      </c>
      <c r="M23" s="409">
        <f t="shared" si="1"/>
        <v>20.101119680662631</v>
      </c>
      <c r="N23" s="409">
        <f t="shared" si="1"/>
        <v>19.778507206876334</v>
      </c>
      <c r="O23" s="409">
        <f t="shared" si="1"/>
        <v>31.130630626254757</v>
      </c>
      <c r="P23" s="409">
        <f t="shared" si="1"/>
        <v>36.981792684705496</v>
      </c>
      <c r="Q23" s="409">
        <f t="shared" si="1"/>
        <v>43.811254717185356</v>
      </c>
      <c r="R23" s="409">
        <f t="shared" si="1"/>
        <v>43.964912962241478</v>
      </c>
      <c r="S23" s="409">
        <f t="shared" si="1"/>
        <v>44.092670255081828</v>
      </c>
      <c r="T23" s="409">
        <f t="shared" si="1"/>
        <v>44.192350743437395</v>
      </c>
      <c r="U23" s="409">
        <f t="shared" si="1"/>
        <v>44.261627934971727</v>
      </c>
      <c r="V23" s="409">
        <f t="shared" si="1"/>
        <v>44.298009472597414</v>
      </c>
      <c r="W23" s="409">
        <f t="shared" si="1"/>
        <v>44.29882530658351</v>
      </c>
      <c r="X23" s="409">
        <f t="shared" si="1"/>
        <v>44.26121494993135</v>
      </c>
      <c r="Y23" s="409">
        <f t="shared" si="1"/>
        <v>44.182113892692918</v>
      </c>
      <c r="Z23" s="409">
        <f t="shared" si="1"/>
        <v>44.058239145139915</v>
      </c>
      <c r="AA23" s="409">
        <f t="shared" si="1"/>
        <v>43.88607352681958</v>
      </c>
      <c r="AB23" s="407"/>
      <c r="AC23" s="408">
        <v>0</v>
      </c>
      <c r="AD23" s="409">
        <v>0</v>
      </c>
      <c r="AE23" s="409">
        <v>0</v>
      </c>
      <c r="AF23" s="409">
        <v>0</v>
      </c>
      <c r="AG23" s="409">
        <v>0</v>
      </c>
      <c r="AH23" s="409">
        <v>0</v>
      </c>
      <c r="AI23" s="409">
        <v>0</v>
      </c>
      <c r="AJ23" s="409">
        <v>0</v>
      </c>
      <c r="AK23" s="409">
        <v>0</v>
      </c>
      <c r="AL23" s="409">
        <v>0</v>
      </c>
      <c r="AM23" s="409">
        <v>0</v>
      </c>
      <c r="AN23" s="409">
        <v>0</v>
      </c>
      <c r="AO23" s="409">
        <v>0</v>
      </c>
      <c r="AP23" s="409">
        <v>0</v>
      </c>
      <c r="AQ23" s="409">
        <v>0</v>
      </c>
      <c r="AR23" s="409">
        <v>0</v>
      </c>
      <c r="AS23" s="409">
        <v>0</v>
      </c>
      <c r="AT23" s="409">
        <v>0</v>
      </c>
      <c r="AU23" s="409">
        <v>0</v>
      </c>
      <c r="AV23" s="409">
        <v>0</v>
      </c>
      <c r="AW23" s="409">
        <v>0</v>
      </c>
      <c r="AX23" s="409">
        <v>0</v>
      </c>
      <c r="AY23" s="409">
        <v>0</v>
      </c>
      <c r="AZ23" s="409">
        <v>0</v>
      </c>
    </row>
    <row r="24" spans="1:52">
      <c r="A24" s="355" t="s">
        <v>270</v>
      </c>
      <c r="B24" s="355" t="s">
        <v>277</v>
      </c>
      <c r="C24" s="407"/>
      <c r="D24" s="408">
        <v>0</v>
      </c>
      <c r="E24" s="409">
        <f>MIN('Levelized Cost Summary'!E23,'Levelized Cost Summary'!E36)</f>
        <v>41.580927666010936</v>
      </c>
      <c r="F24" s="409">
        <f>MIN('Levelized Cost Summary'!F23,'Levelized Cost Summary'!F36)</f>
        <v>39.572176150843219</v>
      </c>
      <c r="G24" s="409">
        <f>MIN('Levelized Cost Summary'!G23,'Levelized Cost Summary'!G36)</f>
        <v>37.465596108595193</v>
      </c>
      <c r="H24" s="409">
        <f>MIN('Levelized Cost Summary'!H23,'Levelized Cost Summary'!H36)</f>
        <v>35.324009041286203</v>
      </c>
      <c r="I24" s="409">
        <f>MIN('Levelized Cost Summary'!I23,'Levelized Cost Summary'!I36)</f>
        <v>32.779123889251558</v>
      </c>
      <c r="J24" s="409">
        <f>MIN('Levelized Cost Summary'!J23,'Levelized Cost Summary'!J36)</f>
        <v>30.200364026908389</v>
      </c>
      <c r="K24" s="409">
        <f>MIN('Levelized Cost Summary'!K23,'Levelized Cost Summary'!K36)</f>
        <v>27.604630617934667</v>
      </c>
      <c r="L24" s="409">
        <f>MIN('Levelized Cost Summary'!L23,'Levelized Cost Summary'!L36)</f>
        <v>24.992712989771071</v>
      </c>
      <c r="M24" s="409">
        <f>MIN('Levelized Cost Summary'!M23,'Levelized Cost Summary'!M36)</f>
        <v>25.045466171436765</v>
      </c>
      <c r="N24" s="409">
        <f>MIN('Levelized Cost Summary'!N23,'Levelized Cost Summary'!N36)</f>
        <v>24.860057661046383</v>
      </c>
      <c r="O24" s="409">
        <f>MIN('Levelized Cost Summary'!O23,'Levelized Cost Summary'!O36)</f>
        <v>36.321334205023717</v>
      </c>
      <c r="P24" s="409">
        <f>MIN('Levelized Cost Summary'!P23,'Levelized Cost Summary'!P36)</f>
        <v>42.300979854328467</v>
      </c>
      <c r="Q24" s="409">
        <f>MIN('Levelized Cost Summary'!Q23,'Levelized Cost Summary'!Q36)</f>
        <v>48.473058495853415</v>
      </c>
      <c r="R24" s="409">
        <f>MIN('Levelized Cost Summary'!R23,'Levelized Cost Summary'!R36)</f>
        <v>48.761241084199554</v>
      </c>
      <c r="S24" s="409">
        <f>MIN('Levelized Cost Summary'!S23,'Levelized Cost Summary'!S36)</f>
        <v>49.027875663117179</v>
      </c>
      <c r="T24" s="409">
        <f>MIN('Levelized Cost Summary'!T23,'Levelized Cost Summary'!T36)</f>
        <v>49.270967693528924</v>
      </c>
      <c r="U24" s="409">
        <f>MIN('Levelized Cost Summary'!U23,'Levelized Cost Summary'!U36)</f>
        <v>49.488382801843393</v>
      </c>
      <c r="V24" s="409">
        <f>MIN('Levelized Cost Summary'!V23,'Levelized Cost Summary'!V36)</f>
        <v>49.677831454227402</v>
      </c>
      <c r="W24" s="409">
        <f>MIN('Levelized Cost Summary'!W23,'Levelized Cost Summary'!W36)</f>
        <v>49.836857832332825</v>
      </c>
      <c r="X24" s="409">
        <f>MIN('Levelized Cost Summary'!X23,'Levelized Cost Summary'!X36)</f>
        <v>49.962827905320196</v>
      </c>
      <c r="Y24" s="409">
        <f>MIN('Levelized Cost Summary'!Y23,'Levelized Cost Summary'!Y36)</f>
        <v>50.052916639845542</v>
      </c>
      <c r="Z24" s="409">
        <f>MIN('Levelized Cost Summary'!Z23,'Levelized Cost Summary'!Z36)</f>
        <v>50.10409428677891</v>
      </c>
      <c r="AA24" s="409">
        <f>MIN('Levelized Cost Summary'!AA23,'Levelized Cost Summary'!AA36)</f>
        <v>50.113111675928359</v>
      </c>
      <c r="AB24" s="407"/>
      <c r="AC24" s="408">
        <v>0</v>
      </c>
      <c r="AD24" s="409">
        <v>0</v>
      </c>
      <c r="AE24" s="409">
        <v>0</v>
      </c>
      <c r="AF24" s="409">
        <v>0</v>
      </c>
      <c r="AG24" s="409">
        <v>0</v>
      </c>
      <c r="AH24" s="409">
        <v>0</v>
      </c>
      <c r="AI24" s="409">
        <v>0</v>
      </c>
      <c r="AJ24" s="409">
        <v>0</v>
      </c>
      <c r="AK24" s="409">
        <v>0</v>
      </c>
      <c r="AL24" s="409">
        <v>0</v>
      </c>
      <c r="AM24" s="409">
        <v>0</v>
      </c>
      <c r="AN24" s="409">
        <v>0</v>
      </c>
      <c r="AO24" s="409">
        <v>0</v>
      </c>
      <c r="AP24" s="409">
        <v>0</v>
      </c>
      <c r="AQ24" s="409">
        <v>0</v>
      </c>
      <c r="AR24" s="409">
        <v>0</v>
      </c>
      <c r="AS24" s="409">
        <v>0</v>
      </c>
      <c r="AT24" s="409">
        <v>0</v>
      </c>
      <c r="AU24" s="409">
        <v>0</v>
      </c>
      <c r="AV24" s="409">
        <v>0</v>
      </c>
      <c r="AW24" s="409">
        <v>0</v>
      </c>
      <c r="AX24" s="409">
        <v>0</v>
      </c>
      <c r="AY24" s="409">
        <v>0</v>
      </c>
      <c r="AZ24" s="409">
        <v>0</v>
      </c>
    </row>
    <row r="25" spans="1:52">
      <c r="A25" s="38" t="s">
        <v>271</v>
      </c>
      <c r="B25" s="38" t="s">
        <v>278</v>
      </c>
      <c r="C25" s="407"/>
      <c r="D25" s="408">
        <v>0</v>
      </c>
      <c r="E25" s="409">
        <v>0</v>
      </c>
      <c r="F25" s="409">
        <v>0</v>
      </c>
      <c r="G25" s="409">
        <v>0</v>
      </c>
      <c r="H25" s="409">
        <v>0</v>
      </c>
      <c r="I25" s="409">
        <v>0</v>
      </c>
      <c r="J25" s="409">
        <v>0</v>
      </c>
      <c r="K25" s="409">
        <v>0</v>
      </c>
      <c r="L25" s="409">
        <v>0</v>
      </c>
      <c r="M25" s="409">
        <v>0</v>
      </c>
      <c r="N25" s="409">
        <v>0</v>
      </c>
      <c r="O25" s="409">
        <v>0</v>
      </c>
      <c r="P25" s="409">
        <v>0</v>
      </c>
      <c r="Q25" s="409">
        <v>0</v>
      </c>
      <c r="R25" s="409">
        <v>0</v>
      </c>
      <c r="S25" s="409">
        <v>0</v>
      </c>
      <c r="T25" s="409">
        <v>0</v>
      </c>
      <c r="U25" s="409">
        <v>0</v>
      </c>
      <c r="V25" s="409">
        <v>0</v>
      </c>
      <c r="W25" s="409">
        <v>0</v>
      </c>
      <c r="X25" s="409">
        <v>0</v>
      </c>
      <c r="Y25" s="409">
        <v>0</v>
      </c>
      <c r="Z25" s="409">
        <v>0</v>
      </c>
      <c r="AA25" s="409">
        <v>0</v>
      </c>
      <c r="AB25" s="407"/>
      <c r="AC25" s="408">
        <v>0</v>
      </c>
      <c r="AD25" s="409">
        <f>MIN('Levelized Cost Summary'!AC24,'Levelized Cost Summary'!AC37)</f>
        <v>148.95975823760458</v>
      </c>
      <c r="AE25" s="409">
        <f>MIN('Levelized Cost Summary'!AD24,'Levelized Cost Summary'!AD37)</f>
        <v>144.10083209593051</v>
      </c>
      <c r="AF25" s="409">
        <f>MIN('Levelized Cost Summary'!AE24,'Levelized Cost Summary'!AE37)</f>
        <v>141.11856658130159</v>
      </c>
      <c r="AG25" s="409">
        <f>MIN('Levelized Cost Summary'!AF24,'Levelized Cost Summary'!AF37)</f>
        <v>139.34053705125177</v>
      </c>
      <c r="AH25" s="409">
        <f>MIN('Levelized Cost Summary'!AG24,'Levelized Cost Summary'!AG37)</f>
        <v>137.92196222797782</v>
      </c>
      <c r="AI25" s="409">
        <f>MIN('Levelized Cost Summary'!AH24,'Levelized Cost Summary'!AH37)</f>
        <v>135.93486575581989</v>
      </c>
      <c r="AJ25" s="409">
        <f>MIN('Levelized Cost Summary'!AI24,'Levelized Cost Summary'!AI37)</f>
        <v>134.80109383468556</v>
      </c>
      <c r="AK25" s="409">
        <f>MIN('Levelized Cost Summary'!AJ24,'Levelized Cost Summary'!AJ37)</f>
        <v>133.59879058196825</v>
      </c>
      <c r="AL25" s="409">
        <f>MIN('Levelized Cost Summary'!AK24,'Levelized Cost Summary'!AK37)</f>
        <v>134.75731649825298</v>
      </c>
      <c r="AM25" s="409">
        <f>MIN('Levelized Cost Summary'!AL24,'Levelized Cost Summary'!AL37)</f>
        <v>135.34803543909428</v>
      </c>
      <c r="AN25" s="409">
        <f>MIN('Levelized Cost Summary'!AM24,'Levelized Cost Summary'!AM37)</f>
        <v>141.44841098427693</v>
      </c>
      <c r="AO25" s="409">
        <f>MIN('Levelized Cost Summary'!AN24,'Levelized Cost Summary'!AN37)</f>
        <v>147.58574295265373</v>
      </c>
      <c r="AP25" s="409">
        <f>MIN('Levelized Cost Summary'!AO24,'Levelized Cost Summary'!AO37)</f>
        <v>162.45310558623046</v>
      </c>
      <c r="AQ25" s="409">
        <f>MIN('Levelized Cost Summary'!AP24,'Levelized Cost Summary'!AP37)</f>
        <v>163.00880923040719</v>
      </c>
      <c r="AR25" s="409">
        <f>MIN('Levelized Cost Summary'!AQ24,'Levelized Cost Summary'!AQ37)</f>
        <v>163.48761211255959</v>
      </c>
      <c r="AS25" s="409">
        <f>MIN('Levelized Cost Summary'!AR24,'Levelized Cost Summary'!AR37)</f>
        <v>163.88416564453547</v>
      </c>
      <c r="AT25" s="409">
        <f>MIN('Levelized Cost Summary'!AS24,'Levelized Cost Summary'!AS37)</f>
        <v>164.19279487003479</v>
      </c>
      <c r="AU25" s="409">
        <f>MIN('Levelized Cost Summary'!AT24,'Levelized Cost Summary'!AT37)</f>
        <v>164.40747815879155</v>
      </c>
      <c r="AV25" s="409">
        <f>MIN('Levelized Cost Summary'!AU24,'Levelized Cost Summary'!AU37)</f>
        <v>164.52182444012746</v>
      </c>
      <c r="AW25" s="409">
        <f>MIN('Levelized Cost Summary'!AV24,'Levelized Cost Summary'!AV37)</f>
        <v>164.5290490028944</v>
      </c>
      <c r="AX25" s="409">
        <f>MIN('Levelized Cost Summary'!AW24,'Levelized Cost Summary'!AW37)</f>
        <v>164.42194734902409</v>
      </c>
      <c r="AY25" s="409">
        <f>MIN('Levelized Cost Summary'!AX24,'Levelized Cost Summary'!AX37)</f>
        <v>164.1928668783525</v>
      </c>
      <c r="AZ25" s="409">
        <f>MIN('Levelized Cost Summary'!AY24,'Levelized Cost Summary'!AY37)</f>
        <v>163.83367735431847</v>
      </c>
    </row>
    <row r="26" spans="1:52">
      <c r="A26" s="38" t="s">
        <v>271</v>
      </c>
      <c r="B26" s="38" t="s">
        <v>279</v>
      </c>
      <c r="C26" s="407"/>
      <c r="D26" s="408">
        <v>0</v>
      </c>
      <c r="E26" s="409">
        <v>0</v>
      </c>
      <c r="F26" s="409">
        <v>0</v>
      </c>
      <c r="G26" s="409">
        <v>0</v>
      </c>
      <c r="H26" s="409">
        <v>0</v>
      </c>
      <c r="I26" s="409">
        <v>0</v>
      </c>
      <c r="J26" s="409">
        <v>0</v>
      </c>
      <c r="K26" s="409">
        <v>0</v>
      </c>
      <c r="L26" s="409">
        <v>0</v>
      </c>
      <c r="M26" s="409">
        <v>0</v>
      </c>
      <c r="N26" s="409">
        <v>0</v>
      </c>
      <c r="O26" s="409">
        <v>0</v>
      </c>
      <c r="P26" s="409">
        <v>0</v>
      </c>
      <c r="Q26" s="409">
        <v>0</v>
      </c>
      <c r="R26" s="409">
        <v>0</v>
      </c>
      <c r="S26" s="409">
        <v>0</v>
      </c>
      <c r="T26" s="409">
        <v>0</v>
      </c>
      <c r="U26" s="409">
        <v>0</v>
      </c>
      <c r="V26" s="409">
        <v>0</v>
      </c>
      <c r="W26" s="409">
        <v>0</v>
      </c>
      <c r="X26" s="409">
        <v>0</v>
      </c>
      <c r="Y26" s="409">
        <v>0</v>
      </c>
      <c r="Z26" s="409">
        <v>0</v>
      </c>
      <c r="AA26" s="409">
        <v>0</v>
      </c>
      <c r="AB26" s="407"/>
      <c r="AC26" s="408">
        <v>0</v>
      </c>
      <c r="AD26" s="409">
        <f>MIN('Levelized Cost Summary'!AC25,'Levelized Cost Summary'!AC38)</f>
        <v>89.249106867646759</v>
      </c>
      <c r="AE26" s="409">
        <f>MIN('Levelized Cost Summary'!AD25,'Levelized Cost Summary'!AD38)</f>
        <v>87.638874026447553</v>
      </c>
      <c r="AF26" s="409">
        <f>MIN('Levelized Cost Summary'!AE25,'Levelized Cost Summary'!AE38)</f>
        <v>86.122037365381487</v>
      </c>
      <c r="AG26" s="409">
        <f>MIN('Levelized Cost Summary'!AF25,'Levelized Cost Summary'!AF38)</f>
        <v>85.861135751546229</v>
      </c>
      <c r="AH26" s="409">
        <f>MIN('Levelized Cost Summary'!AG25,'Levelized Cost Summary'!AG38)</f>
        <v>85.675665844130734</v>
      </c>
      <c r="AI26" s="409">
        <f>MIN('Levelized Cost Summary'!AH25,'Levelized Cost Summary'!AH38)</f>
        <v>84.974818753683707</v>
      </c>
      <c r="AJ26" s="409">
        <f>MIN('Levelized Cost Summary'!AI25,'Levelized Cost Summary'!AI38)</f>
        <v>85.167255879465074</v>
      </c>
      <c r="AK26" s="409">
        <f>MIN('Levelized Cost Summary'!AJ25,'Levelized Cost Summary'!AJ38)</f>
        <v>84.972442104619674</v>
      </c>
      <c r="AL26" s="409">
        <f>MIN('Levelized Cost Summary'!AK25,'Levelized Cost Summary'!AK38)</f>
        <v>85.705119867998761</v>
      </c>
      <c r="AM26" s="409">
        <f>MIN('Levelized Cost Summary'!AL25,'Levelized Cost Summary'!AL38)</f>
        <v>86.108709384602108</v>
      </c>
      <c r="AN26" s="409">
        <f>MIN('Levelized Cost Summary'!AM25,'Levelized Cost Summary'!AM38)</f>
        <v>90.085329986658124</v>
      </c>
      <c r="AO26" s="409">
        <f>MIN('Levelized Cost Summary'!AN25,'Levelized Cost Summary'!AN38)</f>
        <v>94.089927874299065</v>
      </c>
      <c r="AP26" s="409">
        <f>MIN('Levelized Cost Summary'!AO25,'Levelized Cost Summary'!AO38)</f>
        <v>103.75451956636127</v>
      </c>
      <c r="AQ26" s="409">
        <f>MIN('Levelized Cost Summary'!AP25,'Levelized Cost Summary'!AP38)</f>
        <v>104.15216965959439</v>
      </c>
      <c r="AR26" s="409">
        <f>MIN('Levelized Cost Summary'!AQ25,'Levelized Cost Summary'!AQ38)</f>
        <v>104.50507631741731</v>
      </c>
      <c r="AS26" s="409">
        <f>MIN('Levelized Cost Summary'!AR25,'Levelized Cost Summary'!AR38)</f>
        <v>104.81017926906381</v>
      </c>
      <c r="AT26" s="409">
        <f>MIN('Levelized Cost Summary'!AS25,'Levelized Cost Summary'!AS38)</f>
        <v>105.06424248725016</v>
      </c>
      <c r="AU26" s="409">
        <f>MIN('Levelized Cost Summary'!AT25,'Levelized Cost Summary'!AT38)</f>
        <v>105.26860334871962</v>
      </c>
      <c r="AV26" s="409">
        <f>MIN('Levelized Cost Summary'!AU25,'Levelized Cost Summary'!AU38)</f>
        <v>105.41507582248516</v>
      </c>
      <c r="AW26" s="409">
        <f>MIN('Levelized Cost Summary'!AV25,'Levelized Cost Summary'!AV38)</f>
        <v>105.49981927728427</v>
      </c>
      <c r="AX26" s="409">
        <f>MIN('Levelized Cost Summary'!AW25,'Levelized Cost Summary'!AW38)</f>
        <v>105.51876266101726</v>
      </c>
      <c r="AY26" s="409">
        <f>MIN('Levelized Cost Summary'!AX25,'Levelized Cost Summary'!AX38)</f>
        <v>105.46758605214404</v>
      </c>
      <c r="AZ26" s="409">
        <f>MIN('Levelized Cost Summary'!AY25,'Levelized Cost Summary'!AY38)</f>
        <v>105.34172042782393</v>
      </c>
    </row>
    <row r="27" spans="1:52">
      <c r="A27" s="38" t="s">
        <v>271</v>
      </c>
      <c r="B27" s="38" t="s">
        <v>280</v>
      </c>
      <c r="C27" s="407"/>
      <c r="D27" s="408">
        <v>0</v>
      </c>
      <c r="E27" s="409">
        <v>0</v>
      </c>
      <c r="F27" s="409">
        <v>0</v>
      </c>
      <c r="G27" s="409">
        <v>0</v>
      </c>
      <c r="H27" s="409">
        <v>0</v>
      </c>
      <c r="I27" s="409">
        <v>0</v>
      </c>
      <c r="J27" s="409">
        <v>0</v>
      </c>
      <c r="K27" s="409">
        <v>0</v>
      </c>
      <c r="L27" s="409">
        <v>0</v>
      </c>
      <c r="M27" s="409">
        <v>0</v>
      </c>
      <c r="N27" s="409">
        <v>0</v>
      </c>
      <c r="O27" s="409">
        <v>0</v>
      </c>
      <c r="P27" s="409">
        <v>0</v>
      </c>
      <c r="Q27" s="409">
        <v>0</v>
      </c>
      <c r="R27" s="409">
        <v>0</v>
      </c>
      <c r="S27" s="409">
        <v>0</v>
      </c>
      <c r="T27" s="409">
        <v>0</v>
      </c>
      <c r="U27" s="409">
        <v>0</v>
      </c>
      <c r="V27" s="409">
        <v>0</v>
      </c>
      <c r="W27" s="409">
        <v>0</v>
      </c>
      <c r="X27" s="409">
        <v>0</v>
      </c>
      <c r="Y27" s="409">
        <v>0</v>
      </c>
      <c r="Z27" s="409">
        <v>0</v>
      </c>
      <c r="AA27" s="409">
        <v>0</v>
      </c>
      <c r="AB27" s="407"/>
      <c r="AC27" s="408">
        <v>0</v>
      </c>
      <c r="AD27" s="409">
        <f>MIN('Levelized Cost Summary'!AC26,'Levelized Cost Summary'!AC39)</f>
        <v>50.502751842441683</v>
      </c>
      <c r="AE27" s="409">
        <f>MIN('Levelized Cost Summary'!AD26,'Levelized Cost Summary'!AD39)</f>
        <v>49.663241170691066</v>
      </c>
      <c r="AF27" s="409">
        <f>MIN('Levelized Cost Summary'!AE26,'Levelized Cost Summary'!AE39)</f>
        <v>48.890738919967873</v>
      </c>
      <c r="AG27" s="409">
        <f>MIN('Levelized Cost Summary'!AF26,'Levelized Cost Summary'!AF39)</f>
        <v>48.766811535372909</v>
      </c>
      <c r="AH27" s="409">
        <f>MIN('Levelized Cost Summary'!AG26,'Levelized Cost Summary'!AG39)</f>
        <v>48.685313075938154</v>
      </c>
      <c r="AI27" s="409">
        <f>MIN('Levelized Cost Summary'!AH26,'Levelized Cost Summary'!AH39)</f>
        <v>48.350008123356631</v>
      </c>
      <c r="AJ27" s="409">
        <f>MIN('Levelized Cost Summary'!AI26,'Levelized Cost Summary'!AI39)</f>
        <v>48.472508020579056</v>
      </c>
      <c r="AK27" s="409">
        <f>MIN('Levelized Cost Summary'!AJ26,'Levelized Cost Summary'!AJ39)</f>
        <v>48.400820417724589</v>
      </c>
      <c r="AL27" s="409">
        <f>MIN('Levelized Cost Summary'!AK26,'Levelized Cost Summary'!AK39)</f>
        <v>48.79794787665459</v>
      </c>
      <c r="AM27" s="409">
        <f>MIN('Levelized Cost Summary'!AL26,'Levelized Cost Summary'!AL39)</f>
        <v>48.885568158297374</v>
      </c>
      <c r="AN27" s="409">
        <f>MIN('Levelized Cost Summary'!AM26,'Levelized Cost Summary'!AM39)</f>
        <v>50.747267330154969</v>
      </c>
      <c r="AO27" s="409">
        <f>MIN('Levelized Cost Summary'!AN26,'Levelized Cost Summary'!AN39)</f>
        <v>52.60973251949639</v>
      </c>
      <c r="AP27" s="409">
        <f>MIN('Levelized Cost Summary'!AO26,'Levelized Cost Summary'!AO39)</f>
        <v>57.288061842008389</v>
      </c>
      <c r="AQ27" s="409">
        <f>MIN('Levelized Cost Summary'!AP26,'Levelized Cost Summary'!AP39)</f>
        <v>57.317864080151281</v>
      </c>
      <c r="AR27" s="409">
        <f>MIN('Levelized Cost Summary'!AQ26,'Levelized Cost Summary'!AQ39)</f>
        <v>57.309133731525492</v>
      </c>
      <c r="AS27" s="409">
        <f>MIN('Levelized Cost Summary'!AR26,'Levelized Cost Summary'!AR39)</f>
        <v>57.25951756810997</v>
      </c>
      <c r="AT27" s="409">
        <f>MIN('Levelized Cost Summary'!AS26,'Levelized Cost Summary'!AS39)</f>
        <v>57.166094035815718</v>
      </c>
      <c r="AU27" s="409">
        <f>MIN('Levelized Cost Summary'!AT26,'Levelized Cost Summary'!AT39)</f>
        <v>57.028175803361322</v>
      </c>
      <c r="AV27" s="409">
        <f>MIN('Levelized Cost Summary'!AU26,'Levelized Cost Summary'!AU39)</f>
        <v>56.840555759797866</v>
      </c>
      <c r="AW27" s="409">
        <f>MIN('Levelized Cost Summary'!AV26,'Levelized Cost Summary'!AV39)</f>
        <v>56.599855433581602</v>
      </c>
      <c r="AX27" s="409">
        <f>MIN('Levelized Cost Summary'!AW26,'Levelized Cost Summary'!AW39)</f>
        <v>56.302546043802984</v>
      </c>
      <c r="AY27" s="409">
        <f>MIN('Levelized Cost Summary'!AX26,'Levelized Cost Summary'!AX39)</f>
        <v>55.944872746161707</v>
      </c>
      <c r="AZ27" s="409">
        <f>MIN('Levelized Cost Summary'!AY26,'Levelized Cost Summary'!AY39)</f>
        <v>55.522839394847608</v>
      </c>
    </row>
    <row r="28" spans="1:52">
      <c r="A28" s="38" t="s">
        <v>271</v>
      </c>
      <c r="B28" s="38" t="s">
        <v>11</v>
      </c>
      <c r="C28" s="407"/>
      <c r="D28" s="408">
        <v>0</v>
      </c>
      <c r="E28" s="409">
        <v>0</v>
      </c>
      <c r="F28" s="409">
        <v>0</v>
      </c>
      <c r="G28" s="409">
        <v>0</v>
      </c>
      <c r="H28" s="409">
        <v>0</v>
      </c>
      <c r="I28" s="409">
        <v>0</v>
      </c>
      <c r="J28" s="409">
        <v>0</v>
      </c>
      <c r="K28" s="409">
        <v>0</v>
      </c>
      <c r="L28" s="409">
        <v>0</v>
      </c>
      <c r="M28" s="409">
        <v>0</v>
      </c>
      <c r="N28" s="409">
        <v>0</v>
      </c>
      <c r="O28" s="409">
        <v>0</v>
      </c>
      <c r="P28" s="409">
        <v>0</v>
      </c>
      <c r="Q28" s="409">
        <v>0</v>
      </c>
      <c r="R28" s="409">
        <v>0</v>
      </c>
      <c r="S28" s="409">
        <v>0</v>
      </c>
      <c r="T28" s="409">
        <v>0</v>
      </c>
      <c r="U28" s="409">
        <v>0</v>
      </c>
      <c r="V28" s="409">
        <v>0</v>
      </c>
      <c r="W28" s="409">
        <v>0</v>
      </c>
      <c r="X28" s="409">
        <v>0</v>
      </c>
      <c r="Y28" s="409">
        <v>0</v>
      </c>
      <c r="Z28" s="409">
        <v>0</v>
      </c>
      <c r="AA28" s="409">
        <v>0</v>
      </c>
      <c r="AB28" s="407"/>
      <c r="AC28" s="408">
        <v>0</v>
      </c>
      <c r="AD28" s="409">
        <f>'Levelized Cost Summary'!AC40</f>
        <v>194.40685067042219</v>
      </c>
      <c r="AE28" s="409">
        <f>'Levelized Cost Summary'!AD40</f>
        <v>186.56795890429714</v>
      </c>
      <c r="AF28" s="409">
        <f>'Levelized Cost Summary'!AE40</f>
        <v>181.6306979179266</v>
      </c>
      <c r="AG28" s="409">
        <f>'Levelized Cost Summary'!AF40</f>
        <v>178.56281583934108</v>
      </c>
      <c r="AH28" s="409">
        <f>'Levelized Cost Summary'!AG40</f>
        <v>176.06877855435749</v>
      </c>
      <c r="AI28" s="409">
        <f>'Levelized Cost Summary'!AH40</f>
        <v>172.72676604706163</v>
      </c>
      <c r="AJ28" s="409">
        <f>'Levelized Cost Summary'!AI40</f>
        <v>170.71938165200473</v>
      </c>
      <c r="AK28" s="409">
        <f>'Levelized Cost Summary'!AJ40</f>
        <v>168.63372458841829</v>
      </c>
      <c r="AL28" s="409">
        <f>'Levelized Cost Summary'!AK40</f>
        <v>170.1933395996374</v>
      </c>
      <c r="AM28" s="409">
        <f>'Levelized Cost Summary'!AL40</f>
        <v>170.46673810459183</v>
      </c>
      <c r="AN28" s="409">
        <f>'Levelized Cost Summary'!AM40</f>
        <v>226.06218496389431</v>
      </c>
      <c r="AO28" s="409">
        <f>'Levelized Cost Summary'!AN40</f>
        <v>226.61013899340452</v>
      </c>
      <c r="AP28" s="409">
        <f>'Levelized Cost Summary'!AO40</f>
        <v>227.03750163580426</v>
      </c>
      <c r="AQ28" s="409">
        <f>'Levelized Cost Summary'!AP40</f>
        <v>227.33640445923717</v>
      </c>
      <c r="AR28" s="409">
        <f>'Levelized Cost Summary'!AQ40</f>
        <v>227.49854163928475</v>
      </c>
      <c r="AS28" s="409">
        <f>'Levelized Cost Summary'!AR40</f>
        <v>227.51514478645723</v>
      </c>
      <c r="AT28" s="409">
        <f>'Levelized Cost Summary'!AS40</f>
        <v>227.3769562440001</v>
      </c>
      <c r="AU28" s="409">
        <f>'Levelized Cost Summary'!AT40</f>
        <v>227.07420075964495</v>
      </c>
      <c r="AV28" s="409">
        <f>'Levelized Cost Summary'!AU40</f>
        <v>226.59655542873608</v>
      </c>
      <c r="AW28" s="409">
        <f>'Levelized Cost Summary'!AV40</f>
        <v>225.93311779956491</v>
      </c>
      <c r="AX28" s="409">
        <f>'Levelized Cost Summary'!AW40</f>
        <v>225.07237202476594</v>
      </c>
      <c r="AY28" s="409">
        <f>'Levelized Cost Summary'!AX40</f>
        <v>224.00215293511459</v>
      </c>
      <c r="AZ28" s="409">
        <f>'Levelized Cost Summary'!AY40</f>
        <v>222.70960790416123</v>
      </c>
    </row>
    <row r="29" spans="1:52">
      <c r="A29" s="38" t="s">
        <v>271</v>
      </c>
      <c r="B29" s="38" t="s">
        <v>12</v>
      </c>
      <c r="C29" s="407"/>
      <c r="D29" s="408">
        <v>0</v>
      </c>
      <c r="E29" s="409">
        <v>0</v>
      </c>
      <c r="F29" s="409">
        <v>0</v>
      </c>
      <c r="G29" s="409">
        <v>0</v>
      </c>
      <c r="H29" s="409">
        <v>0</v>
      </c>
      <c r="I29" s="409">
        <v>0</v>
      </c>
      <c r="J29" s="409">
        <v>0</v>
      </c>
      <c r="K29" s="409">
        <v>0</v>
      </c>
      <c r="L29" s="409">
        <v>0</v>
      </c>
      <c r="M29" s="409">
        <v>0</v>
      </c>
      <c r="N29" s="409">
        <v>0</v>
      </c>
      <c r="O29" s="409">
        <v>0</v>
      </c>
      <c r="P29" s="409">
        <v>0</v>
      </c>
      <c r="Q29" s="409">
        <v>0</v>
      </c>
      <c r="R29" s="409">
        <v>0</v>
      </c>
      <c r="S29" s="409">
        <v>0</v>
      </c>
      <c r="T29" s="409">
        <v>0</v>
      </c>
      <c r="U29" s="409">
        <v>0</v>
      </c>
      <c r="V29" s="409">
        <v>0</v>
      </c>
      <c r="W29" s="409">
        <v>0</v>
      </c>
      <c r="X29" s="409">
        <v>0</v>
      </c>
      <c r="Y29" s="409">
        <v>0</v>
      </c>
      <c r="Z29" s="409">
        <v>0</v>
      </c>
      <c r="AA29" s="409">
        <v>0</v>
      </c>
      <c r="AB29" s="407"/>
      <c r="AC29" s="408">
        <v>0</v>
      </c>
      <c r="AD29" s="409">
        <f>'Levelized Cost Summary'!AC41</f>
        <v>349.03803558158819</v>
      </c>
      <c r="AE29" s="409">
        <f>'Levelized Cost Summary'!AD41</f>
        <v>330.93572046608114</v>
      </c>
      <c r="AF29" s="409">
        <f>'Levelized Cost Summary'!AE41</f>
        <v>321.22000016956628</v>
      </c>
      <c r="AG29" s="409">
        <f>'Levelized Cost Summary'!AF41</f>
        <v>313.22599729619793</v>
      </c>
      <c r="AH29" s="409">
        <f>'Levelized Cost Summary'!AG41</f>
        <v>306.68792493626489</v>
      </c>
      <c r="AI29" s="409">
        <f>'Levelized Cost Summary'!AH41</f>
        <v>299.14920442959703</v>
      </c>
      <c r="AJ29" s="409">
        <f>'Levelized Cost Summary'!AI41</f>
        <v>292.83243158070934</v>
      </c>
      <c r="AK29" s="409">
        <f>'Levelized Cost Summary'!AJ41</f>
        <v>287.42470909523473</v>
      </c>
      <c r="AL29" s="409">
        <f>'Levelized Cost Summary'!AK41</f>
        <v>290.06501160908641</v>
      </c>
      <c r="AM29" s="409">
        <f>'Levelized Cost Summary'!AL41</f>
        <v>290.53068686618167</v>
      </c>
      <c r="AN29" s="409">
        <f>'Levelized Cost Summary'!AM41</f>
        <v>385.28332142992986</v>
      </c>
      <c r="AO29" s="409">
        <f>'Levelized Cost Summary'!AN41</f>
        <v>386.21681243170559</v>
      </c>
      <c r="AP29" s="409">
        <f>'Levelized Cost Summary'!AO41</f>
        <v>386.9447638109325</v>
      </c>
      <c r="AQ29" s="409">
        <f>'Levelized Cost Summary'!AP41</f>
        <v>387.45376515452807</v>
      </c>
      <c r="AR29" s="409">
        <f>'Levelized Cost Summary'!AQ41</f>
        <v>387.72966061501671</v>
      </c>
      <c r="AS29" s="409">
        <f>'Levelized Cost Summary'!AR41</f>
        <v>387.75750601085173</v>
      </c>
      <c r="AT29" s="409">
        <f>'Levelized Cost Summary'!AS41</f>
        <v>387.52152331983194</v>
      </c>
      <c r="AU29" s="409">
        <f>'Levelized Cost Summary'!AT41</f>
        <v>387.00505240139472</v>
      </c>
      <c r="AV29" s="409">
        <f>'Levelized Cost Summary'!AU41</f>
        <v>386.19049977297703</v>
      </c>
      <c r="AW29" s="409">
        <f>'Levelized Cost Summary'!AV41</f>
        <v>385.0592842544059</v>
      </c>
      <c r="AX29" s="409">
        <f>'Levelized Cost Summary'!AW41</f>
        <v>383.59177928238256</v>
      </c>
      <c r="AY29" s="409">
        <f>'Levelized Cost Summary'!AX41</f>
        <v>381.76725168431938</v>
      </c>
      <c r="AZ29" s="409">
        <f>'Levelized Cost Summary'!AY41</f>
        <v>379.5637966873137</v>
      </c>
    </row>
    <row r="30" spans="1:52">
      <c r="A30" s="38" t="s">
        <v>271</v>
      </c>
      <c r="B30" s="38" t="s">
        <v>13</v>
      </c>
      <c r="C30" s="407"/>
      <c r="D30" s="408">
        <v>0</v>
      </c>
      <c r="E30" s="409">
        <v>0</v>
      </c>
      <c r="F30" s="409">
        <v>0</v>
      </c>
      <c r="G30" s="409">
        <v>0</v>
      </c>
      <c r="H30" s="409">
        <v>0</v>
      </c>
      <c r="I30" s="409">
        <v>0</v>
      </c>
      <c r="J30" s="409">
        <v>0</v>
      </c>
      <c r="K30" s="409">
        <v>0</v>
      </c>
      <c r="L30" s="409">
        <v>0</v>
      </c>
      <c r="M30" s="409">
        <v>0</v>
      </c>
      <c r="N30" s="409">
        <v>0</v>
      </c>
      <c r="O30" s="409">
        <v>0</v>
      </c>
      <c r="P30" s="409">
        <v>0</v>
      </c>
      <c r="Q30" s="409">
        <v>0</v>
      </c>
      <c r="R30" s="409">
        <v>0</v>
      </c>
      <c r="S30" s="409">
        <v>0</v>
      </c>
      <c r="T30" s="409">
        <v>0</v>
      </c>
      <c r="U30" s="409">
        <v>0</v>
      </c>
      <c r="V30" s="409">
        <v>0</v>
      </c>
      <c r="W30" s="409">
        <v>0</v>
      </c>
      <c r="X30" s="409">
        <v>0</v>
      </c>
      <c r="Y30" s="409">
        <v>0</v>
      </c>
      <c r="Z30" s="409">
        <v>0</v>
      </c>
      <c r="AA30" s="409">
        <v>0</v>
      </c>
      <c r="AB30" s="407"/>
      <c r="AC30" s="408">
        <v>0</v>
      </c>
      <c r="AD30" s="409">
        <f>'Levelized Cost Summary'!AC42</f>
        <v>148.67017116402008</v>
      </c>
      <c r="AE30" s="409">
        <f>'Levelized Cost Summary'!AD42</f>
        <v>142.66309456987418</v>
      </c>
      <c r="AF30" s="409">
        <f>'Levelized Cost Summary'!AE42</f>
        <v>138.87925516300916</v>
      </c>
      <c r="AG30" s="409">
        <f>'Levelized Cost Summary'!AF42</f>
        <v>136.52770893516333</v>
      </c>
      <c r="AH30" s="409">
        <f>'Levelized Cost Summary'!AG42</f>
        <v>134.61539254882484</v>
      </c>
      <c r="AI30" s="409">
        <f>'Levelized Cost Summary'!AH42</f>
        <v>132.05208383787433</v>
      </c>
      <c r="AJ30" s="409">
        <f>'Levelized Cost Summary'!AI42</f>
        <v>130.51118593475789</v>
      </c>
      <c r="AK30" s="409">
        <f>'Levelized Cost Summary'!AJ42</f>
        <v>128.90950519044853</v>
      </c>
      <c r="AL30" s="409">
        <f>'Levelized Cost Summary'!AK42</f>
        <v>130.10230596272794</v>
      </c>
      <c r="AM30" s="409">
        <f>'Levelized Cost Summary'!AL42</f>
        <v>131.23376249060436</v>
      </c>
      <c r="AN30" s="409">
        <f>'Levelized Cost Summary'!AM42</f>
        <v>174.85286501727944</v>
      </c>
      <c r="AO30" s="409">
        <f>'Levelized Cost Summary'!AN42</f>
        <v>176.32803042652458</v>
      </c>
      <c r="AP30" s="409">
        <f>'Levelized Cost Summary'!AO42</f>
        <v>177.78347432710754</v>
      </c>
      <c r="AQ30" s="409">
        <f>'Levelized Cost Summary'!AP42</f>
        <v>179.2176149925902</v>
      </c>
      <c r="AR30" s="409">
        <f>'Levelized Cost Summary'!AQ42</f>
        <v>179.69657106655944</v>
      </c>
      <c r="AS30" s="409">
        <f>'Levelized Cost Summary'!AR42</f>
        <v>180.08731087021681</v>
      </c>
      <c r="AT30" s="409">
        <f>'Levelized Cost Summary'!AS42</f>
        <v>180.38425313225284</v>
      </c>
      <c r="AU30" s="409">
        <f>'Levelized Cost Summary'!AT42</f>
        <v>180.58151813915731</v>
      </c>
      <c r="AV30" s="409">
        <f>'Levelized Cost Summary'!AU42</f>
        <v>180.67291108395199</v>
      </c>
      <c r="AW30" s="409">
        <f>'Levelized Cost Summary'!AV42</f>
        <v>180.65190442171215</v>
      </c>
      <c r="AX30" s="409">
        <f>'Levelized Cost Summary'!AW42</f>
        <v>180.51161916988121</v>
      </c>
      <c r="AY30" s="409">
        <f>'Levelized Cost Summary'!AX42</f>
        <v>180.2448050873935</v>
      </c>
      <c r="AZ30" s="409">
        <f>'Levelized Cost Summary'!AY42</f>
        <v>179.84381966242626</v>
      </c>
    </row>
    <row r="31" spans="1:52">
      <c r="A31" s="38" t="s">
        <v>271</v>
      </c>
      <c r="B31" s="38" t="s">
        <v>14</v>
      </c>
      <c r="C31" s="410"/>
      <c r="D31" s="408">
        <v>0</v>
      </c>
      <c r="E31" s="409">
        <v>0</v>
      </c>
      <c r="F31" s="409">
        <v>0</v>
      </c>
      <c r="G31" s="409">
        <v>0</v>
      </c>
      <c r="H31" s="409">
        <v>0</v>
      </c>
      <c r="I31" s="409">
        <v>0</v>
      </c>
      <c r="J31" s="409">
        <v>0</v>
      </c>
      <c r="K31" s="409">
        <v>0</v>
      </c>
      <c r="L31" s="409">
        <v>0</v>
      </c>
      <c r="M31" s="409">
        <v>0</v>
      </c>
      <c r="N31" s="409">
        <v>0</v>
      </c>
      <c r="O31" s="409">
        <v>0</v>
      </c>
      <c r="P31" s="409">
        <v>0</v>
      </c>
      <c r="Q31" s="409">
        <v>0</v>
      </c>
      <c r="R31" s="409">
        <v>0</v>
      </c>
      <c r="S31" s="409">
        <v>0</v>
      </c>
      <c r="T31" s="409">
        <v>0</v>
      </c>
      <c r="U31" s="409">
        <v>0</v>
      </c>
      <c r="V31" s="409">
        <v>0</v>
      </c>
      <c r="W31" s="409">
        <v>0</v>
      </c>
      <c r="X31" s="409">
        <v>0</v>
      </c>
      <c r="Y31" s="409">
        <v>0</v>
      </c>
      <c r="Z31" s="409">
        <v>0</v>
      </c>
      <c r="AA31" s="409">
        <v>0</v>
      </c>
      <c r="AB31" s="410"/>
      <c r="AC31" s="408">
        <v>0</v>
      </c>
      <c r="AD31" s="409">
        <f>'Levelized Cost Summary'!AC43</f>
        <v>266.94582704160314</v>
      </c>
      <c r="AE31" s="409">
        <f>'Levelized Cost Summary'!AD43</f>
        <v>253.07481279659336</v>
      </c>
      <c r="AF31" s="409">
        <f>'Levelized Cost Summary'!AE43</f>
        <v>245.63084840938618</v>
      </c>
      <c r="AG31" s="409">
        <f>'Levelized Cost Summary'!AF43</f>
        <v>239.50497499200492</v>
      </c>
      <c r="AH31" s="409">
        <f>'Levelized Cost Summary'!AG43</f>
        <v>234.49364791236303</v>
      </c>
      <c r="AI31" s="409">
        <f>'Levelized Cost Summary'!AH43</f>
        <v>228.71329337689946</v>
      </c>
      <c r="AJ31" s="409">
        <f>'Levelized Cost Summary'!AI43</f>
        <v>223.867851666142</v>
      </c>
      <c r="AK31" s="409">
        <f>'Levelized Cost Summary'!AJ43</f>
        <v>219.71752155275067</v>
      </c>
      <c r="AL31" s="409">
        <f>'Levelized Cost Summary'!AK43</f>
        <v>221.73680942214477</v>
      </c>
      <c r="AM31" s="409">
        <f>'Levelized Cost Summary'!AL43</f>
        <v>222.10807609395616</v>
      </c>
      <c r="AN31" s="409">
        <f>'Levelized Cost Summary'!AM43</f>
        <v>294.7836060162785</v>
      </c>
      <c r="AO31" s="409">
        <f>'Levelized Cost Summary'!AN43</f>
        <v>295.51662522063378</v>
      </c>
      <c r="AP31" s="409">
        <f>'Levelized Cost Summary'!AO43</f>
        <v>296.09367630341762</v>
      </c>
      <c r="AQ31" s="409">
        <f>'Levelized Cost Summary'!AP43</f>
        <v>296.50457686083638</v>
      </c>
      <c r="AR31" s="409">
        <f>'Levelized Cost Summary'!AQ43</f>
        <v>296.7385789287593</v>
      </c>
      <c r="AS31" s="409">
        <f>'Levelized Cost Summary'!AR43</f>
        <v>296.78433646054879</v>
      </c>
      <c r="AT31" s="409">
        <f>'Levelized Cost Summary'!AS43</f>
        <v>296.6298708295966</v>
      </c>
      <c r="AU31" s="409">
        <f>'Levelized Cost Summary'!AT43</f>
        <v>296.2625342321673</v>
      </c>
      <c r="AV31" s="409">
        <f>'Levelized Cost Summary'!AU43</f>
        <v>295.66897085812599</v>
      </c>
      <c r="AW31" s="409">
        <f>'Levelized Cost Summary'!AV43</f>
        <v>294.83507568862751</v>
      </c>
      <c r="AX31" s="409">
        <f>'Levelized Cost Summary'!AW43</f>
        <v>293.74595077082455</v>
      </c>
      <c r="AY31" s="409">
        <f>'Levelized Cost Summary'!AX43</f>
        <v>292.38585880996317</v>
      </c>
      <c r="AZ31" s="409">
        <f>'Levelized Cost Summary'!AY43</f>
        <v>290.73817390901752</v>
      </c>
    </row>
    <row r="32" spans="1:52">
      <c r="A32" s="38" t="s">
        <v>271</v>
      </c>
      <c r="B32" s="38" t="s">
        <v>15</v>
      </c>
      <c r="C32" s="410"/>
      <c r="D32" s="408">
        <v>0</v>
      </c>
      <c r="E32" s="409">
        <v>0</v>
      </c>
      <c r="F32" s="409">
        <v>0</v>
      </c>
      <c r="G32" s="409">
        <v>0</v>
      </c>
      <c r="H32" s="409">
        <v>0</v>
      </c>
      <c r="I32" s="409">
        <v>0</v>
      </c>
      <c r="J32" s="409">
        <v>0</v>
      </c>
      <c r="K32" s="409">
        <v>0</v>
      </c>
      <c r="L32" s="409">
        <v>0</v>
      </c>
      <c r="M32" s="409">
        <v>0</v>
      </c>
      <c r="N32" s="409">
        <v>0</v>
      </c>
      <c r="O32" s="409">
        <v>0</v>
      </c>
      <c r="P32" s="409">
        <v>0</v>
      </c>
      <c r="Q32" s="409">
        <v>0</v>
      </c>
      <c r="R32" s="409">
        <v>0</v>
      </c>
      <c r="S32" s="409">
        <v>0</v>
      </c>
      <c r="T32" s="409">
        <v>0</v>
      </c>
      <c r="U32" s="409">
        <v>0</v>
      </c>
      <c r="V32" s="409">
        <v>0</v>
      </c>
      <c r="W32" s="409">
        <v>0</v>
      </c>
      <c r="X32" s="409">
        <v>0</v>
      </c>
      <c r="Y32" s="409">
        <v>0</v>
      </c>
      <c r="Z32" s="409">
        <v>0</v>
      </c>
      <c r="AA32" s="409">
        <v>0</v>
      </c>
      <c r="AB32" s="410"/>
      <c r="AC32" s="408">
        <v>0</v>
      </c>
      <c r="AD32" s="409">
        <f>'Levelized Cost Summary'!AC44</f>
        <v>503.49713879676909</v>
      </c>
      <c r="AE32" s="409">
        <f>'Levelized Cost Summary'!AD44</f>
        <v>473.89824925003177</v>
      </c>
      <c r="AF32" s="409">
        <f>'Levelized Cost Summary'!AE44</f>
        <v>459.13403490214006</v>
      </c>
      <c r="AG32" s="409">
        <f>'Levelized Cost Summary'!AF44</f>
        <v>445.45950710568832</v>
      </c>
      <c r="AH32" s="409">
        <f>'Levelized Cost Summary'!AG44</f>
        <v>434.25015863943946</v>
      </c>
      <c r="AI32" s="409">
        <f>'Levelized Cost Summary'!AH44</f>
        <v>422.03571245494976</v>
      </c>
      <c r="AJ32" s="409">
        <f>'Levelized Cost Summary'!AI44</f>
        <v>410.58118312891008</v>
      </c>
      <c r="AK32" s="409">
        <f>'Levelized Cost Summary'!AJ44</f>
        <v>401.33355427735466</v>
      </c>
      <c r="AL32" s="409">
        <f>'Levelized Cost Summary'!AK44</f>
        <v>405.00581634097841</v>
      </c>
      <c r="AM32" s="409">
        <f>'Levelized Cost Summary'!AL44</f>
        <v>405.68368510375626</v>
      </c>
      <c r="AN32" s="409">
        <f>'Levelized Cost Summary'!AM44</f>
        <v>538.42655601057709</v>
      </c>
      <c r="AO32" s="409">
        <f>'Levelized Cost Summary'!AN44</f>
        <v>539.76506665155523</v>
      </c>
      <c r="AP32" s="409">
        <f>'Levelized Cost Summary'!AO44</f>
        <v>540.81868773600934</v>
      </c>
      <c r="AQ32" s="409">
        <f>'Levelized Cost Summary'!AP44</f>
        <v>541.56882090359488</v>
      </c>
      <c r="AR32" s="409">
        <f>'Levelized Cost Summary'!AQ44</f>
        <v>541.99583481136335</v>
      </c>
      <c r="AS32" s="409">
        <f>'Levelized Cost Summary'!AR44</f>
        <v>542.07900573371603</v>
      </c>
      <c r="AT32" s="409">
        <f>'Levelized Cost Summary'!AS44</f>
        <v>541.79645455460945</v>
      </c>
      <c r="AU32" s="409">
        <f>'Levelized Cost Summary'!AT44</f>
        <v>541.12507992481665</v>
      </c>
      <c r="AV32" s="409">
        <f>'Levelized Cost Summary'!AU44</f>
        <v>540.04048734238529</v>
      </c>
      <c r="AW32" s="409">
        <f>'Levelized Cost Summary'!AV44</f>
        <v>538.51691389889675</v>
      </c>
      <c r="AX32" s="409">
        <f>'Levelized Cost Summary'!AW44</f>
        <v>536.52714841768613</v>
      </c>
      <c r="AY32" s="409">
        <f>'Levelized Cost Summary'!AX44</f>
        <v>534.04244669244554</v>
      </c>
      <c r="AZ32" s="409">
        <f>'Levelized Cost Summary'!AY44</f>
        <v>531.03244151601393</v>
      </c>
    </row>
    <row r="33" spans="1:52">
      <c r="A33" s="38" t="s">
        <v>271</v>
      </c>
      <c r="B33" s="38" t="s">
        <v>16</v>
      </c>
      <c r="C33" s="410"/>
      <c r="D33" s="408">
        <v>0</v>
      </c>
      <c r="E33" s="409">
        <v>0</v>
      </c>
      <c r="F33" s="409">
        <v>0</v>
      </c>
      <c r="G33" s="409">
        <v>0</v>
      </c>
      <c r="H33" s="409">
        <v>0</v>
      </c>
      <c r="I33" s="409">
        <v>0</v>
      </c>
      <c r="J33" s="409">
        <v>0</v>
      </c>
      <c r="K33" s="409">
        <v>0</v>
      </c>
      <c r="L33" s="409">
        <v>0</v>
      </c>
      <c r="M33" s="409">
        <v>0</v>
      </c>
      <c r="N33" s="409">
        <v>0</v>
      </c>
      <c r="O33" s="409">
        <v>0</v>
      </c>
      <c r="P33" s="409">
        <v>0</v>
      </c>
      <c r="Q33" s="409">
        <v>0</v>
      </c>
      <c r="R33" s="409">
        <v>0</v>
      </c>
      <c r="S33" s="409">
        <v>0</v>
      </c>
      <c r="T33" s="409">
        <v>0</v>
      </c>
      <c r="U33" s="409">
        <v>0</v>
      </c>
      <c r="V33" s="409">
        <v>0</v>
      </c>
      <c r="W33" s="409">
        <v>0</v>
      </c>
      <c r="X33" s="409">
        <v>0</v>
      </c>
      <c r="Y33" s="409">
        <v>0</v>
      </c>
      <c r="Z33" s="409">
        <v>0</v>
      </c>
      <c r="AA33" s="409">
        <v>0</v>
      </c>
      <c r="AB33" s="410"/>
      <c r="AC33" s="408">
        <v>0</v>
      </c>
      <c r="AD33" s="409">
        <f>'Levelized Cost Summary'!AC45</f>
        <v>193.87338153278279</v>
      </c>
      <c r="AE33" s="409">
        <f>'Levelized Cost Summary'!AD45</f>
        <v>191.35051892633948</v>
      </c>
      <c r="AF33" s="409">
        <f>'Levelized Cost Summary'!AE45</f>
        <v>190.95956345198317</v>
      </c>
      <c r="AG33" s="409">
        <f>'Levelized Cost Summary'!AF45</f>
        <v>190.73701717450572</v>
      </c>
      <c r="AH33" s="409">
        <f>'Levelized Cost Summary'!AG45</f>
        <v>190.97979009422727</v>
      </c>
      <c r="AI33" s="409">
        <f>'Levelized Cost Summary'!AH45</f>
        <v>191.36004162095779</v>
      </c>
      <c r="AJ33" s="409">
        <f>'Levelized Cost Summary'!AI45</f>
        <v>192.01994251278333</v>
      </c>
      <c r="AK33" s="409">
        <f>'Levelized Cost Summary'!AJ45</f>
        <v>192.58757410750871</v>
      </c>
      <c r="AL33" s="409">
        <f>'Levelized Cost Summary'!AK45</f>
        <v>193.27093882191502</v>
      </c>
      <c r="AM33" s="409">
        <f>'Levelized Cost Summary'!AL45</f>
        <v>194.10301564258523</v>
      </c>
      <c r="AN33" s="409">
        <f>'Levelized Cost Summary'!AM45</f>
        <v>236.60234478930334</v>
      </c>
      <c r="AO33" s="409">
        <f>'Levelized Cost Summary'!AN45</f>
        <v>237.55654828929343</v>
      </c>
      <c r="AP33" s="409">
        <f>'Levelized Cost Summary'!AO45</f>
        <v>239.01323317615234</v>
      </c>
      <c r="AQ33" s="409">
        <f>'Levelized Cost Summary'!AP45</f>
        <v>240.80363897225544</v>
      </c>
      <c r="AR33" s="409">
        <f>'Levelized Cost Summary'!AQ45</f>
        <v>242.89380333385728</v>
      </c>
      <c r="AS33" s="409">
        <f>'Levelized Cost Summary'!AR45</f>
        <v>245.34834383268185</v>
      </c>
      <c r="AT33" s="409">
        <f>'Levelized Cost Summary'!AS45</f>
        <v>247.80062821622195</v>
      </c>
      <c r="AU33" s="409">
        <f>'Levelized Cost Summary'!AT45</f>
        <v>250.25173344146435</v>
      </c>
      <c r="AV33" s="409">
        <f>'Levelized Cost Summary'!AU45</f>
        <v>252.70282682979069</v>
      </c>
      <c r="AW33" s="409">
        <f>'Levelized Cost Summary'!AV45</f>
        <v>255.15516666696482</v>
      </c>
      <c r="AX33" s="409">
        <f>'Levelized Cost Summary'!AW45</f>
        <v>257.61010268466066</v>
      </c>
      <c r="AY33" s="409">
        <f>'Levelized Cost Summary'!AX45</f>
        <v>260.06907642391428</v>
      </c>
      <c r="AZ33" s="409">
        <f>'Levelized Cost Summary'!AY45</f>
        <v>262.53362148125308</v>
      </c>
    </row>
    <row r="34" spans="1:52">
      <c r="A34" s="38" t="s">
        <v>271</v>
      </c>
      <c r="B34" s="38" t="s">
        <v>17</v>
      </c>
      <c r="C34" s="407"/>
      <c r="D34" s="408">
        <v>0</v>
      </c>
      <c r="E34" s="409">
        <v>0</v>
      </c>
      <c r="F34" s="409">
        <v>0</v>
      </c>
      <c r="G34" s="409">
        <v>0</v>
      </c>
      <c r="H34" s="409">
        <v>0</v>
      </c>
      <c r="I34" s="409">
        <v>0</v>
      </c>
      <c r="J34" s="409">
        <v>0</v>
      </c>
      <c r="K34" s="409">
        <v>0</v>
      </c>
      <c r="L34" s="409">
        <v>0</v>
      </c>
      <c r="M34" s="409">
        <v>0</v>
      </c>
      <c r="N34" s="409">
        <v>0</v>
      </c>
      <c r="O34" s="409">
        <v>0</v>
      </c>
      <c r="P34" s="409">
        <v>0</v>
      </c>
      <c r="Q34" s="409">
        <v>0</v>
      </c>
      <c r="R34" s="409">
        <v>0</v>
      </c>
      <c r="S34" s="409">
        <v>0</v>
      </c>
      <c r="T34" s="409">
        <v>0</v>
      </c>
      <c r="U34" s="409">
        <v>0</v>
      </c>
      <c r="V34" s="409">
        <v>0</v>
      </c>
      <c r="W34" s="409">
        <v>0</v>
      </c>
      <c r="X34" s="409">
        <v>0</v>
      </c>
      <c r="Y34" s="409">
        <v>0</v>
      </c>
      <c r="Z34" s="409">
        <v>0</v>
      </c>
      <c r="AA34" s="409">
        <v>0</v>
      </c>
      <c r="AB34" s="407"/>
      <c r="AC34" s="408">
        <v>0</v>
      </c>
      <c r="AD34" s="409">
        <f>'Levelized Cost Summary'!AC46</f>
        <v>209.55604609407587</v>
      </c>
      <c r="AE34" s="409">
        <f>'Levelized Cost Summary'!AD46</f>
        <v>207.03683978628354</v>
      </c>
      <c r="AF34" s="409">
        <f>'Levelized Cost Summary'!AE46</f>
        <v>206.75933662432232</v>
      </c>
      <c r="AG34" s="409">
        <f>'Levelized Cost Summary'!AF46</f>
        <v>206.66154030291941</v>
      </c>
      <c r="AH34" s="409">
        <f>'Levelized Cost Summary'!AG46</f>
        <v>207.05538729926613</v>
      </c>
      <c r="AI34" s="409">
        <f>'Levelized Cost Summary'!AH46</f>
        <v>207.59655054762493</v>
      </c>
      <c r="AJ34" s="409">
        <f>'Levelized Cost Summary'!AI46</f>
        <v>208.4345871197593</v>
      </c>
      <c r="AK34" s="409">
        <f>'Levelized Cost Summary'!AJ46</f>
        <v>209.17888690204691</v>
      </c>
      <c r="AL34" s="409">
        <f>'Levelized Cost Summary'!AK46</f>
        <v>210.04801432432058</v>
      </c>
      <c r="AM34" s="409">
        <f>'Levelized Cost Summary'!AL46</f>
        <v>211.0766835245937</v>
      </c>
      <c r="AN34" s="409">
        <f>'Levelized Cost Summary'!AM46</f>
        <v>255.87775581700802</v>
      </c>
      <c r="AO34" s="409">
        <f>'Levelized Cost Summary'!AN46</f>
        <v>257.04159009828362</v>
      </c>
      <c r="AP34" s="409">
        <f>'Levelized Cost Summary'!AO46</f>
        <v>258.73680455538891</v>
      </c>
      <c r="AQ34" s="409">
        <f>'Levelized Cost Summary'!AP46</f>
        <v>260.7862043837784</v>
      </c>
      <c r="AR34" s="409">
        <f>'Levelized Cost Summary'!AQ46</f>
        <v>263.15419402140668</v>
      </c>
      <c r="AS34" s="409">
        <f>'Levelized Cost Summary'!AR46</f>
        <v>265.90873207524163</v>
      </c>
      <c r="AT34" s="409">
        <f>'Levelized Cost Summary'!AS46</f>
        <v>268.66477633564062</v>
      </c>
      <c r="AU34" s="409">
        <f>'Levelized Cost Summary'!AT46</f>
        <v>271.4235433573769</v>
      </c>
      <c r="AV34" s="409">
        <f>'Levelized Cost Summary'!AU46</f>
        <v>274.18634649375815</v>
      </c>
      <c r="AW34" s="409">
        <f>'Levelized Cost Summary'!AV46</f>
        <v>276.95459656814882</v>
      </c>
      <c r="AX34" s="409">
        <f>'Levelized Cost Summary'!AW46</f>
        <v>279.72980242196911</v>
      </c>
      <c r="AY34" s="409">
        <f>'Levelized Cost Summary'!AX46</f>
        <v>282.51357133958874</v>
      </c>
      <c r="AZ34" s="409">
        <f>'Levelized Cost Summary'!AY46</f>
        <v>285.3076093509282</v>
      </c>
    </row>
    <row r="35" spans="1:52">
      <c r="A35" s="38" t="s">
        <v>271</v>
      </c>
      <c r="B35" s="38" t="s">
        <v>18</v>
      </c>
      <c r="C35" s="407"/>
      <c r="D35" s="408">
        <v>0</v>
      </c>
      <c r="E35" s="409">
        <v>0</v>
      </c>
      <c r="F35" s="409">
        <v>0</v>
      </c>
      <c r="G35" s="409">
        <v>0</v>
      </c>
      <c r="H35" s="409">
        <v>0</v>
      </c>
      <c r="I35" s="409">
        <v>0</v>
      </c>
      <c r="J35" s="409">
        <v>0</v>
      </c>
      <c r="K35" s="409">
        <v>0</v>
      </c>
      <c r="L35" s="409">
        <v>0</v>
      </c>
      <c r="M35" s="409">
        <v>0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09">
        <v>0</v>
      </c>
      <c r="Y35" s="409">
        <v>0</v>
      </c>
      <c r="Z35" s="409">
        <v>0</v>
      </c>
      <c r="AA35" s="409">
        <v>0</v>
      </c>
      <c r="AB35" s="407"/>
      <c r="AC35" s="408">
        <v>0</v>
      </c>
      <c r="AD35" s="409">
        <f>'Levelized Cost Summary'!AC47</f>
        <v>248.20849096348738</v>
      </c>
      <c r="AE35" s="409">
        <f>'Levelized Cost Summary'!AD47</f>
        <v>249.68948595746994</v>
      </c>
      <c r="AF35" s="409">
        <f>'Levelized Cost Summary'!AE47</f>
        <v>250.94091026879363</v>
      </c>
      <c r="AG35" s="409">
        <f>'Levelized Cost Summary'!AF47</f>
        <v>252.21104484548701</v>
      </c>
      <c r="AH35" s="409">
        <f>'Levelized Cost Summary'!AG47</f>
        <v>253.50021121593525</v>
      </c>
      <c r="AI35" s="409">
        <f>'Levelized Cost Summary'!AH47</f>
        <v>254.73940686491224</v>
      </c>
      <c r="AJ35" s="409">
        <f>'Levelized Cost Summary'!AI47</f>
        <v>255.99909783613029</v>
      </c>
      <c r="AK35" s="409">
        <f>'Levelized Cost Summary'!AJ47</f>
        <v>257.27972447018681</v>
      </c>
      <c r="AL35" s="409">
        <f>'Levelized Cost Summary'!AK47</f>
        <v>258.58173677870366</v>
      </c>
      <c r="AM35" s="409">
        <f>'Levelized Cost Summary'!AL47</f>
        <v>259.90559465706542</v>
      </c>
      <c r="AN35" s="409">
        <f>'Levelized Cost Summary'!AM47</f>
        <v>353.05851049323439</v>
      </c>
      <c r="AO35" s="409">
        <f>'Levelized Cost Summary'!AN47</f>
        <v>354.57069834248477</v>
      </c>
      <c r="AP35" s="409">
        <f>'Levelized Cost Summary'!AO47</f>
        <v>356.10639636938356</v>
      </c>
      <c r="AQ35" s="409">
        <f>'Levelized Cost Summary'!AP47</f>
        <v>357.6661065754289</v>
      </c>
      <c r="AR35" s="409">
        <f>'Levelized Cost Summary'!AQ47</f>
        <v>359.25034198240513</v>
      </c>
      <c r="AS35" s="409">
        <f>'Levelized Cost Summary'!AR47</f>
        <v>360.85962687479235</v>
      </c>
      <c r="AT35" s="409">
        <f>'Levelized Cost Summary'!AS47</f>
        <v>362.49449704750702</v>
      </c>
      <c r="AU35" s="409">
        <f>'Levelized Cost Summary'!AT47</f>
        <v>364.15550005909665</v>
      </c>
      <c r="AV35" s="409">
        <f>'Levelized Cost Summary'!AU47</f>
        <v>365.84319549050093</v>
      </c>
      <c r="AW35" s="409">
        <f>'Levelized Cost Summary'!AV47</f>
        <v>367.55815520950682</v>
      </c>
      <c r="AX35" s="409">
        <f>'Levelized Cost Summary'!AW47</f>
        <v>369.30096364102326</v>
      </c>
      <c r="AY35" s="409">
        <f>'Levelized Cost Summary'!AX47</f>
        <v>371.07221804329942</v>
      </c>
      <c r="AZ35" s="409">
        <f>'Levelized Cost Summary'!AY47</f>
        <v>372.87252879022117</v>
      </c>
    </row>
    <row r="36" spans="1:52">
      <c r="A36" s="38" t="s">
        <v>281</v>
      </c>
      <c r="B36" s="38" t="s">
        <v>19</v>
      </c>
      <c r="C36" s="407"/>
      <c r="D36" s="408">
        <v>0</v>
      </c>
      <c r="E36" s="409">
        <f>'Levelized Cost Summary'!E48</f>
        <v>54.032105490266851</v>
      </c>
      <c r="F36" s="409">
        <f>'Levelized Cost Summary'!F48</f>
        <v>54.291537654149231</v>
      </c>
      <c r="G36" s="409">
        <f>'Levelized Cost Summary'!G48</f>
        <v>54.47113763669271</v>
      </c>
      <c r="H36" s="409">
        <f>'Levelized Cost Summary'!H48</f>
        <v>54.641052039768816</v>
      </c>
      <c r="I36" s="409">
        <f>'Levelized Cost Summary'!I48</f>
        <v>54.801460777330739</v>
      </c>
      <c r="J36" s="409">
        <f>'Levelized Cost Summary'!J48</f>
        <v>54.931743054146047</v>
      </c>
      <c r="K36" s="409">
        <f>'Levelized Cost Summary'!K48</f>
        <v>55.052158367234277</v>
      </c>
      <c r="L36" s="409">
        <f>'Levelized Cost Summary'!L48</f>
        <v>55.163028730149222</v>
      </c>
      <c r="M36" s="409">
        <f>'Levelized Cost Summary'!M48</f>
        <v>56.046266620894428</v>
      </c>
      <c r="N36" s="409">
        <f>'Levelized Cost Summary'!N48</f>
        <v>56.943356371171092</v>
      </c>
      <c r="O36" s="409">
        <f>'Levelized Cost Summary'!O48</f>
        <v>70.286341218356228</v>
      </c>
      <c r="P36" s="409">
        <f>'Levelized Cost Summary'!P48</f>
        <v>77.83793481171503</v>
      </c>
      <c r="Q36" s="409">
        <f>'Levelized Cost Summary'!Q48</f>
        <v>92.181984888046316</v>
      </c>
      <c r="R36" s="409">
        <f>'Levelized Cost Summary'!R48</f>
        <v>93.850776344046722</v>
      </c>
      <c r="S36" s="409">
        <f>'Levelized Cost Summary'!S48</f>
        <v>95.550221546799605</v>
      </c>
      <c r="T36" s="409">
        <f>'Levelized Cost Summary'!T48</f>
        <v>97.280885102013414</v>
      </c>
      <c r="U36" s="409">
        <f>'Levelized Cost Summary'!U48</f>
        <v>99.043349611568004</v>
      </c>
      <c r="V36" s="409">
        <f>'Levelized Cost Summary'!V48</f>
        <v>100.83820873461585</v>
      </c>
      <c r="W36" s="409">
        <f>'Levelized Cost Summary'!W48</f>
        <v>102.66606740111246</v>
      </c>
      <c r="X36" s="409">
        <f>'Levelized Cost Summary'!X48</f>
        <v>104.52754202954988</v>
      </c>
      <c r="Y36" s="409">
        <f>'Levelized Cost Summary'!Y48</f>
        <v>106.42326074896476</v>
      </c>
      <c r="Z36" s="409">
        <f>'Levelized Cost Summary'!Z48</f>
        <v>108.35386362531086</v>
      </c>
      <c r="AA36" s="409">
        <f>'Levelized Cost Summary'!AA48</f>
        <v>110.32000289229582</v>
      </c>
      <c r="AB36" s="407"/>
      <c r="AC36" s="408">
        <v>0</v>
      </c>
      <c r="AD36" s="409">
        <v>0</v>
      </c>
      <c r="AE36" s="409">
        <v>0</v>
      </c>
      <c r="AF36" s="409">
        <v>0</v>
      </c>
      <c r="AG36" s="409">
        <v>0</v>
      </c>
      <c r="AH36" s="409">
        <v>0</v>
      </c>
      <c r="AI36" s="409">
        <v>0</v>
      </c>
      <c r="AJ36" s="409">
        <v>0</v>
      </c>
      <c r="AK36" s="409">
        <v>0</v>
      </c>
      <c r="AL36" s="409">
        <v>0</v>
      </c>
      <c r="AM36" s="409">
        <v>0</v>
      </c>
      <c r="AN36" s="409">
        <v>0</v>
      </c>
      <c r="AO36" s="409">
        <v>0</v>
      </c>
      <c r="AP36" s="409">
        <v>0</v>
      </c>
      <c r="AQ36" s="409">
        <v>0</v>
      </c>
      <c r="AR36" s="409">
        <v>0</v>
      </c>
      <c r="AS36" s="409">
        <v>0</v>
      </c>
      <c r="AT36" s="409">
        <v>0</v>
      </c>
      <c r="AU36" s="409">
        <v>0</v>
      </c>
      <c r="AV36" s="409">
        <v>0</v>
      </c>
      <c r="AW36" s="409">
        <v>0</v>
      </c>
      <c r="AX36" s="409">
        <v>0</v>
      </c>
      <c r="AY36" s="409">
        <v>0</v>
      </c>
      <c r="AZ36" s="409">
        <v>0</v>
      </c>
    </row>
    <row r="37" spans="1:52">
      <c r="A37" s="38" t="s">
        <v>282</v>
      </c>
      <c r="B37" s="38" t="s">
        <v>20</v>
      </c>
      <c r="C37" s="407"/>
      <c r="D37" s="408">
        <v>0</v>
      </c>
      <c r="E37" s="409">
        <v>0</v>
      </c>
      <c r="F37" s="409">
        <v>0</v>
      </c>
      <c r="G37" s="409">
        <v>0</v>
      </c>
      <c r="H37" s="409">
        <v>0</v>
      </c>
      <c r="I37" s="409">
        <v>0</v>
      </c>
      <c r="J37" s="409">
        <v>0</v>
      </c>
      <c r="K37" s="409">
        <v>0</v>
      </c>
      <c r="L37" s="409">
        <v>0</v>
      </c>
      <c r="M37" s="409">
        <v>0</v>
      </c>
      <c r="N37" s="409">
        <v>0</v>
      </c>
      <c r="O37" s="409">
        <v>0</v>
      </c>
      <c r="P37" s="409">
        <v>0</v>
      </c>
      <c r="Q37" s="409">
        <v>0</v>
      </c>
      <c r="R37" s="409">
        <v>0</v>
      </c>
      <c r="S37" s="409">
        <v>0</v>
      </c>
      <c r="T37" s="409">
        <v>0</v>
      </c>
      <c r="U37" s="409">
        <v>0</v>
      </c>
      <c r="V37" s="409">
        <v>0</v>
      </c>
      <c r="W37" s="409">
        <v>0</v>
      </c>
      <c r="X37" s="409">
        <v>0</v>
      </c>
      <c r="Y37" s="409">
        <v>0</v>
      </c>
      <c r="Z37" s="409">
        <v>0</v>
      </c>
      <c r="AA37" s="409">
        <v>0</v>
      </c>
      <c r="AB37" s="407"/>
      <c r="AC37" s="408">
        <v>0</v>
      </c>
      <c r="AD37" s="409">
        <f>'Levelized Cost Summary'!AC49</f>
        <v>995.50276517110149</v>
      </c>
      <c r="AE37" s="409">
        <f>'Levelized Cost Summary'!AD49</f>
        <v>1018.6216085234369</v>
      </c>
      <c r="AF37" s="409">
        <f>'Levelized Cost Summary'!AE49</f>
        <v>1041.3110170055063</v>
      </c>
      <c r="AG37" s="409">
        <f>'Levelized Cost Summary'!AF49</f>
        <v>1064.5007306028758</v>
      </c>
      <c r="AH37" s="409">
        <f>'Levelized Cost Summary'!AG49</f>
        <v>1088.2014488345228</v>
      </c>
      <c r="AI37" s="409">
        <f>'Levelized Cost Summary'!AH49</f>
        <v>1112.1418807088821</v>
      </c>
      <c r="AJ37" s="409">
        <f>'Levelized Cost Summary'!AI49</f>
        <v>1136.6090020844779</v>
      </c>
      <c r="AK37" s="409">
        <f>'Levelized Cost Summary'!AJ49</f>
        <v>1161.6144001303364</v>
      </c>
      <c r="AL37" s="409">
        <f>'Levelized Cost Summary'!AK49</f>
        <v>1187.1699169332037</v>
      </c>
      <c r="AM37" s="409">
        <f>'Levelized Cost Summary'!AL49</f>
        <v>1213.2876551057343</v>
      </c>
      <c r="AN37" s="409">
        <f>'Levelized Cost Summary'!AM49</f>
        <v>1239.9799835180606</v>
      </c>
      <c r="AO37" s="409">
        <f>'Levelized Cost Summary'!AN49</f>
        <v>1267.259543155458</v>
      </c>
      <c r="AP37" s="409">
        <f>'Levelized Cost Summary'!AO49</f>
        <v>1295.1392531048782</v>
      </c>
      <c r="AQ37" s="409">
        <f>'Levelized Cost Summary'!AP49</f>
        <v>1323.6323166731854</v>
      </c>
      <c r="AR37" s="409">
        <f>'Levelized Cost Summary'!AQ49</f>
        <v>1352.7522276399948</v>
      </c>
      <c r="AS37" s="409">
        <f>'Levelized Cost Summary'!AR49</f>
        <v>1382.5127766480753</v>
      </c>
      <c r="AT37" s="409">
        <f>'Levelized Cost Summary'!AS49</f>
        <v>1412.9280577343329</v>
      </c>
      <c r="AU37" s="409">
        <f>'Levelized Cost Summary'!AT49</f>
        <v>1444.0124750044877</v>
      </c>
      <c r="AV37" s="409">
        <f>'Levelized Cost Summary'!AU49</f>
        <v>1475.7807494545871</v>
      </c>
      <c r="AW37" s="409">
        <f>'Levelized Cost Summary'!AV49</f>
        <v>1508.2479259425879</v>
      </c>
      <c r="AX37" s="409">
        <f>'Levelized Cost Summary'!AW49</f>
        <v>1541.4293803133251</v>
      </c>
      <c r="AY37" s="409">
        <f>'Levelized Cost Summary'!AX49</f>
        <v>1575.3408266802176</v>
      </c>
      <c r="AZ37" s="409">
        <f>'Levelized Cost Summary'!AY49</f>
        <v>1609.9983248671822</v>
      </c>
    </row>
    <row r="38" spans="1:52">
      <c r="A38" s="38" t="s">
        <v>283</v>
      </c>
      <c r="B38" s="38" t="s">
        <v>21</v>
      </c>
      <c r="C38" s="407"/>
      <c r="D38" s="408">
        <v>0</v>
      </c>
      <c r="E38" s="409">
        <v>0</v>
      </c>
      <c r="F38" s="409">
        <v>0</v>
      </c>
      <c r="G38" s="409">
        <v>0</v>
      </c>
      <c r="H38" s="409">
        <v>0</v>
      </c>
      <c r="I38" s="409">
        <v>0</v>
      </c>
      <c r="J38" s="409">
        <v>0</v>
      </c>
      <c r="K38" s="409">
        <v>0</v>
      </c>
      <c r="L38" s="409">
        <v>0</v>
      </c>
      <c r="M38" s="409">
        <v>0</v>
      </c>
      <c r="N38" s="409">
        <v>0</v>
      </c>
      <c r="O38" s="409">
        <v>0</v>
      </c>
      <c r="P38" s="409">
        <v>0</v>
      </c>
      <c r="Q38" s="409">
        <v>0</v>
      </c>
      <c r="R38" s="409">
        <v>0</v>
      </c>
      <c r="S38" s="409">
        <v>0</v>
      </c>
      <c r="T38" s="409">
        <v>0</v>
      </c>
      <c r="U38" s="409">
        <v>0</v>
      </c>
      <c r="V38" s="409">
        <v>0</v>
      </c>
      <c r="W38" s="409">
        <v>0</v>
      </c>
      <c r="X38" s="409">
        <v>0</v>
      </c>
      <c r="Y38" s="409">
        <v>0</v>
      </c>
      <c r="Z38" s="409">
        <v>0</v>
      </c>
      <c r="AA38" s="409">
        <v>0</v>
      </c>
      <c r="AB38" s="407"/>
      <c r="AC38" s="408">
        <v>0</v>
      </c>
      <c r="AD38" s="409">
        <f>'Levelized Cost Summary'!AC52</f>
        <v>128.57599427003049</v>
      </c>
      <c r="AE38" s="409">
        <f>'Levelized Cost Summary'!AD52</f>
        <v>131.57499584455451</v>
      </c>
      <c r="AF38" s="409">
        <f>'Levelized Cost Summary'!AE52</f>
        <v>134.50839507290107</v>
      </c>
      <c r="AG38" s="409">
        <f>'Levelized Cost Summary'!AF52</f>
        <v>137.50675803188949</v>
      </c>
      <c r="AH38" s="409">
        <f>'Levelized Cost Summary'!AG52</f>
        <v>140.57149509027769</v>
      </c>
      <c r="AI38" s="409">
        <f>'Levelized Cost Summary'!AH52</f>
        <v>143.66406798226382</v>
      </c>
      <c r="AJ38" s="409">
        <f>'Levelized Cost Summary'!AI52</f>
        <v>146.82467747787359</v>
      </c>
      <c r="AK38" s="409">
        <f>'Levelized Cost Summary'!AJ52</f>
        <v>150.05482038238682</v>
      </c>
      <c r="AL38" s="409">
        <f>'Levelized Cost Summary'!AK52</f>
        <v>153.35602643079935</v>
      </c>
      <c r="AM38" s="409">
        <f>'Levelized Cost Summary'!AL52</f>
        <v>156.72985901227696</v>
      </c>
      <c r="AN38" s="409">
        <f>'Levelized Cost Summary'!AM52</f>
        <v>160.177915910547</v>
      </c>
      <c r="AO38" s="409">
        <f>'Levelized Cost Summary'!AN52</f>
        <v>163.70183006057903</v>
      </c>
      <c r="AP38" s="409">
        <f>'Levelized Cost Summary'!AO52</f>
        <v>167.30327032191181</v>
      </c>
      <c r="AQ38" s="409">
        <f>'Levelized Cost Summary'!AP52</f>
        <v>170.98394226899384</v>
      </c>
      <c r="AR38" s="409">
        <f>'Levelized Cost Summary'!AQ52</f>
        <v>174.74558899891164</v>
      </c>
      <c r="AS38" s="409">
        <f>'Levelized Cost Summary'!AR52</f>
        <v>178.58999195688776</v>
      </c>
      <c r="AT38" s="409">
        <f>'Levelized Cost Summary'!AS52</f>
        <v>182.51897177993925</v>
      </c>
      <c r="AU38" s="409">
        <f>'Levelized Cost Summary'!AT52</f>
        <v>186.53438915909797</v>
      </c>
      <c r="AV38" s="409">
        <f>'Levelized Cost Summary'!AU52</f>
        <v>190.63814572059809</v>
      </c>
      <c r="AW38" s="409">
        <f>'Levelized Cost Summary'!AV52</f>
        <v>194.8321849264513</v>
      </c>
      <c r="AX38" s="409">
        <f>'Levelized Cost Summary'!AW52</f>
        <v>199.11849299483313</v>
      </c>
      <c r="AY38" s="409">
        <f>'Levelized Cost Summary'!AX52</f>
        <v>203.49909984071954</v>
      </c>
      <c r="AZ38" s="409">
        <f>'Levelized Cost Summary'!AY52</f>
        <v>207.97608003721538</v>
      </c>
    </row>
    <row r="39" spans="1:52">
      <c r="A39" s="38" t="s">
        <v>271</v>
      </c>
      <c r="B39" s="38" t="s">
        <v>22</v>
      </c>
      <c r="C39" s="411"/>
      <c r="D39" s="408">
        <v>0</v>
      </c>
      <c r="E39" s="409">
        <v>0</v>
      </c>
      <c r="F39" s="409">
        <v>0</v>
      </c>
      <c r="G39" s="409">
        <v>0</v>
      </c>
      <c r="H39" s="409">
        <v>0</v>
      </c>
      <c r="I39" s="409">
        <v>0</v>
      </c>
      <c r="J39" s="409">
        <v>0</v>
      </c>
      <c r="K39" s="409">
        <v>0</v>
      </c>
      <c r="L39" s="409">
        <v>0</v>
      </c>
      <c r="M39" s="409">
        <v>0</v>
      </c>
      <c r="N39" s="409">
        <v>0</v>
      </c>
      <c r="O39" s="409">
        <v>0</v>
      </c>
      <c r="P39" s="409">
        <v>0</v>
      </c>
      <c r="Q39" s="409">
        <v>0</v>
      </c>
      <c r="R39" s="409">
        <v>0</v>
      </c>
      <c r="S39" s="409">
        <v>0</v>
      </c>
      <c r="T39" s="409">
        <v>0</v>
      </c>
      <c r="U39" s="409">
        <v>0</v>
      </c>
      <c r="V39" s="409">
        <v>0</v>
      </c>
      <c r="W39" s="409">
        <v>0</v>
      </c>
      <c r="X39" s="409">
        <v>0</v>
      </c>
      <c r="Y39" s="409">
        <v>0</v>
      </c>
      <c r="Z39" s="409">
        <v>0</v>
      </c>
      <c r="AA39" s="409">
        <v>0</v>
      </c>
      <c r="AB39" s="411"/>
      <c r="AC39" s="408">
        <v>0</v>
      </c>
      <c r="AD39" s="409">
        <f>'Levelized Cost Summary'!AC53</f>
        <v>172.75786661451298</v>
      </c>
      <c r="AE39" s="409">
        <f>'Levelized Cost Summary'!AD53</f>
        <v>176.77916747435765</v>
      </c>
      <c r="AF39" s="409">
        <f>'Levelized Cost Summary'!AE53</f>
        <v>180.7187205276488</v>
      </c>
      <c r="AG39" s="409">
        <f>'Levelized Cost Summary'!AF53</f>
        <v>184.74534217892207</v>
      </c>
      <c r="AH39" s="409">
        <f>'Levelized Cost Summary'!AG53</f>
        <v>188.86090948037807</v>
      </c>
      <c r="AI39" s="409">
        <f>'Levelized Cost Summary'!AH53</f>
        <v>193.01584948894643</v>
      </c>
      <c r="AJ39" s="409">
        <f>'Levelized Cost Summary'!AI53</f>
        <v>197.26219817770323</v>
      </c>
      <c r="AK39" s="409">
        <f>'Levelized Cost Summary'!AJ53</f>
        <v>201.60196653761267</v>
      </c>
      <c r="AL39" s="409">
        <f>'Levelized Cost Summary'!AK53</f>
        <v>206.03720980144021</v>
      </c>
      <c r="AM39" s="409">
        <f>'Levelized Cost Summary'!AL53</f>
        <v>210.57002841707185</v>
      </c>
      <c r="AN39" s="409">
        <f>'Levelized Cost Summary'!AM53</f>
        <v>290.63365725491172</v>
      </c>
      <c r="AO39" s="409">
        <f>'Levelized Cost Summary'!AN53</f>
        <v>297.02759771451969</v>
      </c>
      <c r="AP39" s="409">
        <f>'Levelized Cost Summary'!AO53</f>
        <v>303.56220486423905</v>
      </c>
      <c r="AQ39" s="409">
        <f>'Levelized Cost Summary'!AP53</f>
        <v>310.24057337125225</v>
      </c>
      <c r="AR39" s="409">
        <f>'Levelized Cost Summary'!AQ53</f>
        <v>317.06586598541998</v>
      </c>
      <c r="AS39" s="409">
        <f>'Levelized Cost Summary'!AR53</f>
        <v>324.0413150370992</v>
      </c>
      <c r="AT39" s="409">
        <f>'Levelized Cost Summary'!AS53</f>
        <v>331.17022396791532</v>
      </c>
      <c r="AU39" s="409">
        <f>'Levelized Cost Summary'!AT53</f>
        <v>338.45596889520948</v>
      </c>
      <c r="AV39" s="409">
        <f>'Levelized Cost Summary'!AU53</f>
        <v>345.90200021090408</v>
      </c>
      <c r="AW39" s="409">
        <f>'Levelized Cost Summary'!AV53</f>
        <v>353.51184421554399</v>
      </c>
      <c r="AX39" s="409">
        <f>'Levelized Cost Summary'!AW53</f>
        <v>361.28910478828601</v>
      </c>
      <c r="AY39" s="409">
        <f>'Levelized Cost Summary'!AX53</f>
        <v>369.23746509362826</v>
      </c>
      <c r="AZ39" s="409">
        <f>'Levelized Cost Summary'!AY53</f>
        <v>377.3606893256881</v>
      </c>
    </row>
    <row r="40" spans="1:52">
      <c r="A40" s="38" t="s">
        <v>271</v>
      </c>
      <c r="B40" s="38" t="s">
        <v>23</v>
      </c>
      <c r="C40" s="407"/>
      <c r="D40" s="408">
        <v>0</v>
      </c>
      <c r="E40" s="409">
        <v>0</v>
      </c>
      <c r="F40" s="409">
        <v>0</v>
      </c>
      <c r="G40" s="409">
        <v>0</v>
      </c>
      <c r="H40" s="409">
        <v>0</v>
      </c>
      <c r="I40" s="409">
        <v>0</v>
      </c>
      <c r="J40" s="409">
        <v>0</v>
      </c>
      <c r="K40" s="409">
        <v>0</v>
      </c>
      <c r="L40" s="409">
        <v>0</v>
      </c>
      <c r="M40" s="409">
        <v>0</v>
      </c>
      <c r="N40" s="409">
        <v>0</v>
      </c>
      <c r="O40" s="409">
        <v>0</v>
      </c>
      <c r="P40" s="409">
        <v>0</v>
      </c>
      <c r="Q40" s="409">
        <v>0</v>
      </c>
      <c r="R40" s="409">
        <v>0</v>
      </c>
      <c r="S40" s="409">
        <v>0</v>
      </c>
      <c r="T40" s="409">
        <v>0</v>
      </c>
      <c r="U40" s="409">
        <v>0</v>
      </c>
      <c r="V40" s="409">
        <v>0</v>
      </c>
      <c r="W40" s="409">
        <v>0</v>
      </c>
      <c r="X40" s="409">
        <v>0</v>
      </c>
      <c r="Y40" s="409">
        <v>0</v>
      </c>
      <c r="Z40" s="409">
        <v>0</v>
      </c>
      <c r="AA40" s="409">
        <v>0</v>
      </c>
      <c r="AB40" s="407"/>
      <c r="AC40" s="408">
        <v>0</v>
      </c>
      <c r="AD40" s="409">
        <f>'Levelized Cost Summary'!AC54</f>
        <v>523.71784877804805</v>
      </c>
      <c r="AE40" s="409">
        <f>'Levelized Cost Summary'!AD54</f>
        <v>536.00396083154681</v>
      </c>
      <c r="AF40" s="409">
        <f>'Levelized Cost Summary'!AE54</f>
        <v>547.9680473355063</v>
      </c>
      <c r="AG40" s="409">
        <f>'Levelized Cost Summary'!AF54</f>
        <v>560.19861537322129</v>
      </c>
      <c r="AH40" s="409">
        <f>'Levelized Cost Summary'!AG54</f>
        <v>572.70156351813171</v>
      </c>
      <c r="AI40" s="409">
        <f>'Levelized Cost Summary'!AH54</f>
        <v>585.30099791553096</v>
      </c>
      <c r="AJ40" s="409">
        <f>'Levelized Cost Summary'!AI54</f>
        <v>598.17761986967218</v>
      </c>
      <c r="AK40" s="409">
        <f>'Levelized Cost Summary'!AJ54</f>
        <v>611.33752750680526</v>
      </c>
      <c r="AL40" s="409">
        <f>'Levelized Cost Summary'!AK54</f>
        <v>624.78695311195474</v>
      </c>
      <c r="AM40" s="409">
        <f>'Levelized Cost Summary'!AL54</f>
        <v>638.53226608041814</v>
      </c>
      <c r="AN40" s="409">
        <f>'Levelized Cost Summary'!AM54</f>
        <v>652.57997593418725</v>
      </c>
      <c r="AO40" s="409">
        <f>'Levelized Cost Summary'!AN54</f>
        <v>666.93673540473924</v>
      </c>
      <c r="AP40" s="409">
        <f>'Levelized Cost Summary'!AO54</f>
        <v>681.60934358364341</v>
      </c>
      <c r="AQ40" s="409">
        <f>'Levelized Cost Summary'!AP54</f>
        <v>696.6047491424838</v>
      </c>
      <c r="AR40" s="409">
        <f>'Levelized Cost Summary'!AQ54</f>
        <v>711.93005362361828</v>
      </c>
      <c r="AS40" s="409">
        <f>'Levelized Cost Summary'!AR54</f>
        <v>727.59251480333819</v>
      </c>
      <c r="AT40" s="409">
        <f>'Levelized Cost Summary'!AS54</f>
        <v>743.59955012901139</v>
      </c>
      <c r="AU40" s="409">
        <f>'Levelized Cost Summary'!AT54</f>
        <v>759.95874023184933</v>
      </c>
      <c r="AV40" s="409">
        <f>'Levelized Cost Summary'!AU54</f>
        <v>776.67783251694993</v>
      </c>
      <c r="AW40" s="409">
        <f>'Levelized Cost Summary'!AV54</f>
        <v>793.76474483232334</v>
      </c>
      <c r="AX40" s="409">
        <f>'Levelized Cost Summary'!AW54</f>
        <v>811.22756921863413</v>
      </c>
      <c r="AY40" s="409">
        <f>'Levelized Cost Summary'!AX54</f>
        <v>829.07457574144428</v>
      </c>
      <c r="AZ40" s="409">
        <f>'Levelized Cost Summary'!AY54</f>
        <v>847.31421640775591</v>
      </c>
    </row>
    <row r="41" spans="1:52">
      <c r="A41" s="38" t="s">
        <v>271</v>
      </c>
      <c r="B41" s="38" t="s">
        <v>24</v>
      </c>
      <c r="C41" s="407"/>
      <c r="D41" s="408">
        <v>0</v>
      </c>
      <c r="E41" s="409">
        <v>0</v>
      </c>
      <c r="F41" s="409">
        <v>0</v>
      </c>
      <c r="G41" s="409">
        <v>0</v>
      </c>
      <c r="H41" s="409">
        <v>0</v>
      </c>
      <c r="I41" s="409">
        <v>0</v>
      </c>
      <c r="J41" s="409">
        <v>0</v>
      </c>
      <c r="K41" s="409">
        <v>0</v>
      </c>
      <c r="L41" s="409">
        <v>0</v>
      </c>
      <c r="M41" s="409">
        <v>0</v>
      </c>
      <c r="N41" s="409">
        <v>0</v>
      </c>
      <c r="O41" s="409">
        <v>0</v>
      </c>
      <c r="P41" s="409">
        <v>0</v>
      </c>
      <c r="Q41" s="409">
        <v>0</v>
      </c>
      <c r="R41" s="409">
        <v>0</v>
      </c>
      <c r="S41" s="409">
        <v>0</v>
      </c>
      <c r="T41" s="409">
        <v>0</v>
      </c>
      <c r="U41" s="409">
        <v>0</v>
      </c>
      <c r="V41" s="409">
        <v>0</v>
      </c>
      <c r="W41" s="409">
        <v>0</v>
      </c>
      <c r="X41" s="409">
        <v>0</v>
      </c>
      <c r="Y41" s="409">
        <v>0</v>
      </c>
      <c r="Z41" s="409">
        <v>0</v>
      </c>
      <c r="AA41" s="409">
        <v>0</v>
      </c>
      <c r="AB41" s="407"/>
      <c r="AC41" s="408">
        <v>0</v>
      </c>
      <c r="AD41" s="409">
        <f>'Levelized Cost Summary'!AC55</f>
        <v>457.50896866832517</v>
      </c>
      <c r="AE41" s="409">
        <f>'Levelized Cost Summary'!AD55</f>
        <v>468.23765475240981</v>
      </c>
      <c r="AF41" s="409">
        <f>'Levelized Cost Summary'!AE55</f>
        <v>478.68829375393523</v>
      </c>
      <c r="AG41" s="409">
        <f>'Levelized Cost Summary'!AF55</f>
        <v>489.37161396166192</v>
      </c>
      <c r="AH41" s="409">
        <f>'Levelized Cost Summary'!AG55</f>
        <v>500.29275907504751</v>
      </c>
      <c r="AI41" s="409">
        <f>'Levelized Cost Summary'!AH55</f>
        <v>511.29919977469876</v>
      </c>
      <c r="AJ41" s="409">
        <f>'Levelized Cost Summary'!AI55</f>
        <v>522.54778216974194</v>
      </c>
      <c r="AK41" s="409">
        <f>'Levelized Cost Summary'!AJ55</f>
        <v>534.04383337747606</v>
      </c>
      <c r="AL41" s="409">
        <f>'Levelized Cost Summary'!AK55</f>
        <v>545.79279771178039</v>
      </c>
      <c r="AM41" s="409">
        <f>'Levelized Cost Summary'!AL55</f>
        <v>557.80023926143997</v>
      </c>
      <c r="AN41" s="409">
        <f>'Levelized Cost Summary'!AM55</f>
        <v>570.0718445251913</v>
      </c>
      <c r="AO41" s="409">
        <f>'Levelized Cost Summary'!AN55</f>
        <v>582.61342510474572</v>
      </c>
      <c r="AP41" s="409">
        <f>'Levelized Cost Summary'!AO55</f>
        <v>595.43092045705009</v>
      </c>
      <c r="AQ41" s="409">
        <f>'Levelized Cost Summary'!AP55</f>
        <v>608.53040070710529</v>
      </c>
      <c r="AR41" s="409">
        <f>'Levelized Cost Summary'!AQ55</f>
        <v>621.91806952266154</v>
      </c>
      <c r="AS41" s="409">
        <f>'Levelized Cost Summary'!AR55</f>
        <v>635.60026705216012</v>
      </c>
      <c r="AT41" s="409">
        <f>'Levelized Cost Summary'!AS55</f>
        <v>649.58347292730764</v>
      </c>
      <c r="AU41" s="409">
        <f>'Levelized Cost Summary'!AT55</f>
        <v>663.8743093317081</v>
      </c>
      <c r="AV41" s="409">
        <f>'Levelized Cost Summary'!AU55</f>
        <v>678.47954413700597</v>
      </c>
      <c r="AW41" s="409">
        <f>'Levelized Cost Summary'!AV55</f>
        <v>693.40609410802006</v>
      </c>
      <c r="AX41" s="409">
        <f>'Levelized Cost Summary'!AW55</f>
        <v>708.66102817839669</v>
      </c>
      <c r="AY41" s="409">
        <f>'Levelized Cost Summary'!AX55</f>
        <v>724.25157079832138</v>
      </c>
      <c r="AZ41" s="409">
        <f>'Levelized Cost Summary'!AY55</f>
        <v>740.18510535588439</v>
      </c>
    </row>
    <row r="42" spans="1:52">
      <c r="A42" s="38" t="s">
        <v>271</v>
      </c>
      <c r="B42" s="38" t="s">
        <v>284</v>
      </c>
      <c r="C42" s="407"/>
      <c r="D42" s="408">
        <v>0</v>
      </c>
      <c r="E42" s="409">
        <v>0</v>
      </c>
      <c r="F42" s="409">
        <v>0</v>
      </c>
      <c r="G42" s="409">
        <v>0</v>
      </c>
      <c r="H42" s="409">
        <v>0</v>
      </c>
      <c r="I42" s="409">
        <v>0</v>
      </c>
      <c r="J42" s="409">
        <v>0</v>
      </c>
      <c r="K42" s="409">
        <v>0</v>
      </c>
      <c r="L42" s="409">
        <v>0</v>
      </c>
      <c r="M42" s="409">
        <v>0</v>
      </c>
      <c r="N42" s="409">
        <v>0</v>
      </c>
      <c r="O42" s="409">
        <v>0</v>
      </c>
      <c r="P42" s="409">
        <v>0</v>
      </c>
      <c r="Q42" s="409">
        <v>0</v>
      </c>
      <c r="R42" s="409">
        <v>0</v>
      </c>
      <c r="S42" s="409">
        <v>0</v>
      </c>
      <c r="T42" s="409">
        <v>0</v>
      </c>
      <c r="U42" s="409">
        <v>0</v>
      </c>
      <c r="V42" s="409">
        <v>0</v>
      </c>
      <c r="W42" s="409">
        <v>0</v>
      </c>
      <c r="X42" s="409">
        <v>0</v>
      </c>
      <c r="Y42" s="409">
        <v>0</v>
      </c>
      <c r="Z42" s="409">
        <v>0</v>
      </c>
      <c r="AA42" s="409">
        <v>0</v>
      </c>
      <c r="AB42" s="407"/>
      <c r="AC42" s="408">
        <v>0</v>
      </c>
      <c r="AD42" s="409">
        <f>'Levelized Cost Summary'!AC56</f>
        <v>413.23901564773735</v>
      </c>
      <c r="AE42" s="409">
        <f>'Levelized Cost Summary'!AD56</f>
        <v>422.92634331608161</v>
      </c>
      <c r="AF42" s="409">
        <f>'Levelized Cost Summary'!AE56</f>
        <v>432.3650296955289</v>
      </c>
      <c r="AG42" s="409">
        <f>'Levelized Cost Summary'!AF56</f>
        <v>442.01379700595118</v>
      </c>
      <c r="AH42" s="409">
        <f>'Levelized Cost Summary'!AG56</f>
        <v>451.87728420732589</v>
      </c>
      <c r="AI42" s="409">
        <f>'Levelized Cost Summary'!AH56</f>
        <v>461.81858445988712</v>
      </c>
      <c r="AJ42" s="409">
        <f>'Levelized Cost Summary'!AI56</f>
        <v>471.9785933180047</v>
      </c>
      <c r="AK42" s="409">
        <f>'Levelized Cost Summary'!AJ56</f>
        <v>482.36212237100062</v>
      </c>
      <c r="AL42" s="409">
        <f>'Levelized Cost Summary'!AK56</f>
        <v>492.97408906316286</v>
      </c>
      <c r="AM42" s="409">
        <f>'Levelized Cost Summary'!AL56</f>
        <v>503.81951902255253</v>
      </c>
      <c r="AN42" s="409">
        <f>'Levelized Cost Summary'!AM56</f>
        <v>514.90354844104866</v>
      </c>
      <c r="AO42" s="409">
        <f>'Levelized Cost Summary'!AN56</f>
        <v>526.23142650675163</v>
      </c>
      <c r="AP42" s="409">
        <f>'Levelized Cost Summary'!AO56</f>
        <v>537.80851788990014</v>
      </c>
      <c r="AQ42" s="409">
        <f>'Levelized Cost Summary'!AP56</f>
        <v>549.6403052834778</v>
      </c>
      <c r="AR42" s="409">
        <f>'Levelized Cost Summary'!AQ56</f>
        <v>561.73239199971442</v>
      </c>
      <c r="AS42" s="409">
        <f>'Levelized Cost Summary'!AR56</f>
        <v>574.09050462370806</v>
      </c>
      <c r="AT42" s="409">
        <f>'Levelized Cost Summary'!AS56</f>
        <v>586.7204957254296</v>
      </c>
      <c r="AU42" s="409">
        <f>'Levelized Cost Summary'!AT56</f>
        <v>599.62834663138904</v>
      </c>
      <c r="AV42" s="409">
        <f>'Levelized Cost Summary'!AU56</f>
        <v>612.82017025727964</v>
      </c>
      <c r="AW42" s="409">
        <f>'Levelized Cost Summary'!AV56</f>
        <v>626.3022140029401</v>
      </c>
      <c r="AX42" s="409">
        <f>'Levelized Cost Summary'!AW56</f>
        <v>640.08086271100456</v>
      </c>
      <c r="AY42" s="409">
        <f>'Levelized Cost Summary'!AX56</f>
        <v>654.16264169064686</v>
      </c>
      <c r="AZ42" s="409">
        <f>'Levelized Cost Summary'!AY56</f>
        <v>668.55421980784104</v>
      </c>
    </row>
    <row r="43" spans="1:52">
      <c r="A43" s="38" t="s">
        <v>285</v>
      </c>
      <c r="B43" s="38" t="s">
        <v>26</v>
      </c>
      <c r="C43" s="411"/>
      <c r="D43" s="408">
        <v>0</v>
      </c>
      <c r="E43" s="409">
        <v>0</v>
      </c>
      <c r="F43" s="409">
        <v>0</v>
      </c>
      <c r="G43" s="409">
        <v>0</v>
      </c>
      <c r="H43" s="409">
        <v>0</v>
      </c>
      <c r="I43" s="409">
        <v>0</v>
      </c>
      <c r="J43" s="409">
        <v>0</v>
      </c>
      <c r="K43" s="409">
        <v>0</v>
      </c>
      <c r="L43" s="409">
        <v>0</v>
      </c>
      <c r="M43" s="409">
        <v>0</v>
      </c>
      <c r="N43" s="409">
        <v>0</v>
      </c>
      <c r="O43" s="409">
        <v>0</v>
      </c>
      <c r="P43" s="409">
        <v>0</v>
      </c>
      <c r="Q43" s="409">
        <v>0</v>
      </c>
      <c r="R43" s="409">
        <v>0</v>
      </c>
      <c r="S43" s="409">
        <v>0</v>
      </c>
      <c r="T43" s="409">
        <v>0</v>
      </c>
      <c r="U43" s="409">
        <v>0</v>
      </c>
      <c r="V43" s="409">
        <v>0</v>
      </c>
      <c r="W43" s="409">
        <v>0</v>
      </c>
      <c r="X43" s="409">
        <v>0</v>
      </c>
      <c r="Y43" s="409">
        <v>0</v>
      </c>
      <c r="Z43" s="409">
        <v>0</v>
      </c>
      <c r="AA43" s="409">
        <v>0</v>
      </c>
      <c r="AB43" s="411"/>
      <c r="AC43" s="408">
        <v>0</v>
      </c>
      <c r="AD43" s="409">
        <f>'Levelized Cost Summary'!AC57</f>
        <v>647.95374588897118</v>
      </c>
      <c r="AE43" s="409">
        <f>'Levelized Cost Summary'!AD57</f>
        <v>663.14666961132605</v>
      </c>
      <c r="AF43" s="409">
        <f>'Levelized Cost Summary'!AE57</f>
        <v>677.94715295929734</v>
      </c>
      <c r="AG43" s="409">
        <f>'Levelized Cost Summary'!AF57</f>
        <v>693.07712846880099</v>
      </c>
      <c r="AH43" s="409">
        <f>'Levelized Cost Summary'!AG57</f>
        <v>708.54387719631688</v>
      </c>
      <c r="AI43" s="409">
        <f>'Levelized Cost Summary'!AH57</f>
        <v>724.13184249463529</v>
      </c>
      <c r="AJ43" s="409">
        <f>'Levelized Cost Summary'!AI57</f>
        <v>740.06274302951749</v>
      </c>
      <c r="AK43" s="409">
        <f>'Levelized Cost Summary'!AJ57</f>
        <v>756.34412337616686</v>
      </c>
      <c r="AL43" s="409">
        <f>'Levelized Cost Summary'!AK57</f>
        <v>772.98369409044267</v>
      </c>
      <c r="AM43" s="409">
        <f>'Levelized Cost Summary'!AL57</f>
        <v>789.98933536043228</v>
      </c>
      <c r="AN43" s="409">
        <f>'Levelized Cost Summary'!AM57</f>
        <v>807.36910073836168</v>
      </c>
      <c r="AO43" s="409">
        <f>'Levelized Cost Summary'!AN57</f>
        <v>825.13122095460585</v>
      </c>
      <c r="AP43" s="409">
        <f>'Levelized Cost Summary'!AO57</f>
        <v>843.28410781560694</v>
      </c>
      <c r="AQ43" s="409">
        <f>'Levelized Cost Summary'!AP57</f>
        <v>861.83635818755045</v>
      </c>
      <c r="AR43" s="409">
        <f>'Levelized Cost Summary'!AQ57</f>
        <v>880.79675806767602</v>
      </c>
      <c r="AS43" s="409">
        <f>'Levelized Cost Summary'!AR57</f>
        <v>900.1742867451652</v>
      </c>
      <c r="AT43" s="409">
        <f>'Levelized Cost Summary'!AS57</f>
        <v>919.97812105355911</v>
      </c>
      <c r="AU43" s="409">
        <f>'Levelized Cost Summary'!AT57</f>
        <v>940.21763971673749</v>
      </c>
      <c r="AV43" s="409">
        <f>'Levelized Cost Summary'!AU57</f>
        <v>960.90242779050561</v>
      </c>
      <c r="AW43" s="409">
        <f>'Levelized Cost Summary'!AV57</f>
        <v>982.04228120189691</v>
      </c>
      <c r="AX43" s="409">
        <f>'Levelized Cost Summary'!AW57</f>
        <v>1003.647211388339</v>
      </c>
      <c r="AY43" s="409">
        <f>'Levelized Cost Summary'!AX57</f>
        <v>1025.7274500388819</v>
      </c>
      <c r="AZ43" s="409">
        <f>'Levelized Cost Summary'!AY57</f>
        <v>1048.2934539397374</v>
      </c>
    </row>
    <row r="44" spans="1:52">
      <c r="A44" s="38" t="s">
        <v>264</v>
      </c>
      <c r="B44" s="38" t="s">
        <v>27</v>
      </c>
      <c r="C44" s="407"/>
      <c r="D44" s="408">
        <v>0</v>
      </c>
      <c r="E44" s="409">
        <v>0</v>
      </c>
      <c r="F44" s="409">
        <v>0</v>
      </c>
      <c r="G44" s="409">
        <v>0</v>
      </c>
      <c r="H44" s="409">
        <v>0</v>
      </c>
      <c r="I44" s="409">
        <v>0</v>
      </c>
      <c r="J44" s="409">
        <v>0</v>
      </c>
      <c r="K44" s="409">
        <v>0</v>
      </c>
      <c r="L44" s="409">
        <v>0</v>
      </c>
      <c r="M44" s="409">
        <v>0</v>
      </c>
      <c r="N44" s="409">
        <v>0</v>
      </c>
      <c r="O44" s="409">
        <v>0</v>
      </c>
      <c r="P44" s="409">
        <v>0</v>
      </c>
      <c r="Q44" s="409">
        <v>0</v>
      </c>
      <c r="R44" s="409">
        <v>0</v>
      </c>
      <c r="S44" s="409">
        <v>0</v>
      </c>
      <c r="T44" s="409">
        <v>0</v>
      </c>
      <c r="U44" s="409">
        <v>0</v>
      </c>
      <c r="V44" s="409">
        <v>0</v>
      </c>
      <c r="W44" s="409">
        <v>0</v>
      </c>
      <c r="X44" s="409">
        <v>0</v>
      </c>
      <c r="Y44" s="409">
        <v>0</v>
      </c>
      <c r="Z44" s="409">
        <v>0</v>
      </c>
      <c r="AA44" s="409">
        <v>0</v>
      </c>
      <c r="AB44" s="407"/>
      <c r="AC44" s="408">
        <v>0</v>
      </c>
      <c r="AD44" s="409">
        <f>'Levelized Cost Summary'!AC58</f>
        <v>111.27686406047184</v>
      </c>
      <c r="AE44" s="409">
        <f>'Levelized Cost Summary'!AD58</f>
        <v>113.88510212334883</v>
      </c>
      <c r="AF44" s="409">
        <f>'Levelized Cost Summary'!AE58</f>
        <v>116.42666770501536</v>
      </c>
      <c r="AG44" s="409">
        <f>'Levelized Cost Summary'!AF58</f>
        <v>119.02479420278387</v>
      </c>
      <c r="AH44" s="409">
        <f>'Levelized Cost Summary'!AG58</f>
        <v>121.25771769841393</v>
      </c>
      <c r="AI44" s="409">
        <f>'Levelized Cost Summary'!AH58</f>
        <v>123.47652432017259</v>
      </c>
      <c r="AJ44" s="409">
        <f>'Levelized Cost Summary'!AI58</f>
        <v>125.7165956568266</v>
      </c>
      <c r="AK44" s="409">
        <f>'Levelized Cost Summary'!AJ58</f>
        <v>127.97658355761152</v>
      </c>
      <c r="AL44" s="409">
        <f>'Levelized Cost Summary'!AK58</f>
        <v>123.24637530212038</v>
      </c>
      <c r="AM44" s="409">
        <f>'Levelized Cost Summary'!AL58</f>
        <v>125.38732600551199</v>
      </c>
      <c r="AN44" s="409">
        <f>'Levelized Cost Summary'!AM58</f>
        <v>127.53976952534015</v>
      </c>
      <c r="AO44" s="409">
        <f>'Levelized Cost Summary'!AN58</f>
        <v>129.70157980267828</v>
      </c>
      <c r="AP44" s="409">
        <f>'Levelized Cost Summary'!AO58</f>
        <v>131.87041679763087</v>
      </c>
      <c r="AQ44" s="409">
        <f>'Levelized Cost Summary'!AP58</f>
        <v>134.04370957711018</v>
      </c>
      <c r="AR44" s="409">
        <f>'Levelized Cost Summary'!AQ58</f>
        <v>151.26232256913278</v>
      </c>
      <c r="AS44" s="409">
        <f>'Levelized Cost Summary'!AR58</f>
        <v>154.59009366565371</v>
      </c>
      <c r="AT44" s="409">
        <f>'Levelized Cost Summary'!AS58</f>
        <v>157.99107572629808</v>
      </c>
      <c r="AU44" s="409">
        <f>'Levelized Cost Summary'!AT58</f>
        <v>161.4668793922767</v>
      </c>
      <c r="AV44" s="409">
        <f>'Levelized Cost Summary'!AU58</f>
        <v>165.01915073890675</v>
      </c>
      <c r="AW44" s="409">
        <f>'Levelized Cost Summary'!AV58</f>
        <v>168.64957205516274</v>
      </c>
      <c r="AX44" s="409">
        <f>'Levelized Cost Summary'!AW58</f>
        <v>172.35986264037629</v>
      </c>
      <c r="AY44" s="409">
        <f>'Levelized Cost Summary'!AX58</f>
        <v>176.15177961846453</v>
      </c>
      <c r="AZ44" s="409">
        <f>'Levelized Cost Summary'!AY58</f>
        <v>180.02711877007079</v>
      </c>
    </row>
    <row r="45" spans="1:52" ht="15.75" thickBot="1">
      <c r="A45" s="38" t="s">
        <v>264</v>
      </c>
      <c r="B45" s="38" t="s">
        <v>28</v>
      </c>
      <c r="C45" s="407"/>
      <c r="D45" s="408">
        <v>0</v>
      </c>
      <c r="E45" s="409">
        <v>0</v>
      </c>
      <c r="F45" s="409">
        <v>0</v>
      </c>
      <c r="G45" s="409">
        <v>0</v>
      </c>
      <c r="H45" s="409">
        <v>0</v>
      </c>
      <c r="I45" s="409">
        <v>0</v>
      </c>
      <c r="J45" s="409">
        <v>0</v>
      </c>
      <c r="K45" s="409">
        <v>0</v>
      </c>
      <c r="L45" s="409">
        <v>0</v>
      </c>
      <c r="M45" s="409">
        <v>0</v>
      </c>
      <c r="N45" s="409">
        <v>0</v>
      </c>
      <c r="O45" s="409">
        <v>0</v>
      </c>
      <c r="P45" s="409">
        <v>0</v>
      </c>
      <c r="Q45" s="409">
        <v>0</v>
      </c>
      <c r="R45" s="409">
        <v>0</v>
      </c>
      <c r="S45" s="409">
        <v>0</v>
      </c>
      <c r="T45" s="409">
        <v>0</v>
      </c>
      <c r="U45" s="409">
        <v>0</v>
      </c>
      <c r="V45" s="409">
        <v>0</v>
      </c>
      <c r="W45" s="409">
        <v>0</v>
      </c>
      <c r="X45" s="409">
        <v>0</v>
      </c>
      <c r="Y45" s="409">
        <v>0</v>
      </c>
      <c r="Z45" s="409">
        <v>0</v>
      </c>
      <c r="AA45" s="409">
        <v>0</v>
      </c>
      <c r="AB45" s="407"/>
      <c r="AC45" s="408">
        <v>0</v>
      </c>
      <c r="AD45" s="409">
        <f>'Levelized Cost Summary'!AC59</f>
        <v>25.796091786541393</v>
      </c>
      <c r="AE45" s="409">
        <f>'Levelized Cost Summary'!AD59</f>
        <v>26.393572766616405</v>
      </c>
      <c r="AF45" s="409">
        <f>'Levelized Cost Summary'!AE59</f>
        <v>26.98116085931596</v>
      </c>
      <c r="AG45" s="409">
        <f>'Levelized Cost Summary'!AF59</f>
        <v>27.581671037530487</v>
      </c>
      <c r="AH45" s="409">
        <f>'Levelized Cost Summary'!AG59</f>
        <v>28.118850710656094</v>
      </c>
      <c r="AI45" s="409">
        <f>'Levelized Cost Summary'!AH59</f>
        <v>28.656262417014815</v>
      </c>
      <c r="AJ45" s="409">
        <f>'Levelized Cost Summary'!AI59</f>
        <v>29.200513336473332</v>
      </c>
      <c r="AK45" s="409">
        <f>'Levelized Cost Summary'!AJ59</f>
        <v>29.75142540711775</v>
      </c>
      <c r="AL45" s="409">
        <f>'Levelized Cost Summary'!AK59</f>
        <v>29.040879320420622</v>
      </c>
      <c r="AM45" s="409">
        <f>'Levelized Cost Summary'!AL59</f>
        <v>29.576576068848901</v>
      </c>
      <c r="AN45" s="409">
        <f>'Levelized Cost Summary'!AM59</f>
        <v>30.117616350101677</v>
      </c>
      <c r="AO45" s="409">
        <f>'Levelized Cost Summary'!AN59</f>
        <v>30.66368735932101</v>
      </c>
      <c r="AP45" s="409">
        <f>'Levelized Cost Summary'!AO59</f>
        <v>31.214439160709933</v>
      </c>
      <c r="AQ45" s="409">
        <f>'Levelized Cost Summary'!AP59</f>
        <v>31.769481662732453</v>
      </c>
      <c r="AR45" s="409">
        <f>'Levelized Cost Summary'!AQ59</f>
        <v>35.049906619680335</v>
      </c>
      <c r="AS45" s="409">
        <f>'Levelized Cost Summary'!AR59</f>
        <v>35.821004565313295</v>
      </c>
      <c r="AT45" s="409">
        <f>'Levelized Cost Summary'!AS59</f>
        <v>36.609066665750184</v>
      </c>
      <c r="AU45" s="409">
        <f>'Levelized Cost Summary'!AT59</f>
        <v>37.414466132396718</v>
      </c>
      <c r="AV45" s="409">
        <f>'Levelized Cost Summary'!AU59</f>
        <v>38.237584387309433</v>
      </c>
      <c r="AW45" s="409">
        <f>'Levelized Cost Summary'!AV59</f>
        <v>39.078811243830231</v>
      </c>
      <c r="AX45" s="409">
        <f>'Levelized Cost Summary'!AW59</f>
        <v>39.938545091194491</v>
      </c>
      <c r="AY45" s="409">
        <f>'Levelized Cost Summary'!AX59</f>
        <v>40.817193083200777</v>
      </c>
      <c r="AZ45" s="409">
        <f>'Levelized Cost Summary'!AY59</f>
        <v>41.715171331031215</v>
      </c>
    </row>
    <row r="46" spans="1:52" ht="15.75" thickBot="1">
      <c r="A46" s="415"/>
      <c r="B46" s="416"/>
      <c r="C46" s="417"/>
      <c r="D46" s="418"/>
      <c r="E46" s="419"/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419"/>
      <c r="Q46" s="419"/>
      <c r="R46" s="419"/>
      <c r="S46" s="419"/>
      <c r="T46" s="419"/>
      <c r="U46" s="419"/>
      <c r="V46" s="419"/>
      <c r="W46" s="419"/>
      <c r="X46" s="419"/>
      <c r="Y46" s="419"/>
      <c r="Z46" s="419"/>
      <c r="AA46" s="419"/>
      <c r="AB46" s="417"/>
      <c r="AC46" s="418"/>
      <c r="AD46" s="419"/>
      <c r="AE46" s="419"/>
      <c r="AF46" s="419"/>
      <c r="AG46" s="419"/>
      <c r="AH46" s="419"/>
      <c r="AI46" s="419"/>
      <c r="AJ46" s="419"/>
      <c r="AK46" s="419"/>
      <c r="AL46" s="419"/>
      <c r="AM46" s="419"/>
      <c r="AN46" s="419"/>
      <c r="AO46" s="419"/>
      <c r="AP46" s="419"/>
      <c r="AQ46" s="419"/>
      <c r="AR46" s="419"/>
      <c r="AS46" s="419"/>
      <c r="AT46" s="419"/>
      <c r="AU46" s="419"/>
      <c r="AV46" s="419"/>
      <c r="AW46" s="419"/>
      <c r="AX46" s="419"/>
      <c r="AY46" s="419"/>
      <c r="AZ46" s="420"/>
    </row>
    <row r="47" spans="1:52">
      <c r="A47" s="414" t="s">
        <v>267</v>
      </c>
      <c r="B47" s="414" t="s">
        <v>286</v>
      </c>
      <c r="C47" s="407"/>
      <c r="D47" s="408">
        <v>0</v>
      </c>
      <c r="E47" s="409">
        <f>E9</f>
        <v>44.808985938322863</v>
      </c>
      <c r="F47" s="409">
        <f t="shared" ref="F47:AA47" si="2">F9</f>
        <v>43.645660965487522</v>
      </c>
      <c r="G47" s="409">
        <f t="shared" si="2"/>
        <v>42.351248474471163</v>
      </c>
      <c r="H47" s="409">
        <f t="shared" si="2"/>
        <v>40.981288694943196</v>
      </c>
      <c r="I47" s="409">
        <f t="shared" si="2"/>
        <v>38.455376989167291</v>
      </c>
      <c r="J47" s="409">
        <f t="shared" si="2"/>
        <v>35.881561361714084</v>
      </c>
      <c r="K47" s="409">
        <f t="shared" si="2"/>
        <v>33.274869493464678</v>
      </c>
      <c r="L47" s="409">
        <f t="shared" si="2"/>
        <v>30.635088449499367</v>
      </c>
      <c r="M47" s="409">
        <f t="shared" si="2"/>
        <v>30.677357471281692</v>
      </c>
      <c r="N47" s="409">
        <f t="shared" si="2"/>
        <v>30.182825825372174</v>
      </c>
      <c r="O47" s="409">
        <f t="shared" si="2"/>
        <v>42.062865146116536</v>
      </c>
      <c r="P47" s="409">
        <f t="shared" si="2"/>
        <v>48.076007690632494</v>
      </c>
      <c r="Q47" s="409">
        <f t="shared" si="2"/>
        <v>60.801768801473642</v>
      </c>
      <c r="R47" s="409">
        <f t="shared" si="2"/>
        <v>60.767767296478013</v>
      </c>
      <c r="S47" s="409">
        <f t="shared" si="2"/>
        <v>60.674957711836676</v>
      </c>
      <c r="T47" s="409">
        <f t="shared" si="2"/>
        <v>60.518614586659467</v>
      </c>
      <c r="U47" s="409">
        <f t="shared" si="2"/>
        <v>60.293681278057889</v>
      </c>
      <c r="V47" s="409">
        <f t="shared" si="2"/>
        <v>59.994737152354055</v>
      </c>
      <c r="W47" s="409">
        <f t="shared" si="2"/>
        <v>59.615971251087281</v>
      </c>
      <c r="X47" s="409">
        <f t="shared" si="2"/>
        <v>59.151154028740095</v>
      </c>
      <c r="Y47" s="409">
        <f t="shared" si="2"/>
        <v>58.593607024492655</v>
      </c>
      <c r="Z47" s="409">
        <f t="shared" si="2"/>
        <v>57.936170314809516</v>
      </c>
      <c r="AA47" s="409">
        <f t="shared" si="2"/>
        <v>57.17116758764643</v>
      </c>
      <c r="AB47" s="407"/>
      <c r="AC47" s="408">
        <v>0</v>
      </c>
      <c r="AD47" s="409">
        <v>0</v>
      </c>
      <c r="AE47" s="409">
        <v>0</v>
      </c>
      <c r="AF47" s="409">
        <v>0</v>
      </c>
      <c r="AG47" s="409">
        <v>0</v>
      </c>
      <c r="AH47" s="409">
        <v>0</v>
      </c>
      <c r="AI47" s="409">
        <v>0</v>
      </c>
      <c r="AJ47" s="409">
        <v>0</v>
      </c>
      <c r="AK47" s="409">
        <v>0</v>
      </c>
      <c r="AL47" s="409">
        <v>0</v>
      </c>
      <c r="AM47" s="409">
        <v>0</v>
      </c>
      <c r="AN47" s="409">
        <v>0</v>
      </c>
      <c r="AO47" s="409">
        <v>0</v>
      </c>
      <c r="AP47" s="409">
        <v>0</v>
      </c>
      <c r="AQ47" s="409">
        <v>0</v>
      </c>
      <c r="AR47" s="409">
        <v>0</v>
      </c>
      <c r="AS47" s="409">
        <v>0</v>
      </c>
      <c r="AT47" s="409">
        <v>0</v>
      </c>
      <c r="AU47" s="409">
        <v>0</v>
      </c>
      <c r="AV47" s="409">
        <v>0</v>
      </c>
      <c r="AW47" s="409">
        <v>0</v>
      </c>
      <c r="AX47" s="409">
        <v>0</v>
      </c>
      <c r="AY47" s="409">
        <v>0</v>
      </c>
      <c r="AZ47" s="409">
        <v>0</v>
      </c>
    </row>
    <row r="48" spans="1:52">
      <c r="A48" s="414" t="s">
        <v>267</v>
      </c>
      <c r="B48" s="414" t="s">
        <v>287</v>
      </c>
      <c r="C48" s="407"/>
      <c r="D48" s="408">
        <v>0</v>
      </c>
      <c r="E48" s="409">
        <f>E9</f>
        <v>44.808985938322863</v>
      </c>
      <c r="F48" s="409">
        <f t="shared" ref="F48:AA48" si="3">F9</f>
        <v>43.645660965487522</v>
      </c>
      <c r="G48" s="409">
        <f t="shared" si="3"/>
        <v>42.351248474471163</v>
      </c>
      <c r="H48" s="409">
        <f t="shared" si="3"/>
        <v>40.981288694943196</v>
      </c>
      <c r="I48" s="409">
        <f t="shared" si="3"/>
        <v>38.455376989167291</v>
      </c>
      <c r="J48" s="409">
        <f t="shared" si="3"/>
        <v>35.881561361714084</v>
      </c>
      <c r="K48" s="409">
        <f t="shared" si="3"/>
        <v>33.274869493464678</v>
      </c>
      <c r="L48" s="409">
        <f t="shared" si="3"/>
        <v>30.635088449499367</v>
      </c>
      <c r="M48" s="409">
        <f t="shared" si="3"/>
        <v>30.677357471281692</v>
      </c>
      <c r="N48" s="409">
        <f t="shared" si="3"/>
        <v>30.182825825372174</v>
      </c>
      <c r="O48" s="409">
        <f t="shared" si="3"/>
        <v>42.062865146116536</v>
      </c>
      <c r="P48" s="409">
        <f t="shared" si="3"/>
        <v>48.076007690632494</v>
      </c>
      <c r="Q48" s="409">
        <f t="shared" si="3"/>
        <v>60.801768801473642</v>
      </c>
      <c r="R48" s="409">
        <f t="shared" si="3"/>
        <v>60.767767296478013</v>
      </c>
      <c r="S48" s="409">
        <f t="shared" si="3"/>
        <v>60.674957711836676</v>
      </c>
      <c r="T48" s="409">
        <f t="shared" si="3"/>
        <v>60.518614586659467</v>
      </c>
      <c r="U48" s="409">
        <f t="shared" si="3"/>
        <v>60.293681278057889</v>
      </c>
      <c r="V48" s="409">
        <f t="shared" si="3"/>
        <v>59.994737152354055</v>
      </c>
      <c r="W48" s="409">
        <f t="shared" si="3"/>
        <v>59.615971251087281</v>
      </c>
      <c r="X48" s="409">
        <f t="shared" si="3"/>
        <v>59.151154028740095</v>
      </c>
      <c r="Y48" s="409">
        <f t="shared" si="3"/>
        <v>58.593607024492655</v>
      </c>
      <c r="Z48" s="409">
        <f t="shared" si="3"/>
        <v>57.936170314809516</v>
      </c>
      <c r="AA48" s="409">
        <f t="shared" si="3"/>
        <v>57.17116758764643</v>
      </c>
      <c r="AB48" s="407"/>
      <c r="AC48" s="408">
        <v>0</v>
      </c>
      <c r="AD48" s="409">
        <v>0</v>
      </c>
      <c r="AE48" s="409">
        <v>0</v>
      </c>
      <c r="AF48" s="409">
        <v>0</v>
      </c>
      <c r="AG48" s="409">
        <v>0</v>
      </c>
      <c r="AH48" s="409">
        <v>0</v>
      </c>
      <c r="AI48" s="409">
        <v>0</v>
      </c>
      <c r="AJ48" s="409">
        <v>0</v>
      </c>
      <c r="AK48" s="409">
        <v>0</v>
      </c>
      <c r="AL48" s="409">
        <v>0</v>
      </c>
      <c r="AM48" s="409">
        <v>0</v>
      </c>
      <c r="AN48" s="409">
        <v>0</v>
      </c>
      <c r="AO48" s="409">
        <v>0</v>
      </c>
      <c r="AP48" s="409">
        <v>0</v>
      </c>
      <c r="AQ48" s="409">
        <v>0</v>
      </c>
      <c r="AR48" s="409">
        <v>0</v>
      </c>
      <c r="AS48" s="409">
        <v>0</v>
      </c>
      <c r="AT48" s="409">
        <v>0</v>
      </c>
      <c r="AU48" s="409">
        <v>0</v>
      </c>
      <c r="AV48" s="409">
        <v>0</v>
      </c>
      <c r="AW48" s="409">
        <v>0</v>
      </c>
      <c r="AX48" s="409">
        <v>0</v>
      </c>
      <c r="AY48" s="409">
        <v>0</v>
      </c>
      <c r="AZ48" s="409">
        <v>0</v>
      </c>
    </row>
    <row r="49" spans="1:52">
      <c r="A49" s="414" t="s">
        <v>270</v>
      </c>
      <c r="B49" s="414" t="s">
        <v>288</v>
      </c>
      <c r="C49" s="407"/>
      <c r="D49" s="408">
        <v>0</v>
      </c>
      <c r="E49" s="409">
        <f>E21</f>
        <v>38.000020464403825</v>
      </c>
      <c r="F49" s="409">
        <f t="shared" ref="F49:AA49" si="4">F21</f>
        <v>35.801491361790653</v>
      </c>
      <c r="G49" s="409">
        <f t="shared" si="4"/>
        <v>33.506432662021012</v>
      </c>
      <c r="H49" s="409">
        <f t="shared" si="4"/>
        <v>31.17297496082573</v>
      </c>
      <c r="I49" s="409">
        <f t="shared" si="4"/>
        <v>28.459568647282691</v>
      </c>
      <c r="J49" s="409">
        <f t="shared" si="4"/>
        <v>25.713164907602433</v>
      </c>
      <c r="K49" s="409">
        <f t="shared" si="4"/>
        <v>22.949237477832121</v>
      </c>
      <c r="L49" s="409">
        <f t="shared" si="4"/>
        <v>20.168639070102142</v>
      </c>
      <c r="M49" s="409">
        <f t="shared" si="4"/>
        <v>20.101119680662631</v>
      </c>
      <c r="N49" s="409">
        <f t="shared" si="4"/>
        <v>19.778507206876334</v>
      </c>
      <c r="O49" s="409">
        <f t="shared" si="4"/>
        <v>31.130630626254757</v>
      </c>
      <c r="P49" s="409">
        <f t="shared" si="4"/>
        <v>36.981792684705496</v>
      </c>
      <c r="Q49" s="409">
        <f t="shared" si="4"/>
        <v>43.811254717185356</v>
      </c>
      <c r="R49" s="409">
        <f t="shared" si="4"/>
        <v>43.964912962241478</v>
      </c>
      <c r="S49" s="409">
        <f t="shared" si="4"/>
        <v>44.092670255081828</v>
      </c>
      <c r="T49" s="409">
        <f t="shared" si="4"/>
        <v>44.192350743437395</v>
      </c>
      <c r="U49" s="409">
        <f t="shared" si="4"/>
        <v>44.261627934971727</v>
      </c>
      <c r="V49" s="409">
        <f t="shared" si="4"/>
        <v>44.298009472597414</v>
      </c>
      <c r="W49" s="409">
        <f t="shared" si="4"/>
        <v>44.29882530658351</v>
      </c>
      <c r="X49" s="409">
        <f t="shared" si="4"/>
        <v>44.26121494993135</v>
      </c>
      <c r="Y49" s="409">
        <f t="shared" si="4"/>
        <v>44.182113892692918</v>
      </c>
      <c r="Z49" s="409">
        <f t="shared" si="4"/>
        <v>44.058239145139915</v>
      </c>
      <c r="AA49" s="409">
        <f t="shared" si="4"/>
        <v>43.88607352681958</v>
      </c>
      <c r="AB49" s="407"/>
      <c r="AC49" s="408">
        <v>0</v>
      </c>
      <c r="AD49" s="409">
        <v>0</v>
      </c>
      <c r="AE49" s="409">
        <v>0</v>
      </c>
      <c r="AF49" s="409">
        <v>0</v>
      </c>
      <c r="AG49" s="409">
        <v>0</v>
      </c>
      <c r="AH49" s="409">
        <v>0</v>
      </c>
      <c r="AI49" s="409">
        <v>0</v>
      </c>
      <c r="AJ49" s="409">
        <v>0</v>
      </c>
      <c r="AK49" s="409">
        <v>0</v>
      </c>
      <c r="AL49" s="409">
        <v>0</v>
      </c>
      <c r="AM49" s="409">
        <v>0</v>
      </c>
      <c r="AN49" s="409">
        <v>0</v>
      </c>
      <c r="AO49" s="409">
        <v>0</v>
      </c>
      <c r="AP49" s="409">
        <v>0</v>
      </c>
      <c r="AQ49" s="409">
        <v>0</v>
      </c>
      <c r="AR49" s="409">
        <v>0</v>
      </c>
      <c r="AS49" s="409">
        <v>0</v>
      </c>
      <c r="AT49" s="409">
        <v>0</v>
      </c>
      <c r="AU49" s="409">
        <v>0</v>
      </c>
      <c r="AV49" s="409">
        <v>0</v>
      </c>
      <c r="AW49" s="409">
        <v>0</v>
      </c>
      <c r="AX49" s="409">
        <v>0</v>
      </c>
      <c r="AY49" s="409">
        <v>0</v>
      </c>
      <c r="AZ49" s="409">
        <v>0</v>
      </c>
    </row>
  </sheetData>
  <conditionalFormatting sqref="D3:D49 E3:AZ4 AB5:AZ49">
    <cfRule type="cellIs" dxfId="7" priority="10" operator="lessThan">
      <formula>0</formula>
    </cfRule>
    <cfRule type="cellIs" dxfId="6" priority="11" operator="greaterThan">
      <formula>0</formula>
    </cfRule>
  </conditionalFormatting>
  <conditionalFormatting sqref="AC3:AZ49">
    <cfRule type="cellIs" dxfId="5" priority="9" operator="greaterThan">
      <formula>0</formula>
    </cfRule>
  </conditionalFormatting>
  <conditionalFormatting sqref="E5:AA49">
    <cfRule type="cellIs" dxfId="4" priority="4" operator="lessThan">
      <formula>0</formula>
    </cfRule>
    <cfRule type="cellIs" dxfId="3" priority="5" operator="greaterThan">
      <formula>0</formula>
    </cfRule>
  </conditionalFormatting>
  <conditionalFormatting sqref="E5:AA49">
    <cfRule type="cellIs" dxfId="2" priority="3" operator="greaterThan">
      <formula>0</formula>
    </cfRule>
  </conditionalFormatting>
  <conditionalFormatting sqref="C3:C49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F1DDB-579D-4A3C-85C0-29BB28C63386}">
  <sheetPr codeName="Sheet8">
    <tabColor theme="5" tint="0.39997558519241921"/>
  </sheetPr>
  <dimension ref="A1:Y530"/>
  <sheetViews>
    <sheetView zoomScaleNormal="100" workbookViewId="0">
      <pane ySplit="2" topLeftCell="A3" activePane="bottomLeft" state="frozen"/>
      <selection activeCell="A2" sqref="A2"/>
      <selection pane="bottomLeft" activeCell="O52" sqref="O52"/>
    </sheetView>
  </sheetViews>
  <sheetFormatPr defaultRowHeight="15" outlineLevelRow="1"/>
  <cols>
    <col min="1" max="1" width="12.7109375" bestFit="1" customWidth="1"/>
    <col min="2" max="2" width="7.140625" bestFit="1" customWidth="1"/>
    <col min="3" max="3" width="32.85546875" bestFit="1" customWidth="1"/>
    <col min="4" max="4" width="12.5703125" bestFit="1" customWidth="1"/>
    <col min="5" max="12" width="11.140625" bestFit="1" customWidth="1"/>
    <col min="13" max="24" width="11.140625" style="146" bestFit="1" customWidth="1"/>
    <col min="25" max="25" width="10.140625" style="146" bestFit="1" customWidth="1"/>
  </cols>
  <sheetData>
    <row r="1" spans="1:25">
      <c r="A1" s="482" t="s">
        <v>72</v>
      </c>
      <c r="B1" s="483">
        <v>2025</v>
      </c>
      <c r="C1" s="263"/>
      <c r="E1" s="23">
        <f>B1</f>
        <v>2025</v>
      </c>
      <c r="F1" s="23">
        <f>E1+1</f>
        <v>2026</v>
      </c>
      <c r="G1" s="23">
        <f t="shared" ref="G1:Y1" si="0">F1+1</f>
        <v>2027</v>
      </c>
      <c r="H1" s="23">
        <f t="shared" si="0"/>
        <v>2028</v>
      </c>
      <c r="I1" s="23">
        <f t="shared" si="0"/>
        <v>2029</v>
      </c>
      <c r="J1" s="23">
        <f t="shared" si="0"/>
        <v>2030</v>
      </c>
      <c r="K1" s="23">
        <f t="shared" si="0"/>
        <v>2031</v>
      </c>
      <c r="L1" s="23">
        <f t="shared" si="0"/>
        <v>2032</v>
      </c>
      <c r="M1" s="453">
        <f t="shared" si="0"/>
        <v>2033</v>
      </c>
      <c r="N1" s="453">
        <f t="shared" si="0"/>
        <v>2034</v>
      </c>
      <c r="O1" s="453">
        <f t="shared" si="0"/>
        <v>2035</v>
      </c>
      <c r="P1" s="453">
        <f t="shared" si="0"/>
        <v>2036</v>
      </c>
      <c r="Q1" s="453">
        <f t="shared" si="0"/>
        <v>2037</v>
      </c>
      <c r="R1" s="453">
        <f t="shared" si="0"/>
        <v>2038</v>
      </c>
      <c r="S1" s="453">
        <f t="shared" si="0"/>
        <v>2039</v>
      </c>
      <c r="T1" s="453">
        <f t="shared" si="0"/>
        <v>2040</v>
      </c>
      <c r="U1" s="453">
        <f t="shared" si="0"/>
        <v>2041</v>
      </c>
      <c r="V1" s="453">
        <f t="shared" si="0"/>
        <v>2042</v>
      </c>
      <c r="W1" s="453">
        <f t="shared" si="0"/>
        <v>2043</v>
      </c>
      <c r="X1" s="453">
        <f t="shared" si="0"/>
        <v>2044</v>
      </c>
      <c r="Y1" s="453">
        <f t="shared" si="0"/>
        <v>2045</v>
      </c>
    </row>
    <row r="2" spans="1:25">
      <c r="A2" s="482"/>
      <c r="B2" s="483"/>
      <c r="C2" s="263"/>
      <c r="D2" s="23">
        <v>0</v>
      </c>
      <c r="E2" s="23">
        <v>1</v>
      </c>
      <c r="F2" s="23">
        <v>2</v>
      </c>
      <c r="G2" s="23">
        <v>3</v>
      </c>
      <c r="H2" s="23">
        <v>4</v>
      </c>
      <c r="I2" s="23">
        <v>5</v>
      </c>
      <c r="J2" s="23">
        <v>6</v>
      </c>
      <c r="K2" s="23">
        <v>7</v>
      </c>
      <c r="L2" s="23">
        <v>8</v>
      </c>
      <c r="M2" s="453">
        <v>9</v>
      </c>
      <c r="N2" s="453">
        <v>10</v>
      </c>
      <c r="O2" s="453">
        <v>11</v>
      </c>
      <c r="P2" s="453">
        <v>12</v>
      </c>
      <c r="Q2" s="453">
        <v>13</v>
      </c>
      <c r="R2" s="453">
        <v>14</v>
      </c>
      <c r="S2" s="453">
        <v>15</v>
      </c>
      <c r="T2" s="453">
        <v>16</v>
      </c>
      <c r="U2" s="453">
        <v>17</v>
      </c>
      <c r="V2" s="453">
        <v>18</v>
      </c>
      <c r="W2" s="453">
        <v>19</v>
      </c>
      <c r="X2" s="453">
        <v>20</v>
      </c>
      <c r="Y2" s="453">
        <v>21</v>
      </c>
    </row>
    <row r="3" spans="1:25">
      <c r="A3" s="95"/>
    </row>
    <row r="4" spans="1:25" ht="15.75" thickBot="1"/>
    <row r="5" spans="1:25" ht="18.75" thickBot="1">
      <c r="A5" s="86"/>
      <c r="B5" s="82"/>
      <c r="C5" s="484" t="s">
        <v>130</v>
      </c>
      <c r="D5" s="485"/>
      <c r="E5" s="485"/>
      <c r="F5" s="485"/>
      <c r="G5" s="485"/>
      <c r="H5" s="486"/>
      <c r="Y5" s="261"/>
    </row>
    <row r="6" spans="1:25" hidden="1" outlineLevel="1">
      <c r="C6" s="124" t="s">
        <v>44</v>
      </c>
      <c r="D6" s="98"/>
      <c r="E6" s="142">
        <f>'Resource Options'!$E$11*INDEX('DATA (Nominal)'!$B$11:$BX$11,1,MATCH($B$1,'DATA (Nominal)'!$B$1:$BX$1,0))*8760</f>
        <v>8.6424979367249435</v>
      </c>
      <c r="F6" s="142">
        <f>E6</f>
        <v>8.6424979367249435</v>
      </c>
      <c r="G6" s="98">
        <f t="shared" ref="G6:X6" si="1">F6</f>
        <v>8.6424979367249435</v>
      </c>
      <c r="H6" s="98">
        <f t="shared" si="1"/>
        <v>8.6424979367249435</v>
      </c>
      <c r="I6" s="98">
        <f t="shared" si="1"/>
        <v>8.6424979367249435</v>
      </c>
      <c r="J6" s="98">
        <f t="shared" si="1"/>
        <v>8.6424979367249435</v>
      </c>
      <c r="K6" s="98">
        <f t="shared" si="1"/>
        <v>8.6424979367249435</v>
      </c>
      <c r="L6" s="98">
        <f t="shared" si="1"/>
        <v>8.6424979367249435</v>
      </c>
      <c r="M6" s="142">
        <f t="shared" si="1"/>
        <v>8.6424979367249435</v>
      </c>
      <c r="N6" s="142">
        <f t="shared" si="1"/>
        <v>8.6424979367249435</v>
      </c>
      <c r="O6" s="142">
        <f t="shared" si="1"/>
        <v>8.6424979367249435</v>
      </c>
      <c r="P6" s="142">
        <f t="shared" si="1"/>
        <v>8.6424979367249435</v>
      </c>
      <c r="Q6" s="142">
        <f t="shared" si="1"/>
        <v>8.6424979367249435</v>
      </c>
      <c r="R6" s="142">
        <f t="shared" si="1"/>
        <v>8.6424979367249435</v>
      </c>
      <c r="S6" s="142">
        <f t="shared" si="1"/>
        <v>8.6424979367249435</v>
      </c>
      <c r="T6" s="142">
        <f t="shared" si="1"/>
        <v>8.6424979367249435</v>
      </c>
      <c r="U6" s="142">
        <f t="shared" si="1"/>
        <v>8.6424979367249435</v>
      </c>
      <c r="V6" s="142">
        <f t="shared" si="1"/>
        <v>8.6424979367249435</v>
      </c>
      <c r="W6" s="142">
        <f t="shared" si="1"/>
        <v>8.6424979367249435</v>
      </c>
      <c r="X6" s="454">
        <f t="shared" si="1"/>
        <v>8.6424979367249435</v>
      </c>
      <c r="Y6" s="261"/>
    </row>
    <row r="7" spans="1:25" hidden="1" outlineLevel="1">
      <c r="A7" s="86"/>
      <c r="C7" s="125" t="s">
        <v>45</v>
      </c>
      <c r="D7" s="114"/>
      <c r="E7" s="117">
        <f>INDEX('PPA Summary'!$3:$34,MATCH($C5,'PPA Summary'!$D$3:$D$34,0),MATCH(B$1,'PPA Summary'!$2:$2,0))</f>
        <v>150.23333568773643</v>
      </c>
      <c r="F7" s="117">
        <f>E7</f>
        <v>150.23333568773643</v>
      </c>
      <c r="G7" s="112">
        <f t="shared" ref="G7:X7" si="2">F7</f>
        <v>150.23333568773643</v>
      </c>
      <c r="H7" s="112">
        <f t="shared" si="2"/>
        <v>150.23333568773643</v>
      </c>
      <c r="I7" s="112">
        <f t="shared" si="2"/>
        <v>150.23333568773643</v>
      </c>
      <c r="J7" s="112">
        <f t="shared" si="2"/>
        <v>150.23333568773643</v>
      </c>
      <c r="K7" s="112">
        <f t="shared" si="2"/>
        <v>150.23333568773643</v>
      </c>
      <c r="L7" s="112">
        <f t="shared" si="2"/>
        <v>150.23333568773643</v>
      </c>
      <c r="M7" s="117">
        <f t="shared" si="2"/>
        <v>150.23333568773643</v>
      </c>
      <c r="N7" s="117">
        <f t="shared" si="2"/>
        <v>150.23333568773643</v>
      </c>
      <c r="O7" s="117">
        <f t="shared" si="2"/>
        <v>150.23333568773643</v>
      </c>
      <c r="P7" s="117">
        <f t="shared" si="2"/>
        <v>150.23333568773643</v>
      </c>
      <c r="Q7" s="117">
        <f t="shared" si="2"/>
        <v>150.23333568773643</v>
      </c>
      <c r="R7" s="117">
        <f t="shared" si="2"/>
        <v>150.23333568773643</v>
      </c>
      <c r="S7" s="117">
        <f t="shared" si="2"/>
        <v>150.23333568773643</v>
      </c>
      <c r="T7" s="117">
        <f t="shared" si="2"/>
        <v>150.23333568773643</v>
      </c>
      <c r="U7" s="117">
        <f t="shared" si="2"/>
        <v>150.23333568773643</v>
      </c>
      <c r="V7" s="117">
        <f t="shared" si="2"/>
        <v>150.23333568773643</v>
      </c>
      <c r="W7" s="117">
        <f t="shared" si="2"/>
        <v>150.23333568773643</v>
      </c>
      <c r="X7" s="161">
        <f t="shared" si="2"/>
        <v>150.23333568773643</v>
      </c>
      <c r="Y7" s="261"/>
    </row>
    <row r="8" spans="1:25" hidden="1" outlineLevel="1">
      <c r="C8" s="126" t="s">
        <v>46</v>
      </c>
      <c r="D8" s="114"/>
      <c r="E8" s="93">
        <f>E7*E6</f>
        <v>1298.3912937085679</v>
      </c>
      <c r="F8" s="93">
        <f t="shared" ref="F8:X8" si="3">F7*F6</f>
        <v>1298.3912937085679</v>
      </c>
      <c r="G8" s="114">
        <f t="shared" si="3"/>
        <v>1298.3912937085679</v>
      </c>
      <c r="H8" s="114">
        <f t="shared" si="3"/>
        <v>1298.3912937085679</v>
      </c>
      <c r="I8" s="114">
        <f t="shared" si="3"/>
        <v>1298.3912937085679</v>
      </c>
      <c r="J8" s="114">
        <f t="shared" si="3"/>
        <v>1298.3912937085679</v>
      </c>
      <c r="K8" s="114">
        <f t="shared" si="3"/>
        <v>1298.3912937085679</v>
      </c>
      <c r="L8" s="114">
        <f t="shared" si="3"/>
        <v>1298.3912937085679</v>
      </c>
      <c r="M8" s="93">
        <f t="shared" si="3"/>
        <v>1298.3912937085679</v>
      </c>
      <c r="N8" s="93">
        <f t="shared" si="3"/>
        <v>1298.3912937085679</v>
      </c>
      <c r="O8" s="93">
        <f t="shared" si="3"/>
        <v>1298.3912937085679</v>
      </c>
      <c r="P8" s="93">
        <f t="shared" si="3"/>
        <v>1298.3912937085679</v>
      </c>
      <c r="Q8" s="93">
        <f t="shared" si="3"/>
        <v>1298.3912937085679</v>
      </c>
      <c r="R8" s="93">
        <f t="shared" si="3"/>
        <v>1298.3912937085679</v>
      </c>
      <c r="S8" s="93">
        <f t="shared" si="3"/>
        <v>1298.3912937085679</v>
      </c>
      <c r="T8" s="93">
        <f t="shared" si="3"/>
        <v>1298.3912937085679</v>
      </c>
      <c r="U8" s="93">
        <f t="shared" si="3"/>
        <v>1298.3912937085679</v>
      </c>
      <c r="V8" s="93">
        <f t="shared" si="3"/>
        <v>1298.3912937085679</v>
      </c>
      <c r="W8" s="93">
        <f t="shared" si="3"/>
        <v>1298.3912937085679</v>
      </c>
      <c r="X8" s="161">
        <f t="shared" si="3"/>
        <v>1298.3912937085679</v>
      </c>
      <c r="Y8" s="261"/>
    </row>
    <row r="9" spans="1:25" hidden="1" outlineLevel="1">
      <c r="C9" s="126"/>
      <c r="D9" s="114"/>
      <c r="E9" s="93"/>
      <c r="F9" s="93"/>
      <c r="G9" s="114"/>
      <c r="H9" s="114"/>
      <c r="I9" s="114"/>
      <c r="J9" s="114"/>
      <c r="K9" s="114"/>
      <c r="L9" s="114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161"/>
      <c r="Y9" s="261"/>
    </row>
    <row r="10" spans="1:25" hidden="1" outlineLevel="1">
      <c r="B10" s="92"/>
      <c r="C10" s="125" t="s">
        <v>47</v>
      </c>
      <c r="D10" s="114"/>
      <c r="E10" s="93">
        <f>'Resource Options'!$E$11*INDEX('DATA (Nominal)'!$B$177:$BX$177,1,MATCH(E$1,'DATA (Nominal)'!$B$1:$BX$1,0))*1000</f>
        <v>158.76886372805325</v>
      </c>
      <c r="F10" s="93">
        <f>'Resource Options'!$E$11*INDEX('DATA (Nominal)'!$B$177:$BX$177,1,MATCH(F$1,'DATA (Nominal)'!$B$1:$BX$1,0))*1000</f>
        <v>149.42817126650451</v>
      </c>
      <c r="G10" s="114">
        <f>'Resource Options'!$E$11*INDEX('DATA (Nominal)'!$B$177:$BX$177,1,MATCH(G$1,'DATA (Nominal)'!$B$1:$BX$1,0))*1000</f>
        <v>139.59107082730935</v>
      </c>
      <c r="H10" s="114">
        <f>'Resource Options'!$E$11*INDEX('DATA (Nominal)'!$B$177:$BX$177,1,MATCH(H$1,'DATA (Nominal)'!$B$1:$BX$1,0))*1000</f>
        <v>129.19790953688511</v>
      </c>
      <c r="I10" s="114">
        <f>'Resource Options'!$E$11*INDEX('DATA (Nominal)'!$B$177:$BX$177,1,MATCH(I$1,'DATA (Nominal)'!$B$1:$BX$1,0))*1000</f>
        <v>118.27988707140187</v>
      </c>
      <c r="J10" s="114">
        <f>'Resource Options'!$E$11*INDEX('DATA (Nominal)'!$B$177:$BX$177,1,MATCH(J$1,'DATA (Nominal)'!$B$1:$BX$1,0))*1000</f>
        <v>106.81893982922148</v>
      </c>
      <c r="K10" s="114">
        <f>'Resource Options'!$E$11*INDEX('DATA (Nominal)'!$B$177:$BX$177,1,MATCH(K$1,'DATA (Nominal)'!$B$1:$BX$1,0))*1000</f>
        <v>108.27675549270886</v>
      </c>
      <c r="L10" s="114">
        <f>'Resource Options'!$E$11*INDEX('DATA (Nominal)'!$B$177:$BX$177,1,MATCH(L$1,'DATA (Nominal)'!$B$1:$BX$1,0))*1000</f>
        <v>109.74701467851236</v>
      </c>
      <c r="M10" s="93">
        <f>'Resource Options'!$E$11*INDEX('DATA (Nominal)'!$B$177:$BX$177,1,MATCH(M$1,'DATA (Nominal)'!$B$1:$BX$1,0))*1000</f>
        <v>111.22955931883271</v>
      </c>
      <c r="N10" s="93">
        <f>'Resource Options'!$E$11*INDEX('DATA (Nominal)'!$B$177:$BX$177,1,MATCH(N$1,'DATA (Nominal)'!$B$1:$BX$1,0))*1000</f>
        <v>112.72421836822279</v>
      </c>
      <c r="O10" s="93">
        <f>'Resource Options'!$E$11*INDEX('DATA (Nominal)'!$B$177:$BX$177,1,MATCH(O$1,'DATA (Nominal)'!$B$1:$BX$1,0))*1000</f>
        <v>114.23080730907569</v>
      </c>
      <c r="P10" s="93">
        <f>'Resource Options'!$E$11*INDEX('DATA (Nominal)'!$B$177:$BX$177,1,MATCH(P$1,'DATA (Nominal)'!$B$1:$BX$1,0))*1000</f>
        <v>115.74912764163592</v>
      </c>
      <c r="Q10" s="93">
        <f>'Resource Options'!$E$11*INDEX('DATA (Nominal)'!$B$177:$BX$177,1,MATCH(Q$1,'DATA (Nominal)'!$B$1:$BX$1,0))*1000</f>
        <v>117.2789663580912</v>
      </c>
      <c r="R10" s="93">
        <f>'Resource Options'!$E$11*INDEX('DATA (Nominal)'!$B$177:$BX$177,1,MATCH(R$1,'DATA (Nominal)'!$B$1:$BX$1,0))*1000</f>
        <v>118.82009540029195</v>
      </c>
      <c r="S10" s="93">
        <f>'Resource Options'!$E$11*INDEX('DATA (Nominal)'!$B$177:$BX$177,1,MATCH(S$1,'DATA (Nominal)'!$B$1:$BX$1,0))*1000</f>
        <v>120.37227110063225</v>
      </c>
      <c r="T10" s="93">
        <f>'Resource Options'!$E$11*INDEX('DATA (Nominal)'!$B$177:$BX$177,1,MATCH(T$1,'DATA (Nominal)'!$B$1:$BX$1,0))*1000</f>
        <v>121.93523360561375</v>
      </c>
      <c r="U10" s="93">
        <f>'Resource Options'!$E$11*INDEX('DATA (Nominal)'!$B$177:$BX$177,1,MATCH(U$1,'DATA (Nominal)'!$B$1:$BX$1,0))*1000</f>
        <v>123.5087062816017</v>
      </c>
      <c r="V10" s="93">
        <f>'Resource Options'!$E$11*INDEX('DATA (Nominal)'!$B$177:$BX$177,1,MATCH(V$1,'DATA (Nominal)'!$B$1:$BX$1,0))*1000</f>
        <v>125.09239510226807</v>
      </c>
      <c r="W10" s="93">
        <f>'Resource Options'!$E$11*INDEX('DATA (Nominal)'!$B$177:$BX$177,1,MATCH(W$1,'DATA (Nominal)'!$B$1:$BX$1,0))*1000</f>
        <v>126.68598801720343</v>
      </c>
      <c r="X10" s="161">
        <f>'Resource Options'!$E$11*INDEX('DATA (Nominal)'!$B$177:$BX$177,1,MATCH(X$1,'DATA (Nominal)'!$B$1:$BX$1,0))*1000</f>
        <v>128.28915430116643</v>
      </c>
      <c r="Y10" s="261"/>
    </row>
    <row r="11" spans="1:25" hidden="1" outlineLevel="1">
      <c r="C11" s="125" t="s">
        <v>48</v>
      </c>
      <c r="D11" s="114"/>
      <c r="E11" s="93">
        <f>E6*INDEX('DATA (Nominal)'!$B$106:$BX$106,1,MATCH(E$1,'DATA (Nominal)'!$B$1:$BX$1,0))</f>
        <v>0</v>
      </c>
      <c r="F11" s="93">
        <f>F6*INDEX('DATA (Nominal)'!$B$106:$BX$106,1,MATCH(F$1,'DATA (Nominal)'!$B$1:$BX$1,0))</f>
        <v>0</v>
      </c>
      <c r="G11" s="114">
        <f>G6*INDEX('DATA (Nominal)'!$B$106:$BX$106,1,MATCH(G$1,'DATA (Nominal)'!$B$1:$BX$1,0))</f>
        <v>0</v>
      </c>
      <c r="H11" s="114">
        <f>H6*INDEX('DATA (Nominal)'!$B$106:$BX$106,1,MATCH(H$1,'DATA (Nominal)'!$B$1:$BX$1,0))</f>
        <v>0</v>
      </c>
      <c r="I11" s="114">
        <f>I6*INDEX('DATA (Nominal)'!$B$106:$BX$106,1,MATCH(I$1,'DATA (Nominal)'!$B$1:$BX$1,0))</f>
        <v>0</v>
      </c>
      <c r="J11" s="114">
        <f>J6*INDEX('DATA (Nominal)'!$B$106:$BX$106,1,MATCH(J$1,'DATA (Nominal)'!$B$1:$BX$1,0))</f>
        <v>0</v>
      </c>
      <c r="K11" s="114">
        <f>K6*INDEX('DATA (Nominal)'!$B$106:$BX$106,1,MATCH(K$1,'DATA (Nominal)'!$B$1:$BX$1,0))</f>
        <v>0</v>
      </c>
      <c r="L11" s="114">
        <f>L6*INDEX('DATA (Nominal)'!$B$106:$BX$106,1,MATCH(L$1,'DATA (Nominal)'!$B$1:$BX$1,0))</f>
        <v>0</v>
      </c>
      <c r="M11" s="93">
        <f>M6*INDEX('DATA (Nominal)'!$B$106:$BX$106,1,MATCH(M$1,'DATA (Nominal)'!$B$1:$BX$1,0))</f>
        <v>0</v>
      </c>
      <c r="N11" s="93">
        <f>N6*INDEX('DATA (Nominal)'!$B$106:$BX$106,1,MATCH(N$1,'DATA (Nominal)'!$B$1:$BX$1,0))</f>
        <v>0</v>
      </c>
      <c r="O11" s="93">
        <f>O6*INDEX('DATA (Nominal)'!$B$106:$BX$106,1,MATCH(O$1,'DATA (Nominal)'!$B$1:$BX$1,0))</f>
        <v>0</v>
      </c>
      <c r="P11" s="93">
        <f>P6*INDEX('DATA (Nominal)'!$B$106:$BX$106,1,MATCH(P$1,'DATA (Nominal)'!$B$1:$BX$1,0))</f>
        <v>0</v>
      </c>
      <c r="Q11" s="93">
        <f>Q6*INDEX('DATA (Nominal)'!$B$106:$BX$106,1,MATCH(Q$1,'DATA (Nominal)'!$B$1:$BX$1,0))</f>
        <v>0</v>
      </c>
      <c r="R11" s="93">
        <f>R6*INDEX('DATA (Nominal)'!$B$106:$BX$106,1,MATCH(R$1,'DATA (Nominal)'!$B$1:$BX$1,0))</f>
        <v>0</v>
      </c>
      <c r="S11" s="93">
        <f>S6*INDEX('DATA (Nominal)'!$B$106:$BX$106,1,MATCH(S$1,'DATA (Nominal)'!$B$1:$BX$1,0))</f>
        <v>0</v>
      </c>
      <c r="T11" s="93">
        <f>T6*INDEX('DATA (Nominal)'!$B$106:$BX$106,1,MATCH(T$1,'DATA (Nominal)'!$B$1:$BX$1,0))</f>
        <v>0</v>
      </c>
      <c r="U11" s="93">
        <f>U6*INDEX('DATA (Nominal)'!$B$106:$BX$106,1,MATCH(U$1,'DATA (Nominal)'!$B$1:$BX$1,0))</f>
        <v>0</v>
      </c>
      <c r="V11" s="93">
        <f>V6*INDEX('DATA (Nominal)'!$B$106:$BX$106,1,MATCH(V$1,'DATA (Nominal)'!$B$1:$BX$1,0))</f>
        <v>0</v>
      </c>
      <c r="W11" s="93">
        <f>W6*INDEX('DATA (Nominal)'!$B$106:$BX$106,1,MATCH(W$1,'DATA (Nominal)'!$B$1:$BX$1,0))</f>
        <v>0</v>
      </c>
      <c r="X11" s="161">
        <f>X6*INDEX('DATA (Nominal)'!$B$106:$BX$106,1,MATCH(X$1,'DATA (Nominal)'!$B$1:$BX$1,0))</f>
        <v>0</v>
      </c>
      <c r="Y11" s="261"/>
    </row>
    <row r="12" spans="1:25" hidden="1" outlineLevel="1">
      <c r="C12" s="125" t="s">
        <v>127</v>
      </c>
      <c r="D12" s="114"/>
      <c r="E12" s="93">
        <f>E8*INDEX('DATA (Nominal)'!$B$326:$BX$326,1,MATCH(E$1,'DATA (Nominal)'!$B$1:$BX$1,0))</f>
        <v>0</v>
      </c>
      <c r="F12" s="93">
        <f>F8*INDEX('DATA (Nominal)'!$B$326:$BX$326,1,MATCH(F$1,'DATA (Nominal)'!$B$1:$BX$1,0))</f>
        <v>0</v>
      </c>
      <c r="G12" s="114">
        <f>G8*INDEX('DATA (Nominal)'!$B$326:$BX$326,1,MATCH(G$1,'DATA (Nominal)'!$B$1:$BX$1,0))</f>
        <v>0</v>
      </c>
      <c r="H12" s="114">
        <f>H8*INDEX('DATA (Nominal)'!$B$326:$BX$326,1,MATCH(H$1,'DATA (Nominal)'!$B$1:$BX$1,0))</f>
        <v>0</v>
      </c>
      <c r="I12" s="114">
        <f>I8*INDEX('DATA (Nominal)'!$B$326:$BX$326,1,MATCH(I$1,'DATA (Nominal)'!$B$1:$BX$1,0))</f>
        <v>0</v>
      </c>
      <c r="J12" s="114">
        <f>J8*INDEX('DATA (Nominal)'!$B$326:$BX$326,1,MATCH(J$1,'DATA (Nominal)'!$B$1:$BX$1,0))</f>
        <v>0</v>
      </c>
      <c r="K12" s="114">
        <f>K8*INDEX('DATA (Nominal)'!$B$326:$BX$326,1,MATCH(K$1,'DATA (Nominal)'!$B$1:$BX$1,0))</f>
        <v>0</v>
      </c>
      <c r="L12" s="114">
        <f>L8*INDEX('DATA (Nominal)'!$B$326:$BX$326,1,MATCH(L$1,'DATA (Nominal)'!$B$1:$BX$1,0))</f>
        <v>0</v>
      </c>
      <c r="M12" s="93">
        <f>M8*INDEX('DATA (Nominal)'!$B$326:$BX$326,1,MATCH(M$1,'DATA (Nominal)'!$B$1:$BX$1,0))</f>
        <v>0</v>
      </c>
      <c r="N12" s="93">
        <f>N8*INDEX('DATA (Nominal)'!$B$326:$BX$326,1,MATCH(N$1,'DATA (Nominal)'!$B$1:$BX$1,0))</f>
        <v>0</v>
      </c>
      <c r="O12" s="93">
        <f>O8*INDEX('DATA (Nominal)'!$B$326:$BX$326,1,MATCH(O$1,'DATA (Nominal)'!$B$1:$BX$1,0))</f>
        <v>0</v>
      </c>
      <c r="P12" s="93">
        <f>P8*INDEX('DATA (Nominal)'!$B$326:$BX$326,1,MATCH(P$1,'DATA (Nominal)'!$B$1:$BX$1,0))</f>
        <v>0</v>
      </c>
      <c r="Q12" s="93">
        <f>Q8*INDEX('DATA (Nominal)'!$B$326:$BX$326,1,MATCH(Q$1,'DATA (Nominal)'!$B$1:$BX$1,0))</f>
        <v>0</v>
      </c>
      <c r="R12" s="93">
        <f>R8*INDEX('DATA (Nominal)'!$B$326:$BX$326,1,MATCH(R$1,'DATA (Nominal)'!$B$1:$BX$1,0))</f>
        <v>0</v>
      </c>
      <c r="S12" s="93">
        <f>S8*INDEX('DATA (Nominal)'!$B$326:$BX$326,1,MATCH(S$1,'DATA (Nominal)'!$B$1:$BX$1,0))</f>
        <v>0</v>
      </c>
      <c r="T12" s="93">
        <f>T8*INDEX('DATA (Nominal)'!$B$326:$BX$326,1,MATCH(T$1,'DATA (Nominal)'!$B$1:$BX$1,0))</f>
        <v>0</v>
      </c>
      <c r="U12" s="93">
        <f>U8*INDEX('DATA (Nominal)'!$B$326:$BX$326,1,MATCH(U$1,'DATA (Nominal)'!$B$1:$BX$1,0))</f>
        <v>0</v>
      </c>
      <c r="V12" s="93">
        <f>V8*INDEX('DATA (Nominal)'!$B$326:$BX$326,1,MATCH(V$1,'DATA (Nominal)'!$B$1:$BX$1,0))</f>
        <v>0</v>
      </c>
      <c r="W12" s="93">
        <f>W8*INDEX('DATA (Nominal)'!$B$326:$BX$326,1,MATCH(W$1,'DATA (Nominal)'!$B$1:$BX$1,0))</f>
        <v>0</v>
      </c>
      <c r="X12" s="161">
        <f>X8*INDEX('DATA (Nominal)'!$B$326:$BX$326,1,MATCH(X$1,'DATA (Nominal)'!$B$1:$BX$1,0))</f>
        <v>0</v>
      </c>
      <c r="Y12" s="261"/>
    </row>
    <row r="13" spans="1:25" hidden="1" outlineLevel="1">
      <c r="A13" s="254"/>
      <c r="C13" s="126" t="s">
        <v>50</v>
      </c>
      <c r="D13" s="114"/>
      <c r="E13" s="93">
        <f t="shared" ref="E13:X13" si="4">SUM(E10:E12)</f>
        <v>158.76886372805325</v>
      </c>
      <c r="F13" s="93">
        <f t="shared" si="4"/>
        <v>149.42817126650451</v>
      </c>
      <c r="G13" s="114">
        <f t="shared" si="4"/>
        <v>139.59107082730935</v>
      </c>
      <c r="H13" s="114">
        <f t="shared" si="4"/>
        <v>129.19790953688511</v>
      </c>
      <c r="I13" s="114">
        <f t="shared" si="4"/>
        <v>118.27988707140187</v>
      </c>
      <c r="J13" s="114">
        <f t="shared" si="4"/>
        <v>106.81893982922148</v>
      </c>
      <c r="K13" s="114">
        <f t="shared" si="4"/>
        <v>108.27675549270886</v>
      </c>
      <c r="L13" s="114">
        <f t="shared" si="4"/>
        <v>109.74701467851236</v>
      </c>
      <c r="M13" s="93">
        <f t="shared" si="4"/>
        <v>111.22955931883271</v>
      </c>
      <c r="N13" s="93">
        <f t="shared" si="4"/>
        <v>112.72421836822279</v>
      </c>
      <c r="O13" s="93">
        <f t="shared" si="4"/>
        <v>114.23080730907569</v>
      </c>
      <c r="P13" s="93">
        <f t="shared" si="4"/>
        <v>115.74912764163592</v>
      </c>
      <c r="Q13" s="93">
        <f t="shared" si="4"/>
        <v>117.2789663580912</v>
      </c>
      <c r="R13" s="93">
        <f t="shared" si="4"/>
        <v>118.82009540029195</v>
      </c>
      <c r="S13" s="93">
        <f t="shared" si="4"/>
        <v>120.37227110063225</v>
      </c>
      <c r="T13" s="93">
        <f t="shared" si="4"/>
        <v>121.93523360561375</v>
      </c>
      <c r="U13" s="93">
        <f t="shared" si="4"/>
        <v>123.5087062816017</v>
      </c>
      <c r="V13" s="93">
        <f t="shared" si="4"/>
        <v>125.09239510226807</v>
      </c>
      <c r="W13" s="93">
        <f t="shared" si="4"/>
        <v>126.68598801720343</v>
      </c>
      <c r="X13" s="161">
        <f t="shared" si="4"/>
        <v>128.28915430116643</v>
      </c>
      <c r="Y13" s="261"/>
    </row>
    <row r="14" spans="1:25" hidden="1" outlineLevel="1">
      <c r="C14" s="126"/>
      <c r="D14" s="114"/>
      <c r="E14" s="93"/>
      <c r="F14" s="93"/>
      <c r="G14" s="114"/>
      <c r="H14" s="114"/>
      <c r="I14" s="114"/>
      <c r="J14" s="114"/>
      <c r="K14" s="114"/>
      <c r="L14" s="114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161"/>
      <c r="Y14" s="261"/>
    </row>
    <row r="15" spans="1:25" hidden="1" outlineLevel="1">
      <c r="C15" s="125" t="s">
        <v>51</v>
      </c>
      <c r="D15" s="114"/>
      <c r="E15" s="93">
        <f t="shared" ref="E15:X15" si="5">E8-E13</f>
        <v>1139.6224299805147</v>
      </c>
      <c r="F15" s="93">
        <f t="shared" si="5"/>
        <v>1148.9631224420634</v>
      </c>
      <c r="G15" s="114">
        <f t="shared" si="5"/>
        <v>1158.8002228812586</v>
      </c>
      <c r="H15" s="114">
        <f t="shared" si="5"/>
        <v>1169.1933841716827</v>
      </c>
      <c r="I15" s="114">
        <f t="shared" si="5"/>
        <v>1180.1114066371661</v>
      </c>
      <c r="J15" s="114">
        <f t="shared" si="5"/>
        <v>1191.5723538793463</v>
      </c>
      <c r="K15" s="114">
        <f t="shared" si="5"/>
        <v>1190.1145382158591</v>
      </c>
      <c r="L15" s="114">
        <f t="shared" si="5"/>
        <v>1188.6442790300555</v>
      </c>
      <c r="M15" s="93">
        <f t="shared" si="5"/>
        <v>1187.1617343897351</v>
      </c>
      <c r="N15" s="93">
        <f t="shared" si="5"/>
        <v>1185.667075340345</v>
      </c>
      <c r="O15" s="93">
        <f t="shared" si="5"/>
        <v>1184.1604863994921</v>
      </c>
      <c r="P15" s="93">
        <f t="shared" si="5"/>
        <v>1182.6421660669321</v>
      </c>
      <c r="Q15" s="93">
        <f t="shared" si="5"/>
        <v>1181.1123273504768</v>
      </c>
      <c r="R15" s="93">
        <f t="shared" si="5"/>
        <v>1179.5711983082761</v>
      </c>
      <c r="S15" s="93">
        <f t="shared" si="5"/>
        <v>1178.0190226079358</v>
      </c>
      <c r="T15" s="93">
        <f t="shared" si="5"/>
        <v>1176.4560601029541</v>
      </c>
      <c r="U15" s="93">
        <f t="shared" si="5"/>
        <v>1174.8825874269662</v>
      </c>
      <c r="V15" s="93">
        <f t="shared" si="5"/>
        <v>1173.2988986062999</v>
      </c>
      <c r="W15" s="93">
        <f t="shared" si="5"/>
        <v>1171.7053056913644</v>
      </c>
      <c r="X15" s="161">
        <f t="shared" si="5"/>
        <v>1170.1021394074014</v>
      </c>
      <c r="Y15" s="261"/>
    </row>
    <row r="16" spans="1:25" hidden="1" outlineLevel="1">
      <c r="C16" s="125" t="s">
        <v>52</v>
      </c>
      <c r="D16" s="114"/>
      <c r="E16" s="93">
        <f>E15-E31-E23</f>
        <v>-3534.9367663257058</v>
      </c>
      <c r="F16" s="93">
        <f t="shared" ref="F16:X16" si="6">F15-F31-F23</f>
        <v>-6018.0586198747533</v>
      </c>
      <c r="G16" s="114">
        <f t="shared" si="6"/>
        <v>-3319.3708434257314</v>
      </c>
      <c r="H16" s="114">
        <f t="shared" si="6"/>
        <v>-1688.8291351972973</v>
      </c>
      <c r="I16" s="114">
        <f t="shared" si="6"/>
        <v>-1661.1835912896724</v>
      </c>
      <c r="J16" s="114">
        <f t="shared" si="6"/>
        <v>-428.85530164347978</v>
      </c>
      <c r="K16" s="114">
        <f t="shared" si="6"/>
        <v>791.52483952872558</v>
      </c>
      <c r="L16" s="114">
        <f t="shared" si="6"/>
        <v>809.69672812148428</v>
      </c>
      <c r="M16" s="93">
        <f t="shared" si="6"/>
        <v>828.93664938754705</v>
      </c>
      <c r="N16" s="93">
        <f t="shared" si="6"/>
        <v>849.30419186939139</v>
      </c>
      <c r="O16" s="93">
        <f t="shared" si="6"/>
        <v>870.86222554399046</v>
      </c>
      <c r="P16" s="93">
        <f t="shared" si="6"/>
        <v>893.67708207073247</v>
      </c>
      <c r="Q16" s="93">
        <f t="shared" si="6"/>
        <v>917.81874494084082</v>
      </c>
      <c r="R16" s="93">
        <f t="shared" si="6"/>
        <v>943.36105007246465</v>
      </c>
      <c r="S16" s="93">
        <f t="shared" si="6"/>
        <v>970.38189742550935</v>
      </c>
      <c r="T16" s="93">
        <f t="shared" si="6"/>
        <v>998.96347424184887</v>
      </c>
      <c r="U16" s="93">
        <f t="shared" si="6"/>
        <v>1029.1924905498547</v>
      </c>
      <c r="V16" s="93">
        <f t="shared" si="6"/>
        <v>1061.1604276073019</v>
      </c>
      <c r="W16" s="93">
        <f t="shared" si="6"/>
        <v>1094.9637999937761</v>
      </c>
      <c r="X16" s="161">
        <f t="shared" si="6"/>
        <v>1130.7044321028002</v>
      </c>
      <c r="Y16" s="261"/>
    </row>
    <row r="17" spans="1:25" hidden="1" outlineLevel="1">
      <c r="C17" s="125" t="s">
        <v>128</v>
      </c>
      <c r="D17" s="114"/>
      <c r="E17" s="93">
        <f>-$D20*INDEX('DATA (Nominal)'!$B$239:$BX$239,1,MATCH($B$1,'DATA (Nominal)'!$B$1:$BX$1,0))</f>
        <v>9830.2271836809905</v>
      </c>
      <c r="F17" s="93"/>
      <c r="G17" s="114"/>
      <c r="H17" s="114"/>
      <c r="I17" s="114"/>
      <c r="J17" s="114"/>
      <c r="K17" s="114"/>
      <c r="L17" s="114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161"/>
      <c r="Y17" s="261"/>
    </row>
    <row r="18" spans="1:25" hidden="1" outlineLevel="1">
      <c r="C18" s="126" t="s">
        <v>54</v>
      </c>
      <c r="D18" s="114"/>
      <c r="E18" s="93">
        <f t="shared" ref="E18:X18" si="7">E16*Federal_Tax_Rate-E17</f>
        <v>-10572.563904609389</v>
      </c>
      <c r="F18" s="93">
        <f t="shared" si="7"/>
        <v>-1263.7923101736981</v>
      </c>
      <c r="G18" s="114">
        <f t="shared" si="7"/>
        <v>-697.06787711940353</v>
      </c>
      <c r="H18" s="114">
        <f t="shared" si="7"/>
        <v>-354.65411839143241</v>
      </c>
      <c r="I18" s="114">
        <f t="shared" si="7"/>
        <v>-348.84855417083122</v>
      </c>
      <c r="J18" s="114">
        <f t="shared" si="7"/>
        <v>-90.059613345130757</v>
      </c>
      <c r="K18" s="114">
        <f t="shared" si="7"/>
        <v>166.22021630103237</v>
      </c>
      <c r="L18" s="114">
        <f t="shared" si="7"/>
        <v>170.03631290551169</v>
      </c>
      <c r="M18" s="93">
        <f t="shared" si="7"/>
        <v>174.07669637138488</v>
      </c>
      <c r="N18" s="93">
        <f t="shared" si="7"/>
        <v>178.35388029257217</v>
      </c>
      <c r="O18" s="93">
        <f t="shared" si="7"/>
        <v>182.88106736423799</v>
      </c>
      <c r="P18" s="93">
        <f t="shared" si="7"/>
        <v>187.67218723485382</v>
      </c>
      <c r="Q18" s="93">
        <f t="shared" si="7"/>
        <v>192.74193643757656</v>
      </c>
      <c r="R18" s="93">
        <f t="shared" si="7"/>
        <v>198.10582051521757</v>
      </c>
      <c r="S18" s="93">
        <f t="shared" si="7"/>
        <v>203.78019845935697</v>
      </c>
      <c r="T18" s="93">
        <f t="shared" si="7"/>
        <v>209.78232959078827</v>
      </c>
      <c r="U18" s="93">
        <f t="shared" si="7"/>
        <v>216.13042301546949</v>
      </c>
      <c r="V18" s="93">
        <f t="shared" si="7"/>
        <v>222.84368979753339</v>
      </c>
      <c r="W18" s="93">
        <f t="shared" si="7"/>
        <v>229.94239799869297</v>
      </c>
      <c r="X18" s="161">
        <f t="shared" si="7"/>
        <v>237.44793074158804</v>
      </c>
      <c r="Y18" s="261"/>
    </row>
    <row r="19" spans="1:25" hidden="1" outlineLevel="1">
      <c r="C19" s="126"/>
      <c r="D19" s="114"/>
      <c r="E19" s="93"/>
      <c r="F19" s="93"/>
      <c r="G19" s="114"/>
      <c r="H19" s="114"/>
      <c r="I19" s="114"/>
      <c r="J19" s="114"/>
      <c r="K19" s="114"/>
      <c r="L19" s="114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161"/>
      <c r="Y19" s="261"/>
    </row>
    <row r="20" spans="1:25" hidden="1" outlineLevel="1">
      <c r="B20" s="37">
        <f>IRR(D20:Y20,0.1)</f>
        <v>7.500001388707811E-2</v>
      </c>
      <c r="C20" s="125" t="s">
        <v>55</v>
      </c>
      <c r="D20" s="100">
        <f>-INDEX('DATA (Nominal)'!$B$58:$BX$58,1,MATCH($B$1,'DATA (Nominal)'!$B$1:$BX$1,0))*'Resource Options'!$E$11/1000*1000000*(1+AFUDC!$C$11)</f>
        <v>-24575.567959202475</v>
      </c>
      <c r="E20" s="261">
        <f t="shared" ref="E20" si="8">E15-E18</f>
        <v>11712.186334589904</v>
      </c>
      <c r="F20" s="93">
        <f t="shared" ref="F20:X20" si="9">F15-F18</f>
        <v>2412.7554326157615</v>
      </c>
      <c r="G20" s="114">
        <f t="shared" si="9"/>
        <v>1855.8681000006623</v>
      </c>
      <c r="H20" s="114">
        <f t="shared" si="9"/>
        <v>1523.8475025631151</v>
      </c>
      <c r="I20" s="114">
        <f t="shared" si="9"/>
        <v>1528.9599608079973</v>
      </c>
      <c r="J20" s="114">
        <f t="shared" si="9"/>
        <v>1281.6319672244772</v>
      </c>
      <c r="K20" s="114">
        <f t="shared" si="9"/>
        <v>1023.8943219148267</v>
      </c>
      <c r="L20" s="114">
        <f t="shared" si="9"/>
        <v>1018.6079661245437</v>
      </c>
      <c r="M20" s="93">
        <f t="shared" si="9"/>
        <v>1013.0850380183502</v>
      </c>
      <c r="N20" s="93">
        <f t="shared" si="9"/>
        <v>1007.3131950477729</v>
      </c>
      <c r="O20" s="93">
        <f t="shared" si="9"/>
        <v>1001.2794190352541</v>
      </c>
      <c r="P20" s="93">
        <f t="shared" si="9"/>
        <v>994.96997883207825</v>
      </c>
      <c r="Q20" s="93">
        <f t="shared" si="9"/>
        <v>988.37039091290023</v>
      </c>
      <c r="R20" s="93">
        <f t="shared" si="9"/>
        <v>981.46537779305845</v>
      </c>
      <c r="S20" s="93">
        <f t="shared" si="9"/>
        <v>974.23882414857883</v>
      </c>
      <c r="T20" s="93">
        <f t="shared" si="9"/>
        <v>966.67373051216578</v>
      </c>
      <c r="U20" s="93">
        <f t="shared" si="9"/>
        <v>958.75216441149678</v>
      </c>
      <c r="V20" s="93">
        <f t="shared" si="9"/>
        <v>950.45520880876643</v>
      </c>
      <c r="W20" s="93">
        <f t="shared" si="9"/>
        <v>941.76290769267143</v>
      </c>
      <c r="X20" s="161">
        <f t="shared" si="9"/>
        <v>932.65420866581337</v>
      </c>
      <c r="Y20" s="261">
        <f>D20*-0.3</f>
        <v>7372.6703877607424</v>
      </c>
    </row>
    <row r="21" spans="1:25" hidden="1" outlineLevel="1">
      <c r="A21" s="263"/>
      <c r="B21" s="37">
        <f>IRR(D21:Y21,0.1)</f>
        <v>0.10738112197607852</v>
      </c>
      <c r="C21" s="125" t="s">
        <v>56</v>
      </c>
      <c r="D21" s="102">
        <f>-D36</f>
        <v>-2883.292388210974</v>
      </c>
      <c r="E21" s="261">
        <f t="shared" ref="E21:X21" si="10">E20-E23-E25-E32-E17</f>
        <v>248.8917164680297</v>
      </c>
      <c r="F21" s="93">
        <f t="shared" si="10"/>
        <v>253.27933248876002</v>
      </c>
      <c r="G21" s="114">
        <f t="shared" si="10"/>
        <v>257.89457660551886</v>
      </c>
      <c r="H21" s="114">
        <f t="shared" si="10"/>
        <v>262.77552520708673</v>
      </c>
      <c r="I21" s="114">
        <f t="shared" si="10"/>
        <v>267.88798345196892</v>
      </c>
      <c r="J21" s="114">
        <f t="shared" si="10"/>
        <v>273.23614939778497</v>
      </c>
      <c r="K21" s="114">
        <f t="shared" si="10"/>
        <v>268.17466361747069</v>
      </c>
      <c r="L21" s="114">
        <f t="shared" si="10"/>
        <v>262.88830782718759</v>
      </c>
      <c r="M21" s="93">
        <f t="shared" si="10"/>
        <v>257.36537972099421</v>
      </c>
      <c r="N21" s="93">
        <f t="shared" si="10"/>
        <v>251.59353675041672</v>
      </c>
      <c r="O21" s="93">
        <f t="shared" si="10"/>
        <v>245.5597607378981</v>
      </c>
      <c r="P21" s="93">
        <f t="shared" si="10"/>
        <v>239.25032053472216</v>
      </c>
      <c r="Q21" s="93">
        <f t="shared" si="10"/>
        <v>232.65073261554414</v>
      </c>
      <c r="R21" s="93">
        <f t="shared" si="10"/>
        <v>225.74571949570236</v>
      </c>
      <c r="S21" s="93">
        <f t="shared" si="10"/>
        <v>218.51916585122274</v>
      </c>
      <c r="T21" s="93">
        <f t="shared" si="10"/>
        <v>210.95407221480968</v>
      </c>
      <c r="U21" s="93">
        <f t="shared" si="10"/>
        <v>203.03250611414069</v>
      </c>
      <c r="V21" s="93">
        <f t="shared" si="10"/>
        <v>194.73555051141034</v>
      </c>
      <c r="W21" s="93">
        <f t="shared" si="10"/>
        <v>186.04324939531534</v>
      </c>
      <c r="X21" s="161">
        <f t="shared" si="10"/>
        <v>176.93455036845728</v>
      </c>
      <c r="Y21" s="261">
        <f>Y20</f>
        <v>7372.6703877607424</v>
      </c>
    </row>
    <row r="22" spans="1:25" hidden="1" outlineLevel="1">
      <c r="B22" s="21"/>
      <c r="C22" s="125"/>
      <c r="D22" s="102"/>
      <c r="E22" s="93"/>
      <c r="F22" s="93"/>
      <c r="G22" s="114"/>
      <c r="H22" s="114"/>
      <c r="I22" s="114"/>
      <c r="J22" s="114"/>
      <c r="K22" s="114"/>
      <c r="L22" s="114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161"/>
      <c r="Y22" s="261"/>
    </row>
    <row r="23" spans="1:25" hidden="1" outlineLevel="1">
      <c r="B23" s="15"/>
      <c r="C23" s="126" t="s">
        <v>57</v>
      </c>
      <c r="D23" s="114"/>
      <c r="E23" s="93">
        <f t="shared" ref="E23:X23" si="11">D26*Debt_Rate</f>
        <v>496.71264324179964</v>
      </c>
      <c r="F23" s="93">
        <f t="shared" si="11"/>
        <v>482.46725741374405</v>
      </c>
      <c r="G23" s="114">
        <f t="shared" si="11"/>
        <v>467.43837536514542</v>
      </c>
      <c r="H23" s="114">
        <f t="shared" si="11"/>
        <v>451.58290480387387</v>
      </c>
      <c r="I23" s="114">
        <f t="shared" si="11"/>
        <v>434.85538336173232</v>
      </c>
      <c r="J23" s="114">
        <f t="shared" si="11"/>
        <v>417.20784824027299</v>
      </c>
      <c r="K23" s="114">
        <f t="shared" si="11"/>
        <v>398.58969868713342</v>
      </c>
      <c r="L23" s="114">
        <f t="shared" si="11"/>
        <v>378.94755090857115</v>
      </c>
      <c r="M23" s="93">
        <f t="shared" si="11"/>
        <v>358.225085002188</v>
      </c>
      <c r="N23" s="93">
        <f t="shared" si="11"/>
        <v>336.3628834709537</v>
      </c>
      <c r="O23" s="93">
        <f t="shared" si="11"/>
        <v>313.29826085550161</v>
      </c>
      <c r="P23" s="93">
        <f t="shared" si="11"/>
        <v>288.96508399619961</v>
      </c>
      <c r="Q23" s="93">
        <f t="shared" si="11"/>
        <v>263.29358240963597</v>
      </c>
      <c r="R23" s="93">
        <f t="shared" si="11"/>
        <v>236.21014823581137</v>
      </c>
      <c r="S23" s="93">
        <f t="shared" si="11"/>
        <v>207.63712518242642</v>
      </c>
      <c r="T23" s="93">
        <f t="shared" si="11"/>
        <v>177.49258586110528</v>
      </c>
      <c r="U23" s="93">
        <f t="shared" si="11"/>
        <v>145.6900968771115</v>
      </c>
      <c r="V23" s="93">
        <f t="shared" si="11"/>
        <v>112.13847099899805</v>
      </c>
      <c r="W23" s="93">
        <f t="shared" si="11"/>
        <v>76.741505697588352</v>
      </c>
      <c r="X23" s="161">
        <f t="shared" si="11"/>
        <v>39.39770730460112</v>
      </c>
      <c r="Y23" s="261"/>
    </row>
    <row r="24" spans="1:25" hidden="1" outlineLevel="1">
      <c r="B24" s="15"/>
      <c r="C24" s="126" t="s">
        <v>58</v>
      </c>
      <c r="D24" s="114"/>
      <c r="E24" s="93">
        <f>-PMT(Debt_Rate,20,$D35)</f>
        <v>755.71965829735609</v>
      </c>
      <c r="F24" s="93">
        <f t="shared" ref="F24:X24" si="12">-PMT(Debt_Rate,20,$D35)</f>
        <v>755.71965829735609</v>
      </c>
      <c r="G24" s="114">
        <f t="shared" si="12"/>
        <v>755.71965829735609</v>
      </c>
      <c r="H24" s="114">
        <f t="shared" si="12"/>
        <v>755.71965829735609</v>
      </c>
      <c r="I24" s="114">
        <f t="shared" si="12"/>
        <v>755.71965829735609</v>
      </c>
      <c r="J24" s="114">
        <f t="shared" si="12"/>
        <v>755.71965829735609</v>
      </c>
      <c r="K24" s="114">
        <f t="shared" si="12"/>
        <v>755.71965829735609</v>
      </c>
      <c r="L24" s="114">
        <f t="shared" si="12"/>
        <v>755.71965829735609</v>
      </c>
      <c r="M24" s="93">
        <f t="shared" si="12"/>
        <v>755.71965829735609</v>
      </c>
      <c r="N24" s="93">
        <f t="shared" si="12"/>
        <v>755.71965829735609</v>
      </c>
      <c r="O24" s="93">
        <f t="shared" si="12"/>
        <v>755.71965829735609</v>
      </c>
      <c r="P24" s="93">
        <f t="shared" si="12"/>
        <v>755.71965829735609</v>
      </c>
      <c r="Q24" s="93">
        <f t="shared" si="12"/>
        <v>755.71965829735609</v>
      </c>
      <c r="R24" s="93">
        <f t="shared" si="12"/>
        <v>755.71965829735609</v>
      </c>
      <c r="S24" s="93">
        <f t="shared" si="12"/>
        <v>755.71965829735609</v>
      </c>
      <c r="T24" s="93">
        <f t="shared" si="12"/>
        <v>755.71965829735609</v>
      </c>
      <c r="U24" s="93">
        <f t="shared" si="12"/>
        <v>755.71965829735609</v>
      </c>
      <c r="V24" s="93">
        <f t="shared" si="12"/>
        <v>755.71965829735609</v>
      </c>
      <c r="W24" s="93">
        <f t="shared" si="12"/>
        <v>755.71965829735609</v>
      </c>
      <c r="X24" s="161">
        <f t="shared" si="12"/>
        <v>755.71965829735609</v>
      </c>
      <c r="Y24" s="261"/>
    </row>
    <row r="25" spans="1:25" hidden="1" outlineLevel="1">
      <c r="B25" s="15"/>
      <c r="C25" s="126" t="s">
        <v>59</v>
      </c>
      <c r="D25" s="114"/>
      <c r="E25" s="261">
        <f>E24-E23</f>
        <v>259.00701505555645</v>
      </c>
      <c r="F25" s="93">
        <f t="shared" ref="F25:X25" si="13">F24-F23</f>
        <v>273.25240088361204</v>
      </c>
      <c r="G25" s="114">
        <f t="shared" si="13"/>
        <v>288.28128293221067</v>
      </c>
      <c r="H25" s="114">
        <f t="shared" si="13"/>
        <v>304.13675349348222</v>
      </c>
      <c r="I25" s="114">
        <f t="shared" si="13"/>
        <v>320.86427493562377</v>
      </c>
      <c r="J25" s="114">
        <f t="shared" si="13"/>
        <v>338.5118100570831</v>
      </c>
      <c r="K25" s="114">
        <f t="shared" si="13"/>
        <v>357.12995961022267</v>
      </c>
      <c r="L25" s="114">
        <f t="shared" si="13"/>
        <v>376.77210738878495</v>
      </c>
      <c r="M25" s="93">
        <f t="shared" si="13"/>
        <v>397.4945732951681</v>
      </c>
      <c r="N25" s="93">
        <f t="shared" si="13"/>
        <v>419.35677482640239</v>
      </c>
      <c r="O25" s="93">
        <f t="shared" si="13"/>
        <v>442.42139744185448</v>
      </c>
      <c r="P25" s="93">
        <f t="shared" si="13"/>
        <v>466.75457430115648</v>
      </c>
      <c r="Q25" s="93">
        <f t="shared" si="13"/>
        <v>492.42607588772012</v>
      </c>
      <c r="R25" s="93">
        <f t="shared" si="13"/>
        <v>519.50951006154469</v>
      </c>
      <c r="S25" s="93">
        <f t="shared" si="13"/>
        <v>548.08253311492967</v>
      </c>
      <c r="T25" s="93">
        <f t="shared" si="13"/>
        <v>578.22707243625086</v>
      </c>
      <c r="U25" s="93">
        <f t="shared" si="13"/>
        <v>610.02956142024459</v>
      </c>
      <c r="V25" s="93">
        <f t="shared" si="13"/>
        <v>643.58118729835803</v>
      </c>
      <c r="W25" s="93">
        <f t="shared" si="13"/>
        <v>678.97815259976778</v>
      </c>
      <c r="X25" s="161">
        <f t="shared" si="13"/>
        <v>716.32195099275498</v>
      </c>
      <c r="Y25" s="261"/>
    </row>
    <row r="26" spans="1:25" hidden="1" outlineLevel="1">
      <c r="B26" s="15"/>
      <c r="C26" s="126" t="s">
        <v>60</v>
      </c>
      <c r="D26" s="114">
        <f>D35</f>
        <v>9031.1389680327211</v>
      </c>
      <c r="E26" s="93">
        <f>D26-E25</f>
        <v>8772.1319529771645</v>
      </c>
      <c r="F26" s="93">
        <f>E26-F25</f>
        <v>8498.8795520935528</v>
      </c>
      <c r="G26" s="114">
        <f t="shared" ref="G26:X26" si="14">F26-G25</f>
        <v>8210.5982691613426</v>
      </c>
      <c r="H26" s="114">
        <f t="shared" si="14"/>
        <v>7906.4615156678601</v>
      </c>
      <c r="I26" s="114">
        <f t="shared" si="14"/>
        <v>7585.5972407322361</v>
      </c>
      <c r="J26" s="114">
        <f t="shared" si="14"/>
        <v>7247.0854306751526</v>
      </c>
      <c r="K26" s="114">
        <f t="shared" si="14"/>
        <v>6889.95547106493</v>
      </c>
      <c r="L26" s="114">
        <f t="shared" si="14"/>
        <v>6513.1833636761448</v>
      </c>
      <c r="M26" s="93">
        <f t="shared" si="14"/>
        <v>6115.6887903809766</v>
      </c>
      <c r="N26" s="93">
        <f t="shared" si="14"/>
        <v>5696.3320155545744</v>
      </c>
      <c r="O26" s="93">
        <f t="shared" si="14"/>
        <v>5253.9106181127199</v>
      </c>
      <c r="P26" s="93">
        <f t="shared" si="14"/>
        <v>4787.156043811563</v>
      </c>
      <c r="Q26" s="93">
        <f t="shared" si="14"/>
        <v>4294.7299679238431</v>
      </c>
      <c r="R26" s="93">
        <f t="shared" si="14"/>
        <v>3775.2204578622986</v>
      </c>
      <c r="S26" s="93">
        <f t="shared" si="14"/>
        <v>3227.1379247473687</v>
      </c>
      <c r="T26" s="93">
        <f t="shared" si="14"/>
        <v>2648.9108523111181</v>
      </c>
      <c r="U26" s="93">
        <f t="shared" si="14"/>
        <v>2038.8812908908735</v>
      </c>
      <c r="V26" s="93">
        <f t="shared" si="14"/>
        <v>1395.3001035925154</v>
      </c>
      <c r="W26" s="93">
        <f t="shared" si="14"/>
        <v>716.32195099274759</v>
      </c>
      <c r="X26" s="161">
        <f t="shared" si="14"/>
        <v>-7.3896444519050419E-12</v>
      </c>
      <c r="Y26" s="261"/>
    </row>
    <row r="27" spans="1:25" hidden="1" outlineLevel="1">
      <c r="B27" s="15"/>
      <c r="C27" s="125"/>
      <c r="D27" s="114"/>
      <c r="E27" s="114"/>
      <c r="F27" s="114"/>
      <c r="G27" s="114"/>
      <c r="H27" s="114"/>
      <c r="I27" s="114"/>
      <c r="J27" s="114"/>
      <c r="K27" s="114"/>
      <c r="L27" s="114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161"/>
      <c r="Y27" s="261"/>
    </row>
    <row r="28" spans="1:25" hidden="1" outlineLevel="1">
      <c r="B28" s="15"/>
      <c r="C28" s="126" t="s">
        <v>61</v>
      </c>
      <c r="D28" s="114"/>
      <c r="E28" s="114">
        <f>-$D20/20</f>
        <v>1228.7783979601238</v>
      </c>
      <c r="F28" s="114">
        <f>-$D20/20</f>
        <v>1228.7783979601238</v>
      </c>
      <c r="G28" s="114">
        <f t="shared" ref="G28:X28" si="15">-$D20/20</f>
        <v>1228.7783979601238</v>
      </c>
      <c r="H28" s="114">
        <f t="shared" si="15"/>
        <v>1228.7783979601238</v>
      </c>
      <c r="I28" s="114">
        <f t="shared" si="15"/>
        <v>1228.7783979601238</v>
      </c>
      <c r="J28" s="114">
        <f t="shared" si="15"/>
        <v>1228.7783979601238</v>
      </c>
      <c r="K28" s="114">
        <f t="shared" si="15"/>
        <v>1228.7783979601238</v>
      </c>
      <c r="L28" s="114">
        <f t="shared" si="15"/>
        <v>1228.7783979601238</v>
      </c>
      <c r="M28" s="93">
        <f t="shared" si="15"/>
        <v>1228.7783979601238</v>
      </c>
      <c r="N28" s="93">
        <f t="shared" si="15"/>
        <v>1228.7783979601238</v>
      </c>
      <c r="O28" s="93">
        <f t="shared" si="15"/>
        <v>1228.7783979601238</v>
      </c>
      <c r="P28" s="93">
        <f t="shared" si="15"/>
        <v>1228.7783979601238</v>
      </c>
      <c r="Q28" s="93">
        <f t="shared" si="15"/>
        <v>1228.7783979601238</v>
      </c>
      <c r="R28" s="93">
        <f t="shared" si="15"/>
        <v>1228.7783979601238</v>
      </c>
      <c r="S28" s="93">
        <f t="shared" si="15"/>
        <v>1228.7783979601238</v>
      </c>
      <c r="T28" s="93">
        <f t="shared" si="15"/>
        <v>1228.7783979601238</v>
      </c>
      <c r="U28" s="93">
        <f t="shared" si="15"/>
        <v>1228.7783979601238</v>
      </c>
      <c r="V28" s="93">
        <f t="shared" si="15"/>
        <v>1228.7783979601238</v>
      </c>
      <c r="W28" s="93">
        <f t="shared" si="15"/>
        <v>1228.7783979601238</v>
      </c>
      <c r="X28" s="161">
        <f t="shared" si="15"/>
        <v>1228.7783979601238</v>
      </c>
      <c r="Y28" s="261"/>
    </row>
    <row r="29" spans="1:25" hidden="1" outlineLevel="1">
      <c r="B29" s="15"/>
      <c r="C29" s="125" t="s">
        <v>62</v>
      </c>
      <c r="D29" s="114"/>
      <c r="E29" s="114">
        <f>SUM($E28:E28)</f>
        <v>1228.7783979601238</v>
      </c>
      <c r="F29" s="114">
        <f>SUM($E28:F28)</f>
        <v>2457.5567959202476</v>
      </c>
      <c r="G29" s="114">
        <f>SUM($E28:G28)</f>
        <v>3686.3351938803717</v>
      </c>
      <c r="H29" s="114">
        <f>SUM($E28:H28)</f>
        <v>4915.1135918404952</v>
      </c>
      <c r="I29" s="114">
        <f>SUM($E28:I28)</f>
        <v>6143.8919898006188</v>
      </c>
      <c r="J29" s="114">
        <f>SUM($E28:J28)</f>
        <v>7372.6703877607424</v>
      </c>
      <c r="K29" s="114">
        <f>SUM($E28:K28)</f>
        <v>8601.448785720866</v>
      </c>
      <c r="L29" s="114">
        <f>SUM($E28:L28)</f>
        <v>9830.2271836809905</v>
      </c>
      <c r="M29" s="93">
        <f>SUM($E28:M28)</f>
        <v>11059.005581641115</v>
      </c>
      <c r="N29" s="93">
        <f>SUM($E28:N28)</f>
        <v>12287.783979601239</v>
      </c>
      <c r="O29" s="93">
        <f>SUM($E28:O28)</f>
        <v>13516.562377561364</v>
      </c>
      <c r="P29" s="93">
        <f>SUM($E28:P28)</f>
        <v>14745.340775521488</v>
      </c>
      <c r="Q29" s="93">
        <f>SUM($E28:Q28)</f>
        <v>15974.119173481613</v>
      </c>
      <c r="R29" s="93">
        <f>SUM($E28:R28)</f>
        <v>17202.897571441736</v>
      </c>
      <c r="S29" s="93">
        <f>SUM($E28:S28)</f>
        <v>18431.675969401858</v>
      </c>
      <c r="T29" s="93">
        <f>SUM($E28:T28)</f>
        <v>19660.454367361981</v>
      </c>
      <c r="U29" s="93">
        <f>SUM($E28:U28)</f>
        <v>20889.232765322104</v>
      </c>
      <c r="V29" s="93">
        <f>SUM($E28:V28)</f>
        <v>22118.011163282226</v>
      </c>
      <c r="W29" s="93">
        <f>SUM($E28:W28)</f>
        <v>23346.789561242349</v>
      </c>
      <c r="X29" s="161">
        <f>SUM($E28:X28)</f>
        <v>24575.567959202472</v>
      </c>
      <c r="Y29" s="261"/>
    </row>
    <row r="30" spans="1:25" hidden="1" outlineLevel="1">
      <c r="B30" s="15"/>
      <c r="C30" s="125" t="s">
        <v>63</v>
      </c>
      <c r="D30" s="114"/>
      <c r="E30" s="114">
        <f t="shared" ref="E30:G30" si="16">-$D20-E29</f>
        <v>23346.789561242353</v>
      </c>
      <c r="F30" s="114">
        <f t="shared" si="16"/>
        <v>22118.011163282226</v>
      </c>
      <c r="G30" s="114">
        <f t="shared" si="16"/>
        <v>20889.232765322104</v>
      </c>
      <c r="H30" s="99">
        <f>-$D20-H29</f>
        <v>19660.454367361981</v>
      </c>
      <c r="I30" s="114">
        <f t="shared" ref="I30:X30" si="17">-$D20-I29</f>
        <v>18431.675969401855</v>
      </c>
      <c r="J30" s="114">
        <f t="shared" si="17"/>
        <v>17202.897571441732</v>
      </c>
      <c r="K30" s="114">
        <f t="shared" si="17"/>
        <v>15974.119173481609</v>
      </c>
      <c r="L30" s="114">
        <f t="shared" si="17"/>
        <v>14745.340775521485</v>
      </c>
      <c r="M30" s="93">
        <f t="shared" si="17"/>
        <v>13516.56237756136</v>
      </c>
      <c r="N30" s="93">
        <f t="shared" si="17"/>
        <v>12287.783979601236</v>
      </c>
      <c r="O30" s="93">
        <f t="shared" si="17"/>
        <v>11059.005581641111</v>
      </c>
      <c r="P30" s="93">
        <f t="shared" si="17"/>
        <v>9830.2271836809869</v>
      </c>
      <c r="Q30" s="93">
        <f t="shared" si="17"/>
        <v>8601.4487857208624</v>
      </c>
      <c r="R30" s="93">
        <f t="shared" si="17"/>
        <v>7372.6703877607397</v>
      </c>
      <c r="S30" s="93">
        <f t="shared" si="17"/>
        <v>6143.891989800617</v>
      </c>
      <c r="T30" s="93">
        <f t="shared" si="17"/>
        <v>4915.1135918404943</v>
      </c>
      <c r="U30" s="93">
        <f t="shared" si="17"/>
        <v>3686.3351938803717</v>
      </c>
      <c r="V30" s="93">
        <f t="shared" si="17"/>
        <v>2457.556795920249</v>
      </c>
      <c r="W30" s="93">
        <f t="shared" si="17"/>
        <v>1228.7783979601263</v>
      </c>
      <c r="X30" s="161">
        <f t="shared" si="17"/>
        <v>0</v>
      </c>
      <c r="Y30" s="261"/>
    </row>
    <row r="31" spans="1:25" hidden="1" outlineLevel="1">
      <c r="B31" s="15"/>
      <c r="C31" s="126" t="s">
        <v>65</v>
      </c>
      <c r="D31" s="114"/>
      <c r="E31" s="114">
        <f>-$D20*Assumptions!J$11*INDEX('DATA (Nominal)'!$B$341:$BX$341,1,MATCH($B$1,'DATA (Nominal)'!$B$1:$BX$1,0))</f>
        <v>4177.8465530644207</v>
      </c>
      <c r="F31" s="114">
        <f>-$D20*Assumptions!K$11*INDEX('DATA (Nominal)'!$B$341:$BX$341,1,MATCH($B$1,'DATA (Nominal)'!$B$1:$BX$1,0))</f>
        <v>6684.554484903073</v>
      </c>
      <c r="G31" s="114">
        <f>-$D20*Assumptions!L$11*INDEX('DATA (Nominal)'!$B$341:$BX$341,1,MATCH($B$1,'DATA (Nominal)'!$B$1:$BX$1,0))</f>
        <v>4010.7326909418443</v>
      </c>
      <c r="H31" s="114">
        <f>-$D20*Assumptions!M$11*INDEX('DATA (Nominal)'!$B$341:$BX$341,1,MATCH($B$1,'DATA (Nominal)'!$B$1:$BX$1,0))</f>
        <v>2406.4396145651062</v>
      </c>
      <c r="I31" s="114">
        <f>-$D20*Assumptions!N$11*INDEX('DATA (Nominal)'!$B$341:$BX$341,1,MATCH($B$1,'DATA (Nominal)'!$B$1:$BX$1,0))</f>
        <v>2406.4396145651062</v>
      </c>
      <c r="J31" s="114">
        <f>-$D20*Assumptions!O$11*INDEX('DATA (Nominal)'!$B$341:$BX$341,1,MATCH($B$1,'DATA (Nominal)'!$B$1:$BX$1,0))</f>
        <v>1203.2198072825531</v>
      </c>
      <c r="K31" s="114">
        <f>-$D20*Assumptions!P$11*INDEX('DATA (Nominal)'!$B$341:$BX$341,1,MATCH($B$1,'DATA (Nominal)'!$B$1:$BX$1,0))</f>
        <v>0</v>
      </c>
      <c r="L31" s="114">
        <f>-$D20*Assumptions!Q$11*INDEX('DATA (Nominal)'!$B$341:$BX$341,1,MATCH($B$1,'DATA (Nominal)'!$B$1:$BX$1,0))</f>
        <v>0</v>
      </c>
      <c r="M31" s="93">
        <f>-$D20*Assumptions!R$11*INDEX('DATA (Nominal)'!$B$341:$BX$341,1,MATCH($B$1,'DATA (Nominal)'!$B$1:$BX$1,0))</f>
        <v>0</v>
      </c>
      <c r="N31" s="93">
        <f>-$D20*Assumptions!S$11*INDEX('DATA (Nominal)'!$B$341:$BX$341,1,MATCH($B$1,'DATA (Nominal)'!$B$1:$BX$1,0))</f>
        <v>0</v>
      </c>
      <c r="O31" s="93">
        <f>-$D20*Assumptions!T$11*INDEX('DATA (Nominal)'!$B$341:$BX$341,1,MATCH($B$1,'DATA (Nominal)'!$B$1:$BX$1,0))</f>
        <v>0</v>
      </c>
      <c r="P31" s="93">
        <f>-$D20*Assumptions!U$11*INDEX('DATA (Nominal)'!$B$341:$BX$341,1,MATCH($B$1,'DATA (Nominal)'!$B$1:$BX$1,0))</f>
        <v>0</v>
      </c>
      <c r="Q31" s="93">
        <f>-$D20*Assumptions!V$11*INDEX('DATA (Nominal)'!$B$341:$BX$341,1,MATCH($B$1,'DATA (Nominal)'!$B$1:$BX$1,0))</f>
        <v>0</v>
      </c>
      <c r="R31" s="93">
        <f>-$D20*Assumptions!W$11*INDEX('DATA (Nominal)'!$B$341:$BX$341,1,MATCH($B$1,'DATA (Nominal)'!$B$1:$BX$1,0))</f>
        <v>0</v>
      </c>
      <c r="S31" s="93">
        <f>-$D20*Assumptions!X$11*INDEX('DATA (Nominal)'!$B$341:$BX$341,1,MATCH($B$1,'DATA (Nominal)'!$B$1:$BX$1,0))</f>
        <v>0</v>
      </c>
      <c r="T31" s="93">
        <f>-$D20*Assumptions!Y$11*INDEX('DATA (Nominal)'!$B$341:$BX$341,1,MATCH($B$1,'DATA (Nominal)'!$B$1:$BX$1,0))</f>
        <v>0</v>
      </c>
      <c r="U31" s="93">
        <f>-$D20*Assumptions!Z$11*INDEX('DATA (Nominal)'!$B$341:$BX$341,1,MATCH($B$1,'DATA (Nominal)'!$B$1:$BX$1,0))</f>
        <v>0</v>
      </c>
      <c r="V31" s="93">
        <f>-$D20*Assumptions!AA$11*INDEX('DATA (Nominal)'!$B$341:$BX$341,1,MATCH($B$1,'DATA (Nominal)'!$B$1:$BX$1,0))</f>
        <v>0</v>
      </c>
      <c r="W31" s="93">
        <f>-$D20*Assumptions!AB$11*INDEX('DATA (Nominal)'!$B$341:$BX$341,1,MATCH($B$1,'DATA (Nominal)'!$B$1:$BX$1,0))</f>
        <v>0</v>
      </c>
      <c r="X31" s="455">
        <f>-$D20*Assumptions!AC$11*INDEX('DATA (Nominal)'!$B$341:$BX$341,1,MATCH($B$1,'DATA (Nominal)'!$B$1:$BX$1,0))</f>
        <v>0</v>
      </c>
      <c r="Y31" s="261"/>
    </row>
    <row r="32" spans="1:25" ht="15.75" hidden="1" outlineLevel="1" thickBot="1">
      <c r="B32" s="15"/>
      <c r="C32" s="127" t="s">
        <v>66</v>
      </c>
      <c r="D32" s="103"/>
      <c r="E32" s="103">
        <f>E31*Federal_Tax_Rate</f>
        <v>877.34777614352834</v>
      </c>
      <c r="F32" s="103">
        <f t="shared" ref="F32:X32" si="18">F31*Federal_Tax_Rate</f>
        <v>1403.7564418296454</v>
      </c>
      <c r="G32" s="103">
        <f t="shared" si="18"/>
        <v>842.2538650977873</v>
      </c>
      <c r="H32" s="103">
        <f t="shared" si="18"/>
        <v>505.35231905867226</v>
      </c>
      <c r="I32" s="103">
        <f t="shared" si="18"/>
        <v>505.35231905867226</v>
      </c>
      <c r="J32" s="103">
        <f t="shared" si="18"/>
        <v>252.67615952933613</v>
      </c>
      <c r="K32" s="103">
        <f t="shared" si="18"/>
        <v>0</v>
      </c>
      <c r="L32" s="103">
        <f t="shared" si="18"/>
        <v>0</v>
      </c>
      <c r="M32" s="456">
        <f t="shared" si="18"/>
        <v>0</v>
      </c>
      <c r="N32" s="456">
        <f t="shared" si="18"/>
        <v>0</v>
      </c>
      <c r="O32" s="456">
        <f t="shared" si="18"/>
        <v>0</v>
      </c>
      <c r="P32" s="456">
        <f t="shared" si="18"/>
        <v>0</v>
      </c>
      <c r="Q32" s="456">
        <f t="shared" si="18"/>
        <v>0</v>
      </c>
      <c r="R32" s="456">
        <f t="shared" si="18"/>
        <v>0</v>
      </c>
      <c r="S32" s="456">
        <f t="shared" si="18"/>
        <v>0</v>
      </c>
      <c r="T32" s="456">
        <f t="shared" si="18"/>
        <v>0</v>
      </c>
      <c r="U32" s="456">
        <f t="shared" si="18"/>
        <v>0</v>
      </c>
      <c r="V32" s="456">
        <f t="shared" si="18"/>
        <v>0</v>
      </c>
      <c r="W32" s="456">
        <f t="shared" si="18"/>
        <v>0</v>
      </c>
      <c r="X32" s="457">
        <f t="shared" si="18"/>
        <v>0</v>
      </c>
      <c r="Y32" s="261"/>
    </row>
    <row r="33" spans="1:25" hidden="1" outlineLevel="1">
      <c r="B33" s="15"/>
      <c r="C33" s="128" t="s">
        <v>67</v>
      </c>
      <c r="D33" s="104">
        <f>NPV(Tax_Equity_Rate,E32:X32)</f>
        <v>3559.0743958467538</v>
      </c>
      <c r="E33" s="105">
        <f>D33/D37</f>
        <v>0.14482165383746648</v>
      </c>
      <c r="F33" s="99"/>
      <c r="G33" s="99"/>
      <c r="H33" s="99"/>
      <c r="I33" s="99"/>
      <c r="J33" s="99"/>
      <c r="K33" s="99"/>
      <c r="L33" s="99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25" hidden="1" outlineLevel="1">
      <c r="B34" s="15"/>
      <c r="C34" s="125" t="s">
        <v>129</v>
      </c>
      <c r="D34" s="106">
        <f>NPV(Tax_Equity_Rate,E17:X17)</f>
        <v>9102.062207112027</v>
      </c>
      <c r="E34" s="107">
        <f>D34/D37</f>
        <v>0.37037037037037035</v>
      </c>
      <c r="F34" s="95"/>
      <c r="G34" s="95"/>
      <c r="H34" s="95"/>
      <c r="I34" s="95"/>
      <c r="J34" s="95"/>
      <c r="K34" s="95"/>
      <c r="L34" s="95"/>
    </row>
    <row r="35" spans="1:25" hidden="1" outlineLevel="1">
      <c r="B35" s="22">
        <f>Assumptions!F11</f>
        <v>0.75800000000000001</v>
      </c>
      <c r="C35" s="125" t="s">
        <v>68</v>
      </c>
      <c r="D35" s="106">
        <f>(D37-D33-D34)*$B35</f>
        <v>9031.1389680327211</v>
      </c>
      <c r="E35" s="107">
        <f>D35/D37</f>
        <v>0.36748444565045973</v>
      </c>
      <c r="F35" s="95"/>
      <c r="G35" s="95"/>
      <c r="H35" s="95"/>
      <c r="I35" s="95"/>
      <c r="J35" s="95"/>
      <c r="K35" s="95"/>
      <c r="L35" s="95"/>
    </row>
    <row r="36" spans="1:25" hidden="1" outlineLevel="1">
      <c r="B36" s="22">
        <f>1-B35</f>
        <v>0.24199999999999999</v>
      </c>
      <c r="C36" s="125" t="s">
        <v>69</v>
      </c>
      <c r="D36" s="106">
        <f>(D37-D33-D34)*$B36</f>
        <v>2883.292388210974</v>
      </c>
      <c r="E36" s="107">
        <f>D36/D37</f>
        <v>0.11732353014170348</v>
      </c>
      <c r="F36" s="95"/>
      <c r="G36" s="95"/>
      <c r="H36" s="95"/>
      <c r="I36" s="95"/>
      <c r="J36" s="95"/>
      <c r="K36" s="95"/>
      <c r="L36" s="95"/>
    </row>
    <row r="37" spans="1:25" hidden="1" outlineLevel="1">
      <c r="C37" s="125" t="s">
        <v>70</v>
      </c>
      <c r="D37" s="106">
        <f>-D20</f>
        <v>24575.567959202475</v>
      </c>
      <c r="E37" s="108"/>
      <c r="F37" s="95"/>
      <c r="G37" s="95"/>
      <c r="H37" s="95"/>
      <c r="I37" s="95"/>
      <c r="J37" s="95"/>
      <c r="K37" s="95"/>
      <c r="L37" s="95"/>
    </row>
    <row r="38" spans="1:25" ht="15.75" hidden="1" outlineLevel="1" thickBot="1">
      <c r="C38" s="127" t="s">
        <v>71</v>
      </c>
      <c r="D38" s="109">
        <f>SUM(D33:D36)-D37</f>
        <v>0</v>
      </c>
      <c r="E38" s="110"/>
      <c r="F38" s="95"/>
      <c r="G38" s="95"/>
      <c r="H38" s="95"/>
      <c r="I38" s="95"/>
      <c r="J38" s="95"/>
      <c r="K38" s="95"/>
      <c r="L38" s="95"/>
    </row>
    <row r="39" spans="1:25" hidden="1" outlineLevel="1">
      <c r="C39" s="95"/>
      <c r="D39" s="95"/>
      <c r="E39" s="95"/>
      <c r="F39" s="95"/>
      <c r="G39" s="95"/>
      <c r="H39" s="95"/>
      <c r="I39" s="95"/>
      <c r="J39" s="95"/>
      <c r="K39" s="95"/>
      <c r="L39" s="95"/>
    </row>
    <row r="40" spans="1:25" ht="15.75" collapsed="1" thickBot="1">
      <c r="C40" s="95"/>
      <c r="D40" s="95"/>
      <c r="E40" s="95"/>
      <c r="F40" s="95"/>
      <c r="G40" s="95"/>
      <c r="H40" s="95"/>
      <c r="I40" s="95"/>
      <c r="J40" s="95"/>
      <c r="K40" s="95"/>
      <c r="L40" s="95"/>
    </row>
    <row r="41" spans="1:25" ht="18.75" thickBot="1">
      <c r="A41" s="86"/>
      <c r="B41" s="82"/>
      <c r="C41" s="484" t="s">
        <v>139</v>
      </c>
      <c r="D41" s="485"/>
      <c r="E41" s="485"/>
      <c r="F41" s="485"/>
      <c r="G41" s="485"/>
      <c r="H41" s="486"/>
      <c r="I41" s="95"/>
      <c r="J41" s="95"/>
      <c r="K41" s="95"/>
      <c r="L41" s="95"/>
      <c r="Y41" s="261"/>
    </row>
    <row r="42" spans="1:25" hidden="1" outlineLevel="1">
      <c r="A42" s="95"/>
      <c r="C42" s="124" t="s">
        <v>44</v>
      </c>
      <c r="D42" s="153"/>
      <c r="E42" s="153">
        <f>'Resource Options'!$E$12*INDEX('DATA (Nominal)'!$B$12:$BX$12,1,MATCH($B$1,'DATA (Nominal)'!$B$1:$BX$1,0))*8760</f>
        <v>8.6424979367249435</v>
      </c>
      <c r="F42" s="153">
        <f>'Resource Options'!$E$12*INDEX('DATA (Nominal)'!$B$12:$BX$12,1,MATCH($B$1,'DATA (Nominal)'!$B$1:$BX$1,0))*8760</f>
        <v>8.6424979367249435</v>
      </c>
      <c r="G42" s="153">
        <f>'Resource Options'!$E$12*INDEX('DATA (Nominal)'!$B$12:$BX$12,1,MATCH($B$1,'DATA (Nominal)'!$B$1:$BX$1,0))*8760</f>
        <v>8.6424979367249435</v>
      </c>
      <c r="H42" s="153">
        <f>'Resource Options'!$E$12*INDEX('DATA (Nominal)'!$B$12:$BX$12,1,MATCH($B$1,'DATA (Nominal)'!$B$1:$BX$1,0))*8760</f>
        <v>8.6424979367249435</v>
      </c>
      <c r="I42" s="153">
        <f>'Resource Options'!$E$12*INDEX('DATA (Nominal)'!$B$12:$BX$12,1,MATCH($B$1,'DATA (Nominal)'!$B$1:$BX$1,0))*8760</f>
        <v>8.6424979367249435</v>
      </c>
      <c r="J42" s="153">
        <f>'Resource Options'!$E$12*INDEX('DATA (Nominal)'!$B$12:$BX$12,1,MATCH($B$1,'DATA (Nominal)'!$B$1:$BX$1,0))*8760</f>
        <v>8.6424979367249435</v>
      </c>
      <c r="K42" s="153">
        <f>'Resource Options'!$E$12*INDEX('DATA (Nominal)'!$B$12:$BX$12,1,MATCH($B$1,'DATA (Nominal)'!$B$1:$BX$1,0))*8760</f>
        <v>8.6424979367249435</v>
      </c>
      <c r="L42" s="153">
        <f>'Resource Options'!$E$12*INDEX('DATA (Nominal)'!$B$12:$BX$12,1,MATCH($B$1,'DATA (Nominal)'!$B$1:$BX$1,0))*8760</f>
        <v>8.6424979367249435</v>
      </c>
      <c r="M42" s="153">
        <f>'Resource Options'!$E$12*INDEX('DATA (Nominal)'!$B$12:$BX$12,1,MATCH($B$1,'DATA (Nominal)'!$B$1:$BX$1,0))*8760</f>
        <v>8.6424979367249435</v>
      </c>
      <c r="N42" s="153">
        <f>'Resource Options'!$E$12*INDEX('DATA (Nominal)'!$B$12:$BX$12,1,MATCH($B$1,'DATA (Nominal)'!$B$1:$BX$1,0))*8760</f>
        <v>8.6424979367249435</v>
      </c>
      <c r="O42" s="153">
        <f>'Resource Options'!$E$12*INDEX('DATA (Nominal)'!$B$12:$BX$12,1,MATCH($B$1,'DATA (Nominal)'!$B$1:$BX$1,0))*8760</f>
        <v>8.6424979367249435</v>
      </c>
      <c r="P42" s="153">
        <f>'Resource Options'!$E$12*INDEX('DATA (Nominal)'!$B$12:$BX$12,1,MATCH($B$1,'DATA (Nominal)'!$B$1:$BX$1,0))*8760</f>
        <v>8.6424979367249435</v>
      </c>
      <c r="Q42" s="153">
        <f>'Resource Options'!$E$12*INDEX('DATA (Nominal)'!$B$12:$BX$12,1,MATCH($B$1,'DATA (Nominal)'!$B$1:$BX$1,0))*8760</f>
        <v>8.6424979367249435</v>
      </c>
      <c r="R42" s="153">
        <f>'Resource Options'!$E$12*INDEX('DATA (Nominal)'!$B$12:$BX$12,1,MATCH($B$1,'DATA (Nominal)'!$B$1:$BX$1,0))*8760</f>
        <v>8.6424979367249435</v>
      </c>
      <c r="S42" s="153">
        <f>'Resource Options'!$E$12*INDEX('DATA (Nominal)'!$B$12:$BX$12,1,MATCH($B$1,'DATA (Nominal)'!$B$1:$BX$1,0))*8760</f>
        <v>8.6424979367249435</v>
      </c>
      <c r="T42" s="153">
        <f>'Resource Options'!$E$12*INDEX('DATA (Nominal)'!$B$12:$BX$12,1,MATCH($B$1,'DATA (Nominal)'!$B$1:$BX$1,0))*8760</f>
        <v>8.6424979367249435</v>
      </c>
      <c r="U42" s="153">
        <f>'Resource Options'!$E$12*INDEX('DATA (Nominal)'!$B$12:$BX$12,1,MATCH($B$1,'DATA (Nominal)'!$B$1:$BX$1,0))*8760</f>
        <v>8.6424979367249435</v>
      </c>
      <c r="V42" s="153">
        <f>'Resource Options'!$E$12*INDEX('DATA (Nominal)'!$B$12:$BX$12,1,MATCH($B$1,'DATA (Nominal)'!$B$1:$BX$1,0))*8760</f>
        <v>8.6424979367249435</v>
      </c>
      <c r="W42" s="153">
        <f>'Resource Options'!$E$12*INDEX('DATA (Nominal)'!$B$12:$BX$12,1,MATCH($B$1,'DATA (Nominal)'!$B$1:$BX$1,0))*8760</f>
        <v>8.6424979367249435</v>
      </c>
      <c r="X42" s="159">
        <f>'Resource Options'!$E$12*INDEX('DATA (Nominal)'!$B$12:$BX$12,1,MATCH($B$1,'DATA (Nominal)'!$B$1:$BX$1,0))*8760</f>
        <v>8.6424979367249435</v>
      </c>
      <c r="Y42" s="156"/>
    </row>
    <row r="43" spans="1:25" hidden="1" outlineLevel="1">
      <c r="A43" s="95"/>
      <c r="C43" s="125" t="s">
        <v>45</v>
      </c>
      <c r="D43" s="151"/>
      <c r="E43" s="154">
        <f>PPA_SOLAR_New_Residential</f>
        <v>150.23333568773643</v>
      </c>
      <c r="F43" s="154">
        <f>E43</f>
        <v>150.23333568773643</v>
      </c>
      <c r="G43" s="154">
        <f t="shared" ref="G43:G44" si="19">F43</f>
        <v>150.23333568773643</v>
      </c>
      <c r="H43" s="154">
        <f t="shared" ref="H43:H44" si="20">G43</f>
        <v>150.23333568773643</v>
      </c>
      <c r="I43" s="154">
        <f t="shared" ref="I43:I44" si="21">H43</f>
        <v>150.23333568773643</v>
      </c>
      <c r="J43" s="154">
        <f t="shared" ref="J43:J44" si="22">I43</f>
        <v>150.23333568773643</v>
      </c>
      <c r="K43" s="154">
        <f t="shared" ref="K43:K44" si="23">J43</f>
        <v>150.23333568773643</v>
      </c>
      <c r="L43" s="154">
        <f t="shared" ref="L43:L44" si="24">K43</f>
        <v>150.23333568773643</v>
      </c>
      <c r="M43" s="154">
        <f t="shared" ref="M43:M44" si="25">L43</f>
        <v>150.23333568773643</v>
      </c>
      <c r="N43" s="154">
        <f t="shared" ref="N43:N44" si="26">M43</f>
        <v>150.23333568773643</v>
      </c>
      <c r="O43" s="154">
        <f t="shared" ref="O43:O44" si="27">N43</f>
        <v>150.23333568773643</v>
      </c>
      <c r="P43" s="154">
        <f t="shared" ref="P43:P44" si="28">O43</f>
        <v>150.23333568773643</v>
      </c>
      <c r="Q43" s="154">
        <f t="shared" ref="Q43:Q44" si="29">P43</f>
        <v>150.23333568773643</v>
      </c>
      <c r="R43" s="154">
        <f t="shared" ref="R43:R44" si="30">Q43</f>
        <v>150.23333568773643</v>
      </c>
      <c r="S43" s="154">
        <f t="shared" ref="S43:S44" si="31">R43</f>
        <v>150.23333568773643</v>
      </c>
      <c r="T43" s="154">
        <f t="shared" ref="T43:T44" si="32">S43</f>
        <v>150.23333568773643</v>
      </c>
      <c r="U43" s="154">
        <f t="shared" ref="U43:U44" si="33">T43</f>
        <v>150.23333568773643</v>
      </c>
      <c r="V43" s="154">
        <f t="shared" ref="V43:V44" si="34">U43</f>
        <v>150.23333568773643</v>
      </c>
      <c r="W43" s="154">
        <f t="shared" ref="W43:W44" si="35">V43</f>
        <v>150.23333568773643</v>
      </c>
      <c r="X43" s="152">
        <f t="shared" ref="X43:X44" si="36">W43</f>
        <v>150.23333568773643</v>
      </c>
      <c r="Y43" s="156"/>
    </row>
    <row r="44" spans="1:25" s="95" customFormat="1" hidden="1" outlineLevel="1">
      <c r="C44" s="125" t="s">
        <v>111</v>
      </c>
      <c r="D44" s="151"/>
      <c r="E44" s="117">
        <f>INDEX('PPA Summary'!$75:$106,MATCH($C41,'PPA Summary'!$D$75:$D$106,0),MATCH($B$1,'PPA Summary'!$74:$74,0))</f>
        <v>21.970529735773209</v>
      </c>
      <c r="F44" s="154">
        <f>E44</f>
        <v>21.970529735773209</v>
      </c>
      <c r="G44" s="154">
        <f t="shared" si="19"/>
        <v>21.970529735773209</v>
      </c>
      <c r="H44" s="154">
        <f t="shared" si="20"/>
        <v>21.970529735773209</v>
      </c>
      <c r="I44" s="154">
        <f t="shared" si="21"/>
        <v>21.970529735773209</v>
      </c>
      <c r="J44" s="154">
        <f t="shared" si="22"/>
        <v>21.970529735773209</v>
      </c>
      <c r="K44" s="154">
        <f t="shared" si="23"/>
        <v>21.970529735773209</v>
      </c>
      <c r="L44" s="154">
        <f t="shared" si="24"/>
        <v>21.970529735773209</v>
      </c>
      <c r="M44" s="154">
        <f t="shared" si="25"/>
        <v>21.970529735773209</v>
      </c>
      <c r="N44" s="154">
        <f t="shared" si="26"/>
        <v>21.970529735773209</v>
      </c>
      <c r="O44" s="154">
        <f t="shared" si="27"/>
        <v>21.970529735773209</v>
      </c>
      <c r="P44" s="154">
        <f t="shared" si="28"/>
        <v>21.970529735773209</v>
      </c>
      <c r="Q44" s="154">
        <f t="shared" si="29"/>
        <v>21.970529735773209</v>
      </c>
      <c r="R44" s="154">
        <f t="shared" si="30"/>
        <v>21.970529735773209</v>
      </c>
      <c r="S44" s="154">
        <f t="shared" si="31"/>
        <v>21.970529735773209</v>
      </c>
      <c r="T44" s="154">
        <f t="shared" si="32"/>
        <v>21.970529735773209</v>
      </c>
      <c r="U44" s="154">
        <f t="shared" si="33"/>
        <v>21.970529735773209</v>
      </c>
      <c r="V44" s="154">
        <f t="shared" si="34"/>
        <v>21.970529735773209</v>
      </c>
      <c r="W44" s="154">
        <f t="shared" si="35"/>
        <v>21.970529735773209</v>
      </c>
      <c r="X44" s="152">
        <f t="shared" si="36"/>
        <v>21.970529735773209</v>
      </c>
      <c r="Y44" s="156"/>
    </row>
    <row r="45" spans="1:25" hidden="1" outlineLevel="1">
      <c r="A45" s="95"/>
      <c r="C45" s="126" t="s">
        <v>46</v>
      </c>
      <c r="D45" s="151"/>
      <c r="E45" s="151">
        <f>E43*E42+E44*12*'Resource Options'!$E$12*1000</f>
        <v>2903.1952048433068</v>
      </c>
      <c r="F45" s="151">
        <f>F43*F42+F44*12*'Resource Options'!$E$12*1000</f>
        <v>2903.1952048433068</v>
      </c>
      <c r="G45" s="151">
        <f>G43*G42+G44*12*'Resource Options'!$E$12*1000</f>
        <v>2903.1952048433068</v>
      </c>
      <c r="H45" s="151">
        <f>H43*H42+H44*12*'Resource Options'!$E$12*1000</f>
        <v>2903.1952048433068</v>
      </c>
      <c r="I45" s="151">
        <f>I43*I42+I44*12*'Resource Options'!$E$12*1000</f>
        <v>2903.1952048433068</v>
      </c>
      <c r="J45" s="151">
        <f>J43*J42+J44*12*'Resource Options'!$E$12*1000</f>
        <v>2903.1952048433068</v>
      </c>
      <c r="K45" s="151">
        <f>K43*K42+K44*12*'Resource Options'!$E$12*1000</f>
        <v>2903.1952048433068</v>
      </c>
      <c r="L45" s="151">
        <f>L43*L42+L44*12*'Resource Options'!$E$12*1000</f>
        <v>2903.1952048433068</v>
      </c>
      <c r="M45" s="151">
        <f>M43*M42+M44*12*'Resource Options'!$E$12*1000</f>
        <v>2903.1952048433068</v>
      </c>
      <c r="N45" s="151">
        <f>N43*N42+N44*12*'Resource Options'!$E$12*1000</f>
        <v>2903.1952048433068</v>
      </c>
      <c r="O45" s="151">
        <f>O43*O42+O44*12*'Resource Options'!$E$12*1000</f>
        <v>2903.1952048433068</v>
      </c>
      <c r="P45" s="151">
        <f>P43*P42+P44*12*'Resource Options'!$E$12*1000</f>
        <v>2903.1952048433068</v>
      </c>
      <c r="Q45" s="151">
        <f>Q43*Q42+Q44*12*'Resource Options'!$E$12*1000</f>
        <v>2903.1952048433068</v>
      </c>
      <c r="R45" s="151">
        <f>R43*R42+R44*12*'Resource Options'!$E$12*1000</f>
        <v>2903.1952048433068</v>
      </c>
      <c r="S45" s="151">
        <f>S43*S42+S44*12*'Resource Options'!$E$12*1000</f>
        <v>2903.1952048433068</v>
      </c>
      <c r="T45" s="151">
        <f>T43*T42+T44*12*'Resource Options'!$E$12*1000</f>
        <v>2903.1952048433068</v>
      </c>
      <c r="U45" s="151">
        <f>U43*U42+U44*12*'Resource Options'!$E$12*1000</f>
        <v>2903.1952048433068</v>
      </c>
      <c r="V45" s="151">
        <f>V43*V42+V44*12*'Resource Options'!$E$12*1000</f>
        <v>2903.1952048433068</v>
      </c>
      <c r="W45" s="151">
        <f>W43*W42+W44*12*'Resource Options'!$E$12*1000</f>
        <v>2903.1952048433068</v>
      </c>
      <c r="X45" s="152">
        <f>X43*X42+X44*12*'Resource Options'!$E$12*1000</f>
        <v>2903.1952048433068</v>
      </c>
      <c r="Y45" s="156"/>
    </row>
    <row r="46" spans="1:25" hidden="1" outlineLevel="1">
      <c r="A46" s="95"/>
      <c r="C46" s="126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2"/>
      <c r="Y46" s="156"/>
    </row>
    <row r="47" spans="1:25" hidden="1" outlineLevel="1">
      <c r="A47" s="95"/>
      <c r="B47" s="92"/>
      <c r="C47" s="125" t="s">
        <v>158</v>
      </c>
      <c r="D47" s="151"/>
      <c r="E47" s="151">
        <f>'Resource Options'!$E$12*INDEX('DATA (Nominal)'!$B$178:$BX$178,1,MATCH(E$1,'DATA (Nominal)'!$B$1:$BX$1,0))*1000*0.8</f>
        <v>127.0150909824426</v>
      </c>
      <c r="F47" s="151">
        <f>'Resource Options'!$E$12*INDEX('DATA (Nominal)'!$B$178:$BX$178,1,MATCH(F$1,'DATA (Nominal)'!$B$1:$BX$1,0))*1000*0.8</f>
        <v>119.54253701320361</v>
      </c>
      <c r="G47" s="151">
        <f>'Resource Options'!$E$12*INDEX('DATA (Nominal)'!$B$178:$BX$178,1,MATCH(G$1,'DATA (Nominal)'!$B$1:$BX$1,0))*1000*0.8</f>
        <v>111.67285666184749</v>
      </c>
      <c r="H47" s="151">
        <f>'Resource Options'!$E$12*INDEX('DATA (Nominal)'!$B$178:$BX$178,1,MATCH(H$1,'DATA (Nominal)'!$B$1:$BX$1,0))*1000*0.8</f>
        <v>103.3583276295081</v>
      </c>
      <c r="I47" s="151">
        <f>'Resource Options'!$E$12*INDEX('DATA (Nominal)'!$B$178:$BX$178,1,MATCH(I$1,'DATA (Nominal)'!$B$1:$BX$1,0))*1000*0.8</f>
        <v>94.623909657121501</v>
      </c>
      <c r="J47" s="151">
        <f>'Resource Options'!$E$12*INDEX('DATA (Nominal)'!$B$178:$BX$178,1,MATCH(J$1,'DATA (Nominal)'!$B$1:$BX$1,0))*1000*0.8</f>
        <v>85.455151863377182</v>
      </c>
      <c r="K47" s="151">
        <f>'Resource Options'!$E$12*INDEX('DATA (Nominal)'!$B$178:$BX$178,1,MATCH(K$1,'DATA (Nominal)'!$B$1:$BX$1,0))*1000*0.8</f>
        <v>86.621404394167087</v>
      </c>
      <c r="L47" s="151">
        <f>'Resource Options'!$E$12*INDEX('DATA (Nominal)'!$B$178:$BX$178,1,MATCH(L$1,'DATA (Nominal)'!$B$1:$BX$1,0))*1000*0.8</f>
        <v>87.797611742809892</v>
      </c>
      <c r="M47" s="151">
        <f>'Resource Options'!$E$12*INDEX('DATA (Nominal)'!$B$178:$BX$178,1,MATCH(M$1,'DATA (Nominal)'!$B$1:$BX$1,0))*1000*0.8</f>
        <v>88.983647455066176</v>
      </c>
      <c r="N47" s="151">
        <f>'Resource Options'!$E$12*INDEX('DATA (Nominal)'!$B$178:$BX$178,1,MATCH(N$1,'DATA (Nominal)'!$B$1:$BX$1,0))*1000*0.8</f>
        <v>90.179374694578243</v>
      </c>
      <c r="O47" s="151">
        <f>'Resource Options'!$E$12*INDEX('DATA (Nominal)'!$B$178:$BX$178,1,MATCH(O$1,'DATA (Nominal)'!$B$1:$BX$1,0))*1000*0.8</f>
        <v>91.384645847260558</v>
      </c>
      <c r="P47" s="151">
        <f>'Resource Options'!$E$12*INDEX('DATA (Nominal)'!$B$178:$BX$178,1,MATCH(P$1,'DATA (Nominal)'!$B$1:$BX$1,0))*1000*0.8</f>
        <v>92.599302113308738</v>
      </c>
      <c r="Q47" s="151">
        <f>'Resource Options'!$E$12*INDEX('DATA (Nominal)'!$B$178:$BX$178,1,MATCH(Q$1,'DATA (Nominal)'!$B$1:$BX$1,0))*1000*0.8</f>
        <v>93.823173086472963</v>
      </c>
      <c r="R47" s="151">
        <f>'Resource Options'!$E$12*INDEX('DATA (Nominal)'!$B$178:$BX$178,1,MATCH(R$1,'DATA (Nominal)'!$B$1:$BX$1,0))*1000*0.8</f>
        <v>95.056076320233558</v>
      </c>
      <c r="S47" s="151">
        <f>'Resource Options'!$E$12*INDEX('DATA (Nominal)'!$B$178:$BX$178,1,MATCH(S$1,'DATA (Nominal)'!$B$1:$BX$1,0))*1000*0.8</f>
        <v>96.297816880505806</v>
      </c>
      <c r="T47" s="151">
        <f>'Resource Options'!$E$12*INDEX('DATA (Nominal)'!$B$178:$BX$178,1,MATCH(T$1,'DATA (Nominal)'!$B$1:$BX$1,0))*1000*0.8</f>
        <v>97.548186884491003</v>
      </c>
      <c r="U47" s="151">
        <f>'Resource Options'!$E$12*INDEX('DATA (Nominal)'!$B$178:$BX$178,1,MATCH(U$1,'DATA (Nominal)'!$B$1:$BX$1,0))*1000*0.8</f>
        <v>98.806965025281372</v>
      </c>
      <c r="V47" s="151">
        <f>'Resource Options'!$E$12*INDEX('DATA (Nominal)'!$B$178:$BX$178,1,MATCH(V$1,'DATA (Nominal)'!$B$1:$BX$1,0))*1000*0.8</f>
        <v>100.07391608181446</v>
      </c>
      <c r="W47" s="151">
        <f>'Resource Options'!$E$12*INDEX('DATA (Nominal)'!$B$178:$BX$178,1,MATCH(W$1,'DATA (Nominal)'!$B$1:$BX$1,0))*1000*0.8</f>
        <v>101.34879041376274</v>
      </c>
      <c r="X47" s="152">
        <f>'Resource Options'!$E$12*INDEX('DATA (Nominal)'!$B$178:$BX$178,1,MATCH(X$1,'DATA (Nominal)'!$B$1:$BX$1,0))*1000*0.8</f>
        <v>102.63132344093316</v>
      </c>
      <c r="Y47" s="156"/>
    </row>
    <row r="48" spans="1:25" s="95" customFormat="1" hidden="1" outlineLevel="1">
      <c r="B48" s="92"/>
      <c r="C48" s="125" t="s">
        <v>159</v>
      </c>
      <c r="D48" s="151"/>
      <c r="E48" s="151">
        <f>'Resource Options'!$E$12*INDEX('DATA (Nominal)'!$B$179:$BX$179,1,MATCH(E$1,'DATA (Nominal)'!$B$1:$BX$1,0))*1000*0.8</f>
        <v>377.00359282616375</v>
      </c>
      <c r="F48" s="151">
        <f>'Resource Options'!$E$12*INDEX('DATA (Nominal)'!$B$179:$BX$179,1,MATCH(F$1,'DATA (Nominal)'!$B$1:$BX$1,0))*1000*0.8</f>
        <v>369.83636010624622</v>
      </c>
      <c r="G48" s="151">
        <f>'Resource Options'!$E$12*INDEX('DATA (Nominal)'!$B$179:$BX$179,1,MATCH(G$1,'DATA (Nominal)'!$B$1:$BX$1,0))*1000*0.8</f>
        <v>363.95367468645526</v>
      </c>
      <c r="H48" s="151">
        <f>'Resource Options'!$E$12*INDEX('DATA (Nominal)'!$B$179:$BX$179,1,MATCH(H$1,'DATA (Nominal)'!$B$1:$BX$1,0))*1000*0.8</f>
        <v>359.55135317948412</v>
      </c>
      <c r="I48" s="151">
        <f>'Resource Options'!$E$12*INDEX('DATA (Nominal)'!$B$179:$BX$179,1,MATCH(I$1,'DATA (Nominal)'!$B$1:$BX$1,0))*1000*0.8</f>
        <v>355.32673748763727</v>
      </c>
      <c r="J48" s="151">
        <f>'Resource Options'!$E$12*INDEX('DATA (Nominal)'!$B$179:$BX$179,1,MATCH(J$1,'DATA (Nominal)'!$B$1:$BX$1,0))*1000*0.8</f>
        <v>351.91843948824726</v>
      </c>
      <c r="K48" s="151">
        <f>'Resource Options'!$E$12*INDEX('DATA (Nominal)'!$B$179:$BX$179,1,MATCH(K$1,'DATA (Nominal)'!$B$1:$BX$1,0))*1000*0.8</f>
        <v>355.26208121229485</v>
      </c>
      <c r="L48" s="151">
        <f>'Resource Options'!$E$12*INDEX('DATA (Nominal)'!$B$179:$BX$179,1,MATCH(L$1,'DATA (Nominal)'!$B$1:$BX$1,0))*1000*0.8</f>
        <v>358.48323612904693</v>
      </c>
      <c r="M48" s="151">
        <f>'Resource Options'!$E$12*INDEX('DATA (Nominal)'!$B$179:$BX$179,1,MATCH(M$1,'DATA (Nominal)'!$B$1:$BX$1,0))*1000*0.8</f>
        <v>361.67417501482919</v>
      </c>
      <c r="N48" s="151">
        <f>'Resource Options'!$E$12*INDEX('DATA (Nominal)'!$B$179:$BX$179,1,MATCH(N$1,'DATA (Nominal)'!$B$1:$BX$1,0))*1000*0.8</f>
        <v>364.83200932529991</v>
      </c>
      <c r="O48" s="151">
        <f>'Resource Options'!$E$12*INDEX('DATA (Nominal)'!$B$179:$BX$179,1,MATCH(O$1,'DATA (Nominal)'!$B$1:$BX$1,0))*1000*0.8</f>
        <v>367.95373804472325</v>
      </c>
      <c r="P48" s="151">
        <f>'Resource Options'!$E$12*INDEX('DATA (Nominal)'!$B$179:$BX$179,1,MATCH(P$1,'DATA (Nominal)'!$B$1:$BX$1,0))*1000*0.8</f>
        <v>371.03624413528894</v>
      </c>
      <c r="Q48" s="151">
        <f>'Resource Options'!$E$12*INDEX('DATA (Nominal)'!$B$179:$BX$179,1,MATCH(Q$1,'DATA (Nominal)'!$B$1:$BX$1,0))*1000*0.8</f>
        <v>374.07629088462471</v>
      </c>
      <c r="R48" s="151">
        <f>'Resource Options'!$E$12*INDEX('DATA (Nominal)'!$B$179:$BX$179,1,MATCH(R$1,'DATA (Nominal)'!$B$1:$BX$1,0))*1000*0.8</f>
        <v>377.07051814877053</v>
      </c>
      <c r="S48" s="151">
        <f>'Resource Options'!$E$12*INDEX('DATA (Nominal)'!$B$179:$BX$179,1,MATCH(S$1,'DATA (Nominal)'!$B$1:$BX$1,0))*1000*0.8</f>
        <v>380.01543848774992</v>
      </c>
      <c r="T48" s="151">
        <f>'Resource Options'!$E$12*INDEX('DATA (Nominal)'!$B$179:$BX$179,1,MATCH(T$1,'DATA (Nominal)'!$B$1:$BX$1,0))*1000*0.8</f>
        <v>382.90743319086113</v>
      </c>
      <c r="U48" s="151">
        <f>'Resource Options'!$E$12*INDEX('DATA (Nominal)'!$B$179:$BX$179,1,MATCH(U$1,'DATA (Nominal)'!$B$1:$BX$1,0))*1000*0.8</f>
        <v>385.74274818868008</v>
      </c>
      <c r="V48" s="151">
        <f>'Resource Options'!$E$12*INDEX('DATA (Nominal)'!$B$179:$BX$179,1,MATCH(V$1,'DATA (Nominal)'!$B$1:$BX$1,0))*1000*0.8</f>
        <v>388.5174898487403</v>
      </c>
      <c r="W48" s="151">
        <f>'Resource Options'!$E$12*INDEX('DATA (Nominal)'!$B$179:$BX$179,1,MATCH(W$1,'DATA (Nominal)'!$B$1:$BX$1,0))*1000*0.8</f>
        <v>391.22762065171821</v>
      </c>
      <c r="X48" s="152">
        <f>'Resource Options'!$E$12*INDEX('DATA (Nominal)'!$B$179:$BX$179,1,MATCH(X$1,'DATA (Nominal)'!$B$1:$BX$1,0))*1000*0.8</f>
        <v>393.86895474494145</v>
      </c>
      <c r="Y48" s="156"/>
    </row>
    <row r="49" spans="1:25" hidden="1" outlineLevel="1">
      <c r="A49" s="95"/>
      <c r="C49" s="125" t="s">
        <v>160</v>
      </c>
      <c r="D49" s="151"/>
      <c r="E49" s="151">
        <f>E42*INDEX('DATA (Nominal)'!$B$107:$BX$107,1,MATCH(E$1,'DATA (Nominal)'!$B$1:$BX$1,0))</f>
        <v>0</v>
      </c>
      <c r="F49" s="151">
        <f>F42*INDEX('DATA (Nominal)'!$B$107:$BX$107,1,MATCH(F$1,'DATA (Nominal)'!$B$1:$BX$1,0))</f>
        <v>0</v>
      </c>
      <c r="G49" s="151">
        <f>G42*INDEX('DATA (Nominal)'!$B$107:$BX$107,1,MATCH(G$1,'DATA (Nominal)'!$B$1:$BX$1,0))</f>
        <v>0</v>
      </c>
      <c r="H49" s="151">
        <f>H42*INDEX('DATA (Nominal)'!$B$107:$BX$107,1,MATCH(H$1,'DATA (Nominal)'!$B$1:$BX$1,0))</f>
        <v>0</v>
      </c>
      <c r="I49" s="151">
        <f>I42*INDEX('DATA (Nominal)'!$B$107:$BX$107,1,MATCH(I$1,'DATA (Nominal)'!$B$1:$BX$1,0))</f>
        <v>0</v>
      </c>
      <c r="J49" s="151">
        <f>J42*INDEX('DATA (Nominal)'!$B$107:$BX$107,1,MATCH(J$1,'DATA (Nominal)'!$B$1:$BX$1,0))</f>
        <v>0</v>
      </c>
      <c r="K49" s="151">
        <f>K42*INDEX('DATA (Nominal)'!$B$107:$BX$107,1,MATCH(K$1,'DATA (Nominal)'!$B$1:$BX$1,0))</f>
        <v>0</v>
      </c>
      <c r="L49" s="151">
        <f>L42*INDEX('DATA (Nominal)'!$B$107:$BX$107,1,MATCH(L$1,'DATA (Nominal)'!$B$1:$BX$1,0))</f>
        <v>0</v>
      </c>
      <c r="M49" s="151">
        <f>M42*INDEX('DATA (Nominal)'!$B$107:$BX$107,1,MATCH(M$1,'DATA (Nominal)'!$B$1:$BX$1,0))</f>
        <v>0</v>
      </c>
      <c r="N49" s="151">
        <f>N42*INDEX('DATA (Nominal)'!$B$107:$BX$107,1,MATCH(N$1,'DATA (Nominal)'!$B$1:$BX$1,0))</f>
        <v>0</v>
      </c>
      <c r="O49" s="151">
        <f>O42*INDEX('DATA (Nominal)'!$B$107:$BX$107,1,MATCH(O$1,'DATA (Nominal)'!$B$1:$BX$1,0))</f>
        <v>0</v>
      </c>
      <c r="P49" s="151">
        <f>P42*INDEX('DATA (Nominal)'!$B$107:$BX$107,1,MATCH(P$1,'DATA (Nominal)'!$B$1:$BX$1,0))</f>
        <v>0</v>
      </c>
      <c r="Q49" s="151">
        <f>Q42*INDEX('DATA (Nominal)'!$B$107:$BX$107,1,MATCH(Q$1,'DATA (Nominal)'!$B$1:$BX$1,0))</f>
        <v>0</v>
      </c>
      <c r="R49" s="151">
        <f>R42*INDEX('DATA (Nominal)'!$B$107:$BX$107,1,MATCH(R$1,'DATA (Nominal)'!$B$1:$BX$1,0))</f>
        <v>0</v>
      </c>
      <c r="S49" s="151">
        <f>S42*INDEX('DATA (Nominal)'!$B$107:$BX$107,1,MATCH(S$1,'DATA (Nominal)'!$B$1:$BX$1,0))</f>
        <v>0</v>
      </c>
      <c r="T49" s="151">
        <f>T42*INDEX('DATA (Nominal)'!$B$107:$BX$107,1,MATCH(T$1,'DATA (Nominal)'!$B$1:$BX$1,0))</f>
        <v>0</v>
      </c>
      <c r="U49" s="151">
        <f>U42*INDEX('DATA (Nominal)'!$B$107:$BX$107,1,MATCH(U$1,'DATA (Nominal)'!$B$1:$BX$1,0))</f>
        <v>0</v>
      </c>
      <c r="V49" s="151">
        <f>V42*INDEX('DATA (Nominal)'!$B$107:$BX$107,1,MATCH(V$1,'DATA (Nominal)'!$B$1:$BX$1,0))</f>
        <v>0</v>
      </c>
      <c r="W49" s="151">
        <f>W42*INDEX('DATA (Nominal)'!$B$107:$BX$107,1,MATCH(W$1,'DATA (Nominal)'!$B$1:$BX$1,0))</f>
        <v>0</v>
      </c>
      <c r="X49" s="152">
        <f>X42*INDEX('DATA (Nominal)'!$B$107:$BX$107,1,MATCH(X$1,'DATA (Nominal)'!$B$1:$BX$1,0))</f>
        <v>0</v>
      </c>
      <c r="Y49" s="156"/>
    </row>
    <row r="50" spans="1:25" hidden="1" outlineLevel="1">
      <c r="A50" s="95"/>
      <c r="C50" s="125" t="s">
        <v>127</v>
      </c>
      <c r="D50" s="151"/>
      <c r="E50" s="151">
        <f>E42*E43*INDEX('DATA (Nominal)'!$B$327:$BX$327,1,MATCH(E$1,'DATA (Nominal)'!$B$1:$BX$1,0))</f>
        <v>0</v>
      </c>
      <c r="F50" s="151">
        <f>F42*F43*INDEX('DATA (Nominal)'!$B$327:$BX$327,1,MATCH(F$1,'DATA (Nominal)'!$B$1:$BX$1,0))</f>
        <v>0</v>
      </c>
      <c r="G50" s="151">
        <f>G42*G43*INDEX('DATA (Nominal)'!$B$327:$BX$327,1,MATCH(G$1,'DATA (Nominal)'!$B$1:$BX$1,0))</f>
        <v>0</v>
      </c>
      <c r="H50" s="151">
        <f>H42*H43*INDEX('DATA (Nominal)'!$B$327:$BX$327,1,MATCH(H$1,'DATA (Nominal)'!$B$1:$BX$1,0))</f>
        <v>0</v>
      </c>
      <c r="I50" s="151">
        <f>I42*I43*INDEX('DATA (Nominal)'!$B$327:$BX$327,1,MATCH(I$1,'DATA (Nominal)'!$B$1:$BX$1,0))</f>
        <v>0</v>
      </c>
      <c r="J50" s="151">
        <f>J42*J43*INDEX('DATA (Nominal)'!$B$327:$BX$327,1,MATCH(J$1,'DATA (Nominal)'!$B$1:$BX$1,0))</f>
        <v>0</v>
      </c>
      <c r="K50" s="151">
        <f>K42*K43*INDEX('DATA (Nominal)'!$B$327:$BX$327,1,MATCH(K$1,'DATA (Nominal)'!$B$1:$BX$1,0))</f>
        <v>0</v>
      </c>
      <c r="L50" s="151">
        <f>L42*L43*INDEX('DATA (Nominal)'!$B$327:$BX$327,1,MATCH(L$1,'DATA (Nominal)'!$B$1:$BX$1,0))</f>
        <v>0</v>
      </c>
      <c r="M50" s="151">
        <f>M42*M43*INDEX('DATA (Nominal)'!$B$327:$BX$327,1,MATCH(M$1,'DATA (Nominal)'!$B$1:$BX$1,0))</f>
        <v>0</v>
      </c>
      <c r="N50" s="151">
        <f>N42*N43*INDEX('DATA (Nominal)'!$B$327:$BX$327,1,MATCH(N$1,'DATA (Nominal)'!$B$1:$BX$1,0))</f>
        <v>0</v>
      </c>
      <c r="O50" s="151">
        <f>O42*O43*INDEX('DATA (Nominal)'!$B$327:$BX$327,1,MATCH(O$1,'DATA (Nominal)'!$B$1:$BX$1,0))</f>
        <v>0</v>
      </c>
      <c r="P50" s="151">
        <f>P42*P43*INDEX('DATA (Nominal)'!$B$327:$BX$327,1,MATCH(P$1,'DATA (Nominal)'!$B$1:$BX$1,0))</f>
        <v>0</v>
      </c>
      <c r="Q50" s="151">
        <f>Q42*Q43*INDEX('DATA (Nominal)'!$B$327:$BX$327,1,MATCH(Q$1,'DATA (Nominal)'!$B$1:$BX$1,0))</f>
        <v>0</v>
      </c>
      <c r="R50" s="151">
        <f>R42*R43*INDEX('DATA (Nominal)'!$B$327:$BX$327,1,MATCH(R$1,'DATA (Nominal)'!$B$1:$BX$1,0))</f>
        <v>0</v>
      </c>
      <c r="S50" s="151">
        <f>S42*S43*INDEX('DATA (Nominal)'!$B$327:$BX$327,1,MATCH(S$1,'DATA (Nominal)'!$B$1:$BX$1,0))</f>
        <v>0</v>
      </c>
      <c r="T50" s="151">
        <f>T42*T43*INDEX('DATA (Nominal)'!$B$327:$BX$327,1,MATCH(T$1,'DATA (Nominal)'!$B$1:$BX$1,0))</f>
        <v>0</v>
      </c>
      <c r="U50" s="151">
        <f>U42*U43*INDEX('DATA (Nominal)'!$B$327:$BX$327,1,MATCH(U$1,'DATA (Nominal)'!$B$1:$BX$1,0))</f>
        <v>0</v>
      </c>
      <c r="V50" s="151">
        <f>V42*V43*INDEX('DATA (Nominal)'!$B$327:$BX$327,1,MATCH(V$1,'DATA (Nominal)'!$B$1:$BX$1,0))</f>
        <v>0</v>
      </c>
      <c r="W50" s="151">
        <f>W42*W43*INDEX('DATA (Nominal)'!$B$327:$BX$327,1,MATCH(W$1,'DATA (Nominal)'!$B$1:$BX$1,0))</f>
        <v>0</v>
      </c>
      <c r="X50" s="152">
        <f>X42*X43*INDEX('DATA (Nominal)'!$B$327:$BX$327,1,MATCH(X$1,'DATA (Nominal)'!$B$1:$BX$1,0))</f>
        <v>0</v>
      </c>
      <c r="Y50" s="156"/>
    </row>
    <row r="51" spans="1:25" hidden="1" outlineLevel="1">
      <c r="A51" s="254"/>
      <c r="C51" s="126" t="s">
        <v>50</v>
      </c>
      <c r="D51" s="151"/>
      <c r="E51" s="151">
        <f t="shared" ref="E51:X51" si="37">SUM(E47:E50)</f>
        <v>504.01868380860634</v>
      </c>
      <c r="F51" s="151">
        <f t="shared" si="37"/>
        <v>489.37889711944985</v>
      </c>
      <c r="G51" s="151">
        <f t="shared" si="37"/>
        <v>475.62653134830276</v>
      </c>
      <c r="H51" s="151">
        <f t="shared" si="37"/>
        <v>462.90968080899222</v>
      </c>
      <c r="I51" s="151">
        <f t="shared" si="37"/>
        <v>449.95064714475876</v>
      </c>
      <c r="J51" s="151">
        <f t="shared" si="37"/>
        <v>437.37359135162444</v>
      </c>
      <c r="K51" s="151">
        <f t="shared" si="37"/>
        <v>441.88348560646193</v>
      </c>
      <c r="L51" s="151">
        <f t="shared" si="37"/>
        <v>446.28084787185685</v>
      </c>
      <c r="M51" s="151">
        <f t="shared" si="37"/>
        <v>450.65782246989534</v>
      </c>
      <c r="N51" s="151">
        <f t="shared" si="37"/>
        <v>455.01138401987816</v>
      </c>
      <c r="O51" s="151">
        <f t="shared" si="37"/>
        <v>459.33838389198382</v>
      </c>
      <c r="P51" s="151">
        <f t="shared" si="37"/>
        <v>463.63554624859768</v>
      </c>
      <c r="Q51" s="151">
        <f t="shared" si="37"/>
        <v>467.8994639710977</v>
      </c>
      <c r="R51" s="151">
        <f t="shared" si="37"/>
        <v>472.12659446900409</v>
      </c>
      <c r="S51" s="151">
        <f t="shared" si="37"/>
        <v>476.31325536825574</v>
      </c>
      <c r="T51" s="151">
        <f t="shared" si="37"/>
        <v>480.45562007535216</v>
      </c>
      <c r="U51" s="151">
        <f t="shared" si="37"/>
        <v>484.54971321396147</v>
      </c>
      <c r="V51" s="151">
        <f t="shared" si="37"/>
        <v>488.59140593055474</v>
      </c>
      <c r="W51" s="151">
        <f t="shared" si="37"/>
        <v>492.57641106548095</v>
      </c>
      <c r="X51" s="152">
        <f t="shared" si="37"/>
        <v>496.50027818587461</v>
      </c>
      <c r="Y51" s="156"/>
    </row>
    <row r="52" spans="1:25" s="95" customFormat="1" hidden="1" outlineLevel="1">
      <c r="C52" s="126" t="s">
        <v>179</v>
      </c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>
        <f>INDEX('DATA (Nominal)'!$B$60:$BX$60,1,MATCH($O$1,'DATA (Nominal)'!$B$1:$BX$1,0))*1000000*(1+AFUDC!$D$12)*0.5*'Resource Options'!$D$12/1000</f>
        <v>10462.954467288147</v>
      </c>
      <c r="P52" s="151"/>
      <c r="Q52" s="151"/>
      <c r="R52" s="151"/>
      <c r="S52" s="151"/>
      <c r="T52" s="151"/>
      <c r="U52" s="151"/>
      <c r="V52" s="151"/>
      <c r="W52" s="151"/>
      <c r="X52" s="152"/>
      <c r="Y52" s="156"/>
    </row>
    <row r="53" spans="1:25" hidden="1" outlineLevel="1">
      <c r="A53" s="95"/>
      <c r="C53" s="126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2"/>
      <c r="Y53" s="156"/>
    </row>
    <row r="54" spans="1:25" hidden="1" outlineLevel="1">
      <c r="A54" s="95"/>
      <c r="C54" s="125" t="s">
        <v>51</v>
      </c>
      <c r="D54" s="151"/>
      <c r="E54" s="151">
        <f t="shared" ref="E54:X54" si="38">E45-E51</f>
        <v>2399.1765210347003</v>
      </c>
      <c r="F54" s="151">
        <f t="shared" si="38"/>
        <v>2413.8163077238569</v>
      </c>
      <c r="G54" s="151">
        <f t="shared" si="38"/>
        <v>2427.5686734950041</v>
      </c>
      <c r="H54" s="151">
        <f t="shared" si="38"/>
        <v>2440.2855240343147</v>
      </c>
      <c r="I54" s="151">
        <f t="shared" si="38"/>
        <v>2453.2445576985479</v>
      </c>
      <c r="J54" s="151">
        <f t="shared" si="38"/>
        <v>2465.8216134916825</v>
      </c>
      <c r="K54" s="151">
        <f t="shared" si="38"/>
        <v>2461.311719236845</v>
      </c>
      <c r="L54" s="151">
        <f t="shared" si="38"/>
        <v>2456.9143569714497</v>
      </c>
      <c r="M54" s="151">
        <f t="shared" si="38"/>
        <v>2452.5373823734117</v>
      </c>
      <c r="N54" s="151">
        <f t="shared" si="38"/>
        <v>2448.1838208234285</v>
      </c>
      <c r="O54" s="151">
        <f t="shared" si="38"/>
        <v>2443.8568209513228</v>
      </c>
      <c r="P54" s="151">
        <f t="shared" si="38"/>
        <v>2439.5596585947092</v>
      </c>
      <c r="Q54" s="151">
        <f t="shared" si="38"/>
        <v>2435.2957408722091</v>
      </c>
      <c r="R54" s="151">
        <f t="shared" si="38"/>
        <v>2431.0686103743028</v>
      </c>
      <c r="S54" s="151">
        <f t="shared" si="38"/>
        <v>2426.881949475051</v>
      </c>
      <c r="T54" s="151">
        <f t="shared" si="38"/>
        <v>2422.7395847679545</v>
      </c>
      <c r="U54" s="151">
        <f t="shared" si="38"/>
        <v>2418.6454916293451</v>
      </c>
      <c r="V54" s="151">
        <f t="shared" si="38"/>
        <v>2414.6037989127522</v>
      </c>
      <c r="W54" s="151">
        <f t="shared" si="38"/>
        <v>2410.6187937778259</v>
      </c>
      <c r="X54" s="152">
        <f t="shared" si="38"/>
        <v>2406.694926657432</v>
      </c>
      <c r="Y54" s="156"/>
    </row>
    <row r="55" spans="1:25" hidden="1" outlineLevel="1">
      <c r="A55" s="95"/>
      <c r="C55" s="125" t="s">
        <v>52</v>
      </c>
      <c r="D55" s="151"/>
      <c r="E55" s="151">
        <f t="shared" ref="E55:X55" si="39">E54-E72-E62</f>
        <v>-5475.2297441716109</v>
      </c>
      <c r="F55" s="151">
        <f t="shared" si="39"/>
        <v>-9659.2024605836377</v>
      </c>
      <c r="G55" s="151">
        <f t="shared" si="39"/>
        <v>-5116.0171108197446</v>
      </c>
      <c r="H55" s="151">
        <f t="shared" si="39"/>
        <v>-2374.1214579979546</v>
      </c>
      <c r="I55" s="151">
        <f t="shared" si="39"/>
        <v>-2332.9845161901139</v>
      </c>
      <c r="J55" s="151">
        <f t="shared" si="39"/>
        <v>-263.82735384736338</v>
      </c>
      <c r="K55" s="151">
        <f t="shared" si="39"/>
        <v>1789.877881567448</v>
      </c>
      <c r="L55" s="151">
        <f t="shared" si="39"/>
        <v>1818.568184905226</v>
      </c>
      <c r="M55" s="151">
        <f t="shared" si="39"/>
        <v>1849.0986975185358</v>
      </c>
      <c r="N55" s="151">
        <f t="shared" si="39"/>
        <v>1881.5725349765246</v>
      </c>
      <c r="O55" s="151">
        <f t="shared" si="39"/>
        <v>-14.839805880198355</v>
      </c>
      <c r="P55" s="151">
        <f t="shared" si="39"/>
        <v>-1011.9083011837579</v>
      </c>
      <c r="Q55" s="151">
        <f t="shared" si="39"/>
        <v>-205.0929841857369</v>
      </c>
      <c r="R55" s="151">
        <f t="shared" si="39"/>
        <v>396.94890732122826</v>
      </c>
      <c r="S55" s="151">
        <f t="shared" si="39"/>
        <v>854.20345930911242</v>
      </c>
      <c r="T55" s="151">
        <f t="shared" si="39"/>
        <v>942.81008861923738</v>
      </c>
      <c r="U55" s="151">
        <f t="shared" si="39"/>
        <v>1036.5661841687966</v>
      </c>
      <c r="V55" s="151">
        <f t="shared" si="39"/>
        <v>1602.8227279379646</v>
      </c>
      <c r="W55" s="151">
        <f t="shared" si="39"/>
        <v>2174.4998278534113</v>
      </c>
      <c r="X55" s="152">
        <f t="shared" si="39"/>
        <v>2285.4757008422221</v>
      </c>
      <c r="Y55" s="156"/>
    </row>
    <row r="56" spans="1:25" hidden="1" outlineLevel="1">
      <c r="A56" s="95"/>
      <c r="C56" s="125" t="s">
        <v>128</v>
      </c>
      <c r="D56" s="151"/>
      <c r="E56" s="151">
        <f>-$D59*INDEX('DATA (Nominal)'!$B$240:$BX$240,1,MATCH($B$1,'DATA (Nominal)'!$B$1:$BX$1,0))</f>
        <v>16559.25174393881</v>
      </c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2"/>
      <c r="Y56" s="156"/>
    </row>
    <row r="57" spans="1:25" hidden="1" outlineLevel="1">
      <c r="A57" s="95"/>
      <c r="C57" s="126" t="s">
        <v>54</v>
      </c>
      <c r="D57" s="151"/>
      <c r="E57" s="151">
        <f>E55*Federal_Tax_Rate-E56</f>
        <v>-17709.049990214848</v>
      </c>
      <c r="F57" s="151">
        <f>F55*Federal_Tax_Rate-F56</f>
        <v>-2028.4325167225638</v>
      </c>
      <c r="G57" s="151">
        <f t="shared" ref="G57" si="40">G55*Federal_Tax_Rate-G56</f>
        <v>-1074.3635932721463</v>
      </c>
      <c r="H57" s="151">
        <f t="shared" ref="H57" si="41">H55*Federal_Tax_Rate-H56</f>
        <v>-498.56550617957043</v>
      </c>
      <c r="I57" s="151">
        <f t="shared" ref="I57" si="42">I55*Federal_Tax_Rate-I56</f>
        <v>-489.92674839992389</v>
      </c>
      <c r="J57" s="151">
        <f t="shared" ref="J57" si="43">J55*Federal_Tax_Rate-J56</f>
        <v>-55.403744307946312</v>
      </c>
      <c r="K57" s="151">
        <f t="shared" ref="K57" si="44">K55*Federal_Tax_Rate-K56</f>
        <v>375.87435512916403</v>
      </c>
      <c r="L57" s="151">
        <f t="shared" ref="L57" si="45">L55*Federal_Tax_Rate-L56</f>
        <v>381.89931883009746</v>
      </c>
      <c r="M57" s="151">
        <f t="shared" ref="M57" si="46">M55*Federal_Tax_Rate-M56</f>
        <v>388.31072647889249</v>
      </c>
      <c r="N57" s="151">
        <f t="shared" ref="N57" si="47">N55*Federal_Tax_Rate-N56</f>
        <v>395.13023234507017</v>
      </c>
      <c r="O57" s="151">
        <f>O55*Federal_Tax_Rate-O56</f>
        <v>-3.1163592348416547</v>
      </c>
      <c r="P57" s="151">
        <f t="shared" ref="P57" si="48">P55*Federal_Tax_Rate-P56</f>
        <v>-212.50074324858915</v>
      </c>
      <c r="Q57" s="151">
        <f t="shared" ref="Q57" si="49">Q55*Federal_Tax_Rate-Q56</f>
        <v>-43.069526679004746</v>
      </c>
      <c r="R57" s="151">
        <f t="shared" ref="R57" si="50">R55*Federal_Tax_Rate-R56</f>
        <v>83.359270537457931</v>
      </c>
      <c r="S57" s="151">
        <f t="shared" ref="S57" si="51">S55*Federal_Tax_Rate-S56</f>
        <v>179.38272645491361</v>
      </c>
      <c r="T57" s="151">
        <f t="shared" ref="T57" si="52">T55*Federal_Tax_Rate-T56</f>
        <v>197.99011861003984</v>
      </c>
      <c r="U57" s="151">
        <f t="shared" ref="U57" si="53">U55*Federal_Tax_Rate-U56</f>
        <v>217.67889867544727</v>
      </c>
      <c r="V57" s="151">
        <f t="shared" ref="V57" si="54">V55*Federal_Tax_Rate-V56</f>
        <v>336.59277286697255</v>
      </c>
      <c r="W57" s="151">
        <f t="shared" ref="W57" si="55">W55*Federal_Tax_Rate-W56</f>
        <v>456.64496384921637</v>
      </c>
      <c r="X57" s="152">
        <f t="shared" ref="X57" si="56">X55*Federal_Tax_Rate-X56</f>
        <v>479.94989717686661</v>
      </c>
      <c r="Y57" s="156"/>
    </row>
    <row r="58" spans="1:25" hidden="1" outlineLevel="1">
      <c r="A58" s="95"/>
      <c r="C58" s="126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2"/>
      <c r="Y58" s="156"/>
    </row>
    <row r="59" spans="1:25" hidden="1" outlineLevel="1">
      <c r="A59" s="95"/>
      <c r="B59" s="37">
        <f>IRR(D59:Y59,0.1)</f>
        <v>7.500000517130001E-2</v>
      </c>
      <c r="C59" s="125" t="s">
        <v>55</v>
      </c>
      <c r="D59" s="155">
        <f>SUM(D68:D69)</f>
        <v>-41398.129359847022</v>
      </c>
      <c r="E59" s="156">
        <f t="shared" ref="E59:K59" si="57">E54-E57</f>
        <v>20108.226511249548</v>
      </c>
      <c r="F59" s="151">
        <f t="shared" si="57"/>
        <v>4442.2488244464203</v>
      </c>
      <c r="G59" s="151">
        <f>G54-G57</f>
        <v>3501.9322667671504</v>
      </c>
      <c r="H59" s="151">
        <f t="shared" si="57"/>
        <v>2938.8510302138852</v>
      </c>
      <c r="I59" s="151">
        <f t="shared" si="57"/>
        <v>2943.1713060984716</v>
      </c>
      <c r="J59" s="151">
        <f t="shared" si="57"/>
        <v>2521.2253577996289</v>
      </c>
      <c r="K59" s="151">
        <f t="shared" si="57"/>
        <v>2085.4373641076809</v>
      </c>
      <c r="L59" s="151">
        <f>L54-L57</f>
        <v>2075.0150381413523</v>
      </c>
      <c r="M59" s="151">
        <f t="shared" ref="M59:N59" si="58">M54-M57</f>
        <v>2064.2266558945194</v>
      </c>
      <c r="N59" s="151">
        <f t="shared" si="58"/>
        <v>2053.0535884783585</v>
      </c>
      <c r="O59" s="151">
        <f>O54-O57-O52</f>
        <v>-8015.9812871019831</v>
      </c>
      <c r="P59" s="151">
        <f>P54-P57</f>
        <v>2652.0604018432982</v>
      </c>
      <c r="Q59" s="151">
        <f t="shared" ref="Q59:X59" si="59">Q54-Q57</f>
        <v>2478.3652675512139</v>
      </c>
      <c r="R59" s="151">
        <f t="shared" si="59"/>
        <v>2347.7093398368447</v>
      </c>
      <c r="S59" s="151">
        <f t="shared" si="59"/>
        <v>2247.4992230201374</v>
      </c>
      <c r="T59" s="151">
        <f t="shared" si="59"/>
        <v>2224.7494661579149</v>
      </c>
      <c r="U59" s="151">
        <f t="shared" si="59"/>
        <v>2200.9665929538978</v>
      </c>
      <c r="V59" s="151">
        <f t="shared" si="59"/>
        <v>2078.0110260457795</v>
      </c>
      <c r="W59" s="151">
        <f t="shared" si="59"/>
        <v>1953.9738299286096</v>
      </c>
      <c r="X59" s="152">
        <f t="shared" si="59"/>
        <v>1926.7450294805653</v>
      </c>
      <c r="Y59" s="156">
        <f>D59*-0.3</f>
        <v>12419.438807954106</v>
      </c>
    </row>
    <row r="60" spans="1:25" hidden="1" outlineLevel="1">
      <c r="A60" s="95"/>
      <c r="B60" s="37">
        <f>IRR(D60:Y60,0.1)</f>
        <v>0.13161799391710671</v>
      </c>
      <c r="C60" s="125" t="s">
        <v>56</v>
      </c>
      <c r="D60" s="155">
        <f>-D77</f>
        <v>-4856.9746777601522</v>
      </c>
      <c r="E60" s="156">
        <f t="shared" ref="E60:N60" si="60">E59-E62-E65-E73-E56</f>
        <v>798.03379143710481</v>
      </c>
      <c r="F60" s="151">
        <f t="shared" si="60"/>
        <v>804.55991768486501</v>
      </c>
      <c r="G60" s="151">
        <f t="shared" si="60"/>
        <v>810.10781961937982</v>
      </c>
      <c r="H60" s="151">
        <f t="shared" si="60"/>
        <v>814.54525883438544</v>
      </c>
      <c r="I60" s="151">
        <f t="shared" si="60"/>
        <v>818.86553471897184</v>
      </c>
      <c r="J60" s="151">
        <f t="shared" si="60"/>
        <v>822.55859324633229</v>
      </c>
      <c r="K60" s="151">
        <f t="shared" si="60"/>
        <v>812.40960638058732</v>
      </c>
      <c r="L60" s="151">
        <f t="shared" si="60"/>
        <v>801.98728041425875</v>
      </c>
      <c r="M60" s="151">
        <f t="shared" si="60"/>
        <v>791.1988981674258</v>
      </c>
      <c r="N60" s="151">
        <f t="shared" si="60"/>
        <v>780.02583075126495</v>
      </c>
      <c r="O60" s="151">
        <f>O59-O62-O65-O73-O56+O52</f>
        <v>-192.12688133329357</v>
      </c>
      <c r="P60" s="151">
        <f t="shared" ref="P60:X60" si="61">P59-P62-P65-P73-P56</f>
        <v>-211.24403318299755</v>
      </c>
      <c r="Q60" s="151">
        <f t="shared" si="61"/>
        <v>-231.19965341908994</v>
      </c>
      <c r="R60" s="151">
        <f t="shared" si="61"/>
        <v>-252.0385036356962</v>
      </c>
      <c r="S60" s="151">
        <f t="shared" si="61"/>
        <v>-273.80785081114436</v>
      </c>
      <c r="T60" s="151">
        <f t="shared" si="61"/>
        <v>-296.55760767336687</v>
      </c>
      <c r="U60" s="151">
        <f t="shared" si="61"/>
        <v>-320.34048087738392</v>
      </c>
      <c r="V60" s="151">
        <f t="shared" si="61"/>
        <v>-345.21212742735617</v>
      </c>
      <c r="W60" s="151">
        <f t="shared" si="61"/>
        <v>-371.23131979952404</v>
      </c>
      <c r="X60" s="152">
        <f t="shared" si="61"/>
        <v>-398.46012024756828</v>
      </c>
      <c r="Y60" s="156">
        <f>Y59</f>
        <v>12419.438807954106</v>
      </c>
    </row>
    <row r="61" spans="1:25" hidden="1" outlineLevel="1">
      <c r="A61" s="95"/>
      <c r="B61" s="21"/>
      <c r="C61" s="125"/>
      <c r="D61" s="155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2"/>
      <c r="Y61" s="156"/>
    </row>
    <row r="62" spans="1:25" hidden="1" outlineLevel="1">
      <c r="A62" s="95"/>
      <c r="B62" s="15"/>
      <c r="C62" s="126" t="s">
        <v>57</v>
      </c>
      <c r="D62" s="151"/>
      <c r="E62" s="151">
        <f t="shared" ref="E62:W62" si="62">D66*Debt_Rate</f>
        <v>836.72427403231711</v>
      </c>
      <c r="F62" s="151">
        <f t="shared" si="62"/>
        <v>812.72758242910436</v>
      </c>
      <c r="G62" s="151">
        <f t="shared" si="62"/>
        <v>787.41107278771494</v>
      </c>
      <c r="H62" s="151">
        <f t="shared" si="62"/>
        <v>760.70215511604908</v>
      </c>
      <c r="I62" s="151">
        <f t="shared" si="62"/>
        <v>732.52424697244157</v>
      </c>
      <c r="J62" s="151">
        <f t="shared" si="62"/>
        <v>702.79655388093579</v>
      </c>
      <c r="K62" s="151">
        <f t="shared" si="62"/>
        <v>671.43383766939701</v>
      </c>
      <c r="L62" s="151">
        <f t="shared" si="62"/>
        <v>638.34617206622374</v>
      </c>
      <c r="M62" s="151">
        <f t="shared" si="62"/>
        <v>603.43868485487587</v>
      </c>
      <c r="N62" s="151">
        <f t="shared" si="62"/>
        <v>566.61128584690391</v>
      </c>
      <c r="O62" s="151">
        <f t="shared" si="62"/>
        <v>963.95895163473642</v>
      </c>
      <c r="P62" s="151">
        <f t="shared" si="62"/>
        <v>889.09041073959952</v>
      </c>
      <c r="Q62" s="151">
        <f t="shared" si="62"/>
        <v>810.10410009523025</v>
      </c>
      <c r="R62" s="151">
        <f t="shared" si="62"/>
        <v>726.77354236542055</v>
      </c>
      <c r="S62" s="151">
        <f t="shared" si="62"/>
        <v>638.85980396047137</v>
      </c>
      <c r="T62" s="151">
        <f t="shared" si="62"/>
        <v>546.11080994324993</v>
      </c>
      <c r="U62" s="151">
        <f t="shared" si="62"/>
        <v>448.26062125508128</v>
      </c>
      <c r="V62" s="151">
        <f t="shared" si="62"/>
        <v>345.0286721890634</v>
      </c>
      <c r="W62" s="151">
        <f t="shared" si="62"/>
        <v>236.11896592441454</v>
      </c>
      <c r="X62" s="152">
        <f>W66*Debt_Rate</f>
        <v>121.21922581521001</v>
      </c>
      <c r="Y62" s="156"/>
    </row>
    <row r="63" spans="1:25" hidden="1" outlineLevel="1">
      <c r="A63" s="95"/>
      <c r="B63" s="15"/>
      <c r="C63" s="126" t="s">
        <v>113</v>
      </c>
      <c r="D63" s="151"/>
      <c r="E63" s="151">
        <f t="shared" ref="E63:X63" si="63">-PMT(Debt_Rate,20,$D76)</f>
        <v>1273.0277577270936</v>
      </c>
      <c r="F63" s="151">
        <f t="shared" si="63"/>
        <v>1273.0277577270936</v>
      </c>
      <c r="G63" s="151">
        <f t="shared" si="63"/>
        <v>1273.0277577270936</v>
      </c>
      <c r="H63" s="151">
        <f t="shared" si="63"/>
        <v>1273.0277577270936</v>
      </c>
      <c r="I63" s="151">
        <f t="shared" si="63"/>
        <v>1273.0277577270936</v>
      </c>
      <c r="J63" s="151">
        <f t="shared" si="63"/>
        <v>1273.0277577270936</v>
      </c>
      <c r="K63" s="151">
        <f t="shared" si="63"/>
        <v>1273.0277577270936</v>
      </c>
      <c r="L63" s="151">
        <f t="shared" si="63"/>
        <v>1273.0277577270936</v>
      </c>
      <c r="M63" s="151">
        <f t="shared" si="63"/>
        <v>1273.0277577270936</v>
      </c>
      <c r="N63" s="151">
        <f t="shared" si="63"/>
        <v>1273.0277577270936</v>
      </c>
      <c r="O63" s="151">
        <f t="shared" si="63"/>
        <v>1273.0277577270936</v>
      </c>
      <c r="P63" s="151">
        <f t="shared" si="63"/>
        <v>1273.0277577270936</v>
      </c>
      <c r="Q63" s="151">
        <f t="shared" si="63"/>
        <v>1273.0277577270936</v>
      </c>
      <c r="R63" s="151">
        <f t="shared" si="63"/>
        <v>1273.0277577270936</v>
      </c>
      <c r="S63" s="151">
        <f t="shared" si="63"/>
        <v>1273.0277577270936</v>
      </c>
      <c r="T63" s="151">
        <f t="shared" si="63"/>
        <v>1273.0277577270936</v>
      </c>
      <c r="U63" s="151">
        <f t="shared" si="63"/>
        <v>1273.0277577270936</v>
      </c>
      <c r="V63" s="151">
        <f t="shared" si="63"/>
        <v>1273.0277577270936</v>
      </c>
      <c r="W63" s="151">
        <f t="shared" si="63"/>
        <v>1273.0277577270936</v>
      </c>
      <c r="X63" s="152">
        <f t="shared" si="63"/>
        <v>1273.0277577270936</v>
      </c>
      <c r="Y63" s="156"/>
    </row>
    <row r="64" spans="1:25" s="95" customFormat="1" hidden="1" outlineLevel="1">
      <c r="B64" s="52"/>
      <c r="C64" s="126" t="s">
        <v>161</v>
      </c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>
        <f>-PMT(Debt_Rate,10,$O52)*$B76</f>
        <v>1052.1773920010398</v>
      </c>
      <c r="P64" s="151">
        <f t="shared" ref="P64:X64" si="64">-PMT(Debt_Rate,10,$O52)*$B76</f>
        <v>1052.1773920010398</v>
      </c>
      <c r="Q64" s="151">
        <f t="shared" si="64"/>
        <v>1052.1773920010398</v>
      </c>
      <c r="R64" s="151">
        <f t="shared" si="64"/>
        <v>1052.1773920010398</v>
      </c>
      <c r="S64" s="151">
        <f t="shared" si="64"/>
        <v>1052.1773920010398</v>
      </c>
      <c r="T64" s="151">
        <f t="shared" si="64"/>
        <v>1052.1773920010398</v>
      </c>
      <c r="U64" s="151">
        <f t="shared" si="64"/>
        <v>1052.1773920010398</v>
      </c>
      <c r="V64" s="151">
        <f t="shared" si="64"/>
        <v>1052.1773920010398</v>
      </c>
      <c r="W64" s="151">
        <f t="shared" si="64"/>
        <v>1052.1773920010398</v>
      </c>
      <c r="X64" s="152">
        <f t="shared" si="64"/>
        <v>1052.1773920010398</v>
      </c>
      <c r="Y64" s="156"/>
    </row>
    <row r="65" spans="1:25" hidden="1" outlineLevel="1">
      <c r="A65" s="95"/>
      <c r="B65" s="15"/>
      <c r="C65" s="126" t="s">
        <v>59</v>
      </c>
      <c r="D65" s="151"/>
      <c r="E65" s="156">
        <f>E64+E63-E62</f>
        <v>436.30348369477645</v>
      </c>
      <c r="F65" s="151">
        <f t="shared" ref="F65" si="65">F64+F63-F62</f>
        <v>460.3001752979892</v>
      </c>
      <c r="G65" s="151">
        <f t="shared" ref="G65" si="66">G64+G63-G62</f>
        <v>485.61668493937862</v>
      </c>
      <c r="H65" s="151">
        <f t="shared" ref="H65" si="67">H64+H63-H62</f>
        <v>512.32560261104447</v>
      </c>
      <c r="I65" s="151">
        <f t="shared" ref="I65" si="68">I64+I63-I62</f>
        <v>540.50351075465198</v>
      </c>
      <c r="J65" s="151">
        <f t="shared" ref="J65" si="69">J64+J63-J62</f>
        <v>570.23120384615777</v>
      </c>
      <c r="K65" s="151">
        <f t="shared" ref="K65" si="70">K64+K63-K62</f>
        <v>601.59392005769655</v>
      </c>
      <c r="L65" s="151">
        <f t="shared" ref="L65" si="71">L64+L63-L62</f>
        <v>634.68158566086981</v>
      </c>
      <c r="M65" s="151">
        <f>M64+M63-M62</f>
        <v>669.58907287221768</v>
      </c>
      <c r="N65" s="151">
        <f>N64+N63-N62</f>
        <v>706.41647188018965</v>
      </c>
      <c r="O65" s="151">
        <f>O64+O63-O62</f>
        <v>1361.2461980933972</v>
      </c>
      <c r="P65" s="151">
        <f>P64+P63-P62</f>
        <v>1436.1147389885341</v>
      </c>
      <c r="Q65" s="151">
        <f t="shared" ref="Q65" si="72">Q64+Q63-Q62</f>
        <v>1515.1010496329034</v>
      </c>
      <c r="R65" s="151">
        <f t="shared" ref="R65" si="73">R64+R63-R62</f>
        <v>1598.4316073627131</v>
      </c>
      <c r="S65" s="151">
        <f t="shared" ref="S65" si="74">S64+S63-S62</f>
        <v>1686.3453457676624</v>
      </c>
      <c r="T65" s="151">
        <f t="shared" ref="T65" si="75">T64+T63-T62</f>
        <v>1779.0943397848837</v>
      </c>
      <c r="U65" s="151">
        <f t="shared" ref="U65" si="76">U64+U63-U62</f>
        <v>1876.9445284730523</v>
      </c>
      <c r="V65" s="151">
        <f t="shared" ref="V65" si="77">V64+V63-V62</f>
        <v>1980.1764775390702</v>
      </c>
      <c r="W65" s="151">
        <f t="shared" ref="W65" si="78">W64+W63-W62</f>
        <v>2089.086183803719</v>
      </c>
      <c r="X65" s="152">
        <f t="shared" ref="X65" si="79">X64+X63-X62</f>
        <v>2203.9859239129237</v>
      </c>
      <c r="Y65" s="156"/>
    </row>
    <row r="66" spans="1:25" hidden="1" outlineLevel="1">
      <c r="A66" s="95"/>
      <c r="B66" s="15"/>
      <c r="C66" s="126" t="s">
        <v>60</v>
      </c>
      <c r="D66" s="151">
        <f>D76</f>
        <v>15213.168618769401</v>
      </c>
      <c r="E66" s="151">
        <f t="shared" ref="E66:X66" si="80">D66-E65+(F52*$B$76)</f>
        <v>14776.865135074624</v>
      </c>
      <c r="F66" s="151">
        <f t="shared" si="80"/>
        <v>14316.564959776635</v>
      </c>
      <c r="G66" s="151">
        <f t="shared" si="80"/>
        <v>13830.948274837256</v>
      </c>
      <c r="H66" s="151">
        <f t="shared" si="80"/>
        <v>13318.622672226211</v>
      </c>
      <c r="I66" s="151">
        <f t="shared" si="80"/>
        <v>12778.119161471559</v>
      </c>
      <c r="J66" s="151">
        <f t="shared" si="80"/>
        <v>12207.8879576254</v>
      </c>
      <c r="K66" s="151">
        <f t="shared" si="80"/>
        <v>11606.294037567704</v>
      </c>
      <c r="L66" s="151">
        <f t="shared" si="80"/>
        <v>10971.612451906834</v>
      </c>
      <c r="M66" s="151">
        <f t="shared" si="80"/>
        <v>10302.023379034617</v>
      </c>
      <c r="N66" s="151">
        <f t="shared" si="80"/>
        <v>17526.526393358843</v>
      </c>
      <c r="O66" s="151">
        <f t="shared" si="80"/>
        <v>16165.280195265446</v>
      </c>
      <c r="P66" s="151">
        <f t="shared" si="80"/>
        <v>14729.165456276913</v>
      </c>
      <c r="Q66" s="151">
        <f t="shared" si="80"/>
        <v>13214.064406644009</v>
      </c>
      <c r="R66" s="151">
        <f t="shared" si="80"/>
        <v>11615.632799281297</v>
      </c>
      <c r="S66" s="151">
        <f t="shared" si="80"/>
        <v>9929.2874535136343</v>
      </c>
      <c r="T66" s="151">
        <f t="shared" si="80"/>
        <v>8150.1931137287502</v>
      </c>
      <c r="U66" s="151">
        <f t="shared" si="80"/>
        <v>6273.2485852556983</v>
      </c>
      <c r="V66" s="151">
        <f t="shared" si="80"/>
        <v>4293.0721077166281</v>
      </c>
      <c r="W66" s="151">
        <f t="shared" si="80"/>
        <v>2203.9859239129091</v>
      </c>
      <c r="X66" s="152">
        <f t="shared" si="80"/>
        <v>-1.4551915228366852E-11</v>
      </c>
      <c r="Y66" s="156"/>
    </row>
    <row r="67" spans="1:25" hidden="1" outlineLevel="1">
      <c r="A67" s="95"/>
      <c r="B67" s="15"/>
      <c r="C67" s="125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2"/>
      <c r="Y67" s="156"/>
    </row>
    <row r="68" spans="1:25" hidden="1" outlineLevel="1">
      <c r="A68" s="95"/>
      <c r="B68" s="15"/>
      <c r="C68" s="126" t="s">
        <v>162</v>
      </c>
      <c r="D68" s="151">
        <f>-INDEX('DATA (Nominal)'!$B$59:$BX$59,1,MATCH($B$1,'DATA (Nominal)'!$B$1:$BX$1,0))*'Resource Options'!$E$12/1000*1000000*(1+AFUDC!$C$12)</f>
        <v>-24575.567959202475</v>
      </c>
      <c r="E68" s="151">
        <f t="shared" ref="E68:X68" si="81">-$D68/20</f>
        <v>1228.7783979601238</v>
      </c>
      <c r="F68" s="151">
        <f t="shared" si="81"/>
        <v>1228.7783979601238</v>
      </c>
      <c r="G68" s="151">
        <f t="shared" si="81"/>
        <v>1228.7783979601238</v>
      </c>
      <c r="H68" s="151">
        <f t="shared" si="81"/>
        <v>1228.7783979601238</v>
      </c>
      <c r="I68" s="151">
        <f t="shared" si="81"/>
        <v>1228.7783979601238</v>
      </c>
      <c r="J68" s="151">
        <f t="shared" si="81"/>
        <v>1228.7783979601238</v>
      </c>
      <c r="K68" s="151">
        <f t="shared" si="81"/>
        <v>1228.7783979601238</v>
      </c>
      <c r="L68" s="151">
        <f t="shared" si="81"/>
        <v>1228.7783979601238</v>
      </c>
      <c r="M68" s="151">
        <f t="shared" si="81"/>
        <v>1228.7783979601238</v>
      </c>
      <c r="N68" s="151">
        <f t="shared" si="81"/>
        <v>1228.7783979601238</v>
      </c>
      <c r="O68" s="151">
        <f t="shared" si="81"/>
        <v>1228.7783979601238</v>
      </c>
      <c r="P68" s="151">
        <f t="shared" si="81"/>
        <v>1228.7783979601238</v>
      </c>
      <c r="Q68" s="151">
        <f t="shared" si="81"/>
        <v>1228.7783979601238</v>
      </c>
      <c r="R68" s="151">
        <f t="shared" si="81"/>
        <v>1228.7783979601238</v>
      </c>
      <c r="S68" s="151">
        <f t="shared" si="81"/>
        <v>1228.7783979601238</v>
      </c>
      <c r="T68" s="151">
        <f t="shared" si="81"/>
        <v>1228.7783979601238</v>
      </c>
      <c r="U68" s="151">
        <f t="shared" si="81"/>
        <v>1228.7783979601238</v>
      </c>
      <c r="V68" s="151">
        <f t="shared" si="81"/>
        <v>1228.7783979601238</v>
      </c>
      <c r="W68" s="151">
        <f t="shared" si="81"/>
        <v>1228.7783979601238</v>
      </c>
      <c r="X68" s="152">
        <f t="shared" si="81"/>
        <v>1228.7783979601238</v>
      </c>
      <c r="Y68" s="156"/>
    </row>
    <row r="69" spans="1:25" s="146" customFormat="1" hidden="1" outlineLevel="1">
      <c r="B69" s="458"/>
      <c r="C69" s="258" t="s">
        <v>163</v>
      </c>
      <c r="D69" s="151">
        <f>-INDEX('DATA (Nominal)'!$B$60:$BX$60,1,MATCH($B$1,'DATA (Nominal)'!$B$1:$BX$1,0))*1000000*(1+AFUDC!$D$12)*'Resource Options'!$D$12/1000</f>
        <v>-16822.56140064455</v>
      </c>
      <c r="E69" s="151">
        <f>-$D69/10</f>
        <v>1682.2561400644549</v>
      </c>
      <c r="F69" s="151">
        <f t="shared" ref="F69:N69" si="82">-$D69/10</f>
        <v>1682.2561400644549</v>
      </c>
      <c r="G69" s="151">
        <f t="shared" si="82"/>
        <v>1682.2561400644549</v>
      </c>
      <c r="H69" s="151">
        <f t="shared" si="82"/>
        <v>1682.2561400644549</v>
      </c>
      <c r="I69" s="151">
        <f t="shared" si="82"/>
        <v>1682.2561400644549</v>
      </c>
      <c r="J69" s="151">
        <f t="shared" si="82"/>
        <v>1682.2561400644549</v>
      </c>
      <c r="K69" s="151">
        <f t="shared" si="82"/>
        <v>1682.2561400644549</v>
      </c>
      <c r="L69" s="151">
        <f t="shared" si="82"/>
        <v>1682.2561400644549</v>
      </c>
      <c r="M69" s="151">
        <f t="shared" si="82"/>
        <v>1682.2561400644549</v>
      </c>
      <c r="N69" s="151">
        <f t="shared" si="82"/>
        <v>1682.2561400644549</v>
      </c>
      <c r="O69" s="151">
        <f>$O52/10</f>
        <v>1046.2954467288148</v>
      </c>
      <c r="P69" s="151">
        <f t="shared" ref="P69:X69" si="83">$O52/10</f>
        <v>1046.2954467288148</v>
      </c>
      <c r="Q69" s="151">
        <f t="shared" si="83"/>
        <v>1046.2954467288148</v>
      </c>
      <c r="R69" s="151">
        <f t="shared" si="83"/>
        <v>1046.2954467288148</v>
      </c>
      <c r="S69" s="151">
        <f t="shared" si="83"/>
        <v>1046.2954467288148</v>
      </c>
      <c r="T69" s="151">
        <f t="shared" si="83"/>
        <v>1046.2954467288148</v>
      </c>
      <c r="U69" s="151">
        <f t="shared" si="83"/>
        <v>1046.2954467288148</v>
      </c>
      <c r="V69" s="151">
        <f t="shared" si="83"/>
        <v>1046.2954467288148</v>
      </c>
      <c r="W69" s="151">
        <f t="shared" si="83"/>
        <v>1046.2954467288148</v>
      </c>
      <c r="X69" s="152">
        <f t="shared" si="83"/>
        <v>1046.2954467288148</v>
      </c>
      <c r="Y69" s="156"/>
    </row>
    <row r="70" spans="1:25" s="146" customFormat="1" hidden="1" outlineLevel="1">
      <c r="B70" s="458"/>
      <c r="C70" s="125" t="s">
        <v>62</v>
      </c>
      <c r="D70" s="151"/>
      <c r="E70" s="151">
        <f>SUM($E68:E69)</f>
        <v>2911.034538024579</v>
      </c>
      <c r="F70" s="151">
        <f>SUM($E68:F69)</f>
        <v>5822.069076049158</v>
      </c>
      <c r="G70" s="151">
        <f>SUM($E68:G69)</f>
        <v>8733.1036140737378</v>
      </c>
      <c r="H70" s="151">
        <f>SUM($E68:H69)</f>
        <v>11644.138152098316</v>
      </c>
      <c r="I70" s="151">
        <f>SUM($E68:I69)</f>
        <v>14555.172690122896</v>
      </c>
      <c r="J70" s="151">
        <f>SUM($E68:J69)</f>
        <v>17466.207228147472</v>
      </c>
      <c r="K70" s="151">
        <f>SUM($E68:K69)</f>
        <v>20377.241766172054</v>
      </c>
      <c r="L70" s="151">
        <f>SUM($E68:L69)</f>
        <v>23288.276304196632</v>
      </c>
      <c r="M70" s="151">
        <f>SUM($E68:M69)</f>
        <v>26199.310842221214</v>
      </c>
      <c r="N70" s="151">
        <f>SUM($E68:N69)</f>
        <v>29110.345380245792</v>
      </c>
      <c r="O70" s="151">
        <f>SUM($E68:O69)</f>
        <v>31385.419224934732</v>
      </c>
      <c r="P70" s="151">
        <f>SUM($E68:P69)</f>
        <v>33660.49306962367</v>
      </c>
      <c r="Q70" s="151">
        <f>SUM($E68:Q69)</f>
        <v>35935.566914312607</v>
      </c>
      <c r="R70" s="151">
        <f>SUM($E68:R69)</f>
        <v>38210.640759001544</v>
      </c>
      <c r="S70" s="151">
        <f>SUM($E68:S69)</f>
        <v>40485.714603690481</v>
      </c>
      <c r="T70" s="151">
        <f>SUM($E68:T69)</f>
        <v>42760.788448379419</v>
      </c>
      <c r="U70" s="151">
        <f>SUM($E68:U69)</f>
        <v>45035.862293068356</v>
      </c>
      <c r="V70" s="151">
        <f>SUM($E68:V69)</f>
        <v>47310.936137757293</v>
      </c>
      <c r="W70" s="151">
        <f>SUM($E68:W69)</f>
        <v>49586.00998244623</v>
      </c>
      <c r="X70" s="152">
        <f>SUM($E68:X69)</f>
        <v>51861.083827135168</v>
      </c>
      <c r="Y70" s="156"/>
    </row>
    <row r="71" spans="1:25" s="146" customFormat="1" hidden="1" outlineLevel="1">
      <c r="B71" s="458"/>
      <c r="C71" s="125" t="s">
        <v>63</v>
      </c>
      <c r="D71" s="151"/>
      <c r="E71" s="151">
        <f>-$D59-E70</f>
        <v>38487.094821822444</v>
      </c>
      <c r="F71" s="151">
        <f t="shared" ref="F71:G71" si="84">-$D59-F70</f>
        <v>35576.060283797866</v>
      </c>
      <c r="G71" s="151">
        <f t="shared" si="84"/>
        <v>32665.025745773284</v>
      </c>
      <c r="H71" s="156">
        <f>-$D59-H70</f>
        <v>29753.991207748706</v>
      </c>
      <c r="I71" s="151">
        <f t="shared" ref="I71:L71" si="85">-$D59-I70</f>
        <v>26842.956669724124</v>
      </c>
      <c r="J71" s="151">
        <f t="shared" si="85"/>
        <v>23931.92213169955</v>
      </c>
      <c r="K71" s="151">
        <f t="shared" si="85"/>
        <v>21020.887593674968</v>
      </c>
      <c r="L71" s="151">
        <f t="shared" si="85"/>
        <v>18109.85305565039</v>
      </c>
      <c r="M71" s="151">
        <f>-$D59-M70</f>
        <v>15198.818517625808</v>
      </c>
      <c r="N71" s="151">
        <f>-$D59-N70</f>
        <v>12287.78397960123</v>
      </c>
      <c r="O71" s="151">
        <f>-$D59-O70+$O52</f>
        <v>20475.664602200435</v>
      </c>
      <c r="P71" s="151">
        <f t="shared" ref="P71" si="86">-$D59-P70+$O52</f>
        <v>18200.590757511498</v>
      </c>
      <c r="Q71" s="151">
        <f t="shared" ref="Q71" si="87">-$D59-Q70+$O52</f>
        <v>15925.516912822563</v>
      </c>
      <c r="R71" s="151">
        <f t="shared" ref="R71" si="88">-$D59-R70+$O52</f>
        <v>13650.443068133625</v>
      </c>
      <c r="S71" s="151">
        <f t="shared" ref="S71" si="89">-$D59-S70+$O52</f>
        <v>11375.369223444688</v>
      </c>
      <c r="T71" s="151">
        <f t="shared" ref="T71" si="90">-$D59-T70+$O52</f>
        <v>9100.2953787557508</v>
      </c>
      <c r="U71" s="151">
        <f t="shared" ref="U71" si="91">-$D59-U70+$O52</f>
        <v>6825.2215340668135</v>
      </c>
      <c r="V71" s="151">
        <f t="shared" ref="V71" si="92">-$D59-V70+$O52</f>
        <v>4550.1476893778763</v>
      </c>
      <c r="W71" s="151">
        <f t="shared" ref="W71" si="93">-$D59-W70+$O52</f>
        <v>2275.0738446889391</v>
      </c>
      <c r="X71" s="152">
        <f t="shared" ref="X71" si="94">-$D59-X70+$O52</f>
        <v>0</v>
      </c>
      <c r="Y71" s="156"/>
    </row>
    <row r="72" spans="1:25" s="146" customFormat="1" hidden="1" outlineLevel="1">
      <c r="B72" s="458"/>
      <c r="C72" s="258" t="s">
        <v>65</v>
      </c>
      <c r="D72" s="151"/>
      <c r="E72" s="151">
        <f>-$D59*Assumptions!J$12*INDEX('DATA (Nominal)'!$B$342:$BX$342,1,MATCH($B$1,'DATA (Nominal)'!$B$1:$BX$1,0))</f>
        <v>7037.681991173994</v>
      </c>
      <c r="F72" s="151">
        <f>-$D59*Assumptions!K$12*INDEX('DATA (Nominal)'!$B$342:$BX$342,1,MATCH($B$1,'DATA (Nominal)'!$B$1:$BX$1,0))</f>
        <v>11260.29118587839</v>
      </c>
      <c r="G72" s="151">
        <f>-$D59*Assumptions!L$12*INDEX('DATA (Nominal)'!$B$342:$BX$342,1,MATCH($B$1,'DATA (Nominal)'!$B$1:$BX$1,0))</f>
        <v>6756.1747115270337</v>
      </c>
      <c r="H72" s="151">
        <f>-$D59*Assumptions!M$12*INDEX('DATA (Nominal)'!$B$342:$BX$342,1,MATCH($B$1,'DATA (Nominal)'!$B$1:$BX$1,0))</f>
        <v>4053.7048269162201</v>
      </c>
      <c r="I72" s="151">
        <f>-$D59*Assumptions!N$12*INDEX('DATA (Nominal)'!$B$342:$BX$342,1,MATCH($B$1,'DATA (Nominal)'!$B$1:$BX$1,0))</f>
        <v>4053.7048269162201</v>
      </c>
      <c r="J72" s="151">
        <f>-$D59*Assumptions!O$12*INDEX('DATA (Nominal)'!$B$342:$BX$342,1,MATCH($B$1,'DATA (Nominal)'!$B$1:$BX$1,0))</f>
        <v>2026.85241345811</v>
      </c>
      <c r="K72" s="151">
        <f>-$D59*Assumptions!P$12*INDEX('DATA (Nominal)'!$B$342:$BX$342,1,MATCH($B$1,'DATA (Nominal)'!$B$1:$BX$1,0))</f>
        <v>0</v>
      </c>
      <c r="L72" s="151">
        <f>-$D59*Assumptions!Q$12*INDEX('DATA (Nominal)'!$B$342:$BX$342,1,MATCH($B$1,'DATA (Nominal)'!$B$1:$BX$1,0))</f>
        <v>0</v>
      </c>
      <c r="M72" s="151">
        <f>-$D59*Assumptions!R$12*INDEX('DATA (Nominal)'!$B$342:$BX$342,1,MATCH($B$1,'DATA (Nominal)'!$B$1:$BX$1,0))</f>
        <v>0</v>
      </c>
      <c r="N72" s="151">
        <f>-$D59*Assumptions!S$12*INDEX('DATA (Nominal)'!$B$342:$BX$342,1,MATCH($B$1,'DATA (Nominal)'!$B$1:$BX$1,0))</f>
        <v>0</v>
      </c>
      <c r="O72" s="151">
        <f>$O52*Assumptions!T$12</f>
        <v>1494.7376751967847</v>
      </c>
      <c r="P72" s="151">
        <f>$O52*Assumptions!U$12</f>
        <v>2562.3775490388675</v>
      </c>
      <c r="Q72" s="151">
        <f>$O52*Assumptions!V$12</f>
        <v>1830.2846249627157</v>
      </c>
      <c r="R72" s="151">
        <f>$O52*Assumptions!W$12</f>
        <v>1307.346160687654</v>
      </c>
      <c r="S72" s="151">
        <f>$O52*Assumptions!X$12</f>
        <v>933.81868620546709</v>
      </c>
      <c r="T72" s="151">
        <f>$O52*Assumptions!Y$12</f>
        <v>933.81868620546709</v>
      </c>
      <c r="U72" s="151">
        <f>$O52*Assumptions!Z$12</f>
        <v>933.81868620546709</v>
      </c>
      <c r="V72" s="151">
        <f>$O52*Assumptions!AA$12</f>
        <v>466.75239878572421</v>
      </c>
      <c r="W72" s="151">
        <f>$O52*Assumptions!AB$12</f>
        <v>0</v>
      </c>
      <c r="X72" s="160">
        <f>$O52*Assumptions!AC$12</f>
        <v>0</v>
      </c>
      <c r="Y72" s="156"/>
    </row>
    <row r="73" spans="1:25" ht="15.75" hidden="1" outlineLevel="1" thickBot="1">
      <c r="A73" s="95"/>
      <c r="B73" s="15"/>
      <c r="C73" s="127" t="s">
        <v>66</v>
      </c>
      <c r="D73" s="157"/>
      <c r="E73" s="157">
        <f>E72*Federal_Tax_Rate</f>
        <v>1477.9132181465386</v>
      </c>
      <c r="F73" s="157">
        <f>F72*Federal_Tax_Rate</f>
        <v>2364.6611490344617</v>
      </c>
      <c r="G73" s="157">
        <f t="shared" ref="G73" si="95">G72*Federal_Tax_Rate</f>
        <v>1418.796689420677</v>
      </c>
      <c r="H73" s="157">
        <f t="shared" ref="H73" si="96">H72*Federal_Tax_Rate</f>
        <v>851.27801365240623</v>
      </c>
      <c r="I73" s="157">
        <f t="shared" ref="I73" si="97">I72*Federal_Tax_Rate</f>
        <v>851.27801365240623</v>
      </c>
      <c r="J73" s="157">
        <f t="shared" ref="J73" si="98">J72*Federal_Tax_Rate</f>
        <v>425.63900682620311</v>
      </c>
      <c r="K73" s="157">
        <f t="shared" ref="K73" si="99">K72*Federal_Tax_Rate</f>
        <v>0</v>
      </c>
      <c r="L73" s="157">
        <f t="shared" ref="L73" si="100">L72*Federal_Tax_Rate</f>
        <v>0</v>
      </c>
      <c r="M73" s="157">
        <f t="shared" ref="M73" si="101">M72*Federal_Tax_Rate</f>
        <v>0</v>
      </c>
      <c r="N73" s="157">
        <f>N72*Federal_Tax_Rate</f>
        <v>0</v>
      </c>
      <c r="O73" s="157">
        <f>O72*Federal_Tax_Rate</f>
        <v>313.89491179132477</v>
      </c>
      <c r="P73" s="157">
        <f t="shared" ref="P73" si="102">P72*Federal_Tax_Rate</f>
        <v>538.09928529816216</v>
      </c>
      <c r="Q73" s="157">
        <f t="shared" ref="Q73" si="103">Q72*Federal_Tax_Rate</f>
        <v>384.35977124217027</v>
      </c>
      <c r="R73" s="157">
        <f t="shared" ref="R73" si="104">R72*Federal_Tax_Rate</f>
        <v>274.5426937444073</v>
      </c>
      <c r="S73" s="157">
        <f t="shared" ref="S73" si="105">S72*Federal_Tax_Rate</f>
        <v>196.10192410314809</v>
      </c>
      <c r="T73" s="157">
        <f t="shared" ref="T73" si="106">T72*Federal_Tax_Rate</f>
        <v>196.10192410314809</v>
      </c>
      <c r="U73" s="157">
        <f t="shared" ref="U73" si="107">U72*Federal_Tax_Rate</f>
        <v>196.10192410314809</v>
      </c>
      <c r="V73" s="157">
        <f t="shared" ref="V73" si="108">V72*Federal_Tax_Rate</f>
        <v>98.018003745002076</v>
      </c>
      <c r="W73" s="157">
        <f t="shared" ref="W73" si="109">W72*Federal_Tax_Rate</f>
        <v>0</v>
      </c>
      <c r="X73" s="158">
        <f t="shared" ref="X73" si="110">X72*Federal_Tax_Rate</f>
        <v>0</v>
      </c>
      <c r="Y73" s="156"/>
    </row>
    <row r="74" spans="1:25" hidden="1" outlineLevel="1">
      <c r="A74" s="95"/>
      <c r="B74" s="15"/>
      <c r="C74" s="128" t="s">
        <v>67</v>
      </c>
      <c r="D74" s="104">
        <f>NPV(Tax_Equity_Rate,E73:N73)</f>
        <v>5995.3455596704216</v>
      </c>
      <c r="E74" s="105">
        <f>D74/D78</f>
        <v>0.14482165383746645</v>
      </c>
      <c r="F74" s="99"/>
      <c r="G74" s="99"/>
      <c r="H74" s="99"/>
      <c r="I74" s="99"/>
      <c r="J74" s="99"/>
      <c r="K74" s="99"/>
      <c r="L74" s="99"/>
      <c r="M74" s="261"/>
      <c r="N74" s="261"/>
      <c r="O74" s="261"/>
      <c r="P74" s="261"/>
      <c r="Q74" s="261"/>
      <c r="R74" s="261"/>
      <c r="S74" s="261"/>
      <c r="T74" s="261"/>
      <c r="U74" s="261"/>
      <c r="V74" s="261"/>
      <c r="W74" s="261"/>
      <c r="X74" s="261"/>
      <c r="Y74" s="261"/>
    </row>
    <row r="75" spans="1:25" hidden="1" outlineLevel="1">
      <c r="A75" s="95"/>
      <c r="B75" s="15"/>
      <c r="C75" s="125" t="s">
        <v>129</v>
      </c>
      <c r="D75" s="106">
        <f>NPV(Tax_Equity_Rate,E56:X56)</f>
        <v>15332.640503647046</v>
      </c>
      <c r="E75" s="107">
        <f>D75/D78</f>
        <v>0.37037037037037041</v>
      </c>
      <c r="F75" s="95"/>
      <c r="G75" s="95"/>
      <c r="H75" s="95"/>
      <c r="I75" s="95"/>
      <c r="J75" s="95"/>
      <c r="K75" s="95"/>
      <c r="L75" s="95"/>
    </row>
    <row r="76" spans="1:25" hidden="1" outlineLevel="1">
      <c r="A76" s="95"/>
      <c r="B76" s="22">
        <f>Assumptions!F12</f>
        <v>0.75800000000000001</v>
      </c>
      <c r="C76" s="125" t="s">
        <v>68</v>
      </c>
      <c r="D76" s="106">
        <f>(D78-D74-D75)*$B76</f>
        <v>15213.168618769401</v>
      </c>
      <c r="E76" s="107">
        <f>D76/D78</f>
        <v>0.36748444565045968</v>
      </c>
      <c r="F76" s="95"/>
      <c r="G76" s="95"/>
      <c r="H76" s="95"/>
      <c r="I76" s="95"/>
      <c r="J76" s="95"/>
      <c r="K76" s="95"/>
      <c r="L76" s="95"/>
    </row>
    <row r="77" spans="1:25" hidden="1" outlineLevel="1">
      <c r="A77" s="95"/>
      <c r="B77" s="22">
        <f>1-B76</f>
        <v>0.24199999999999999</v>
      </c>
      <c r="C77" s="125" t="s">
        <v>69</v>
      </c>
      <c r="D77" s="106">
        <f>(D78-D74-D75)*$B77</f>
        <v>4856.9746777601522</v>
      </c>
      <c r="E77" s="107">
        <f>D77/D78</f>
        <v>0.11732353014170349</v>
      </c>
      <c r="F77" s="95"/>
      <c r="G77" s="95"/>
      <c r="H77" s="95"/>
      <c r="I77" s="95"/>
      <c r="J77" s="95"/>
      <c r="K77" s="95"/>
      <c r="L77" s="95"/>
    </row>
    <row r="78" spans="1:25" hidden="1" outlineLevel="1">
      <c r="A78" s="95"/>
      <c r="C78" s="125" t="s">
        <v>70</v>
      </c>
      <c r="D78" s="106">
        <f>-D59</f>
        <v>41398.129359847022</v>
      </c>
      <c r="E78" s="108"/>
      <c r="F78" s="95"/>
      <c r="G78" s="95"/>
      <c r="H78" s="95"/>
      <c r="I78" s="95"/>
      <c r="J78" s="95"/>
      <c r="K78" s="95"/>
      <c r="L78" s="95"/>
    </row>
    <row r="79" spans="1:25" ht="15.75" hidden="1" outlineLevel="1" thickBot="1">
      <c r="A79" s="95"/>
      <c r="C79" s="127" t="s">
        <v>71</v>
      </c>
      <c r="D79" s="109">
        <f>SUM(D74:D77)-D78</f>
        <v>0</v>
      </c>
      <c r="E79" s="110"/>
      <c r="F79" s="95"/>
      <c r="G79" s="95"/>
      <c r="H79" s="95"/>
      <c r="I79" s="95"/>
      <c r="J79" s="95"/>
      <c r="K79" s="95"/>
      <c r="L79" s="95"/>
    </row>
    <row r="80" spans="1:25" hidden="1" outlineLevel="1">
      <c r="A80" s="95"/>
    </row>
    <row r="81" spans="1:25" ht="15.75" collapsed="1" thickBot="1">
      <c r="A81" s="95"/>
    </row>
    <row r="82" spans="1:25" ht="18.75" thickBot="1">
      <c r="A82" s="95"/>
      <c r="B82" s="82"/>
      <c r="C82" s="484" t="s">
        <v>131</v>
      </c>
      <c r="D82" s="485"/>
      <c r="E82" s="485"/>
      <c r="F82" s="485"/>
      <c r="G82" s="485"/>
      <c r="H82" s="486"/>
      <c r="Y82" s="261"/>
    </row>
    <row r="83" spans="1:25" hidden="1" outlineLevel="1">
      <c r="A83" s="95"/>
      <c r="C83" s="124" t="s">
        <v>44</v>
      </c>
      <c r="D83" s="98"/>
      <c r="E83" s="98">
        <f>'Resource Options'!$E$13*INDEX('DATA (Nominal)'!$B$13:$BX$13,1,MATCH($B$1,'DATA (Nominal)'!$B$1:$BX$1,0))*8760</f>
        <v>8.6424979367249435</v>
      </c>
      <c r="F83" s="98">
        <f>E83</f>
        <v>8.6424979367249435</v>
      </c>
      <c r="G83" s="98">
        <f t="shared" ref="G83:X83" si="111">F83</f>
        <v>8.6424979367249435</v>
      </c>
      <c r="H83" s="98">
        <f t="shared" si="111"/>
        <v>8.6424979367249435</v>
      </c>
      <c r="I83" s="98">
        <f t="shared" si="111"/>
        <v>8.6424979367249435</v>
      </c>
      <c r="J83" s="98">
        <f t="shared" si="111"/>
        <v>8.6424979367249435</v>
      </c>
      <c r="K83" s="98">
        <f t="shared" si="111"/>
        <v>8.6424979367249435</v>
      </c>
      <c r="L83" s="98">
        <f t="shared" si="111"/>
        <v>8.6424979367249435</v>
      </c>
      <c r="M83" s="142">
        <f t="shared" si="111"/>
        <v>8.6424979367249435</v>
      </c>
      <c r="N83" s="142">
        <f t="shared" si="111"/>
        <v>8.6424979367249435</v>
      </c>
      <c r="O83" s="142">
        <f t="shared" si="111"/>
        <v>8.6424979367249435</v>
      </c>
      <c r="P83" s="142">
        <f t="shared" si="111"/>
        <v>8.6424979367249435</v>
      </c>
      <c r="Q83" s="142">
        <f t="shared" si="111"/>
        <v>8.6424979367249435</v>
      </c>
      <c r="R83" s="142">
        <f t="shared" si="111"/>
        <v>8.6424979367249435</v>
      </c>
      <c r="S83" s="142">
        <f t="shared" si="111"/>
        <v>8.6424979367249435</v>
      </c>
      <c r="T83" s="142">
        <f t="shared" si="111"/>
        <v>8.6424979367249435</v>
      </c>
      <c r="U83" s="142">
        <f t="shared" si="111"/>
        <v>8.6424979367249435</v>
      </c>
      <c r="V83" s="142">
        <f t="shared" si="111"/>
        <v>8.6424979367249435</v>
      </c>
      <c r="W83" s="142">
        <f t="shared" si="111"/>
        <v>8.6424979367249435</v>
      </c>
      <c r="X83" s="454">
        <f t="shared" si="111"/>
        <v>8.6424979367249435</v>
      </c>
      <c r="Y83" s="261"/>
    </row>
    <row r="84" spans="1:25" hidden="1" outlineLevel="1">
      <c r="A84" s="95"/>
      <c r="C84" s="125" t="s">
        <v>45</v>
      </c>
      <c r="D84" s="114"/>
      <c r="E84" s="117">
        <f>INDEX('PPA Summary'!$3:$34,MATCH($C82,'PPA Summary'!$D$3:$D$34,0),MATCH(B$1,'PPA Summary'!$2:$2,0))</f>
        <v>162.41428755858183</v>
      </c>
      <c r="F84" s="112">
        <f>E84</f>
        <v>162.41428755858183</v>
      </c>
      <c r="G84" s="112">
        <f t="shared" ref="G84:X84" si="112">F84</f>
        <v>162.41428755858183</v>
      </c>
      <c r="H84" s="112">
        <f t="shared" si="112"/>
        <v>162.41428755858183</v>
      </c>
      <c r="I84" s="112">
        <f t="shared" si="112"/>
        <v>162.41428755858183</v>
      </c>
      <c r="J84" s="112">
        <f t="shared" si="112"/>
        <v>162.41428755858183</v>
      </c>
      <c r="K84" s="112">
        <f t="shared" si="112"/>
        <v>162.41428755858183</v>
      </c>
      <c r="L84" s="112">
        <f t="shared" si="112"/>
        <v>162.41428755858183</v>
      </c>
      <c r="M84" s="117">
        <f t="shared" si="112"/>
        <v>162.41428755858183</v>
      </c>
      <c r="N84" s="117">
        <f t="shared" si="112"/>
        <v>162.41428755858183</v>
      </c>
      <c r="O84" s="117">
        <f t="shared" si="112"/>
        <v>162.41428755858183</v>
      </c>
      <c r="P84" s="117">
        <f t="shared" si="112"/>
        <v>162.41428755858183</v>
      </c>
      <c r="Q84" s="117">
        <f t="shared" si="112"/>
        <v>162.41428755858183</v>
      </c>
      <c r="R84" s="117">
        <f t="shared" si="112"/>
        <v>162.41428755858183</v>
      </c>
      <c r="S84" s="117">
        <f t="shared" si="112"/>
        <v>162.41428755858183</v>
      </c>
      <c r="T84" s="117">
        <f t="shared" si="112"/>
        <v>162.41428755858183</v>
      </c>
      <c r="U84" s="117">
        <f t="shared" si="112"/>
        <v>162.41428755858183</v>
      </c>
      <c r="V84" s="117">
        <f t="shared" si="112"/>
        <v>162.41428755858183</v>
      </c>
      <c r="W84" s="117">
        <f t="shared" si="112"/>
        <v>162.41428755858183</v>
      </c>
      <c r="X84" s="161">
        <f t="shared" si="112"/>
        <v>162.41428755858183</v>
      </c>
      <c r="Y84" s="261"/>
    </row>
    <row r="85" spans="1:25" hidden="1" outlineLevel="1">
      <c r="A85" s="95"/>
      <c r="C85" s="126" t="s">
        <v>46</v>
      </c>
      <c r="D85" s="114"/>
      <c r="E85" s="114">
        <f>E84*E83</f>
        <v>1403.6651451196951</v>
      </c>
      <c r="F85" s="114">
        <f t="shared" ref="F85" si="113">F84*F83</f>
        <v>1403.6651451196951</v>
      </c>
      <c r="G85" s="114">
        <f t="shared" ref="G85" si="114">G84*G83</f>
        <v>1403.6651451196951</v>
      </c>
      <c r="H85" s="114">
        <f t="shared" ref="H85" si="115">H84*H83</f>
        <v>1403.6651451196951</v>
      </c>
      <c r="I85" s="114">
        <f t="shared" ref="I85" si="116">I84*I83</f>
        <v>1403.6651451196951</v>
      </c>
      <c r="J85" s="114">
        <f t="shared" ref="J85" si="117">J84*J83</f>
        <v>1403.6651451196951</v>
      </c>
      <c r="K85" s="114">
        <f t="shared" ref="K85" si="118">K84*K83</f>
        <v>1403.6651451196951</v>
      </c>
      <c r="L85" s="114">
        <f t="shared" ref="L85" si="119">L84*L83</f>
        <v>1403.6651451196951</v>
      </c>
      <c r="M85" s="93">
        <f t="shared" ref="M85" si="120">M84*M83</f>
        <v>1403.6651451196951</v>
      </c>
      <c r="N85" s="93">
        <f t="shared" ref="N85" si="121">N84*N83</f>
        <v>1403.6651451196951</v>
      </c>
      <c r="O85" s="93">
        <f t="shared" ref="O85" si="122">O84*O83</f>
        <v>1403.6651451196951</v>
      </c>
      <c r="P85" s="93">
        <f t="shared" ref="P85" si="123">P84*P83</f>
        <v>1403.6651451196951</v>
      </c>
      <c r="Q85" s="93">
        <f t="shared" ref="Q85" si="124">Q84*Q83</f>
        <v>1403.6651451196951</v>
      </c>
      <c r="R85" s="93">
        <f t="shared" ref="R85" si="125">R84*R83</f>
        <v>1403.6651451196951</v>
      </c>
      <c r="S85" s="93">
        <f t="shared" ref="S85" si="126">S84*S83</f>
        <v>1403.6651451196951</v>
      </c>
      <c r="T85" s="93">
        <f t="shared" ref="T85" si="127">T84*T83</f>
        <v>1403.6651451196951</v>
      </c>
      <c r="U85" s="93">
        <f t="shared" ref="U85" si="128">U84*U83</f>
        <v>1403.6651451196951</v>
      </c>
      <c r="V85" s="93">
        <f t="shared" ref="V85" si="129">V84*V83</f>
        <v>1403.6651451196951</v>
      </c>
      <c r="W85" s="93">
        <f t="shared" ref="W85" si="130">W84*W83</f>
        <v>1403.6651451196951</v>
      </c>
      <c r="X85" s="161">
        <f t="shared" ref="X85" si="131">X84*X83</f>
        <v>1403.6651451196951</v>
      </c>
      <c r="Y85" s="261"/>
    </row>
    <row r="86" spans="1:25" hidden="1" outlineLevel="1">
      <c r="A86" s="95"/>
      <c r="C86" s="33"/>
      <c r="D86" s="19"/>
      <c r="E86" s="19"/>
      <c r="F86" s="19"/>
      <c r="G86" s="19"/>
      <c r="H86" s="19"/>
      <c r="I86" s="19"/>
      <c r="J86" s="19"/>
      <c r="K86" s="19"/>
      <c r="L86" s="19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161"/>
      <c r="Y86" s="261"/>
    </row>
    <row r="87" spans="1:25" hidden="1" outlineLevel="1">
      <c r="A87" s="95"/>
      <c r="B87" s="92"/>
      <c r="C87" s="32" t="s">
        <v>47</v>
      </c>
      <c r="D87" s="19"/>
      <c r="E87" s="19">
        <f>'Resource Options'!$E$13*INDEX('DATA (Nominal)'!$B$180:$BX$180,1,MATCH(E$1,'DATA (Nominal)'!$B$1:$BX$1,0))*1000</f>
        <v>158.76886372805325</v>
      </c>
      <c r="F87" s="19">
        <f>'Resource Options'!$E$13*INDEX('DATA (Nominal)'!$B$180:$BX$180,1,MATCH(F$1,'DATA (Nominal)'!$B$1:$BX$1,0))*1000</f>
        <v>149.42817126650451</v>
      </c>
      <c r="G87" s="19">
        <f>'Resource Options'!$E$13*INDEX('DATA (Nominal)'!$B$180:$BX$180,1,MATCH(G$1,'DATA (Nominal)'!$B$1:$BX$1,0))*1000</f>
        <v>139.59107082730935</v>
      </c>
      <c r="H87" s="19">
        <f>'Resource Options'!$E$13*INDEX('DATA (Nominal)'!$B$180:$BX$180,1,MATCH(H$1,'DATA (Nominal)'!$B$1:$BX$1,0))*1000</f>
        <v>129.19790953688511</v>
      </c>
      <c r="I87" s="19">
        <f>'Resource Options'!$E$13*INDEX('DATA (Nominal)'!$B$180:$BX$180,1,MATCH(I$1,'DATA (Nominal)'!$B$1:$BX$1,0))*1000</f>
        <v>118.27988707140187</v>
      </c>
      <c r="J87" s="19">
        <f>'Resource Options'!$E$13*INDEX('DATA (Nominal)'!$B$180:$BX$180,1,MATCH(J$1,'DATA (Nominal)'!$B$1:$BX$1,0))*1000</f>
        <v>106.81893982922148</v>
      </c>
      <c r="K87" s="19">
        <f>'Resource Options'!$E$13*INDEX('DATA (Nominal)'!$B$180:$BX$180,1,MATCH(K$1,'DATA (Nominal)'!$B$1:$BX$1,0))*1000</f>
        <v>108.27675549270886</v>
      </c>
      <c r="L87" s="19">
        <f>'Resource Options'!$E$13*INDEX('DATA (Nominal)'!$B$180:$BX$180,1,MATCH(L$1,'DATA (Nominal)'!$B$1:$BX$1,0))*1000</f>
        <v>109.74701467851236</v>
      </c>
      <c r="M87" s="93">
        <f>'Resource Options'!$E$13*INDEX('DATA (Nominal)'!$B$180:$BX$180,1,MATCH(M$1,'DATA (Nominal)'!$B$1:$BX$1,0))*1000</f>
        <v>111.22955931883271</v>
      </c>
      <c r="N87" s="93">
        <f>'Resource Options'!$E$13*INDEX('DATA (Nominal)'!$B$180:$BX$180,1,MATCH(N$1,'DATA (Nominal)'!$B$1:$BX$1,0))*1000</f>
        <v>112.72421836822279</v>
      </c>
      <c r="O87" s="93">
        <f>'Resource Options'!$E$13*INDEX('DATA (Nominal)'!$B$180:$BX$180,1,MATCH(O$1,'DATA (Nominal)'!$B$1:$BX$1,0))*1000</f>
        <v>114.23080730907569</v>
      </c>
      <c r="P87" s="93">
        <f>'Resource Options'!$E$13*INDEX('DATA (Nominal)'!$B$180:$BX$180,1,MATCH(P$1,'DATA (Nominal)'!$B$1:$BX$1,0))*1000</f>
        <v>115.74912764163592</v>
      </c>
      <c r="Q87" s="93">
        <f>'Resource Options'!$E$13*INDEX('DATA (Nominal)'!$B$180:$BX$180,1,MATCH(Q$1,'DATA (Nominal)'!$B$1:$BX$1,0))*1000</f>
        <v>117.2789663580912</v>
      </c>
      <c r="R87" s="93">
        <f>'Resource Options'!$E$13*INDEX('DATA (Nominal)'!$B$180:$BX$180,1,MATCH(R$1,'DATA (Nominal)'!$B$1:$BX$1,0))*1000</f>
        <v>118.82009540029195</v>
      </c>
      <c r="S87" s="93">
        <f>'Resource Options'!$E$13*INDEX('DATA (Nominal)'!$B$180:$BX$180,1,MATCH(S$1,'DATA (Nominal)'!$B$1:$BX$1,0))*1000</f>
        <v>120.37227110063225</v>
      </c>
      <c r="T87" s="93">
        <f>'Resource Options'!$E$13*INDEX('DATA (Nominal)'!$B$180:$BX$180,1,MATCH(T$1,'DATA (Nominal)'!$B$1:$BX$1,0))*1000</f>
        <v>121.93523360561375</v>
      </c>
      <c r="U87" s="93">
        <f>'Resource Options'!$E$13*INDEX('DATA (Nominal)'!$B$180:$BX$180,1,MATCH(U$1,'DATA (Nominal)'!$B$1:$BX$1,0))*1000</f>
        <v>123.5087062816017</v>
      </c>
      <c r="V87" s="93">
        <f>'Resource Options'!$E$13*INDEX('DATA (Nominal)'!$B$180:$BX$180,1,MATCH(V$1,'DATA (Nominal)'!$B$1:$BX$1,0))*1000</f>
        <v>125.09239510226807</v>
      </c>
      <c r="W87" s="93">
        <f>'Resource Options'!$E$13*INDEX('DATA (Nominal)'!$B$180:$BX$180,1,MATCH(W$1,'DATA (Nominal)'!$B$1:$BX$1,0))*1000</f>
        <v>126.68598801720343</v>
      </c>
      <c r="X87" s="161">
        <f>'Resource Options'!$E$13*INDEX('DATA (Nominal)'!$B$180:$BX$180,1,MATCH(X$1,'DATA (Nominal)'!$B$1:$BX$1,0))*1000</f>
        <v>128.28915430116643</v>
      </c>
      <c r="Y87" s="261"/>
    </row>
    <row r="88" spans="1:25" hidden="1" outlineLevel="1">
      <c r="A88" s="95"/>
      <c r="C88" s="32" t="s">
        <v>48</v>
      </c>
      <c r="D88" s="19"/>
      <c r="E88" s="93">
        <f>E83*INDEX('DATA (Nominal)'!$B$108:$BX$108,1,MATCH(E$1,'DATA (Nominal)'!$B$1:$BX$1,0))</f>
        <v>0</v>
      </c>
      <c r="F88" s="19">
        <f>F83*INDEX('DATA (Nominal)'!$B$108:$BX$108,1,MATCH(F$1,'DATA (Nominal)'!$B$1:$BX$1,0))</f>
        <v>0</v>
      </c>
      <c r="G88" s="19">
        <f>G83*INDEX('DATA (Nominal)'!$B$108:$BX$108,1,MATCH(G$1,'DATA (Nominal)'!$B$1:$BX$1,0))</f>
        <v>0</v>
      </c>
      <c r="H88" s="19">
        <f>H83*INDEX('DATA (Nominal)'!$B$108:$BX$108,1,MATCH(H$1,'DATA (Nominal)'!$B$1:$BX$1,0))</f>
        <v>0</v>
      </c>
      <c r="I88" s="19">
        <f>I83*INDEX('DATA (Nominal)'!$B$108:$BX$108,1,MATCH(I$1,'DATA (Nominal)'!$B$1:$BX$1,0))</f>
        <v>0</v>
      </c>
      <c r="J88" s="19">
        <f>J83*INDEX('DATA (Nominal)'!$B$108:$BX$108,1,MATCH(J$1,'DATA (Nominal)'!$B$1:$BX$1,0))</f>
        <v>0</v>
      </c>
      <c r="K88" s="19">
        <f>K83*INDEX('DATA (Nominal)'!$B$108:$BX$108,1,MATCH(K$1,'DATA (Nominal)'!$B$1:$BX$1,0))</f>
        <v>0</v>
      </c>
      <c r="L88" s="19">
        <f>L83*INDEX('DATA (Nominal)'!$B$108:$BX$108,1,MATCH(L$1,'DATA (Nominal)'!$B$1:$BX$1,0))</f>
        <v>0</v>
      </c>
      <c r="M88" s="93">
        <f>M83*INDEX('DATA (Nominal)'!$B$108:$BX$108,1,MATCH(M$1,'DATA (Nominal)'!$B$1:$BX$1,0))</f>
        <v>0</v>
      </c>
      <c r="N88" s="93">
        <f>N83*INDEX('DATA (Nominal)'!$B$108:$BX$108,1,MATCH(N$1,'DATA (Nominal)'!$B$1:$BX$1,0))</f>
        <v>0</v>
      </c>
      <c r="O88" s="93">
        <f>O83*INDEX('DATA (Nominal)'!$B$108:$BX$108,1,MATCH(O$1,'DATA (Nominal)'!$B$1:$BX$1,0))</f>
        <v>0</v>
      </c>
      <c r="P88" s="93">
        <f>P83*INDEX('DATA (Nominal)'!$B$108:$BX$108,1,MATCH(P$1,'DATA (Nominal)'!$B$1:$BX$1,0))</f>
        <v>0</v>
      </c>
      <c r="Q88" s="93">
        <f>Q83*INDEX('DATA (Nominal)'!$B$108:$BX$108,1,MATCH(Q$1,'DATA (Nominal)'!$B$1:$BX$1,0))</f>
        <v>0</v>
      </c>
      <c r="R88" s="93">
        <f>R83*INDEX('DATA (Nominal)'!$B$108:$BX$108,1,MATCH(R$1,'DATA (Nominal)'!$B$1:$BX$1,0))</f>
        <v>0</v>
      </c>
      <c r="S88" s="93">
        <f>S83*INDEX('DATA (Nominal)'!$B$108:$BX$108,1,MATCH(S$1,'DATA (Nominal)'!$B$1:$BX$1,0))</f>
        <v>0</v>
      </c>
      <c r="T88" s="93">
        <f>T83*INDEX('DATA (Nominal)'!$B$108:$BX$108,1,MATCH(T$1,'DATA (Nominal)'!$B$1:$BX$1,0))</f>
        <v>0</v>
      </c>
      <c r="U88" s="93">
        <f>U83*INDEX('DATA (Nominal)'!$B$108:$BX$108,1,MATCH(U$1,'DATA (Nominal)'!$B$1:$BX$1,0))</f>
        <v>0</v>
      </c>
      <c r="V88" s="93">
        <f>V83*INDEX('DATA (Nominal)'!$B$108:$BX$108,1,MATCH(V$1,'DATA (Nominal)'!$B$1:$BX$1,0))</f>
        <v>0</v>
      </c>
      <c r="W88" s="93">
        <f>W83*INDEX('DATA (Nominal)'!$B$108:$BX$108,1,MATCH(W$1,'DATA (Nominal)'!$B$1:$BX$1,0))</f>
        <v>0</v>
      </c>
      <c r="X88" s="161">
        <f>X83*INDEX('DATA (Nominal)'!$B$108:$BX$108,1,MATCH(X$1,'DATA (Nominal)'!$B$1:$BX$1,0))</f>
        <v>0</v>
      </c>
      <c r="Y88" s="261"/>
    </row>
    <row r="89" spans="1:25" hidden="1" outlineLevel="1">
      <c r="A89" s="95"/>
      <c r="C89" s="32" t="s">
        <v>127</v>
      </c>
      <c r="D89" s="19"/>
      <c r="E89" s="93">
        <f>E85*INDEX('DATA (Nominal)'!$B$328:$BX$328,1,MATCH(E$1,'DATA (Nominal)'!$B$1:$BX$1,0))</f>
        <v>0</v>
      </c>
      <c r="F89" s="19">
        <f>F85*INDEX('DATA (Nominal)'!$B$328:$BX$328,1,MATCH(F$1,'DATA (Nominal)'!$B$1:$BX$1,0))</f>
        <v>0</v>
      </c>
      <c r="G89" s="19">
        <f>G85*INDEX('DATA (Nominal)'!$B$328:$BX$328,1,MATCH(G$1,'DATA (Nominal)'!$B$1:$BX$1,0))</f>
        <v>0</v>
      </c>
      <c r="H89" s="19">
        <f>H85*INDEX('DATA (Nominal)'!$B$328:$BX$328,1,MATCH(H$1,'DATA (Nominal)'!$B$1:$BX$1,0))</f>
        <v>0</v>
      </c>
      <c r="I89" s="19">
        <f>I85*INDEX('DATA (Nominal)'!$B$328:$BX$328,1,MATCH(I$1,'DATA (Nominal)'!$B$1:$BX$1,0))</f>
        <v>0</v>
      </c>
      <c r="J89" s="19">
        <f>J85*INDEX('DATA (Nominal)'!$B$328:$BX$328,1,MATCH(J$1,'DATA (Nominal)'!$B$1:$BX$1,0))</f>
        <v>0</v>
      </c>
      <c r="K89" s="19">
        <f>K85*INDEX('DATA (Nominal)'!$B$328:$BX$328,1,MATCH(K$1,'DATA (Nominal)'!$B$1:$BX$1,0))</f>
        <v>0</v>
      </c>
      <c r="L89" s="19">
        <f>L85*INDEX('DATA (Nominal)'!$B$328:$BX$328,1,MATCH(L$1,'DATA (Nominal)'!$B$1:$BX$1,0))</f>
        <v>0</v>
      </c>
      <c r="M89" s="93">
        <f>M85*INDEX('DATA (Nominal)'!$B$328:$BX$328,1,MATCH(M$1,'DATA (Nominal)'!$B$1:$BX$1,0))</f>
        <v>0</v>
      </c>
      <c r="N89" s="93">
        <f>N85*INDEX('DATA (Nominal)'!$B$328:$BX$328,1,MATCH(N$1,'DATA (Nominal)'!$B$1:$BX$1,0))</f>
        <v>0</v>
      </c>
      <c r="O89" s="93">
        <f>O85*INDEX('DATA (Nominal)'!$B$328:$BX$328,1,MATCH(O$1,'DATA (Nominal)'!$B$1:$BX$1,0))</f>
        <v>0</v>
      </c>
      <c r="P89" s="93">
        <f>P85*INDEX('DATA (Nominal)'!$B$328:$BX$328,1,MATCH(P$1,'DATA (Nominal)'!$B$1:$BX$1,0))</f>
        <v>0</v>
      </c>
      <c r="Q89" s="93">
        <f>Q85*INDEX('DATA (Nominal)'!$B$328:$BX$328,1,MATCH(Q$1,'DATA (Nominal)'!$B$1:$BX$1,0))</f>
        <v>0</v>
      </c>
      <c r="R89" s="93">
        <f>R85*INDEX('DATA (Nominal)'!$B$328:$BX$328,1,MATCH(R$1,'DATA (Nominal)'!$B$1:$BX$1,0))</f>
        <v>0</v>
      </c>
      <c r="S89" s="93">
        <f>S85*INDEX('DATA (Nominal)'!$B$328:$BX$328,1,MATCH(S$1,'DATA (Nominal)'!$B$1:$BX$1,0))</f>
        <v>0</v>
      </c>
      <c r="T89" s="93">
        <f>T85*INDEX('DATA (Nominal)'!$B$328:$BX$328,1,MATCH(T$1,'DATA (Nominal)'!$B$1:$BX$1,0))</f>
        <v>0</v>
      </c>
      <c r="U89" s="93">
        <f>U85*INDEX('DATA (Nominal)'!$B$328:$BX$328,1,MATCH(U$1,'DATA (Nominal)'!$B$1:$BX$1,0))</f>
        <v>0</v>
      </c>
      <c r="V89" s="93">
        <f>V85*INDEX('DATA (Nominal)'!$B$328:$BX$328,1,MATCH(V$1,'DATA (Nominal)'!$B$1:$BX$1,0))</f>
        <v>0</v>
      </c>
      <c r="W89" s="93">
        <f>W85*INDEX('DATA (Nominal)'!$B$328:$BX$328,1,MATCH(W$1,'DATA (Nominal)'!$B$1:$BX$1,0))</f>
        <v>0</v>
      </c>
      <c r="X89" s="161">
        <f>X85*INDEX('DATA (Nominal)'!$B$328:$BX$328,1,MATCH(X$1,'DATA (Nominal)'!$B$1:$BX$1,0))</f>
        <v>0</v>
      </c>
      <c r="Y89" s="261"/>
    </row>
    <row r="90" spans="1:25" hidden="1" outlineLevel="1">
      <c r="A90" s="254"/>
      <c r="C90" s="258" t="s">
        <v>50</v>
      </c>
      <c r="D90" s="114"/>
      <c r="E90" s="114">
        <f t="shared" ref="E90:X90" si="132">SUM(E87:E89)</f>
        <v>158.76886372805325</v>
      </c>
      <c r="F90" s="114">
        <f t="shared" si="132"/>
        <v>149.42817126650451</v>
      </c>
      <c r="G90" s="114">
        <f t="shared" si="132"/>
        <v>139.59107082730935</v>
      </c>
      <c r="H90" s="114">
        <f t="shared" si="132"/>
        <v>129.19790953688511</v>
      </c>
      <c r="I90" s="114">
        <f t="shared" si="132"/>
        <v>118.27988707140187</v>
      </c>
      <c r="J90" s="114">
        <f t="shared" si="132"/>
        <v>106.81893982922148</v>
      </c>
      <c r="K90" s="114">
        <f t="shared" si="132"/>
        <v>108.27675549270886</v>
      </c>
      <c r="L90" s="114">
        <f t="shared" si="132"/>
        <v>109.74701467851236</v>
      </c>
      <c r="M90" s="93">
        <f t="shared" si="132"/>
        <v>111.22955931883271</v>
      </c>
      <c r="N90" s="93">
        <f t="shared" si="132"/>
        <v>112.72421836822279</v>
      </c>
      <c r="O90" s="93">
        <f t="shared" si="132"/>
        <v>114.23080730907569</v>
      </c>
      <c r="P90" s="93">
        <f t="shared" si="132"/>
        <v>115.74912764163592</v>
      </c>
      <c r="Q90" s="93">
        <f t="shared" si="132"/>
        <v>117.2789663580912</v>
      </c>
      <c r="R90" s="93">
        <f t="shared" si="132"/>
        <v>118.82009540029195</v>
      </c>
      <c r="S90" s="93">
        <f t="shared" si="132"/>
        <v>120.37227110063225</v>
      </c>
      <c r="T90" s="93">
        <f t="shared" si="132"/>
        <v>121.93523360561375</v>
      </c>
      <c r="U90" s="93">
        <f t="shared" si="132"/>
        <v>123.5087062816017</v>
      </c>
      <c r="V90" s="93">
        <f t="shared" si="132"/>
        <v>125.09239510226807</v>
      </c>
      <c r="W90" s="93">
        <f t="shared" si="132"/>
        <v>126.68598801720343</v>
      </c>
      <c r="X90" s="161">
        <f t="shared" si="132"/>
        <v>128.28915430116643</v>
      </c>
      <c r="Y90" s="261"/>
    </row>
    <row r="91" spans="1:25" hidden="1" outlineLevel="1">
      <c r="A91" s="95"/>
      <c r="C91" s="33"/>
      <c r="D91" s="19"/>
      <c r="E91" s="19"/>
      <c r="F91" s="19"/>
      <c r="G91" s="19"/>
      <c r="H91" s="19"/>
      <c r="I91" s="19"/>
      <c r="J91" s="19"/>
      <c r="K91" s="19"/>
      <c r="L91" s="19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161"/>
      <c r="Y91" s="261"/>
    </row>
    <row r="92" spans="1:25" hidden="1" outlineLevel="1">
      <c r="A92" s="95"/>
      <c r="C92" s="32" t="s">
        <v>51</v>
      </c>
      <c r="D92" s="19"/>
      <c r="E92" s="19">
        <f t="shared" ref="E92:X92" si="133">E85-E90</f>
        <v>1244.8962813916419</v>
      </c>
      <c r="F92" s="19">
        <f t="shared" si="133"/>
        <v>1254.2369738531906</v>
      </c>
      <c r="G92" s="19">
        <f t="shared" si="133"/>
        <v>1264.0740742923858</v>
      </c>
      <c r="H92" s="19">
        <f t="shared" si="133"/>
        <v>1274.46723558281</v>
      </c>
      <c r="I92" s="19">
        <f t="shared" si="133"/>
        <v>1285.3852580482933</v>
      </c>
      <c r="J92" s="19">
        <f t="shared" si="133"/>
        <v>1296.8462052904736</v>
      </c>
      <c r="K92" s="19">
        <f t="shared" si="133"/>
        <v>1295.3883896269863</v>
      </c>
      <c r="L92" s="19">
        <f t="shared" si="133"/>
        <v>1293.9181304411827</v>
      </c>
      <c r="M92" s="93">
        <f t="shared" si="133"/>
        <v>1292.4355858008623</v>
      </c>
      <c r="N92" s="93">
        <f t="shared" si="133"/>
        <v>1290.9409267514723</v>
      </c>
      <c r="O92" s="93">
        <f t="shared" si="133"/>
        <v>1289.4343378106194</v>
      </c>
      <c r="P92" s="93">
        <f t="shared" si="133"/>
        <v>1287.9160174780593</v>
      </c>
      <c r="Q92" s="93">
        <f t="shared" si="133"/>
        <v>1286.386178761604</v>
      </c>
      <c r="R92" s="93">
        <f t="shared" si="133"/>
        <v>1284.8450497194033</v>
      </c>
      <c r="S92" s="93">
        <f t="shared" si="133"/>
        <v>1283.2928740190628</v>
      </c>
      <c r="T92" s="93">
        <f t="shared" si="133"/>
        <v>1281.7299115140813</v>
      </c>
      <c r="U92" s="93">
        <f t="shared" si="133"/>
        <v>1280.1564388380934</v>
      </c>
      <c r="V92" s="93">
        <f t="shared" si="133"/>
        <v>1278.5727500174271</v>
      </c>
      <c r="W92" s="93">
        <f t="shared" si="133"/>
        <v>1276.9791571024916</v>
      </c>
      <c r="X92" s="161">
        <f t="shared" si="133"/>
        <v>1275.3759908185286</v>
      </c>
      <c r="Y92" s="261"/>
    </row>
    <row r="93" spans="1:25" hidden="1" outlineLevel="1">
      <c r="A93" s="95"/>
      <c r="C93" s="32" t="s">
        <v>52</v>
      </c>
      <c r="D93" s="19"/>
      <c r="E93" s="93">
        <f t="shared" ref="E93:X93" si="134">E92-E108-E100</f>
        <v>-3849.1746376600081</v>
      </c>
      <c r="F93" s="19">
        <f t="shared" si="134"/>
        <v>-6555.9790273894951</v>
      </c>
      <c r="G93" s="19">
        <f t="shared" si="134"/>
        <v>-3615.9841389908715</v>
      </c>
      <c r="H93" s="19">
        <f t="shared" si="134"/>
        <v>-1840.0444842423606</v>
      </c>
      <c r="I93" s="19">
        <f t="shared" si="134"/>
        <v>-1810.8977525130051</v>
      </c>
      <c r="J93" s="19">
        <f t="shared" si="134"/>
        <v>-469.0044449587599</v>
      </c>
      <c r="K93" s="19">
        <f t="shared" si="134"/>
        <v>861.02782054485397</v>
      </c>
      <c r="L93" s="19">
        <f t="shared" si="134"/>
        <v>880.96246598953485</v>
      </c>
      <c r="M93" s="93">
        <f t="shared" si="134"/>
        <v>902.06209573437559</v>
      </c>
      <c r="N93" s="93">
        <f t="shared" si="134"/>
        <v>924.39163066133051</v>
      </c>
      <c r="O93" s="93">
        <f t="shared" si="134"/>
        <v>948.01956636552154</v>
      </c>
      <c r="P93" s="93">
        <f t="shared" si="134"/>
        <v>973.01816953348293</v>
      </c>
      <c r="Q93" s="93">
        <f t="shared" si="134"/>
        <v>999.46368511007768</v>
      </c>
      <c r="R93" s="93">
        <f t="shared" si="134"/>
        <v>1027.4365548470448</v>
      </c>
      <c r="S93" s="93">
        <f t="shared" si="134"/>
        <v>1057.0216478587265</v>
      </c>
      <c r="T93" s="93">
        <f t="shared" si="134"/>
        <v>1088.3085038449283</v>
      </c>
      <c r="U93" s="93">
        <f t="shared" si="134"/>
        <v>1121.3915896771387</v>
      </c>
      <c r="V93" s="93">
        <f t="shared" si="134"/>
        <v>1156.3705700826217</v>
      </c>
      <c r="W93" s="93">
        <f t="shared" si="134"/>
        <v>1193.3505932012738</v>
      </c>
      <c r="X93" s="161">
        <f t="shared" si="134"/>
        <v>1232.4425918327454</v>
      </c>
      <c r="Y93" s="261"/>
    </row>
    <row r="94" spans="1:25" hidden="1" outlineLevel="1">
      <c r="A94" s="95"/>
      <c r="C94" s="32" t="s">
        <v>128</v>
      </c>
      <c r="D94" s="19"/>
      <c r="E94" s="19">
        <f>-$D97*INDEX('DATA (Nominal)'!$B$241:$BX$241,1,MATCH($B$1,'DATA (Nominal)'!$B$1:$BX$1,0))</f>
        <v>10712.42705913954</v>
      </c>
      <c r="F94" s="19"/>
      <c r="G94" s="19"/>
      <c r="H94" s="19"/>
      <c r="I94" s="19"/>
      <c r="J94" s="19"/>
      <c r="K94" s="19"/>
      <c r="L94" s="19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161"/>
      <c r="Y94" s="261"/>
    </row>
    <row r="95" spans="1:25" hidden="1" outlineLevel="1">
      <c r="A95" s="95"/>
      <c r="C95" s="33" t="s">
        <v>54</v>
      </c>
      <c r="D95" s="19"/>
      <c r="E95" s="19">
        <f t="shared" ref="E95:X95" si="135">E93*Federal_Tax_Rate-E94</f>
        <v>-11520.753733048141</v>
      </c>
      <c r="F95" s="19">
        <f t="shared" si="135"/>
        <v>-1376.7555957517939</v>
      </c>
      <c r="G95" s="19">
        <f t="shared" si="135"/>
        <v>-759.35666918808295</v>
      </c>
      <c r="H95" s="19">
        <f t="shared" si="135"/>
        <v>-386.4093416908957</v>
      </c>
      <c r="I95" s="19">
        <f t="shared" si="135"/>
        <v>-380.28852802773105</v>
      </c>
      <c r="J95" s="19">
        <f t="shared" si="135"/>
        <v>-98.490933441339578</v>
      </c>
      <c r="K95" s="19">
        <f t="shared" si="135"/>
        <v>180.81584231441931</v>
      </c>
      <c r="L95" s="19">
        <f t="shared" si="135"/>
        <v>185.00211785780232</v>
      </c>
      <c r="M95" s="93">
        <f t="shared" si="135"/>
        <v>189.43304010421886</v>
      </c>
      <c r="N95" s="93">
        <f t="shared" si="135"/>
        <v>194.1222424388794</v>
      </c>
      <c r="O95" s="93">
        <f t="shared" si="135"/>
        <v>199.08410893675952</v>
      </c>
      <c r="P95" s="93">
        <f t="shared" si="135"/>
        <v>204.33381560203142</v>
      </c>
      <c r="Q95" s="93">
        <f t="shared" si="135"/>
        <v>209.8873738731163</v>
      </c>
      <c r="R95" s="93">
        <f t="shared" si="135"/>
        <v>215.76167651787941</v>
      </c>
      <c r="S95" s="93">
        <f t="shared" si="135"/>
        <v>221.97454605033255</v>
      </c>
      <c r="T95" s="93">
        <f t="shared" si="135"/>
        <v>228.54478580743492</v>
      </c>
      <c r="U95" s="93">
        <f t="shared" si="135"/>
        <v>235.4922338321991</v>
      </c>
      <c r="V95" s="93">
        <f t="shared" si="135"/>
        <v>242.83781971735056</v>
      </c>
      <c r="W95" s="93">
        <f t="shared" si="135"/>
        <v>250.60362457226748</v>
      </c>
      <c r="X95" s="161">
        <f t="shared" si="135"/>
        <v>258.81294428487655</v>
      </c>
      <c r="Y95" s="261"/>
    </row>
    <row r="96" spans="1:25" hidden="1" outlineLevel="1">
      <c r="A96" s="95"/>
      <c r="C96" s="33"/>
      <c r="D96" s="19"/>
      <c r="E96" s="19"/>
      <c r="F96" s="19"/>
      <c r="G96" s="19"/>
      <c r="H96" s="19"/>
      <c r="I96" s="19"/>
      <c r="J96" s="19"/>
      <c r="K96" s="19"/>
      <c r="L96" s="19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161"/>
      <c r="Y96" s="261"/>
    </row>
    <row r="97" spans="1:25" hidden="1" outlineLevel="1">
      <c r="A97" s="95"/>
      <c r="B97" s="37">
        <f>IRR(D97:Y97,0.1)</f>
        <v>7.5000014077630128E-2</v>
      </c>
      <c r="C97" s="32" t="s">
        <v>55</v>
      </c>
      <c r="D97" s="4">
        <f>-(1+AFUDC!$C$13)*INDEX('DATA (Nominal)'!$B$61:$BX$61,1,MATCH($B$1,'DATA (Nominal)'!$B$1:$BX$1,0))*1000000*'Resource Options'!$E$13/1000</f>
        <v>-26781.067647848849</v>
      </c>
      <c r="E97" s="3">
        <f>E92-E95</f>
        <v>12765.650014439783</v>
      </c>
      <c r="F97" s="19">
        <f t="shared" ref="F97:X97" si="136">F92-F95</f>
        <v>2630.9925696049845</v>
      </c>
      <c r="G97" s="19">
        <f t="shared" si="136"/>
        <v>2023.4307434804687</v>
      </c>
      <c r="H97" s="19">
        <f t="shared" si="136"/>
        <v>1660.8765772737056</v>
      </c>
      <c r="I97" s="19">
        <f t="shared" si="136"/>
        <v>1665.6737860760243</v>
      </c>
      <c r="J97" s="19">
        <f t="shared" si="136"/>
        <v>1395.3371387318132</v>
      </c>
      <c r="K97" s="19">
        <f t="shared" si="136"/>
        <v>1114.5725473125669</v>
      </c>
      <c r="L97" s="19">
        <f t="shared" si="136"/>
        <v>1108.9160125833805</v>
      </c>
      <c r="M97" s="93">
        <f t="shared" si="136"/>
        <v>1103.0025456966434</v>
      </c>
      <c r="N97" s="93">
        <f t="shared" si="136"/>
        <v>1096.8186843125929</v>
      </c>
      <c r="O97" s="93">
        <f t="shared" si="136"/>
        <v>1090.3502288738598</v>
      </c>
      <c r="P97" s="93">
        <f t="shared" si="136"/>
        <v>1083.582201876028</v>
      </c>
      <c r="Q97" s="93">
        <f t="shared" si="136"/>
        <v>1076.4988048884877</v>
      </c>
      <c r="R97" s="93">
        <f t="shared" si="136"/>
        <v>1069.083373201524</v>
      </c>
      <c r="S97" s="93">
        <f t="shared" si="136"/>
        <v>1061.3183279687303</v>
      </c>
      <c r="T97" s="93">
        <f t="shared" si="136"/>
        <v>1053.1851257066464</v>
      </c>
      <c r="U97" s="93">
        <f t="shared" si="136"/>
        <v>1044.6642050058942</v>
      </c>
      <c r="V97" s="93">
        <f t="shared" si="136"/>
        <v>1035.7349303000765</v>
      </c>
      <c r="W97" s="93">
        <f t="shared" si="136"/>
        <v>1026.3755325302241</v>
      </c>
      <c r="X97" s="161">
        <f t="shared" si="136"/>
        <v>1016.5630465336521</v>
      </c>
      <c r="Y97" s="261">
        <f>D97*-0.3</f>
        <v>8034.3202943546548</v>
      </c>
    </row>
    <row r="98" spans="1:25" hidden="1" outlineLevel="1">
      <c r="A98" s="95"/>
      <c r="B98" s="37">
        <f>IRR(D98:Y98,0.1)</f>
        <v>0.10740684227643227</v>
      </c>
      <c r="C98" s="32" t="s">
        <v>56</v>
      </c>
      <c r="D98" s="6">
        <f>-D113</f>
        <v>-3142.0493974093947</v>
      </c>
      <c r="E98" s="3">
        <f t="shared" ref="E98:X98" si="137">E97-E100-E102-E109-E94</f>
        <v>273.5981869992811</v>
      </c>
      <c r="F98" s="19">
        <f t="shared" si="137"/>
        <v>277.71733228709854</v>
      </c>
      <c r="G98" s="19">
        <f t="shared" si="137"/>
        <v>282.04933978063343</v>
      </c>
      <c r="H98" s="19">
        <f t="shared" si="137"/>
        <v>286.63147374470054</v>
      </c>
      <c r="I98" s="19">
        <f t="shared" si="137"/>
        <v>291.42868254701921</v>
      </c>
      <c r="J98" s="19">
        <f t="shared" si="137"/>
        <v>296.44426033093083</v>
      </c>
      <c r="K98" s="19">
        <f t="shared" si="137"/>
        <v>291.03189403980736</v>
      </c>
      <c r="L98" s="19">
        <f t="shared" si="137"/>
        <v>285.37535931062092</v>
      </c>
      <c r="M98" s="93">
        <f t="shared" si="137"/>
        <v>279.4618924238838</v>
      </c>
      <c r="N98" s="93">
        <f t="shared" si="137"/>
        <v>273.27803103983331</v>
      </c>
      <c r="O98" s="93">
        <f t="shared" si="137"/>
        <v>266.80957560110011</v>
      </c>
      <c r="P98" s="93">
        <f t="shared" si="137"/>
        <v>260.04154860326832</v>
      </c>
      <c r="Q98" s="93">
        <f t="shared" si="137"/>
        <v>252.95815161572796</v>
      </c>
      <c r="R98" s="93">
        <f t="shared" si="137"/>
        <v>245.5427199287642</v>
      </c>
      <c r="S98" s="93">
        <f t="shared" si="137"/>
        <v>237.77767469597063</v>
      </c>
      <c r="T98" s="93">
        <f t="shared" si="137"/>
        <v>229.64447243388679</v>
      </c>
      <c r="U98" s="93">
        <f t="shared" si="137"/>
        <v>221.1235517331346</v>
      </c>
      <c r="V98" s="93">
        <f t="shared" si="137"/>
        <v>212.19427702731684</v>
      </c>
      <c r="W98" s="93">
        <f t="shared" si="137"/>
        <v>202.83487925746442</v>
      </c>
      <c r="X98" s="161">
        <f t="shared" si="137"/>
        <v>193.0223932608925</v>
      </c>
      <c r="Y98" s="261">
        <f>Y97</f>
        <v>8034.3202943546548</v>
      </c>
    </row>
    <row r="99" spans="1:25" hidden="1" outlineLevel="1">
      <c r="A99" s="95"/>
      <c r="B99" s="21"/>
      <c r="C99" s="32"/>
      <c r="D99" s="6"/>
      <c r="E99" s="19"/>
      <c r="F99" s="19"/>
      <c r="G99" s="19"/>
      <c r="H99" s="19"/>
      <c r="I99" s="19"/>
      <c r="J99" s="19"/>
      <c r="K99" s="19"/>
      <c r="L99" s="19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161"/>
      <c r="Y99" s="261"/>
    </row>
    <row r="100" spans="1:25" hidden="1" outlineLevel="1">
      <c r="A100" s="95"/>
      <c r="B100" s="15"/>
      <c r="C100" s="33" t="s">
        <v>57</v>
      </c>
      <c r="D100" s="19"/>
      <c r="E100" s="19">
        <f t="shared" ref="E100:X100" si="138">D103*Debt_Rate</f>
        <v>541.28941891734564</v>
      </c>
      <c r="F100" s="19">
        <f t="shared" si="138"/>
        <v>525.76560102779797</v>
      </c>
      <c r="G100" s="19">
        <f t="shared" si="138"/>
        <v>509.38797315432504</v>
      </c>
      <c r="H100" s="19">
        <f t="shared" si="138"/>
        <v>492.10957574781105</v>
      </c>
      <c r="I100" s="19">
        <f t="shared" si="138"/>
        <v>473.88086648393892</v>
      </c>
      <c r="J100" s="19">
        <f t="shared" si="138"/>
        <v>454.64957821055373</v>
      </c>
      <c r="K100" s="19">
        <f t="shared" si="138"/>
        <v>434.36056908213237</v>
      </c>
      <c r="L100" s="19">
        <f t="shared" si="138"/>
        <v>412.95566445164792</v>
      </c>
      <c r="M100" s="93">
        <f t="shared" si="138"/>
        <v>390.37349006648674</v>
      </c>
      <c r="N100" s="93">
        <f t="shared" si="138"/>
        <v>366.54929609014175</v>
      </c>
      <c r="O100" s="93">
        <f t="shared" si="138"/>
        <v>341.41477144509776</v>
      </c>
      <c r="P100" s="93">
        <f t="shared" si="138"/>
        <v>314.89784794457637</v>
      </c>
      <c r="Q100" s="93">
        <f t="shared" si="138"/>
        <v>286.92249365152628</v>
      </c>
      <c r="R100" s="93">
        <f t="shared" si="138"/>
        <v>257.4084948723584</v>
      </c>
      <c r="S100" s="93">
        <f t="shared" si="138"/>
        <v>226.27122616033634</v>
      </c>
      <c r="T100" s="93">
        <f t="shared" si="138"/>
        <v>193.42140766915304</v>
      </c>
      <c r="U100" s="93">
        <f t="shared" si="138"/>
        <v>158.7648491609547</v>
      </c>
      <c r="V100" s="93">
        <f t="shared" si="138"/>
        <v>122.20217993480541</v>
      </c>
      <c r="W100" s="93">
        <f t="shared" si="138"/>
        <v>83.62856390121793</v>
      </c>
      <c r="X100" s="161">
        <f t="shared" si="138"/>
        <v>42.933398985783136</v>
      </c>
      <c r="Y100" s="261"/>
    </row>
    <row r="101" spans="1:25" hidden="1" outlineLevel="1">
      <c r="A101" s="95"/>
      <c r="B101" s="15"/>
      <c r="C101" s="33" t="s">
        <v>58</v>
      </c>
      <c r="D101" s="19"/>
      <c r="E101" s="19">
        <f t="shared" ref="E101:X101" si="139">-PMT(Debt_Rate,20,$D112)</f>
        <v>823.54065327275964</v>
      </c>
      <c r="F101" s="19">
        <f t="shared" si="139"/>
        <v>823.54065327275964</v>
      </c>
      <c r="G101" s="19">
        <f t="shared" si="139"/>
        <v>823.54065327275964</v>
      </c>
      <c r="H101" s="19">
        <f t="shared" si="139"/>
        <v>823.54065327275964</v>
      </c>
      <c r="I101" s="19">
        <f t="shared" si="139"/>
        <v>823.54065327275964</v>
      </c>
      <c r="J101" s="19">
        <f t="shared" si="139"/>
        <v>823.54065327275964</v>
      </c>
      <c r="K101" s="19">
        <f t="shared" si="139"/>
        <v>823.54065327275964</v>
      </c>
      <c r="L101" s="19">
        <f t="shared" si="139"/>
        <v>823.54065327275964</v>
      </c>
      <c r="M101" s="93">
        <f t="shared" si="139"/>
        <v>823.54065327275964</v>
      </c>
      <c r="N101" s="93">
        <f t="shared" si="139"/>
        <v>823.54065327275964</v>
      </c>
      <c r="O101" s="93">
        <f t="shared" si="139"/>
        <v>823.54065327275964</v>
      </c>
      <c r="P101" s="93">
        <f t="shared" si="139"/>
        <v>823.54065327275964</v>
      </c>
      <c r="Q101" s="93">
        <f t="shared" si="139"/>
        <v>823.54065327275964</v>
      </c>
      <c r="R101" s="93">
        <f t="shared" si="139"/>
        <v>823.54065327275964</v>
      </c>
      <c r="S101" s="93">
        <f t="shared" si="139"/>
        <v>823.54065327275964</v>
      </c>
      <c r="T101" s="93">
        <f t="shared" si="139"/>
        <v>823.54065327275964</v>
      </c>
      <c r="U101" s="93">
        <f t="shared" si="139"/>
        <v>823.54065327275964</v>
      </c>
      <c r="V101" s="93">
        <f t="shared" si="139"/>
        <v>823.54065327275964</v>
      </c>
      <c r="W101" s="93">
        <f t="shared" si="139"/>
        <v>823.54065327275964</v>
      </c>
      <c r="X101" s="161">
        <f t="shared" si="139"/>
        <v>823.54065327275964</v>
      </c>
      <c r="Y101" s="261"/>
    </row>
    <row r="102" spans="1:25" hidden="1" outlineLevel="1">
      <c r="A102" s="95"/>
      <c r="B102" s="15"/>
      <c r="C102" s="33" t="s">
        <v>59</v>
      </c>
      <c r="D102" s="19"/>
      <c r="E102" s="3">
        <f>E101-E100</f>
        <v>282.251234355414</v>
      </c>
      <c r="F102" s="19">
        <f t="shared" ref="F102" si="140">F101-F100</f>
        <v>297.77505224496167</v>
      </c>
      <c r="G102" s="19">
        <f t="shared" ref="G102" si="141">G101-G100</f>
        <v>314.1526801184346</v>
      </c>
      <c r="H102" s="19">
        <f t="shared" ref="H102" si="142">H101-H100</f>
        <v>331.43107752494859</v>
      </c>
      <c r="I102" s="19">
        <f t="shared" ref="I102" si="143">I101-I100</f>
        <v>349.65978678882072</v>
      </c>
      <c r="J102" s="19">
        <f t="shared" ref="J102" si="144">J101-J100</f>
        <v>368.89107506220591</v>
      </c>
      <c r="K102" s="19">
        <f t="shared" ref="K102" si="145">K101-K100</f>
        <v>389.18008419062727</v>
      </c>
      <c r="L102" s="19">
        <f t="shared" ref="L102" si="146">L101-L100</f>
        <v>410.58498882111172</v>
      </c>
      <c r="M102" s="93">
        <f t="shared" ref="M102" si="147">M101-M100</f>
        <v>433.1671632062729</v>
      </c>
      <c r="N102" s="93">
        <f t="shared" ref="N102" si="148">N101-N100</f>
        <v>456.99135718261789</v>
      </c>
      <c r="O102" s="93">
        <f t="shared" ref="O102" si="149">O101-O100</f>
        <v>482.12588182766189</v>
      </c>
      <c r="P102" s="93">
        <f t="shared" ref="P102" si="150">P101-P100</f>
        <v>508.64280532818327</v>
      </c>
      <c r="Q102" s="93">
        <f t="shared" ref="Q102" si="151">Q101-Q100</f>
        <v>536.61815962123342</v>
      </c>
      <c r="R102" s="93">
        <f t="shared" ref="R102" si="152">R101-R100</f>
        <v>566.13215840040129</v>
      </c>
      <c r="S102" s="93">
        <f t="shared" ref="S102" si="153">S101-S100</f>
        <v>597.26942711242327</v>
      </c>
      <c r="T102" s="93">
        <f t="shared" ref="T102" si="154">T101-T100</f>
        <v>630.1192456036066</v>
      </c>
      <c r="U102" s="93">
        <f t="shared" ref="U102" si="155">U101-U100</f>
        <v>664.77580411180497</v>
      </c>
      <c r="V102" s="93">
        <f t="shared" ref="V102" si="156">V101-V100</f>
        <v>701.33847333795427</v>
      </c>
      <c r="W102" s="93">
        <f t="shared" ref="W102" si="157">W101-W100</f>
        <v>739.9120893715417</v>
      </c>
      <c r="X102" s="161">
        <f t="shared" ref="X102" si="158">X101-X100</f>
        <v>780.60725428697651</v>
      </c>
      <c r="Y102" s="261"/>
    </row>
    <row r="103" spans="1:25" hidden="1" outlineLevel="1">
      <c r="A103" s="95"/>
      <c r="B103" s="15"/>
      <c r="C103" s="33" t="s">
        <v>60</v>
      </c>
      <c r="D103" s="19">
        <f>D112</f>
        <v>9841.6257984971944</v>
      </c>
      <c r="E103" s="19">
        <f>D103-E102</f>
        <v>9559.3745641417809</v>
      </c>
      <c r="F103" s="19">
        <f>E103-F102</f>
        <v>9261.5995118968185</v>
      </c>
      <c r="G103" s="19">
        <f t="shared" ref="G103" si="159">F103-G102</f>
        <v>8947.4468317783831</v>
      </c>
      <c r="H103" s="19">
        <f t="shared" ref="H103" si="160">G103-H102</f>
        <v>8616.0157542534344</v>
      </c>
      <c r="I103" s="19">
        <f t="shared" ref="I103" si="161">H103-I102</f>
        <v>8266.3559674646131</v>
      </c>
      <c r="J103" s="19">
        <f t="shared" ref="J103" si="162">I103-J102</f>
        <v>7897.4648924024068</v>
      </c>
      <c r="K103" s="19">
        <f t="shared" ref="K103" si="163">J103-K102</f>
        <v>7508.2848082117798</v>
      </c>
      <c r="L103" s="19">
        <f t="shared" ref="L103" si="164">K103-L102</f>
        <v>7097.6998193906684</v>
      </c>
      <c r="M103" s="93">
        <f t="shared" ref="M103" si="165">L103-M102</f>
        <v>6664.5326561843958</v>
      </c>
      <c r="N103" s="93">
        <f t="shared" ref="N103" si="166">M103-N102</f>
        <v>6207.5412990017776</v>
      </c>
      <c r="O103" s="93">
        <f t="shared" ref="O103" si="167">N103-O102</f>
        <v>5725.4154171741156</v>
      </c>
      <c r="P103" s="93">
        <f t="shared" ref="P103" si="168">O103-P102</f>
        <v>5216.7726118459323</v>
      </c>
      <c r="Q103" s="93">
        <f t="shared" ref="Q103" si="169">P103-Q102</f>
        <v>4680.1544522246986</v>
      </c>
      <c r="R103" s="93">
        <f t="shared" ref="R103" si="170">Q103-R102</f>
        <v>4114.0222938242969</v>
      </c>
      <c r="S103" s="93">
        <f t="shared" ref="S103" si="171">R103-S102</f>
        <v>3516.7528667118736</v>
      </c>
      <c r="T103" s="93">
        <f t="shared" ref="T103" si="172">S103-T102</f>
        <v>2886.6336211082671</v>
      </c>
      <c r="U103" s="93">
        <f t="shared" ref="U103" si="173">T103-U102</f>
        <v>2221.8578169964621</v>
      </c>
      <c r="V103" s="93">
        <f t="shared" ref="V103" si="174">U103-V102</f>
        <v>1520.5193436585078</v>
      </c>
      <c r="W103" s="93">
        <f t="shared" ref="W103" si="175">V103-W102</f>
        <v>780.60725428696605</v>
      </c>
      <c r="X103" s="161">
        <f t="shared" ref="X103" si="176">W103-X102</f>
        <v>-1.0459189070388675E-11</v>
      </c>
      <c r="Y103" s="261"/>
    </row>
    <row r="104" spans="1:25" hidden="1" outlineLevel="1">
      <c r="A104" s="95"/>
      <c r="B104" s="15"/>
      <c r="C104" s="32"/>
      <c r="D104" s="19"/>
      <c r="E104" s="19"/>
      <c r="F104" s="19"/>
      <c r="G104" s="19"/>
      <c r="H104" s="19"/>
      <c r="I104" s="19"/>
      <c r="J104" s="19"/>
      <c r="K104" s="19"/>
      <c r="L104" s="19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161"/>
      <c r="Y104" s="261"/>
    </row>
    <row r="105" spans="1:25" hidden="1" outlineLevel="1">
      <c r="A105" s="95"/>
      <c r="B105" s="15"/>
      <c r="C105" s="33" t="s">
        <v>61</v>
      </c>
      <c r="D105" s="19"/>
      <c r="E105" s="19">
        <f t="shared" ref="E105:X105" si="177">-$D97/20</f>
        <v>1339.0533823924425</v>
      </c>
      <c r="F105" s="19">
        <f t="shared" si="177"/>
        <v>1339.0533823924425</v>
      </c>
      <c r="G105" s="19">
        <f t="shared" si="177"/>
        <v>1339.0533823924425</v>
      </c>
      <c r="H105" s="19">
        <f t="shared" si="177"/>
        <v>1339.0533823924425</v>
      </c>
      <c r="I105" s="19">
        <f t="shared" si="177"/>
        <v>1339.0533823924425</v>
      </c>
      <c r="J105" s="19">
        <f t="shared" si="177"/>
        <v>1339.0533823924425</v>
      </c>
      <c r="K105" s="19">
        <f t="shared" si="177"/>
        <v>1339.0533823924425</v>
      </c>
      <c r="L105" s="19">
        <f t="shared" si="177"/>
        <v>1339.0533823924425</v>
      </c>
      <c r="M105" s="93">
        <f t="shared" si="177"/>
        <v>1339.0533823924425</v>
      </c>
      <c r="N105" s="93">
        <f t="shared" si="177"/>
        <v>1339.0533823924425</v>
      </c>
      <c r="O105" s="93">
        <f t="shared" si="177"/>
        <v>1339.0533823924425</v>
      </c>
      <c r="P105" s="93">
        <f t="shared" si="177"/>
        <v>1339.0533823924425</v>
      </c>
      <c r="Q105" s="93">
        <f t="shared" si="177"/>
        <v>1339.0533823924425</v>
      </c>
      <c r="R105" s="93">
        <f t="shared" si="177"/>
        <v>1339.0533823924425</v>
      </c>
      <c r="S105" s="93">
        <f t="shared" si="177"/>
        <v>1339.0533823924425</v>
      </c>
      <c r="T105" s="93">
        <f t="shared" si="177"/>
        <v>1339.0533823924425</v>
      </c>
      <c r="U105" s="93">
        <f t="shared" si="177"/>
        <v>1339.0533823924425</v>
      </c>
      <c r="V105" s="93">
        <f t="shared" si="177"/>
        <v>1339.0533823924425</v>
      </c>
      <c r="W105" s="93">
        <f t="shared" si="177"/>
        <v>1339.0533823924425</v>
      </c>
      <c r="X105" s="161">
        <f t="shared" si="177"/>
        <v>1339.0533823924425</v>
      </c>
      <c r="Y105" s="261"/>
    </row>
    <row r="106" spans="1:25" hidden="1" outlineLevel="1">
      <c r="A106" s="95"/>
      <c r="B106" s="15"/>
      <c r="C106" s="32" t="s">
        <v>62</v>
      </c>
      <c r="D106" s="19"/>
      <c r="E106" s="19">
        <f>SUM($E105:E105)</f>
        <v>1339.0533823924425</v>
      </c>
      <c r="F106" s="19">
        <f>SUM($E105:F105)</f>
        <v>2678.1067647848849</v>
      </c>
      <c r="G106" s="19">
        <f>SUM($E105:G105)</f>
        <v>4017.1601471773274</v>
      </c>
      <c r="H106" s="19">
        <f>SUM($E105:H105)</f>
        <v>5356.2135295697699</v>
      </c>
      <c r="I106" s="19">
        <f>SUM($E105:I105)</f>
        <v>6695.2669119622124</v>
      </c>
      <c r="J106" s="19">
        <f>SUM($E105:J105)</f>
        <v>8034.3202943546548</v>
      </c>
      <c r="K106" s="19">
        <f>SUM($E105:K105)</f>
        <v>9373.3736767470982</v>
      </c>
      <c r="L106" s="19">
        <f>SUM($E105:L105)</f>
        <v>10712.42705913954</v>
      </c>
      <c r="M106" s="93">
        <f>SUM($E105:M105)</f>
        <v>12051.480441531981</v>
      </c>
      <c r="N106" s="93">
        <f>SUM($E105:N105)</f>
        <v>13390.533823924423</v>
      </c>
      <c r="O106" s="93">
        <f>SUM($E105:O105)</f>
        <v>14729.587206316864</v>
      </c>
      <c r="P106" s="93">
        <f>SUM($E105:P105)</f>
        <v>16068.640588709306</v>
      </c>
      <c r="Q106" s="93">
        <f>SUM($E105:Q105)</f>
        <v>17407.693971101748</v>
      </c>
      <c r="R106" s="93">
        <f>SUM($E105:R105)</f>
        <v>18746.747353494189</v>
      </c>
      <c r="S106" s="93">
        <f>SUM($E105:S105)</f>
        <v>20085.800735886631</v>
      </c>
      <c r="T106" s="93">
        <f>SUM($E105:T105)</f>
        <v>21424.854118279072</v>
      </c>
      <c r="U106" s="93">
        <f>SUM($E105:U105)</f>
        <v>22763.907500671514</v>
      </c>
      <c r="V106" s="93">
        <f>SUM($E105:V105)</f>
        <v>24102.960883063955</v>
      </c>
      <c r="W106" s="93">
        <f>SUM($E105:W105)</f>
        <v>25442.014265456397</v>
      </c>
      <c r="X106" s="161">
        <f>SUM($E105:X105)</f>
        <v>26781.067647848839</v>
      </c>
      <c r="Y106" s="261"/>
    </row>
    <row r="107" spans="1:25" hidden="1" outlineLevel="1">
      <c r="A107" s="95"/>
      <c r="B107" s="15"/>
      <c r="C107" s="32" t="s">
        <v>63</v>
      </c>
      <c r="D107" s="19"/>
      <c r="E107" s="19">
        <f t="shared" ref="E107" si="178">-$D97-E106</f>
        <v>25442.014265456408</v>
      </c>
      <c r="F107" s="19">
        <f t="shared" ref="F107" si="179">-$D97-F106</f>
        <v>24102.960883063963</v>
      </c>
      <c r="G107" s="19">
        <f t="shared" ref="G107" si="180">-$D97-G106</f>
        <v>22763.907500671521</v>
      </c>
      <c r="H107" s="3">
        <f>-$D97-H106</f>
        <v>21424.85411827908</v>
      </c>
      <c r="I107" s="19">
        <f t="shared" ref="I107" si="181">-$D97-I106</f>
        <v>20085.800735886638</v>
      </c>
      <c r="J107" s="19">
        <f t="shared" ref="J107" si="182">-$D97-J106</f>
        <v>18746.747353494196</v>
      </c>
      <c r="K107" s="19">
        <f t="shared" ref="K107" si="183">-$D97-K106</f>
        <v>17407.693971101751</v>
      </c>
      <c r="L107" s="19">
        <f t="shared" ref="L107" si="184">-$D97-L106</f>
        <v>16068.64058870931</v>
      </c>
      <c r="M107" s="93">
        <f t="shared" ref="M107" si="185">-$D97-M106</f>
        <v>14729.587206316868</v>
      </c>
      <c r="N107" s="93">
        <f t="shared" ref="N107" si="186">-$D97-N106</f>
        <v>13390.533823924427</v>
      </c>
      <c r="O107" s="93">
        <f t="shared" ref="O107" si="187">-$D97-O106</f>
        <v>12051.480441531985</v>
      </c>
      <c r="P107" s="93">
        <f t="shared" ref="P107" si="188">-$D97-P106</f>
        <v>10712.427059139543</v>
      </c>
      <c r="Q107" s="93">
        <f t="shared" ref="Q107" si="189">-$D97-Q106</f>
        <v>9373.3736767471019</v>
      </c>
      <c r="R107" s="93">
        <f t="shared" ref="R107" si="190">-$D97-R106</f>
        <v>8034.3202943546603</v>
      </c>
      <c r="S107" s="93">
        <f t="shared" ref="S107" si="191">-$D97-S106</f>
        <v>6695.2669119622187</v>
      </c>
      <c r="T107" s="93">
        <f t="shared" ref="T107" si="192">-$D97-T106</f>
        <v>5356.2135295697772</v>
      </c>
      <c r="U107" s="93">
        <f t="shared" ref="U107" si="193">-$D97-U106</f>
        <v>4017.1601471773356</v>
      </c>
      <c r="V107" s="93">
        <f t="shared" ref="V107" si="194">-$D97-V106</f>
        <v>2678.106764784894</v>
      </c>
      <c r="W107" s="93">
        <f t="shared" ref="W107" si="195">-$D97-W106</f>
        <v>1339.0533823924525</v>
      </c>
      <c r="X107" s="161">
        <f t="shared" ref="X107" si="196">-$D97-X106</f>
        <v>0</v>
      </c>
      <c r="Y107" s="261"/>
    </row>
    <row r="108" spans="1:25" hidden="1" outlineLevel="1">
      <c r="A108" s="95"/>
      <c r="B108" s="15"/>
      <c r="C108" s="33" t="s">
        <v>65</v>
      </c>
      <c r="D108" s="19"/>
      <c r="E108" s="19">
        <f>-$D97*Assumptions!J$13*INDEX('DATA (Nominal)'!$B$343:$BX$343,1,MATCH($B$1,'DATA (Nominal)'!$B$1:$BX$1,0))</f>
        <v>4552.7815001343042</v>
      </c>
      <c r="F108" s="19">
        <f>-$D97*Assumptions!K$13*INDEX('DATA (Nominal)'!$B$343:$BX$343,1,MATCH($B$1,'DATA (Nominal)'!$B$1:$BX$1,0))</f>
        <v>7284.4504002148878</v>
      </c>
      <c r="G108" s="19">
        <f>-$D97*Assumptions!L$13*INDEX('DATA (Nominal)'!$B$343:$BX$343,1,MATCH($B$1,'DATA (Nominal)'!$B$1:$BX$1,0))</f>
        <v>4370.6702401289322</v>
      </c>
      <c r="H108" s="19">
        <f>-$D97*Assumptions!M$13*INDEX('DATA (Nominal)'!$B$343:$BX$343,1,MATCH($B$1,'DATA (Nominal)'!$B$1:$BX$1,0))</f>
        <v>2622.4021440773595</v>
      </c>
      <c r="I108" s="19">
        <f>-$D97*Assumptions!N$13*INDEX('DATA (Nominal)'!$B$343:$BX$343,1,MATCH($B$1,'DATA (Nominal)'!$B$1:$BX$1,0))</f>
        <v>2622.4021440773595</v>
      </c>
      <c r="J108" s="19">
        <f>-$D97*Assumptions!O$13*INDEX('DATA (Nominal)'!$B$343:$BX$343,1,MATCH($B$1,'DATA (Nominal)'!$B$1:$BX$1,0))</f>
        <v>1311.2010720386797</v>
      </c>
      <c r="K108" s="19">
        <f>-$D97*Assumptions!P$13*INDEX('DATA (Nominal)'!$B$343:$BX$343,1,MATCH($B$1,'DATA (Nominal)'!$B$1:$BX$1,0))</f>
        <v>0</v>
      </c>
      <c r="L108" s="19">
        <f>-$D97*Assumptions!Q$13*INDEX('DATA (Nominal)'!$B$343:$BX$343,1,MATCH($B$1,'DATA (Nominal)'!$B$1:$BX$1,0))</f>
        <v>0</v>
      </c>
      <c r="M108" s="93">
        <f>-$D97*Assumptions!R$13*INDEX('DATA (Nominal)'!$B$343:$BX$343,1,MATCH($B$1,'DATA (Nominal)'!$B$1:$BX$1,0))</f>
        <v>0</v>
      </c>
      <c r="N108" s="93">
        <f>-$D97*Assumptions!S$13*INDEX('DATA (Nominal)'!$B$343:$BX$343,1,MATCH($B$1,'DATA (Nominal)'!$B$1:$BX$1,0))</f>
        <v>0</v>
      </c>
      <c r="O108" s="93">
        <f>-$D97*Assumptions!T$13*INDEX('DATA (Nominal)'!$B$343:$BX$343,1,MATCH($B$1,'DATA (Nominal)'!$B$1:$BX$1,0))</f>
        <v>0</v>
      </c>
      <c r="P108" s="93">
        <f>-$D97*Assumptions!U$13*INDEX('DATA (Nominal)'!$B$343:$BX$343,1,MATCH($B$1,'DATA (Nominal)'!$B$1:$BX$1,0))</f>
        <v>0</v>
      </c>
      <c r="Q108" s="93">
        <f>-$D97*Assumptions!V$13*INDEX('DATA (Nominal)'!$B$343:$BX$343,1,MATCH($B$1,'DATA (Nominal)'!$B$1:$BX$1,0))</f>
        <v>0</v>
      </c>
      <c r="R108" s="93">
        <f>-$D97*Assumptions!W$13*INDEX('DATA (Nominal)'!$B$343:$BX$343,1,MATCH($B$1,'DATA (Nominal)'!$B$1:$BX$1,0))</f>
        <v>0</v>
      </c>
      <c r="S108" s="93">
        <f>-$D97*Assumptions!X$13*INDEX('DATA (Nominal)'!$B$343:$BX$343,1,MATCH($B$1,'DATA (Nominal)'!$B$1:$BX$1,0))</f>
        <v>0</v>
      </c>
      <c r="T108" s="93">
        <f>-$D97*Assumptions!Y$13*INDEX('DATA (Nominal)'!$B$343:$BX$343,1,MATCH($B$1,'DATA (Nominal)'!$B$1:$BX$1,0))</f>
        <v>0</v>
      </c>
      <c r="U108" s="93">
        <f>-$D97*Assumptions!Z$13*INDEX('DATA (Nominal)'!$B$343:$BX$343,1,MATCH($B$1,'DATA (Nominal)'!$B$1:$BX$1,0))</f>
        <v>0</v>
      </c>
      <c r="V108" s="93">
        <f>-$D97*Assumptions!AA$13*INDEX('DATA (Nominal)'!$B$343:$BX$343,1,MATCH($B$1,'DATA (Nominal)'!$B$1:$BX$1,0))</f>
        <v>0</v>
      </c>
      <c r="W108" s="93">
        <f>-$D97*Assumptions!AB$13*INDEX('DATA (Nominal)'!$B$343:$BX$343,1,MATCH($B$1,'DATA (Nominal)'!$B$1:$BX$1,0))</f>
        <v>0</v>
      </c>
      <c r="X108" s="455">
        <f>-$D97*Assumptions!AC$13*INDEX('DATA (Nominal)'!$B$343:$BX$343,1,MATCH($B$1,'DATA (Nominal)'!$B$1:$BX$1,0))</f>
        <v>0</v>
      </c>
      <c r="Y108" s="261"/>
    </row>
    <row r="109" spans="1:25" ht="15.75" hidden="1" outlineLevel="1" thickBot="1">
      <c r="A109" s="95"/>
      <c r="B109" s="15"/>
      <c r="C109" s="34" t="s">
        <v>66</v>
      </c>
      <c r="D109" s="7"/>
      <c r="E109" s="7">
        <f t="shared" ref="E109:X109" si="197">E108*Federal_Tax_Rate</f>
        <v>956.08411502820388</v>
      </c>
      <c r="F109" s="7">
        <f t="shared" si="197"/>
        <v>1529.7345840451264</v>
      </c>
      <c r="G109" s="7">
        <f t="shared" si="197"/>
        <v>917.8407504270757</v>
      </c>
      <c r="H109" s="7">
        <f t="shared" si="197"/>
        <v>550.70445025624542</v>
      </c>
      <c r="I109" s="7">
        <f t="shared" si="197"/>
        <v>550.70445025624542</v>
      </c>
      <c r="J109" s="7">
        <f t="shared" si="197"/>
        <v>275.35222512812271</v>
      </c>
      <c r="K109" s="7">
        <f t="shared" si="197"/>
        <v>0</v>
      </c>
      <c r="L109" s="7">
        <f t="shared" si="197"/>
        <v>0</v>
      </c>
      <c r="M109" s="456">
        <f t="shared" si="197"/>
        <v>0</v>
      </c>
      <c r="N109" s="456">
        <f t="shared" si="197"/>
        <v>0</v>
      </c>
      <c r="O109" s="456">
        <f t="shared" si="197"/>
        <v>0</v>
      </c>
      <c r="P109" s="456">
        <f t="shared" si="197"/>
        <v>0</v>
      </c>
      <c r="Q109" s="456">
        <f t="shared" si="197"/>
        <v>0</v>
      </c>
      <c r="R109" s="456">
        <f t="shared" si="197"/>
        <v>0</v>
      </c>
      <c r="S109" s="456">
        <f t="shared" si="197"/>
        <v>0</v>
      </c>
      <c r="T109" s="456">
        <f t="shared" si="197"/>
        <v>0</v>
      </c>
      <c r="U109" s="456">
        <f t="shared" si="197"/>
        <v>0</v>
      </c>
      <c r="V109" s="456">
        <f t="shared" si="197"/>
        <v>0</v>
      </c>
      <c r="W109" s="456">
        <f t="shared" si="197"/>
        <v>0</v>
      </c>
      <c r="X109" s="457">
        <f t="shared" si="197"/>
        <v>0</v>
      </c>
      <c r="Y109" s="261"/>
    </row>
    <row r="110" spans="1:25" hidden="1" outlineLevel="1">
      <c r="A110" s="95"/>
      <c r="B110" s="15"/>
      <c r="C110" s="35" t="s">
        <v>67</v>
      </c>
      <c r="D110" s="8">
        <f>NPV(Tax_Equity_Rate,E109:X109)</f>
        <v>3878.4785082945391</v>
      </c>
      <c r="E110" s="9">
        <f>D110/D114</f>
        <v>0.14482165383746651</v>
      </c>
      <c r="F110" s="3"/>
      <c r="G110" s="3"/>
      <c r="H110" s="3"/>
      <c r="I110" s="3"/>
      <c r="J110" s="3"/>
      <c r="K110" s="3"/>
      <c r="L110" s="3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</row>
    <row r="111" spans="1:25" hidden="1" outlineLevel="1">
      <c r="A111" s="95"/>
      <c r="B111" s="15"/>
      <c r="C111" s="32" t="s">
        <v>129</v>
      </c>
      <c r="D111" s="10">
        <f>NPV(Tax_Equity_Rate,E94:X94)</f>
        <v>9918.9139436477217</v>
      </c>
      <c r="E111" s="11">
        <f>D111/D114</f>
        <v>0.37037037037037035</v>
      </c>
    </row>
    <row r="112" spans="1:25" hidden="1" outlineLevel="1">
      <c r="A112" s="95"/>
      <c r="B112" s="22">
        <f>Assumptions!F13</f>
        <v>0.75800000000000001</v>
      </c>
      <c r="C112" s="32" t="s">
        <v>68</v>
      </c>
      <c r="D112" s="10">
        <f>(D114-D110-D111)*$B112</f>
        <v>9841.6257984971944</v>
      </c>
      <c r="E112" s="11">
        <f>D112/D114</f>
        <v>0.36748444565045968</v>
      </c>
    </row>
    <row r="113" spans="1:25" hidden="1" outlineLevel="1">
      <c r="A113" s="95"/>
      <c r="B113" s="22">
        <f>1-B112</f>
        <v>0.24199999999999999</v>
      </c>
      <c r="C113" s="32" t="s">
        <v>69</v>
      </c>
      <c r="D113" s="10">
        <f>(D114-D110-D111)*$B113</f>
        <v>3142.0493974093947</v>
      </c>
      <c r="E113" s="11">
        <f>D113/D114</f>
        <v>0.11732353014170349</v>
      </c>
    </row>
    <row r="114" spans="1:25" hidden="1" outlineLevel="1">
      <c r="A114" s="95"/>
      <c r="C114" s="32" t="s">
        <v>70</v>
      </c>
      <c r="D114" s="10">
        <f>-D97</f>
        <v>26781.067647848849</v>
      </c>
      <c r="E114" s="12"/>
    </row>
    <row r="115" spans="1:25" ht="15.75" hidden="1" outlineLevel="1" thickBot="1">
      <c r="A115" s="95"/>
      <c r="C115" s="34" t="s">
        <v>71</v>
      </c>
      <c r="D115" s="13">
        <f>SUM(D110:D113)-D114</f>
        <v>0</v>
      </c>
      <c r="E115" s="14"/>
    </row>
    <row r="116" spans="1:25" hidden="1" outlineLevel="1">
      <c r="A116" s="95"/>
    </row>
    <row r="117" spans="1:25" ht="15.75" collapsed="1" thickBot="1">
      <c r="A117" s="95"/>
    </row>
    <row r="118" spans="1:25" ht="18.75" thickBot="1">
      <c r="A118" s="86"/>
      <c r="B118" s="82"/>
      <c r="C118" s="484" t="s">
        <v>132</v>
      </c>
      <c r="D118" s="485"/>
      <c r="E118" s="485"/>
      <c r="F118" s="485"/>
      <c r="G118" s="485"/>
      <c r="H118" s="486"/>
      <c r="I118" s="95"/>
      <c r="J118" s="95"/>
      <c r="K118" s="95"/>
      <c r="L118" s="95"/>
      <c r="Y118" s="261"/>
    </row>
    <row r="119" spans="1:25" hidden="1" outlineLevel="1">
      <c r="A119" s="95"/>
      <c r="C119" s="124" t="s">
        <v>44</v>
      </c>
      <c r="D119" s="153"/>
      <c r="E119" s="153">
        <f>'Resource Options'!$E$14*INDEX('DATA (Nominal)'!$B$14:$BX$14,1,MATCH($B$1,'DATA (Nominal)'!$B$1:$BX$1,0))*8760</f>
        <v>8.6424979367249435</v>
      </c>
      <c r="F119" s="153">
        <f>'Resource Options'!$E$14*INDEX('DATA (Nominal)'!$B$14:$BX$14,1,MATCH($B$1,'DATA (Nominal)'!$B$1:$BX$1,0))*8760</f>
        <v>8.6424979367249435</v>
      </c>
      <c r="G119" s="153">
        <f>'Resource Options'!$E$14*INDEX('DATA (Nominal)'!$B$14:$BX$14,1,MATCH($B$1,'DATA (Nominal)'!$B$1:$BX$1,0))*8760</f>
        <v>8.6424979367249435</v>
      </c>
      <c r="H119" s="153">
        <f>'Resource Options'!$E$14*INDEX('DATA (Nominal)'!$B$14:$BX$14,1,MATCH($B$1,'DATA (Nominal)'!$B$1:$BX$1,0))*8760</f>
        <v>8.6424979367249435</v>
      </c>
      <c r="I119" s="153">
        <f>'Resource Options'!$E$14*INDEX('DATA (Nominal)'!$B$14:$BX$14,1,MATCH($B$1,'DATA (Nominal)'!$B$1:$BX$1,0))*8760</f>
        <v>8.6424979367249435</v>
      </c>
      <c r="J119" s="153">
        <f>'Resource Options'!$E$14*INDEX('DATA (Nominal)'!$B$14:$BX$14,1,MATCH($B$1,'DATA (Nominal)'!$B$1:$BX$1,0))*8760</f>
        <v>8.6424979367249435</v>
      </c>
      <c r="K119" s="153">
        <f>'Resource Options'!$E$14*INDEX('DATA (Nominal)'!$B$14:$BX$14,1,MATCH($B$1,'DATA (Nominal)'!$B$1:$BX$1,0))*8760</f>
        <v>8.6424979367249435</v>
      </c>
      <c r="L119" s="153">
        <f>'Resource Options'!$E$14*INDEX('DATA (Nominal)'!$B$14:$BX$14,1,MATCH($B$1,'DATA (Nominal)'!$B$1:$BX$1,0))*8760</f>
        <v>8.6424979367249435</v>
      </c>
      <c r="M119" s="153">
        <f>'Resource Options'!$E$14*INDEX('DATA (Nominal)'!$B$14:$BX$14,1,MATCH($B$1,'DATA (Nominal)'!$B$1:$BX$1,0))*8760</f>
        <v>8.6424979367249435</v>
      </c>
      <c r="N119" s="153">
        <f>'Resource Options'!$E$14*INDEX('DATA (Nominal)'!$B$14:$BX$14,1,MATCH($B$1,'DATA (Nominal)'!$B$1:$BX$1,0))*8760</f>
        <v>8.6424979367249435</v>
      </c>
      <c r="O119" s="153">
        <f>'Resource Options'!$E$14*INDEX('DATA (Nominal)'!$B$14:$BX$14,1,MATCH($B$1,'DATA (Nominal)'!$B$1:$BX$1,0))*8760</f>
        <v>8.6424979367249435</v>
      </c>
      <c r="P119" s="153">
        <f>'Resource Options'!$E$14*INDEX('DATA (Nominal)'!$B$14:$BX$14,1,MATCH($B$1,'DATA (Nominal)'!$B$1:$BX$1,0))*8760</f>
        <v>8.6424979367249435</v>
      </c>
      <c r="Q119" s="153">
        <f>'Resource Options'!$E$14*INDEX('DATA (Nominal)'!$B$14:$BX$14,1,MATCH($B$1,'DATA (Nominal)'!$B$1:$BX$1,0))*8760</f>
        <v>8.6424979367249435</v>
      </c>
      <c r="R119" s="153">
        <f>'Resource Options'!$E$14*INDEX('DATA (Nominal)'!$B$14:$BX$14,1,MATCH($B$1,'DATA (Nominal)'!$B$1:$BX$1,0))*8760</f>
        <v>8.6424979367249435</v>
      </c>
      <c r="S119" s="153">
        <f>'Resource Options'!$E$14*INDEX('DATA (Nominal)'!$B$14:$BX$14,1,MATCH($B$1,'DATA (Nominal)'!$B$1:$BX$1,0))*8760</f>
        <v>8.6424979367249435</v>
      </c>
      <c r="T119" s="153">
        <f>'Resource Options'!$E$14*INDEX('DATA (Nominal)'!$B$14:$BX$14,1,MATCH($B$1,'DATA (Nominal)'!$B$1:$BX$1,0))*8760</f>
        <v>8.6424979367249435</v>
      </c>
      <c r="U119" s="153">
        <f>'Resource Options'!$E$14*INDEX('DATA (Nominal)'!$B$14:$BX$14,1,MATCH($B$1,'DATA (Nominal)'!$B$1:$BX$1,0))*8760</f>
        <v>8.6424979367249435</v>
      </c>
      <c r="V119" s="153">
        <f>'Resource Options'!$E$14*INDEX('DATA (Nominal)'!$B$14:$BX$14,1,MATCH($B$1,'DATA (Nominal)'!$B$1:$BX$1,0))*8760</f>
        <v>8.6424979367249435</v>
      </c>
      <c r="W119" s="153">
        <f>'Resource Options'!$E$14*INDEX('DATA (Nominal)'!$B$14:$BX$14,1,MATCH($B$1,'DATA (Nominal)'!$B$1:$BX$1,0))*8760</f>
        <v>8.6424979367249435</v>
      </c>
      <c r="X119" s="159">
        <f>'Resource Options'!$E$14*INDEX('DATA (Nominal)'!$B$14:$BX$14,1,MATCH($B$1,'DATA (Nominal)'!$B$1:$BX$1,0))*8760</f>
        <v>8.6424979367249435</v>
      </c>
      <c r="Y119" s="156"/>
    </row>
    <row r="120" spans="1:25" hidden="1" outlineLevel="1">
      <c r="A120" s="95"/>
      <c r="C120" s="125" t="s">
        <v>45</v>
      </c>
      <c r="D120" s="151"/>
      <c r="E120" s="154">
        <f>PPA_SOLAR_Existing_Residential</f>
        <v>162.41428755858183</v>
      </c>
      <c r="F120" s="154">
        <f>E120</f>
        <v>162.41428755858183</v>
      </c>
      <c r="G120" s="154">
        <f t="shared" ref="G120:G121" si="198">F120</f>
        <v>162.41428755858183</v>
      </c>
      <c r="H120" s="154">
        <f t="shared" ref="H120:H121" si="199">G120</f>
        <v>162.41428755858183</v>
      </c>
      <c r="I120" s="154">
        <f t="shared" ref="I120:I121" si="200">H120</f>
        <v>162.41428755858183</v>
      </c>
      <c r="J120" s="154">
        <f t="shared" ref="J120:J121" si="201">I120</f>
        <v>162.41428755858183</v>
      </c>
      <c r="K120" s="154">
        <f t="shared" ref="K120:K121" si="202">J120</f>
        <v>162.41428755858183</v>
      </c>
      <c r="L120" s="154">
        <f t="shared" ref="L120:L121" si="203">K120</f>
        <v>162.41428755858183</v>
      </c>
      <c r="M120" s="154">
        <f t="shared" ref="M120:M121" si="204">L120</f>
        <v>162.41428755858183</v>
      </c>
      <c r="N120" s="154">
        <f t="shared" ref="N120:N121" si="205">M120</f>
        <v>162.41428755858183</v>
      </c>
      <c r="O120" s="154">
        <f t="shared" ref="O120:O121" si="206">N120</f>
        <v>162.41428755858183</v>
      </c>
      <c r="P120" s="154">
        <f t="shared" ref="P120:P121" si="207">O120</f>
        <v>162.41428755858183</v>
      </c>
      <c r="Q120" s="154">
        <f t="shared" ref="Q120:Q121" si="208">P120</f>
        <v>162.41428755858183</v>
      </c>
      <c r="R120" s="154">
        <f t="shared" ref="R120:R121" si="209">Q120</f>
        <v>162.41428755858183</v>
      </c>
      <c r="S120" s="154">
        <f t="shared" ref="S120:S121" si="210">R120</f>
        <v>162.41428755858183</v>
      </c>
      <c r="T120" s="154">
        <f t="shared" ref="T120:T121" si="211">S120</f>
        <v>162.41428755858183</v>
      </c>
      <c r="U120" s="154">
        <f t="shared" ref="U120:U121" si="212">T120</f>
        <v>162.41428755858183</v>
      </c>
      <c r="V120" s="154">
        <f t="shared" ref="V120:V121" si="213">U120</f>
        <v>162.41428755858183</v>
      </c>
      <c r="W120" s="154">
        <f t="shared" ref="W120:W121" si="214">V120</f>
        <v>162.41428755858183</v>
      </c>
      <c r="X120" s="152">
        <f t="shared" ref="X120:X121" si="215">W120</f>
        <v>162.41428755858183</v>
      </c>
      <c r="Y120" s="156"/>
    </row>
    <row r="121" spans="1:25" s="95" customFormat="1" hidden="1" outlineLevel="1">
      <c r="C121" s="125" t="s">
        <v>111</v>
      </c>
      <c r="D121" s="151"/>
      <c r="E121" s="154">
        <f>INDEX('PPA Summary'!$75:$106,MATCH($C118,'PPA Summary'!$D$75:$D$106,0),MATCH($B$1,'PPA Summary'!$74:$74,0))</f>
        <v>23.299249243851381</v>
      </c>
      <c r="F121" s="154">
        <f>E121</f>
        <v>23.299249243851381</v>
      </c>
      <c r="G121" s="154">
        <f t="shared" si="198"/>
        <v>23.299249243851381</v>
      </c>
      <c r="H121" s="154">
        <f t="shared" si="199"/>
        <v>23.299249243851381</v>
      </c>
      <c r="I121" s="154">
        <f t="shared" si="200"/>
        <v>23.299249243851381</v>
      </c>
      <c r="J121" s="154">
        <f t="shared" si="201"/>
        <v>23.299249243851381</v>
      </c>
      <c r="K121" s="154">
        <f t="shared" si="202"/>
        <v>23.299249243851381</v>
      </c>
      <c r="L121" s="154">
        <f t="shared" si="203"/>
        <v>23.299249243851381</v>
      </c>
      <c r="M121" s="154">
        <f t="shared" si="204"/>
        <v>23.299249243851381</v>
      </c>
      <c r="N121" s="154">
        <f t="shared" si="205"/>
        <v>23.299249243851381</v>
      </c>
      <c r="O121" s="154">
        <f t="shared" si="206"/>
        <v>23.299249243851381</v>
      </c>
      <c r="P121" s="154">
        <f t="shared" si="207"/>
        <v>23.299249243851381</v>
      </c>
      <c r="Q121" s="154">
        <f t="shared" si="208"/>
        <v>23.299249243851381</v>
      </c>
      <c r="R121" s="154">
        <f t="shared" si="209"/>
        <v>23.299249243851381</v>
      </c>
      <c r="S121" s="154">
        <f t="shared" si="210"/>
        <v>23.299249243851381</v>
      </c>
      <c r="T121" s="154">
        <f t="shared" si="211"/>
        <v>23.299249243851381</v>
      </c>
      <c r="U121" s="154">
        <f t="shared" si="212"/>
        <v>23.299249243851381</v>
      </c>
      <c r="V121" s="154">
        <f t="shared" si="213"/>
        <v>23.299249243851381</v>
      </c>
      <c r="W121" s="154">
        <f t="shared" si="214"/>
        <v>23.299249243851381</v>
      </c>
      <c r="X121" s="152">
        <f t="shared" si="215"/>
        <v>23.299249243851381</v>
      </c>
      <c r="Y121" s="156"/>
    </row>
    <row r="122" spans="1:25" hidden="1" outlineLevel="1">
      <c r="A122" s="95"/>
      <c r="C122" s="126" t="s">
        <v>46</v>
      </c>
      <c r="D122" s="151"/>
      <c r="E122" s="151">
        <f>E120*E119+E121*12*'Resource Options'!$E$14*1000</f>
        <v>3105.5233507575358</v>
      </c>
      <c r="F122" s="151">
        <f>F120*F119+F121*12*'Resource Options'!$E$14*1000</f>
        <v>3105.5233507575358</v>
      </c>
      <c r="G122" s="151">
        <f>G120*G119+G121*12*'Resource Options'!$E$14*1000</f>
        <v>3105.5233507575358</v>
      </c>
      <c r="H122" s="151">
        <f>H120*H119+H121*12*'Resource Options'!$E$14*1000</f>
        <v>3105.5233507575358</v>
      </c>
      <c r="I122" s="151">
        <f>I120*I119+I121*12*'Resource Options'!$E$14*1000</f>
        <v>3105.5233507575358</v>
      </c>
      <c r="J122" s="151">
        <f>J120*J119+J121*12*'Resource Options'!$E$14*1000</f>
        <v>3105.5233507575358</v>
      </c>
      <c r="K122" s="151">
        <f>K120*K119+K121*12*'Resource Options'!$E$14*1000</f>
        <v>3105.5233507575358</v>
      </c>
      <c r="L122" s="151">
        <f>L120*L119+L121*12*'Resource Options'!$E$14*1000</f>
        <v>3105.5233507575358</v>
      </c>
      <c r="M122" s="151">
        <f>M120*M119+M121*12*'Resource Options'!$E$14*1000</f>
        <v>3105.5233507575358</v>
      </c>
      <c r="N122" s="151">
        <f>N120*N119+N121*12*'Resource Options'!$E$14*1000</f>
        <v>3105.5233507575358</v>
      </c>
      <c r="O122" s="151">
        <f>O120*O119+O121*12*'Resource Options'!$E$14*1000</f>
        <v>3105.5233507575358</v>
      </c>
      <c r="P122" s="151">
        <f>P120*P119+P121*12*'Resource Options'!$E$14*1000</f>
        <v>3105.5233507575358</v>
      </c>
      <c r="Q122" s="151">
        <f>Q120*Q119+Q121*12*'Resource Options'!$E$14*1000</f>
        <v>3105.5233507575358</v>
      </c>
      <c r="R122" s="151">
        <f>R120*R119+R121*12*'Resource Options'!$E$14*1000</f>
        <v>3105.5233507575358</v>
      </c>
      <c r="S122" s="151">
        <f>S120*S119+S121*12*'Resource Options'!$E$14*1000</f>
        <v>3105.5233507575358</v>
      </c>
      <c r="T122" s="151">
        <f>T120*T119+T121*12*'Resource Options'!$E$14*1000</f>
        <v>3105.5233507575358</v>
      </c>
      <c r="U122" s="151">
        <f>U120*U119+U121*12*'Resource Options'!$E$14*1000</f>
        <v>3105.5233507575358</v>
      </c>
      <c r="V122" s="151">
        <f>V120*V119+V121*12*'Resource Options'!$E$14*1000</f>
        <v>3105.5233507575358</v>
      </c>
      <c r="W122" s="151">
        <f>W120*W119+W121*12*'Resource Options'!$E$14*1000</f>
        <v>3105.5233507575358</v>
      </c>
      <c r="X122" s="152">
        <f>X120*X119+X121*12*'Resource Options'!$E$14*1000</f>
        <v>3105.5233507575358</v>
      </c>
      <c r="Y122" s="156"/>
    </row>
    <row r="123" spans="1:25" hidden="1" outlineLevel="1">
      <c r="A123" s="95"/>
      <c r="C123" s="126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2"/>
      <c r="Y123" s="156"/>
    </row>
    <row r="124" spans="1:25" hidden="1" outlineLevel="1">
      <c r="A124" s="95"/>
      <c r="B124" s="92"/>
      <c r="C124" s="125" t="s">
        <v>158</v>
      </c>
      <c r="D124" s="151"/>
      <c r="E124" s="151">
        <f>'Resource Options'!$E$14*INDEX('DATA (Nominal)'!$B$181:$BX$181,1,MATCH(E$1,'DATA (Nominal)'!$B$1:$BX$1,0))*1000*0.8</f>
        <v>127.0150909824426</v>
      </c>
      <c r="F124" s="151">
        <f>'Resource Options'!$E$14*INDEX('DATA (Nominal)'!$B$181:$BX$181,1,MATCH(F$1,'DATA (Nominal)'!$B$1:$BX$1,0))*1000*0.8</f>
        <v>119.54253701320361</v>
      </c>
      <c r="G124" s="151">
        <f>'Resource Options'!$E$14*INDEX('DATA (Nominal)'!$B$181:$BX$181,1,MATCH(G$1,'DATA (Nominal)'!$B$1:$BX$1,0))*1000*0.8</f>
        <v>111.67285666184749</v>
      </c>
      <c r="H124" s="151">
        <f>'Resource Options'!$E$14*INDEX('DATA (Nominal)'!$B$181:$BX$181,1,MATCH(H$1,'DATA (Nominal)'!$B$1:$BX$1,0))*1000*0.8</f>
        <v>103.3583276295081</v>
      </c>
      <c r="I124" s="151">
        <f>'Resource Options'!$E$14*INDEX('DATA (Nominal)'!$B$181:$BX$181,1,MATCH(I$1,'DATA (Nominal)'!$B$1:$BX$1,0))*1000*0.8</f>
        <v>94.623909657121501</v>
      </c>
      <c r="J124" s="151">
        <f>'Resource Options'!$E$14*INDEX('DATA (Nominal)'!$B$181:$BX$181,1,MATCH(J$1,'DATA (Nominal)'!$B$1:$BX$1,0))*1000*0.8</f>
        <v>85.455151863377182</v>
      </c>
      <c r="K124" s="151">
        <f>'Resource Options'!$E$14*INDEX('DATA (Nominal)'!$B$181:$BX$181,1,MATCH(K$1,'DATA (Nominal)'!$B$1:$BX$1,0))*1000*0.8</f>
        <v>86.621404394167087</v>
      </c>
      <c r="L124" s="151">
        <f>'Resource Options'!$E$14*INDEX('DATA (Nominal)'!$B$181:$BX$181,1,MATCH(L$1,'DATA (Nominal)'!$B$1:$BX$1,0))*1000*0.8</f>
        <v>87.797611742809892</v>
      </c>
      <c r="M124" s="151">
        <f>'Resource Options'!$E$14*INDEX('DATA (Nominal)'!$B$181:$BX$181,1,MATCH(M$1,'DATA (Nominal)'!$B$1:$BX$1,0))*1000*0.8</f>
        <v>88.983647455066176</v>
      </c>
      <c r="N124" s="151">
        <f>'Resource Options'!$E$14*INDEX('DATA (Nominal)'!$B$181:$BX$181,1,MATCH(N$1,'DATA (Nominal)'!$B$1:$BX$1,0))*1000*0.8</f>
        <v>90.179374694578243</v>
      </c>
      <c r="O124" s="151">
        <f>'Resource Options'!$E$14*INDEX('DATA (Nominal)'!$B$181:$BX$181,1,MATCH(O$1,'DATA (Nominal)'!$B$1:$BX$1,0))*1000*0.8</f>
        <v>91.384645847260558</v>
      </c>
      <c r="P124" s="151">
        <f>'Resource Options'!$E$14*INDEX('DATA (Nominal)'!$B$181:$BX$181,1,MATCH(P$1,'DATA (Nominal)'!$B$1:$BX$1,0))*1000*0.8</f>
        <v>92.599302113308738</v>
      </c>
      <c r="Q124" s="151">
        <f>'Resource Options'!$E$14*INDEX('DATA (Nominal)'!$B$181:$BX$181,1,MATCH(Q$1,'DATA (Nominal)'!$B$1:$BX$1,0))*1000*0.8</f>
        <v>93.823173086472963</v>
      </c>
      <c r="R124" s="151">
        <f>'Resource Options'!$E$14*INDEX('DATA (Nominal)'!$B$181:$BX$181,1,MATCH(R$1,'DATA (Nominal)'!$B$1:$BX$1,0))*1000*0.8</f>
        <v>95.056076320233558</v>
      </c>
      <c r="S124" s="151">
        <f>'Resource Options'!$E$14*INDEX('DATA (Nominal)'!$B$181:$BX$181,1,MATCH(S$1,'DATA (Nominal)'!$B$1:$BX$1,0))*1000*0.8</f>
        <v>96.297816880505806</v>
      </c>
      <c r="T124" s="151">
        <f>'Resource Options'!$E$14*INDEX('DATA (Nominal)'!$B$181:$BX$181,1,MATCH(T$1,'DATA (Nominal)'!$B$1:$BX$1,0))*1000*0.8</f>
        <v>97.548186884491003</v>
      </c>
      <c r="U124" s="151">
        <f>'Resource Options'!$E$14*INDEX('DATA (Nominal)'!$B$181:$BX$181,1,MATCH(U$1,'DATA (Nominal)'!$B$1:$BX$1,0))*1000*0.8</f>
        <v>98.806965025281372</v>
      </c>
      <c r="V124" s="151">
        <f>'Resource Options'!$E$14*INDEX('DATA (Nominal)'!$B$181:$BX$181,1,MATCH(V$1,'DATA (Nominal)'!$B$1:$BX$1,0))*1000*0.8</f>
        <v>100.07391608181446</v>
      </c>
      <c r="W124" s="151">
        <f>'Resource Options'!$E$14*INDEX('DATA (Nominal)'!$B$181:$BX$181,1,MATCH(W$1,'DATA (Nominal)'!$B$1:$BX$1,0))*1000*0.8</f>
        <v>101.34879041376274</v>
      </c>
      <c r="X124" s="152">
        <f>'Resource Options'!$E$14*INDEX('DATA (Nominal)'!$B$181:$BX$181,1,MATCH(X$1,'DATA (Nominal)'!$B$1:$BX$1,0))*1000*0.8</f>
        <v>102.63132344093316</v>
      </c>
      <c r="Y124" s="156"/>
    </row>
    <row r="125" spans="1:25" s="95" customFormat="1" hidden="1" outlineLevel="1">
      <c r="B125" s="92"/>
      <c r="C125" s="125" t="s">
        <v>159</v>
      </c>
      <c r="D125" s="151"/>
      <c r="E125" s="151">
        <f>'Resource Options'!$E$14*INDEX('DATA (Nominal)'!$B$182:$BX$182,1,MATCH(E$1,'DATA (Nominal)'!$B$1:$BX$1,0))*1000*0.8</f>
        <v>377.00359282616375</v>
      </c>
      <c r="F125" s="151">
        <f>'Resource Options'!$E$14*INDEX('DATA (Nominal)'!$B$182:$BX$182,1,MATCH(F$1,'DATA (Nominal)'!$B$1:$BX$1,0))*1000*0.8</f>
        <v>369.83636010624622</v>
      </c>
      <c r="G125" s="151">
        <f>'Resource Options'!$E$14*INDEX('DATA (Nominal)'!$B$182:$BX$182,1,MATCH(G$1,'DATA (Nominal)'!$B$1:$BX$1,0))*1000*0.8</f>
        <v>363.95367468645526</v>
      </c>
      <c r="H125" s="151">
        <f>'Resource Options'!$E$14*INDEX('DATA (Nominal)'!$B$182:$BX$182,1,MATCH(H$1,'DATA (Nominal)'!$B$1:$BX$1,0))*1000*0.8</f>
        <v>359.55135317948412</v>
      </c>
      <c r="I125" s="151">
        <f>'Resource Options'!$E$14*INDEX('DATA (Nominal)'!$B$182:$BX$182,1,MATCH(I$1,'DATA (Nominal)'!$B$1:$BX$1,0))*1000*0.8</f>
        <v>355.32673748763727</v>
      </c>
      <c r="J125" s="151">
        <f>'Resource Options'!$E$14*INDEX('DATA (Nominal)'!$B$182:$BX$182,1,MATCH(J$1,'DATA (Nominal)'!$B$1:$BX$1,0))*1000*0.8</f>
        <v>351.91843948824726</v>
      </c>
      <c r="K125" s="151">
        <f>'Resource Options'!$E$14*INDEX('DATA (Nominal)'!$B$182:$BX$182,1,MATCH(K$1,'DATA (Nominal)'!$B$1:$BX$1,0))*1000*0.8</f>
        <v>355.26208121229485</v>
      </c>
      <c r="L125" s="151">
        <f>'Resource Options'!$E$14*INDEX('DATA (Nominal)'!$B$182:$BX$182,1,MATCH(L$1,'DATA (Nominal)'!$B$1:$BX$1,0))*1000*0.8</f>
        <v>358.48323612904693</v>
      </c>
      <c r="M125" s="151">
        <f>'Resource Options'!$E$14*INDEX('DATA (Nominal)'!$B$182:$BX$182,1,MATCH(M$1,'DATA (Nominal)'!$B$1:$BX$1,0))*1000*0.8</f>
        <v>361.67417501482919</v>
      </c>
      <c r="N125" s="151">
        <f>'Resource Options'!$E$14*INDEX('DATA (Nominal)'!$B$182:$BX$182,1,MATCH(N$1,'DATA (Nominal)'!$B$1:$BX$1,0))*1000*0.8</f>
        <v>364.83200932529991</v>
      </c>
      <c r="O125" s="151">
        <f>'Resource Options'!$E$14*INDEX('DATA (Nominal)'!$B$182:$BX$182,1,MATCH(O$1,'DATA (Nominal)'!$B$1:$BX$1,0))*1000*0.8</f>
        <v>367.95373804472325</v>
      </c>
      <c r="P125" s="151">
        <f>'Resource Options'!$E$14*INDEX('DATA (Nominal)'!$B$182:$BX$182,1,MATCH(P$1,'DATA (Nominal)'!$B$1:$BX$1,0))*1000*0.8</f>
        <v>371.03624413528894</v>
      </c>
      <c r="Q125" s="151">
        <f>'Resource Options'!$E$14*INDEX('DATA (Nominal)'!$B$182:$BX$182,1,MATCH(Q$1,'DATA (Nominal)'!$B$1:$BX$1,0))*1000*0.8</f>
        <v>374.07629088462471</v>
      </c>
      <c r="R125" s="151">
        <f>'Resource Options'!$E$14*INDEX('DATA (Nominal)'!$B$182:$BX$182,1,MATCH(R$1,'DATA (Nominal)'!$B$1:$BX$1,0))*1000*0.8</f>
        <v>377.07051814877053</v>
      </c>
      <c r="S125" s="151">
        <f>'Resource Options'!$E$14*INDEX('DATA (Nominal)'!$B$182:$BX$182,1,MATCH(S$1,'DATA (Nominal)'!$B$1:$BX$1,0))*1000*0.8</f>
        <v>380.01543848774992</v>
      </c>
      <c r="T125" s="151">
        <f>'Resource Options'!$E$14*INDEX('DATA (Nominal)'!$B$182:$BX$182,1,MATCH(T$1,'DATA (Nominal)'!$B$1:$BX$1,0))*1000*0.8</f>
        <v>382.90743319086113</v>
      </c>
      <c r="U125" s="151">
        <f>'Resource Options'!$E$14*INDEX('DATA (Nominal)'!$B$182:$BX$182,1,MATCH(U$1,'DATA (Nominal)'!$B$1:$BX$1,0))*1000*0.8</f>
        <v>385.74274818868008</v>
      </c>
      <c r="V125" s="151">
        <f>'Resource Options'!$E$14*INDEX('DATA (Nominal)'!$B$182:$BX$182,1,MATCH(V$1,'DATA (Nominal)'!$B$1:$BX$1,0))*1000*0.8</f>
        <v>388.5174898487403</v>
      </c>
      <c r="W125" s="151">
        <f>'Resource Options'!$E$14*INDEX('DATA (Nominal)'!$B$182:$BX$182,1,MATCH(W$1,'DATA (Nominal)'!$B$1:$BX$1,0))*1000*0.8</f>
        <v>391.22762065171821</v>
      </c>
      <c r="X125" s="152">
        <f>'Resource Options'!$E$14*INDEX('DATA (Nominal)'!$B$182:$BX$182,1,MATCH(X$1,'DATA (Nominal)'!$B$1:$BX$1,0))*1000*0.8</f>
        <v>393.86895474494145</v>
      </c>
      <c r="Y125" s="156"/>
    </row>
    <row r="126" spans="1:25" hidden="1" outlineLevel="1">
      <c r="A126" s="95"/>
      <c r="C126" s="125" t="s">
        <v>160</v>
      </c>
      <c r="D126" s="151"/>
      <c r="E126" s="151">
        <f>E119*INDEX('DATA (Nominal)'!$B$109:$BX$109,1,MATCH(E$1,'DATA (Nominal)'!$B$1:$BX$1,0))</f>
        <v>0</v>
      </c>
      <c r="F126" s="151">
        <f>F119*INDEX('DATA (Nominal)'!$B$109:$BX$109,1,MATCH(F$1,'DATA (Nominal)'!$B$1:$BX$1,0))</f>
        <v>0</v>
      </c>
      <c r="G126" s="151">
        <f>G119*INDEX('DATA (Nominal)'!$B$109:$BX$109,1,MATCH(G$1,'DATA (Nominal)'!$B$1:$BX$1,0))</f>
        <v>0</v>
      </c>
      <c r="H126" s="151">
        <f>H119*INDEX('DATA (Nominal)'!$B$109:$BX$109,1,MATCH(H$1,'DATA (Nominal)'!$B$1:$BX$1,0))</f>
        <v>0</v>
      </c>
      <c r="I126" s="151">
        <f>I119*INDEX('DATA (Nominal)'!$B$109:$BX$109,1,MATCH(I$1,'DATA (Nominal)'!$B$1:$BX$1,0))</f>
        <v>0</v>
      </c>
      <c r="J126" s="151">
        <f>J119*INDEX('DATA (Nominal)'!$B$109:$BX$109,1,MATCH(J$1,'DATA (Nominal)'!$B$1:$BX$1,0))</f>
        <v>0</v>
      </c>
      <c r="K126" s="151">
        <f>K119*INDEX('DATA (Nominal)'!$B$109:$BX$109,1,MATCH(K$1,'DATA (Nominal)'!$B$1:$BX$1,0))</f>
        <v>0</v>
      </c>
      <c r="L126" s="151">
        <f>L119*INDEX('DATA (Nominal)'!$B$109:$BX$109,1,MATCH(L$1,'DATA (Nominal)'!$B$1:$BX$1,0))</f>
        <v>0</v>
      </c>
      <c r="M126" s="151">
        <f>M119*INDEX('DATA (Nominal)'!$B$109:$BX$109,1,MATCH(M$1,'DATA (Nominal)'!$B$1:$BX$1,0))</f>
        <v>0</v>
      </c>
      <c r="N126" s="151">
        <f>N119*INDEX('DATA (Nominal)'!$B$109:$BX$109,1,MATCH(N$1,'DATA (Nominal)'!$B$1:$BX$1,0))</f>
        <v>0</v>
      </c>
      <c r="O126" s="151">
        <f>O119*INDEX('DATA (Nominal)'!$B$109:$BX$109,1,MATCH(O$1,'DATA (Nominal)'!$B$1:$BX$1,0))</f>
        <v>0</v>
      </c>
      <c r="P126" s="151">
        <f>P119*INDEX('DATA (Nominal)'!$B$109:$BX$109,1,MATCH(P$1,'DATA (Nominal)'!$B$1:$BX$1,0))</f>
        <v>0</v>
      </c>
      <c r="Q126" s="151">
        <f>Q119*INDEX('DATA (Nominal)'!$B$109:$BX$109,1,MATCH(Q$1,'DATA (Nominal)'!$B$1:$BX$1,0))</f>
        <v>0</v>
      </c>
      <c r="R126" s="151">
        <f>R119*INDEX('DATA (Nominal)'!$B$109:$BX$109,1,MATCH(R$1,'DATA (Nominal)'!$B$1:$BX$1,0))</f>
        <v>0</v>
      </c>
      <c r="S126" s="151">
        <f>S119*INDEX('DATA (Nominal)'!$B$109:$BX$109,1,MATCH(S$1,'DATA (Nominal)'!$B$1:$BX$1,0))</f>
        <v>0</v>
      </c>
      <c r="T126" s="151">
        <f>T119*INDEX('DATA (Nominal)'!$B$109:$BX$109,1,MATCH(T$1,'DATA (Nominal)'!$B$1:$BX$1,0))</f>
        <v>0</v>
      </c>
      <c r="U126" s="151">
        <f>U119*INDEX('DATA (Nominal)'!$B$109:$BX$109,1,MATCH(U$1,'DATA (Nominal)'!$B$1:$BX$1,0))</f>
        <v>0</v>
      </c>
      <c r="V126" s="151">
        <f>V119*INDEX('DATA (Nominal)'!$B$109:$BX$109,1,MATCH(V$1,'DATA (Nominal)'!$B$1:$BX$1,0))</f>
        <v>0</v>
      </c>
      <c r="W126" s="151">
        <f>W119*INDEX('DATA (Nominal)'!$B$109:$BX$109,1,MATCH(W$1,'DATA (Nominal)'!$B$1:$BX$1,0))</f>
        <v>0</v>
      </c>
      <c r="X126" s="152">
        <f>X119*INDEX('DATA (Nominal)'!$B$109:$BX$109,1,MATCH(X$1,'DATA (Nominal)'!$B$1:$BX$1,0))</f>
        <v>0</v>
      </c>
      <c r="Y126" s="156"/>
    </row>
    <row r="127" spans="1:25" hidden="1" outlineLevel="1">
      <c r="A127" s="95"/>
      <c r="C127" s="125" t="s">
        <v>127</v>
      </c>
      <c r="D127" s="151"/>
      <c r="E127" s="151">
        <f>E119*E120*INDEX('DATA (Nominal)'!$B$329:$BX$329,1,MATCH(E$1,'DATA (Nominal)'!$B$1:$BX$1,0))</f>
        <v>0</v>
      </c>
      <c r="F127" s="151">
        <f>F119*F120*INDEX('DATA (Nominal)'!$B$329:$BX$329,1,MATCH(F$1,'DATA (Nominal)'!$B$1:$BX$1,0))</f>
        <v>0</v>
      </c>
      <c r="G127" s="151">
        <f>G119*G120*INDEX('DATA (Nominal)'!$B$329:$BX$329,1,MATCH(G$1,'DATA (Nominal)'!$B$1:$BX$1,0))</f>
        <v>0</v>
      </c>
      <c r="H127" s="151">
        <f>H119*H120*INDEX('DATA (Nominal)'!$B$329:$BX$329,1,MATCH(H$1,'DATA (Nominal)'!$B$1:$BX$1,0))</f>
        <v>0</v>
      </c>
      <c r="I127" s="151">
        <f>I119*I120*INDEX('DATA (Nominal)'!$B$329:$BX$329,1,MATCH(I$1,'DATA (Nominal)'!$B$1:$BX$1,0))</f>
        <v>0</v>
      </c>
      <c r="J127" s="151">
        <f>J119*J120*INDEX('DATA (Nominal)'!$B$329:$BX$329,1,MATCH(J$1,'DATA (Nominal)'!$B$1:$BX$1,0))</f>
        <v>0</v>
      </c>
      <c r="K127" s="151">
        <f>K119*K120*INDEX('DATA (Nominal)'!$B$329:$BX$329,1,MATCH(K$1,'DATA (Nominal)'!$B$1:$BX$1,0))</f>
        <v>0</v>
      </c>
      <c r="L127" s="151">
        <f>L119*L120*INDEX('DATA (Nominal)'!$B$329:$BX$329,1,MATCH(L$1,'DATA (Nominal)'!$B$1:$BX$1,0))</f>
        <v>0</v>
      </c>
      <c r="M127" s="151">
        <f>M119*M120*INDEX('DATA (Nominal)'!$B$329:$BX$329,1,MATCH(M$1,'DATA (Nominal)'!$B$1:$BX$1,0))</f>
        <v>0</v>
      </c>
      <c r="N127" s="151">
        <f>N119*N120*INDEX('DATA (Nominal)'!$B$329:$BX$329,1,MATCH(N$1,'DATA (Nominal)'!$B$1:$BX$1,0))</f>
        <v>0</v>
      </c>
      <c r="O127" s="151">
        <f>O119*O120*INDEX('DATA (Nominal)'!$B$329:$BX$329,1,MATCH(O$1,'DATA (Nominal)'!$B$1:$BX$1,0))</f>
        <v>0</v>
      </c>
      <c r="P127" s="151">
        <f>P119*P120*INDEX('DATA (Nominal)'!$B$329:$BX$329,1,MATCH(P$1,'DATA (Nominal)'!$B$1:$BX$1,0))</f>
        <v>0</v>
      </c>
      <c r="Q127" s="151">
        <f>Q119*Q120*INDEX('DATA (Nominal)'!$B$329:$BX$329,1,MATCH(Q$1,'DATA (Nominal)'!$B$1:$BX$1,0))</f>
        <v>0</v>
      </c>
      <c r="R127" s="151">
        <f>R119*R120*INDEX('DATA (Nominal)'!$B$329:$BX$329,1,MATCH(R$1,'DATA (Nominal)'!$B$1:$BX$1,0))</f>
        <v>0</v>
      </c>
      <c r="S127" s="151">
        <f>S119*S120*INDEX('DATA (Nominal)'!$B$329:$BX$329,1,MATCH(S$1,'DATA (Nominal)'!$B$1:$BX$1,0))</f>
        <v>0</v>
      </c>
      <c r="T127" s="151">
        <f>T119*T120*INDEX('DATA (Nominal)'!$B$329:$BX$329,1,MATCH(T$1,'DATA (Nominal)'!$B$1:$BX$1,0))</f>
        <v>0</v>
      </c>
      <c r="U127" s="151">
        <f>U119*U120*INDEX('DATA (Nominal)'!$B$329:$BX$329,1,MATCH(U$1,'DATA (Nominal)'!$B$1:$BX$1,0))</f>
        <v>0</v>
      </c>
      <c r="V127" s="151">
        <f>V119*V120*INDEX('DATA (Nominal)'!$B$329:$BX$329,1,MATCH(V$1,'DATA (Nominal)'!$B$1:$BX$1,0))</f>
        <v>0</v>
      </c>
      <c r="W127" s="151">
        <f>W119*W120*INDEX('DATA (Nominal)'!$B$329:$BX$329,1,MATCH(W$1,'DATA (Nominal)'!$B$1:$BX$1,0))</f>
        <v>0</v>
      </c>
      <c r="X127" s="152">
        <f>X119*X120*INDEX('DATA (Nominal)'!$B$329:$BX$329,1,MATCH(X$1,'DATA (Nominal)'!$B$1:$BX$1,0))</f>
        <v>0</v>
      </c>
      <c r="Y127" s="156"/>
    </row>
    <row r="128" spans="1:25" hidden="1" outlineLevel="1">
      <c r="A128" s="254"/>
      <c r="C128" s="258" t="s">
        <v>50</v>
      </c>
      <c r="D128" s="151"/>
      <c r="E128" s="151">
        <f t="shared" ref="E128:X128" si="216">SUM(E124:E127)</f>
        <v>504.01868380860634</v>
      </c>
      <c r="F128" s="151">
        <f t="shared" si="216"/>
        <v>489.37889711944985</v>
      </c>
      <c r="G128" s="151">
        <f t="shared" si="216"/>
        <v>475.62653134830276</v>
      </c>
      <c r="H128" s="151">
        <f t="shared" si="216"/>
        <v>462.90968080899222</v>
      </c>
      <c r="I128" s="151">
        <f t="shared" si="216"/>
        <v>449.95064714475876</v>
      </c>
      <c r="J128" s="151">
        <f t="shared" si="216"/>
        <v>437.37359135162444</v>
      </c>
      <c r="K128" s="151">
        <f t="shared" si="216"/>
        <v>441.88348560646193</v>
      </c>
      <c r="L128" s="151">
        <f t="shared" si="216"/>
        <v>446.28084787185685</v>
      </c>
      <c r="M128" s="151">
        <f t="shared" si="216"/>
        <v>450.65782246989534</v>
      </c>
      <c r="N128" s="151">
        <f t="shared" si="216"/>
        <v>455.01138401987816</v>
      </c>
      <c r="O128" s="151">
        <f t="shared" si="216"/>
        <v>459.33838389198382</v>
      </c>
      <c r="P128" s="151">
        <f t="shared" si="216"/>
        <v>463.63554624859768</v>
      </c>
      <c r="Q128" s="151">
        <f t="shared" si="216"/>
        <v>467.8994639710977</v>
      </c>
      <c r="R128" s="151">
        <f t="shared" si="216"/>
        <v>472.12659446900409</v>
      </c>
      <c r="S128" s="151">
        <f t="shared" si="216"/>
        <v>476.31325536825574</v>
      </c>
      <c r="T128" s="151">
        <f t="shared" si="216"/>
        <v>480.45562007535216</v>
      </c>
      <c r="U128" s="151">
        <f t="shared" si="216"/>
        <v>484.54971321396147</v>
      </c>
      <c r="V128" s="151">
        <f t="shared" si="216"/>
        <v>488.59140593055474</v>
      </c>
      <c r="W128" s="151">
        <f t="shared" si="216"/>
        <v>492.57641106548095</v>
      </c>
      <c r="X128" s="152">
        <f t="shared" si="216"/>
        <v>496.50027818587461</v>
      </c>
      <c r="Y128" s="156"/>
    </row>
    <row r="129" spans="1:25" s="95" customFormat="1" hidden="1" outlineLevel="1">
      <c r="C129" s="126" t="s">
        <v>179</v>
      </c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>
        <f>INDEX('DATA (Nominal)'!$B$63:$BX$63,1,MATCH($O$1,'DATA (Nominal)'!$B$1:$BX$1,0))*1000000*(1+AFUDC!$D$14)*0.5*'Resource Options'!$D$14/1000</f>
        <v>11267.797118618004</v>
      </c>
      <c r="P129" s="151"/>
      <c r="Q129" s="151"/>
      <c r="R129" s="151"/>
      <c r="S129" s="151"/>
      <c r="T129" s="151"/>
      <c r="U129" s="151"/>
      <c r="V129" s="151"/>
      <c r="W129" s="151"/>
      <c r="X129" s="152"/>
      <c r="Y129" s="156"/>
    </row>
    <row r="130" spans="1:25" hidden="1" outlineLevel="1">
      <c r="A130" s="95"/>
      <c r="C130" s="126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2"/>
      <c r="Y130" s="156"/>
    </row>
    <row r="131" spans="1:25" hidden="1" outlineLevel="1">
      <c r="A131" s="95"/>
      <c r="C131" s="125" t="s">
        <v>51</v>
      </c>
      <c r="D131" s="151"/>
      <c r="E131" s="151">
        <f t="shared" ref="E131:X131" si="217">E122-E128</f>
        <v>2601.5046669489293</v>
      </c>
      <c r="F131" s="151">
        <f t="shared" si="217"/>
        <v>2616.1444536380859</v>
      </c>
      <c r="G131" s="151">
        <f t="shared" si="217"/>
        <v>2629.8968194092331</v>
      </c>
      <c r="H131" s="151">
        <f t="shared" si="217"/>
        <v>2642.6136699485437</v>
      </c>
      <c r="I131" s="151">
        <f t="shared" si="217"/>
        <v>2655.5727036127769</v>
      </c>
      <c r="J131" s="151">
        <f t="shared" si="217"/>
        <v>2668.1497594059115</v>
      </c>
      <c r="K131" s="151">
        <f t="shared" si="217"/>
        <v>2663.639865151074</v>
      </c>
      <c r="L131" s="151">
        <f t="shared" si="217"/>
        <v>2659.2425028856787</v>
      </c>
      <c r="M131" s="151">
        <f t="shared" si="217"/>
        <v>2654.8655282876407</v>
      </c>
      <c r="N131" s="151">
        <f t="shared" si="217"/>
        <v>2650.5119667376575</v>
      </c>
      <c r="O131" s="151">
        <f t="shared" si="217"/>
        <v>2646.1849668655518</v>
      </c>
      <c r="P131" s="151">
        <f t="shared" si="217"/>
        <v>2641.8878045089382</v>
      </c>
      <c r="Q131" s="151">
        <f t="shared" si="217"/>
        <v>2637.6238867864381</v>
      </c>
      <c r="R131" s="151">
        <f t="shared" si="217"/>
        <v>2633.3967562885318</v>
      </c>
      <c r="S131" s="151">
        <f t="shared" si="217"/>
        <v>2629.21009538928</v>
      </c>
      <c r="T131" s="151">
        <f t="shared" si="217"/>
        <v>2625.0677306821835</v>
      </c>
      <c r="U131" s="151">
        <f t="shared" si="217"/>
        <v>2620.9736375435741</v>
      </c>
      <c r="V131" s="151">
        <f t="shared" si="217"/>
        <v>2616.9319448269812</v>
      </c>
      <c r="W131" s="151">
        <f t="shared" si="217"/>
        <v>2612.9469396920549</v>
      </c>
      <c r="X131" s="152">
        <f t="shared" si="217"/>
        <v>2609.023072571661</v>
      </c>
      <c r="Y131" s="156"/>
    </row>
    <row r="132" spans="1:25" hidden="1" outlineLevel="1">
      <c r="A132" s="95"/>
      <c r="C132" s="125" t="s">
        <v>52</v>
      </c>
      <c r="D132" s="151"/>
      <c r="E132" s="151">
        <f t="shared" ref="E132:X132" si="218">E131-E149-E139</f>
        <v>-5938.555403225897</v>
      </c>
      <c r="F132" s="151">
        <f t="shared" si="218"/>
        <v>-10477.452960209946</v>
      </c>
      <c r="G132" s="151">
        <f t="shared" si="218"/>
        <v>-5551.3772440362291</v>
      </c>
      <c r="H132" s="151">
        <f t="shared" si="218"/>
        <v>-2578.7736250524786</v>
      </c>
      <c r="I132" s="151">
        <f t="shared" si="218"/>
        <v>-2535.2546964458716</v>
      </c>
      <c r="J132" s="151">
        <f t="shared" si="218"/>
        <v>-292.24691895309854</v>
      </c>
      <c r="K132" s="151">
        <f t="shared" si="218"/>
        <v>1935.4471463957339</v>
      </c>
      <c r="L132" s="151">
        <f t="shared" si="218"/>
        <v>1966.934477187327</v>
      </c>
      <c r="M132" s="151">
        <f t="shared" si="218"/>
        <v>2000.4158537644121</v>
      </c>
      <c r="N132" s="151">
        <f t="shared" si="218"/>
        <v>2036.0028527041841</v>
      </c>
      <c r="O132" s="151">
        <f t="shared" si="218"/>
        <v>-5.6588140921828654</v>
      </c>
      <c r="P132" s="151">
        <f t="shared" si="218"/>
        <v>-1078.7823712011573</v>
      </c>
      <c r="Q132" s="151">
        <f t="shared" si="218"/>
        <v>-209.24722202480689</v>
      </c>
      <c r="R132" s="151">
        <f t="shared" si="218"/>
        <v>439.77797161296633</v>
      </c>
      <c r="S132" s="151">
        <f t="shared" si="218"/>
        <v>932.89432232362242</v>
      </c>
      <c r="T132" s="151">
        <f t="shared" si="218"/>
        <v>1029.0219580879098</v>
      </c>
      <c r="U132" s="151">
        <f t="shared" si="218"/>
        <v>1130.7127154466098</v>
      </c>
      <c r="V132" s="151">
        <f t="shared" si="218"/>
        <v>1741.2685033797864</v>
      </c>
      <c r="W132" s="151">
        <f t="shared" si="218"/>
        <v>2357.681110931177</v>
      </c>
      <c r="X132" s="152">
        <f t="shared" si="218"/>
        <v>2477.9741921129139</v>
      </c>
      <c r="Y132" s="156"/>
    </row>
    <row r="133" spans="1:25" hidden="1" outlineLevel="1">
      <c r="A133" s="95"/>
      <c r="C133" s="125" t="s">
        <v>128</v>
      </c>
      <c r="D133" s="151"/>
      <c r="E133" s="151">
        <f>-$D136*INDEX('DATA (Nominal)'!$B$242:$BX$242,1,MATCH($B$1,'DATA (Nominal)'!$B$1:$BX$1,0))</f>
        <v>17959.068893263349</v>
      </c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2"/>
      <c r="Y133" s="156"/>
    </row>
    <row r="134" spans="1:25" hidden="1" outlineLevel="1">
      <c r="A134" s="95"/>
      <c r="C134" s="126" t="s">
        <v>54</v>
      </c>
      <c r="D134" s="151"/>
      <c r="E134" s="151">
        <f>E132*Federal_Tax_Rate-E133</f>
        <v>-19206.165527940786</v>
      </c>
      <c r="F134" s="151">
        <f>F132*Federal_Tax_Rate-F133</f>
        <v>-2200.2651216440886</v>
      </c>
      <c r="G134" s="151">
        <f t="shared" ref="G134" si="219">G132*Federal_Tax_Rate-G133</f>
        <v>-1165.7892212476081</v>
      </c>
      <c r="H134" s="151">
        <f t="shared" ref="H134" si="220">H132*Federal_Tax_Rate-H133</f>
        <v>-541.54246126102043</v>
      </c>
      <c r="I134" s="151">
        <f t="shared" ref="I134" si="221">I132*Federal_Tax_Rate-I133</f>
        <v>-532.40348625363299</v>
      </c>
      <c r="J134" s="151">
        <f t="shared" ref="J134" si="222">J132*Federal_Tax_Rate-J133</f>
        <v>-61.371852980150692</v>
      </c>
      <c r="K134" s="151">
        <f t="shared" ref="K134" si="223">K132*Federal_Tax_Rate-K133</f>
        <v>406.44390074310411</v>
      </c>
      <c r="L134" s="151">
        <f t="shared" ref="L134" si="224">L132*Federal_Tax_Rate-L133</f>
        <v>413.05624020933868</v>
      </c>
      <c r="M134" s="151">
        <f t="shared" ref="M134" si="225">M132*Federal_Tax_Rate-M133</f>
        <v>420.0873292905265</v>
      </c>
      <c r="N134" s="151">
        <f t="shared" ref="N134" si="226">N132*Federal_Tax_Rate-N133</f>
        <v>427.56059906787863</v>
      </c>
      <c r="O134" s="151">
        <f>O132*Federal_Tax_Rate-O133</f>
        <v>-1.1883509593584016</v>
      </c>
      <c r="P134" s="151">
        <f t="shared" ref="P134" si="227">P132*Federal_Tax_Rate-P133</f>
        <v>-226.54429795224303</v>
      </c>
      <c r="Q134" s="151">
        <f t="shared" ref="Q134" si="228">Q132*Federal_Tax_Rate-Q133</f>
        <v>-43.941916625209444</v>
      </c>
      <c r="R134" s="151">
        <f t="shared" ref="R134" si="229">R132*Federal_Tax_Rate-R133</f>
        <v>92.353374038722919</v>
      </c>
      <c r="S134" s="151">
        <f t="shared" ref="S134" si="230">S132*Federal_Tax_Rate-S133</f>
        <v>195.90780768796071</v>
      </c>
      <c r="T134" s="151">
        <f t="shared" ref="T134" si="231">T132*Federal_Tax_Rate-T133</f>
        <v>216.09461119846105</v>
      </c>
      <c r="U134" s="151">
        <f t="shared" ref="U134" si="232">U132*Federal_Tax_Rate-U133</f>
        <v>237.44967024378803</v>
      </c>
      <c r="V134" s="151">
        <f t="shared" ref="V134" si="233">V132*Federal_Tax_Rate-V133</f>
        <v>365.6663857097551</v>
      </c>
      <c r="W134" s="151">
        <f t="shared" ref="W134" si="234">W132*Federal_Tax_Rate-W133</f>
        <v>495.11303329554715</v>
      </c>
      <c r="X134" s="152">
        <f t="shared" ref="X134" si="235">X132*Federal_Tax_Rate-X133</f>
        <v>520.37458034371195</v>
      </c>
      <c r="Y134" s="156"/>
    </row>
    <row r="135" spans="1:25" hidden="1" outlineLevel="1">
      <c r="A135" s="95"/>
      <c r="C135" s="126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2"/>
      <c r="Y135" s="156"/>
    </row>
    <row r="136" spans="1:25" hidden="1" outlineLevel="1">
      <c r="A136" s="95"/>
      <c r="B136" s="37">
        <f>IRR(D136:Y136,0.1)</f>
        <v>7.5000004980686263E-2</v>
      </c>
      <c r="C136" s="125" t="s">
        <v>55</v>
      </c>
      <c r="D136" s="155">
        <f>SUM(D145:D146)</f>
        <v>-44897.672233158373</v>
      </c>
      <c r="E136" s="156">
        <f t="shared" ref="E136:K136" si="236">E131-E134</f>
        <v>21807.670194889717</v>
      </c>
      <c r="F136" s="151">
        <f t="shared" si="236"/>
        <v>4816.409575282174</v>
      </c>
      <c r="G136" s="151">
        <f t="shared" si="236"/>
        <v>3795.6860406568412</v>
      </c>
      <c r="H136" s="151">
        <f t="shared" si="236"/>
        <v>3184.1561312095641</v>
      </c>
      <c r="I136" s="151">
        <f t="shared" si="236"/>
        <v>3187.9761898664101</v>
      </c>
      <c r="J136" s="151">
        <f t="shared" si="236"/>
        <v>2729.5216123860623</v>
      </c>
      <c r="K136" s="151">
        <f t="shared" si="236"/>
        <v>2257.1959644079698</v>
      </c>
      <c r="L136" s="151">
        <f>L131-L134</f>
        <v>2246.18626267634</v>
      </c>
      <c r="M136" s="151">
        <f t="shared" ref="M136:N136" si="237">M131-M134</f>
        <v>2234.778198997114</v>
      </c>
      <c r="N136" s="151">
        <f t="shared" si="237"/>
        <v>2222.9513676697788</v>
      </c>
      <c r="O136" s="151">
        <f>O131-O134-O129</f>
        <v>-8620.4238007930944</v>
      </c>
      <c r="P136" s="151">
        <f>P131-P134</f>
        <v>2868.4321024611813</v>
      </c>
      <c r="Q136" s="151">
        <f t="shared" ref="Q136:X136" si="238">Q131-Q134</f>
        <v>2681.5658034116477</v>
      </c>
      <c r="R136" s="151">
        <f t="shared" si="238"/>
        <v>2541.0433822498089</v>
      </c>
      <c r="S136" s="151">
        <f t="shared" si="238"/>
        <v>2433.3022877013191</v>
      </c>
      <c r="T136" s="151">
        <f t="shared" si="238"/>
        <v>2408.9731194837223</v>
      </c>
      <c r="U136" s="151">
        <f t="shared" si="238"/>
        <v>2383.5239672997859</v>
      </c>
      <c r="V136" s="151">
        <f t="shared" si="238"/>
        <v>2251.2655591172261</v>
      </c>
      <c r="W136" s="151">
        <f t="shared" si="238"/>
        <v>2117.8339063965077</v>
      </c>
      <c r="X136" s="152">
        <f t="shared" si="238"/>
        <v>2088.6484922279492</v>
      </c>
      <c r="Y136" s="156">
        <f>D136*-0.3</f>
        <v>13469.301669947512</v>
      </c>
    </row>
    <row r="137" spans="1:25" hidden="1" outlineLevel="1">
      <c r="A137" s="95"/>
      <c r="B137" s="37">
        <f>IRR(D137:Y137,0.1)</f>
        <v>0.13139133958012428</v>
      </c>
      <c r="C137" s="125" t="s">
        <v>56</v>
      </c>
      <c r="D137" s="155">
        <f>-D154</f>
        <v>-5267.5534015392805</v>
      </c>
      <c r="E137" s="156">
        <f t="shared" ref="E137:N137" si="239">E136-E139-E142-E150-E133</f>
        <v>865.11271947474961</v>
      </c>
      <c r="F137" s="151">
        <f t="shared" si="239"/>
        <v>871.21285389630521</v>
      </c>
      <c r="G137" s="151">
        <f t="shared" si="239"/>
        <v>876.31133445417549</v>
      </c>
      <c r="H137" s="151">
        <f t="shared" si="239"/>
        <v>880.27463411682004</v>
      </c>
      <c r="I137" s="151">
        <f t="shared" si="239"/>
        <v>884.09469277366577</v>
      </c>
      <c r="J137" s="151">
        <f t="shared" si="239"/>
        <v>887.26002212575918</v>
      </c>
      <c r="K137" s="151">
        <f t="shared" si="239"/>
        <v>876.55428098010782</v>
      </c>
      <c r="L137" s="151">
        <f t="shared" si="239"/>
        <v>865.54457924847782</v>
      </c>
      <c r="M137" s="151">
        <f t="shared" si="239"/>
        <v>854.13651556925186</v>
      </c>
      <c r="N137" s="151">
        <f t="shared" si="239"/>
        <v>842.3096842419169</v>
      </c>
      <c r="O137" s="151">
        <f>O136-O139-O142-O150-O133+O129</f>
        <v>-204.42315430242161</v>
      </c>
      <c r="P137" s="151">
        <f t="shared" ref="P137:X137" si="240">P136-P139-P142-P150-P133</f>
        <v>-224.81523344274467</v>
      </c>
      <c r="Q137" s="151">
        <f t="shared" si="240"/>
        <v>-246.11590197044086</v>
      </c>
      <c r="R137" s="151">
        <f t="shared" si="240"/>
        <v>-268.37377813468879</v>
      </c>
      <c r="S137" s="151">
        <f t="shared" si="240"/>
        <v>-291.64019768489948</v>
      </c>
      <c r="T137" s="151">
        <f t="shared" si="240"/>
        <v>-315.96936590249629</v>
      </c>
      <c r="U137" s="151">
        <f t="shared" si="240"/>
        <v>-341.41851808643264</v>
      </c>
      <c r="V137" s="151">
        <f t="shared" si="240"/>
        <v>-368.04808896021962</v>
      </c>
      <c r="W137" s="151">
        <f t="shared" si="240"/>
        <v>-395.9218914940127</v>
      </c>
      <c r="X137" s="152">
        <f t="shared" si="240"/>
        <v>-425.10730566257166</v>
      </c>
      <c r="Y137" s="156">
        <f>Y136</f>
        <v>13469.301669947512</v>
      </c>
    </row>
    <row r="138" spans="1:25" hidden="1" outlineLevel="1">
      <c r="A138" s="95"/>
      <c r="B138" s="21"/>
      <c r="C138" s="125"/>
      <c r="D138" s="155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2"/>
      <c r="Y138" s="156"/>
    </row>
    <row r="139" spans="1:25" hidden="1" outlineLevel="1">
      <c r="A139" s="95"/>
      <c r="B139" s="15"/>
      <c r="C139" s="126" t="s">
        <v>57</v>
      </c>
      <c r="D139" s="151"/>
      <c r="E139" s="151">
        <f t="shared" ref="E139:W139" si="241">D143*Debt_Rate</f>
        <v>907.45579053790334</v>
      </c>
      <c r="F139" s="151">
        <f t="shared" si="241"/>
        <v>881.43056642895567</v>
      </c>
      <c r="G139" s="151">
        <f t="shared" si="241"/>
        <v>853.9739549940158</v>
      </c>
      <c r="H139" s="151">
        <f t="shared" si="241"/>
        <v>825.00722993015438</v>
      </c>
      <c r="I139" s="151">
        <f t="shared" si="241"/>
        <v>794.44733498778044</v>
      </c>
      <c r="J139" s="151">
        <f t="shared" si="241"/>
        <v>762.20664582357597</v>
      </c>
      <c r="K139" s="151">
        <f t="shared" si="241"/>
        <v>728.19271875534025</v>
      </c>
      <c r="L139" s="151">
        <f t="shared" si="241"/>
        <v>692.30802569835157</v>
      </c>
      <c r="M139" s="151">
        <f t="shared" si="241"/>
        <v>654.44967452322851</v>
      </c>
      <c r="N139" s="151">
        <f t="shared" si="241"/>
        <v>614.50911403347357</v>
      </c>
      <c r="O139" s="151">
        <f t="shared" si="241"/>
        <v>1042.1262845919669</v>
      </c>
      <c r="P139" s="151">
        <f t="shared" si="241"/>
        <v>961.18666136054628</v>
      </c>
      <c r="Q139" s="151">
        <f t="shared" si="241"/>
        <v>875.79535885139762</v>
      </c>
      <c r="R139" s="151">
        <f t="shared" si="241"/>
        <v>785.70753470424586</v>
      </c>
      <c r="S139" s="151">
        <f t="shared" si="241"/>
        <v>690.6648802290008</v>
      </c>
      <c r="T139" s="151">
        <f t="shared" si="241"/>
        <v>590.3948797576171</v>
      </c>
      <c r="U139" s="151">
        <f t="shared" si="241"/>
        <v>484.6100292603075</v>
      </c>
      <c r="V139" s="151">
        <f t="shared" si="241"/>
        <v>373.00701198564576</v>
      </c>
      <c r="W139" s="151">
        <f t="shared" si="241"/>
        <v>255.2658287608777</v>
      </c>
      <c r="X139" s="152">
        <f>W143*Debt_Rate</f>
        <v>131.04888045874733</v>
      </c>
      <c r="Y139" s="156"/>
    </row>
    <row r="140" spans="1:25" hidden="1" outlineLevel="1">
      <c r="A140" s="95"/>
      <c r="B140" s="15"/>
      <c r="C140" s="126" t="s">
        <v>113</v>
      </c>
      <c r="D140" s="151"/>
      <c r="E140" s="151">
        <f t="shared" ref="E140:X140" si="242">-PMT(Debt_Rate,20,$D153)</f>
        <v>1380.6416834278621</v>
      </c>
      <c r="F140" s="151">
        <f t="shared" si="242"/>
        <v>1380.6416834278621</v>
      </c>
      <c r="G140" s="151">
        <f t="shared" si="242"/>
        <v>1380.6416834278621</v>
      </c>
      <c r="H140" s="151">
        <f t="shared" si="242"/>
        <v>1380.6416834278621</v>
      </c>
      <c r="I140" s="151">
        <f t="shared" si="242"/>
        <v>1380.6416834278621</v>
      </c>
      <c r="J140" s="151">
        <f t="shared" si="242"/>
        <v>1380.6416834278621</v>
      </c>
      <c r="K140" s="151">
        <f t="shared" si="242"/>
        <v>1380.6416834278621</v>
      </c>
      <c r="L140" s="151">
        <f t="shared" si="242"/>
        <v>1380.6416834278621</v>
      </c>
      <c r="M140" s="151">
        <f t="shared" si="242"/>
        <v>1380.6416834278621</v>
      </c>
      <c r="N140" s="151">
        <f t="shared" si="242"/>
        <v>1380.6416834278621</v>
      </c>
      <c r="O140" s="151">
        <f t="shared" si="242"/>
        <v>1380.6416834278621</v>
      </c>
      <c r="P140" s="151">
        <f t="shared" si="242"/>
        <v>1380.6416834278621</v>
      </c>
      <c r="Q140" s="151">
        <f t="shared" si="242"/>
        <v>1380.6416834278621</v>
      </c>
      <c r="R140" s="151">
        <f t="shared" si="242"/>
        <v>1380.6416834278621</v>
      </c>
      <c r="S140" s="151">
        <f t="shared" si="242"/>
        <v>1380.6416834278621</v>
      </c>
      <c r="T140" s="151">
        <f t="shared" si="242"/>
        <v>1380.6416834278621</v>
      </c>
      <c r="U140" s="151">
        <f t="shared" si="242"/>
        <v>1380.6416834278621</v>
      </c>
      <c r="V140" s="151">
        <f t="shared" si="242"/>
        <v>1380.6416834278621</v>
      </c>
      <c r="W140" s="151">
        <f t="shared" si="242"/>
        <v>1380.6416834278621</v>
      </c>
      <c r="X140" s="152">
        <f t="shared" si="242"/>
        <v>1380.6416834278621</v>
      </c>
      <c r="Y140" s="156"/>
    </row>
    <row r="141" spans="1:25" s="95" customFormat="1" hidden="1" outlineLevel="1">
      <c r="B141" s="52"/>
      <c r="C141" s="126" t="s">
        <v>161</v>
      </c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>
        <f t="shared" ref="O141:X141" si="243">-PMT(Debt_Rate,10,$O129)*$B153</f>
        <v>1133.1141144626583</v>
      </c>
      <c r="P141" s="151">
        <f t="shared" si="243"/>
        <v>1133.1141144626583</v>
      </c>
      <c r="Q141" s="151">
        <f t="shared" si="243"/>
        <v>1133.1141144626583</v>
      </c>
      <c r="R141" s="151">
        <f t="shared" si="243"/>
        <v>1133.1141144626583</v>
      </c>
      <c r="S141" s="151">
        <f t="shared" si="243"/>
        <v>1133.1141144626583</v>
      </c>
      <c r="T141" s="151">
        <f t="shared" si="243"/>
        <v>1133.1141144626583</v>
      </c>
      <c r="U141" s="151">
        <f t="shared" si="243"/>
        <v>1133.1141144626583</v>
      </c>
      <c r="V141" s="151">
        <f t="shared" si="243"/>
        <v>1133.1141144626583</v>
      </c>
      <c r="W141" s="151">
        <f t="shared" si="243"/>
        <v>1133.1141144626583</v>
      </c>
      <c r="X141" s="152">
        <f t="shared" si="243"/>
        <v>1133.1141144626583</v>
      </c>
      <c r="Y141" s="156"/>
    </row>
    <row r="142" spans="1:25" hidden="1" outlineLevel="1">
      <c r="A142" s="95"/>
      <c r="B142" s="15"/>
      <c r="C142" s="126" t="s">
        <v>59</v>
      </c>
      <c r="D142" s="151"/>
      <c r="E142" s="156">
        <f>E141+E140-E139</f>
        <v>473.18589288995872</v>
      </c>
      <c r="F142" s="151">
        <f t="shared" ref="F142" si="244">F141+F140-F139</f>
        <v>499.21111699890639</v>
      </c>
      <c r="G142" s="151">
        <f t="shared" ref="G142" si="245">G141+G140-G139</f>
        <v>526.66772843384626</v>
      </c>
      <c r="H142" s="151">
        <f t="shared" ref="H142" si="246">H141+H140-H139</f>
        <v>555.63445349770768</v>
      </c>
      <c r="I142" s="151">
        <f t="shared" ref="I142" si="247">I141+I140-I139</f>
        <v>586.19434844008163</v>
      </c>
      <c r="J142" s="151">
        <f t="shared" ref="J142" si="248">J141+J140-J139</f>
        <v>618.43503760428609</v>
      </c>
      <c r="K142" s="151">
        <f t="shared" ref="K142" si="249">K141+K140-K139</f>
        <v>652.44896467252181</v>
      </c>
      <c r="L142" s="151">
        <f t="shared" ref="L142" si="250">L141+L140-L139</f>
        <v>688.33365772951049</v>
      </c>
      <c r="M142" s="151">
        <f>M141+M140-M139</f>
        <v>726.19200890463355</v>
      </c>
      <c r="N142" s="151">
        <f>N141+N140-N139</f>
        <v>766.1325693943885</v>
      </c>
      <c r="O142" s="151">
        <f>O141+O140-O139</f>
        <v>1471.6295132985538</v>
      </c>
      <c r="P142" s="151">
        <f>P141+P140-P139</f>
        <v>1552.5691365299745</v>
      </c>
      <c r="Q142" s="151">
        <f t="shared" ref="Q142" si="251">Q141+Q140-Q139</f>
        <v>1637.960439039123</v>
      </c>
      <c r="R142" s="151">
        <f t="shared" ref="R142" si="252">R141+R140-R139</f>
        <v>1728.0482631862747</v>
      </c>
      <c r="S142" s="151">
        <f t="shared" ref="S142" si="253">S141+S140-S139</f>
        <v>1823.0909176615198</v>
      </c>
      <c r="T142" s="151">
        <f t="shared" ref="T142" si="254">T141+T140-T139</f>
        <v>1923.3609181329034</v>
      </c>
      <c r="U142" s="151">
        <f t="shared" ref="U142" si="255">U141+U140-U139</f>
        <v>2029.1457686302131</v>
      </c>
      <c r="V142" s="151">
        <f t="shared" ref="V142" si="256">V141+V140-V139</f>
        <v>2140.7487859048747</v>
      </c>
      <c r="W142" s="151">
        <f t="shared" ref="W142" si="257">W141+W140-W139</f>
        <v>2258.4899691296428</v>
      </c>
      <c r="X142" s="152">
        <f t="shared" ref="X142" si="258">X141+X140-X139</f>
        <v>2382.7069174317735</v>
      </c>
      <c r="Y142" s="156"/>
    </row>
    <row r="143" spans="1:25" hidden="1" outlineLevel="1">
      <c r="A143" s="95"/>
      <c r="B143" s="15"/>
      <c r="C143" s="126" t="s">
        <v>60</v>
      </c>
      <c r="D143" s="151">
        <f>D153</f>
        <v>16499.196191598243</v>
      </c>
      <c r="E143" s="151">
        <f>D143-E142+(F129*$B$76)</f>
        <v>16026.010298708285</v>
      </c>
      <c r="F143" s="151">
        <f t="shared" ref="F143" si="259">E143-F142+(G129*$B$76)</f>
        <v>15526.799181709379</v>
      </c>
      <c r="G143" s="151">
        <f t="shared" ref="G143" si="260">F143-G142+(H129*$B$76)</f>
        <v>15000.131453275533</v>
      </c>
      <c r="H143" s="151">
        <f t="shared" ref="H143" si="261">G143-H142+(I129*$B$76)</f>
        <v>14444.496999777826</v>
      </c>
      <c r="I143" s="151">
        <f t="shared" ref="I143" si="262">H143-I142+(J129*$B$76)</f>
        <v>13858.302651337744</v>
      </c>
      <c r="J143" s="151">
        <f t="shared" ref="J143" si="263">I143-J142+(K129*$B$76)</f>
        <v>13239.867613733459</v>
      </c>
      <c r="K143" s="151">
        <f t="shared" ref="K143" si="264">J143-K142+(L129*$B$76)</f>
        <v>12587.418649060937</v>
      </c>
      <c r="L143" s="151">
        <f t="shared" ref="L143" si="265">K143-L142+(M129*$B$76)</f>
        <v>11899.084991331427</v>
      </c>
      <c r="M143" s="151">
        <f>L143-M142+(N129*$B$76)</f>
        <v>11172.892982426793</v>
      </c>
      <c r="N143" s="151">
        <f>M143-N142+(O129*$B$76)</f>
        <v>18947.75062894485</v>
      </c>
      <c r="O143" s="151">
        <f t="shared" ref="O143" si="266">N143-O142+(P129*$B$76)</f>
        <v>17476.121115646296</v>
      </c>
      <c r="P143" s="151">
        <f t="shared" ref="P143" si="267">O143-P142+(Q129*$B$76)</f>
        <v>15923.551979116321</v>
      </c>
      <c r="Q143" s="151">
        <f t="shared" ref="Q143" si="268">P143-Q142+(R129*$B$76)</f>
        <v>14285.591540077197</v>
      </c>
      <c r="R143" s="151">
        <f t="shared" ref="R143" si="269">Q143-R142+(S129*$B$76)</f>
        <v>12557.543276890923</v>
      </c>
      <c r="S143" s="151">
        <f t="shared" ref="S143" si="270">R143-S142+(T129*$B$76)</f>
        <v>10734.452359229403</v>
      </c>
      <c r="T143" s="151">
        <f t="shared" ref="T143" si="271">S143-T142+(U129*$B$76)</f>
        <v>8811.0914410964997</v>
      </c>
      <c r="U143" s="151">
        <f t="shared" ref="U143" si="272">T143-U142+(V129*$B$76)</f>
        <v>6781.9456724662869</v>
      </c>
      <c r="V143" s="151">
        <f t="shared" ref="V143" si="273">U143-V142+(W129*$B$76)</f>
        <v>4641.1968865614126</v>
      </c>
      <c r="W143" s="151">
        <f t="shared" ref="W143" si="274">V143-W142+(X129*$B$76)</f>
        <v>2382.7069174317699</v>
      </c>
      <c r="X143" s="152">
        <f t="shared" ref="X143" si="275">W143-X142+(Y129*$B$76)</f>
        <v>-3.637978807091713E-12</v>
      </c>
      <c r="Y143" s="156"/>
    </row>
    <row r="144" spans="1:25" hidden="1" outlineLevel="1">
      <c r="A144" s="95"/>
      <c r="B144" s="15"/>
      <c r="C144" s="125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2"/>
      <c r="Y144" s="156"/>
    </row>
    <row r="145" spans="1:25" s="146" customFormat="1" hidden="1" outlineLevel="1">
      <c r="B145" s="458"/>
      <c r="C145" s="258" t="s">
        <v>162</v>
      </c>
      <c r="D145" s="151">
        <f>-INDEX('DATA (Nominal)'!$B$62:$BX$62,1,MATCH($B$1,'DATA (Nominal)'!$B$1:$BX$1,0))*1000000*(1+AFUDC!$C$14)*'Resource Options'!$E$14/1000</f>
        <v>-26781.067647848857</v>
      </c>
      <c r="E145" s="151">
        <f t="shared" ref="E145:X145" si="276">-$D145/20</f>
        <v>1339.0533823924429</v>
      </c>
      <c r="F145" s="151">
        <f t="shared" si="276"/>
        <v>1339.0533823924429</v>
      </c>
      <c r="G145" s="151">
        <f t="shared" si="276"/>
        <v>1339.0533823924429</v>
      </c>
      <c r="H145" s="151">
        <f t="shared" si="276"/>
        <v>1339.0533823924429</v>
      </c>
      <c r="I145" s="151">
        <f t="shared" si="276"/>
        <v>1339.0533823924429</v>
      </c>
      <c r="J145" s="151">
        <f t="shared" si="276"/>
        <v>1339.0533823924429</v>
      </c>
      <c r="K145" s="151">
        <f t="shared" si="276"/>
        <v>1339.0533823924429</v>
      </c>
      <c r="L145" s="151">
        <f t="shared" si="276"/>
        <v>1339.0533823924429</v>
      </c>
      <c r="M145" s="151">
        <f t="shared" si="276"/>
        <v>1339.0533823924429</v>
      </c>
      <c r="N145" s="151">
        <f t="shared" si="276"/>
        <v>1339.0533823924429</v>
      </c>
      <c r="O145" s="151">
        <f t="shared" si="276"/>
        <v>1339.0533823924429</v>
      </c>
      <c r="P145" s="151">
        <f t="shared" si="276"/>
        <v>1339.0533823924429</v>
      </c>
      <c r="Q145" s="151">
        <f t="shared" si="276"/>
        <v>1339.0533823924429</v>
      </c>
      <c r="R145" s="151">
        <f t="shared" si="276"/>
        <v>1339.0533823924429</v>
      </c>
      <c r="S145" s="151">
        <f t="shared" si="276"/>
        <v>1339.0533823924429</v>
      </c>
      <c r="T145" s="151">
        <f t="shared" si="276"/>
        <v>1339.0533823924429</v>
      </c>
      <c r="U145" s="151">
        <f t="shared" si="276"/>
        <v>1339.0533823924429</v>
      </c>
      <c r="V145" s="151">
        <f t="shared" si="276"/>
        <v>1339.0533823924429</v>
      </c>
      <c r="W145" s="151">
        <f t="shared" si="276"/>
        <v>1339.0533823924429</v>
      </c>
      <c r="X145" s="152">
        <f t="shared" si="276"/>
        <v>1339.0533823924429</v>
      </c>
      <c r="Y145" s="156"/>
    </row>
    <row r="146" spans="1:25" s="146" customFormat="1" hidden="1" outlineLevel="1">
      <c r="B146" s="458"/>
      <c r="C146" s="258" t="s">
        <v>163</v>
      </c>
      <c r="D146" s="151">
        <f>-INDEX('DATA (Nominal)'!$B$63:$BX$63,1,MATCH($B$1,'DATA (Nominal)'!$B$1:$BX$1,0))*1000000*(1+AFUDC!$D$14)*'Resource Options'!$D$14/1000</f>
        <v>-18116.604585309517</v>
      </c>
      <c r="E146" s="151">
        <f t="shared" ref="E146:N146" si="277">-$D146/10</f>
        <v>1811.6604585309517</v>
      </c>
      <c r="F146" s="151">
        <f t="shared" si="277"/>
        <v>1811.6604585309517</v>
      </c>
      <c r="G146" s="151">
        <f t="shared" si="277"/>
        <v>1811.6604585309517</v>
      </c>
      <c r="H146" s="151">
        <f t="shared" si="277"/>
        <v>1811.6604585309517</v>
      </c>
      <c r="I146" s="151">
        <f t="shared" si="277"/>
        <v>1811.6604585309517</v>
      </c>
      <c r="J146" s="151">
        <f t="shared" si="277"/>
        <v>1811.6604585309517</v>
      </c>
      <c r="K146" s="151">
        <f t="shared" si="277"/>
        <v>1811.6604585309517</v>
      </c>
      <c r="L146" s="151">
        <f t="shared" si="277"/>
        <v>1811.6604585309517</v>
      </c>
      <c r="M146" s="151">
        <f t="shared" si="277"/>
        <v>1811.6604585309517</v>
      </c>
      <c r="N146" s="151">
        <f t="shared" si="277"/>
        <v>1811.6604585309517</v>
      </c>
      <c r="O146" s="151">
        <f>$O129/10</f>
        <v>1126.7797118618005</v>
      </c>
      <c r="P146" s="151">
        <f t="shared" ref="P146:X146" si="278">$O129/10</f>
        <v>1126.7797118618005</v>
      </c>
      <c r="Q146" s="151">
        <f t="shared" si="278"/>
        <v>1126.7797118618005</v>
      </c>
      <c r="R146" s="151">
        <f t="shared" si="278"/>
        <v>1126.7797118618005</v>
      </c>
      <c r="S146" s="151">
        <f t="shared" si="278"/>
        <v>1126.7797118618005</v>
      </c>
      <c r="T146" s="151">
        <f t="shared" si="278"/>
        <v>1126.7797118618005</v>
      </c>
      <c r="U146" s="151">
        <f t="shared" si="278"/>
        <v>1126.7797118618005</v>
      </c>
      <c r="V146" s="151">
        <f t="shared" si="278"/>
        <v>1126.7797118618005</v>
      </c>
      <c r="W146" s="151">
        <f t="shared" si="278"/>
        <v>1126.7797118618005</v>
      </c>
      <c r="X146" s="152">
        <f t="shared" si="278"/>
        <v>1126.7797118618005</v>
      </c>
      <c r="Y146" s="156"/>
    </row>
    <row r="147" spans="1:25" s="146" customFormat="1" hidden="1" outlineLevel="1">
      <c r="B147" s="458"/>
      <c r="C147" s="125" t="s">
        <v>62</v>
      </c>
      <c r="D147" s="151"/>
      <c r="E147" s="151">
        <f>SUM($E145:E146)</f>
        <v>3150.7138409233949</v>
      </c>
      <c r="F147" s="151">
        <f>SUM($E145:F146)</f>
        <v>6301.4276818467888</v>
      </c>
      <c r="G147" s="151">
        <f>SUM($E145:G146)</f>
        <v>9452.1415227701837</v>
      </c>
      <c r="H147" s="151">
        <f>SUM($E145:H146)</f>
        <v>12602.855363693579</v>
      </c>
      <c r="I147" s="151">
        <f>SUM($E145:I146)</f>
        <v>15753.569204616977</v>
      </c>
      <c r="J147" s="151">
        <f>SUM($E145:J146)</f>
        <v>18904.283045540371</v>
      </c>
      <c r="K147" s="151">
        <f>SUM($E145:K146)</f>
        <v>22054.996886463763</v>
      </c>
      <c r="L147" s="151">
        <f>SUM($E145:L146)</f>
        <v>25205.710727387155</v>
      </c>
      <c r="M147" s="151">
        <f>SUM($E145:M146)</f>
        <v>28356.424568310547</v>
      </c>
      <c r="N147" s="151">
        <f>SUM($E145:N146)</f>
        <v>31507.138409233939</v>
      </c>
      <c r="O147" s="151">
        <f>SUM($E145:O146)</f>
        <v>33972.971503488188</v>
      </c>
      <c r="P147" s="151">
        <f>SUM($E145:P146)</f>
        <v>36438.804597742434</v>
      </c>
      <c r="Q147" s="151">
        <f>SUM($E145:Q146)</f>
        <v>38904.637691996686</v>
      </c>
      <c r="R147" s="151">
        <f>SUM($E145:R146)</f>
        <v>41370.470786250931</v>
      </c>
      <c r="S147" s="151">
        <f>SUM($E145:S146)</f>
        <v>43836.303880505176</v>
      </c>
      <c r="T147" s="151">
        <f>SUM($E145:T146)</f>
        <v>46302.136974759429</v>
      </c>
      <c r="U147" s="151">
        <f>SUM($E145:U146)</f>
        <v>48767.970069013674</v>
      </c>
      <c r="V147" s="151">
        <f>SUM($E145:V146)</f>
        <v>51233.803163267927</v>
      </c>
      <c r="W147" s="151">
        <f>SUM($E145:W146)</f>
        <v>53699.636257522172</v>
      </c>
      <c r="X147" s="152">
        <f>SUM($E145:X146)</f>
        <v>56165.469351776417</v>
      </c>
      <c r="Y147" s="156"/>
    </row>
    <row r="148" spans="1:25" s="146" customFormat="1" hidden="1" outlineLevel="1">
      <c r="B148" s="458"/>
      <c r="C148" s="125" t="s">
        <v>63</v>
      </c>
      <c r="D148" s="151"/>
      <c r="E148" s="151">
        <f>-$D136-E147</f>
        <v>41746.958392234978</v>
      </c>
      <c r="F148" s="151">
        <f t="shared" ref="F148:G148" si="279">-$D136-F147</f>
        <v>38596.244551311582</v>
      </c>
      <c r="G148" s="151">
        <f t="shared" si="279"/>
        <v>35445.530710388193</v>
      </c>
      <c r="H148" s="156">
        <f>-$D136-H147</f>
        <v>32294.816869464794</v>
      </c>
      <c r="I148" s="151">
        <f t="shared" ref="I148:L148" si="280">-$D136-I147</f>
        <v>29144.103028541394</v>
      </c>
      <c r="J148" s="151">
        <f t="shared" si="280"/>
        <v>25993.389187618002</v>
      </c>
      <c r="K148" s="151">
        <f t="shared" si="280"/>
        <v>22842.67534669461</v>
      </c>
      <c r="L148" s="151">
        <f t="shared" si="280"/>
        <v>19691.961505771218</v>
      </c>
      <c r="M148" s="151">
        <f>-$D136-M147</f>
        <v>16541.247664847826</v>
      </c>
      <c r="N148" s="151">
        <f>-$D136-N147</f>
        <v>13390.533823924434</v>
      </c>
      <c r="O148" s="151">
        <f>-$D136-O147+$O129</f>
        <v>22192.497848288189</v>
      </c>
      <c r="P148" s="151">
        <f t="shared" ref="P148" si="281">-$D136-P147+$O129</f>
        <v>19726.664754033944</v>
      </c>
      <c r="Q148" s="151">
        <f t="shared" ref="Q148" si="282">-$D136-Q147+$O129</f>
        <v>17260.831659779691</v>
      </c>
      <c r="R148" s="151">
        <f t="shared" ref="R148" si="283">-$D136-R147+$O129</f>
        <v>14794.998565525446</v>
      </c>
      <c r="S148" s="151">
        <f t="shared" ref="S148" si="284">-$D136-S147+$O129</f>
        <v>12329.165471271201</v>
      </c>
      <c r="T148" s="151">
        <f t="shared" ref="T148" si="285">-$D136-T147+$O129</f>
        <v>9863.3323770169482</v>
      </c>
      <c r="U148" s="151">
        <f t="shared" ref="U148" si="286">-$D136-U147+$O129</f>
        <v>7397.4992827627029</v>
      </c>
      <c r="V148" s="151">
        <f t="shared" ref="V148" si="287">-$D136-V147+$O129</f>
        <v>4931.6661885084504</v>
      </c>
      <c r="W148" s="151">
        <f t="shared" ref="W148" si="288">-$D136-W147+$O129</f>
        <v>2465.8330942542052</v>
      </c>
      <c r="X148" s="152">
        <f t="shared" ref="X148" si="289">-$D136-X147+$O129</f>
        <v>-4.0017766878008842E-11</v>
      </c>
      <c r="Y148" s="156"/>
    </row>
    <row r="149" spans="1:25" s="146" customFormat="1" hidden="1" outlineLevel="1">
      <c r="B149" s="458"/>
      <c r="C149" s="258" t="s">
        <v>65</v>
      </c>
      <c r="D149" s="151"/>
      <c r="E149" s="151">
        <f>-$D136*Assumptions!J$14*INDEX('DATA (Nominal)'!$B$344:$BX$344,1,MATCH($B$1,'DATA (Nominal)'!$B$1:$BX$1,0))</f>
        <v>7632.6042796369229</v>
      </c>
      <c r="F149" s="151">
        <f>-$D136*Assumptions!K$14*INDEX('DATA (Nominal)'!$B$344:$BX$344,1,MATCH($B$1,'DATA (Nominal)'!$B$1:$BX$1,0))</f>
        <v>12212.166847419077</v>
      </c>
      <c r="G149" s="151">
        <f>-$D136*Assumptions!L$14*INDEX('DATA (Nominal)'!$B$344:$BX$344,1,MATCH($B$1,'DATA (Nominal)'!$B$1:$BX$1,0))</f>
        <v>7327.3001084514462</v>
      </c>
      <c r="H149" s="151">
        <f>-$D136*Assumptions!M$14*INDEX('DATA (Nominal)'!$B$344:$BX$344,1,MATCH($B$1,'DATA (Nominal)'!$B$1:$BX$1,0))</f>
        <v>4396.3800650708681</v>
      </c>
      <c r="I149" s="151">
        <f>-$D136*Assumptions!N$14*INDEX('DATA (Nominal)'!$B$344:$BX$344,1,MATCH($B$1,'DATA (Nominal)'!$B$1:$BX$1,0))</f>
        <v>4396.3800650708681</v>
      </c>
      <c r="J149" s="151">
        <f>-$D136*Assumptions!O$14*INDEX('DATA (Nominal)'!$B$344:$BX$344,1,MATCH($B$1,'DATA (Nominal)'!$B$1:$BX$1,0))</f>
        <v>2198.1900325354341</v>
      </c>
      <c r="K149" s="151">
        <f>-$D136*Assumptions!P$14*INDEX('DATA (Nominal)'!$B$344:$BX$344,1,MATCH($B$1,'DATA (Nominal)'!$B$1:$BX$1,0))</f>
        <v>0</v>
      </c>
      <c r="L149" s="151">
        <f>-$D136*Assumptions!Q$14*INDEX('DATA (Nominal)'!$B$344:$BX$344,1,MATCH($B$1,'DATA (Nominal)'!$B$1:$BX$1,0))</f>
        <v>0</v>
      </c>
      <c r="M149" s="151">
        <f>-$D136*Assumptions!R$14*INDEX('DATA (Nominal)'!$B$344:$BX$344,1,MATCH($B$1,'DATA (Nominal)'!$B$1:$BX$1,0))</f>
        <v>0</v>
      </c>
      <c r="N149" s="151">
        <f>-$D136*Assumptions!S$14*INDEX('DATA (Nominal)'!$B$344:$BX$344,1,MATCH($B$1,'DATA (Nominal)'!$B$1:$BX$1,0))</f>
        <v>0</v>
      </c>
      <c r="O149" s="151">
        <f>$O129*Assumptions!T$14</f>
        <v>1609.7174963657678</v>
      </c>
      <c r="P149" s="151">
        <f>$O129*Assumptions!U$14</f>
        <v>2759.4835143495493</v>
      </c>
      <c r="Q149" s="151">
        <f>$O129*Assumptions!V$14</f>
        <v>1971.0757499598474</v>
      </c>
      <c r="R149" s="151">
        <f>$O129*Assumptions!W$14</f>
        <v>1407.9112499713196</v>
      </c>
      <c r="S149" s="151">
        <f>$O129*Assumptions!X$14</f>
        <v>1005.6508928366568</v>
      </c>
      <c r="T149" s="151">
        <f>$O129*Assumptions!Y$14</f>
        <v>1005.6508928366568</v>
      </c>
      <c r="U149" s="151">
        <f>$O129*Assumptions!Z$14</f>
        <v>1005.6508928366568</v>
      </c>
      <c r="V149" s="151">
        <f>$O129*Assumptions!AA$14</f>
        <v>502.65642946154912</v>
      </c>
      <c r="W149" s="151">
        <f>$O129*Assumptions!AB$14</f>
        <v>0</v>
      </c>
      <c r="X149" s="160">
        <f>$O129*Assumptions!AC$14</f>
        <v>0</v>
      </c>
      <c r="Y149" s="156"/>
    </row>
    <row r="150" spans="1:25" ht="15.75" hidden="1" outlineLevel="1" thickBot="1">
      <c r="A150" s="95"/>
      <c r="B150" s="15"/>
      <c r="C150" s="127" t="s">
        <v>66</v>
      </c>
      <c r="D150" s="157"/>
      <c r="E150" s="157">
        <f>E149*Federal_Tax_Rate</f>
        <v>1602.8468987237538</v>
      </c>
      <c r="F150" s="157">
        <f>F149*Federal_Tax_Rate</f>
        <v>2564.5550379580063</v>
      </c>
      <c r="G150" s="157">
        <f t="shared" ref="G150" si="290">G149*Federal_Tax_Rate</f>
        <v>1538.7330227748037</v>
      </c>
      <c r="H150" s="157">
        <f t="shared" ref="H150" si="291">H149*Federal_Tax_Rate</f>
        <v>923.23981366488226</v>
      </c>
      <c r="I150" s="157">
        <f t="shared" ref="I150" si="292">I149*Federal_Tax_Rate</f>
        <v>923.23981366488226</v>
      </c>
      <c r="J150" s="157">
        <f t="shared" ref="J150" si="293">J149*Federal_Tax_Rate</f>
        <v>461.61990683244113</v>
      </c>
      <c r="K150" s="157">
        <f t="shared" ref="K150" si="294">K149*Federal_Tax_Rate</f>
        <v>0</v>
      </c>
      <c r="L150" s="157">
        <f t="shared" ref="L150" si="295">L149*Federal_Tax_Rate</f>
        <v>0</v>
      </c>
      <c r="M150" s="157">
        <f t="shared" ref="M150" si="296">M149*Federal_Tax_Rate</f>
        <v>0</v>
      </c>
      <c r="N150" s="157">
        <f>N149*Federal_Tax_Rate</f>
        <v>0</v>
      </c>
      <c r="O150" s="157">
        <f>O149*Federal_Tax_Rate</f>
        <v>338.04067423681124</v>
      </c>
      <c r="P150" s="157">
        <f t="shared" ref="P150" si="297">P149*Federal_Tax_Rate</f>
        <v>579.49153801340537</v>
      </c>
      <c r="Q150" s="157">
        <f t="shared" ref="Q150" si="298">Q149*Federal_Tax_Rate</f>
        <v>413.92590749156795</v>
      </c>
      <c r="R150" s="157">
        <f t="shared" ref="R150" si="299">R149*Federal_Tax_Rate</f>
        <v>295.66136249397709</v>
      </c>
      <c r="S150" s="157">
        <f t="shared" ref="S150" si="300">S149*Federal_Tax_Rate</f>
        <v>211.18668749569792</v>
      </c>
      <c r="T150" s="157">
        <f t="shared" ref="T150" si="301">T149*Federal_Tax_Rate</f>
        <v>211.18668749569792</v>
      </c>
      <c r="U150" s="157">
        <f t="shared" ref="U150" si="302">U149*Federal_Tax_Rate</f>
        <v>211.18668749569792</v>
      </c>
      <c r="V150" s="157">
        <f t="shared" ref="V150" si="303">V149*Federal_Tax_Rate</f>
        <v>105.55785018692531</v>
      </c>
      <c r="W150" s="157">
        <f t="shared" ref="W150" si="304">W149*Federal_Tax_Rate</f>
        <v>0</v>
      </c>
      <c r="X150" s="158">
        <f t="shared" ref="X150" si="305">X149*Federal_Tax_Rate</f>
        <v>0</v>
      </c>
      <c r="Y150" s="156"/>
    </row>
    <row r="151" spans="1:25" hidden="1" outlineLevel="1">
      <c r="A151" s="95"/>
      <c r="B151" s="15"/>
      <c r="C151" s="128" t="s">
        <v>67</v>
      </c>
      <c r="D151" s="104">
        <f>NPV(Tax_Equity_Rate,E150:N150)</f>
        <v>6502.155146258493</v>
      </c>
      <c r="E151" s="105">
        <f>D151/D155</f>
        <v>0.14482165383746648</v>
      </c>
      <c r="F151" s="99"/>
      <c r="G151" s="99"/>
      <c r="H151" s="99"/>
      <c r="I151" s="99"/>
      <c r="J151" s="99"/>
      <c r="K151" s="99"/>
      <c r="L151" s="99"/>
      <c r="M151" s="261"/>
      <c r="N151" s="261"/>
      <c r="O151" s="261"/>
      <c r="P151" s="261"/>
      <c r="Q151" s="261"/>
      <c r="R151" s="261"/>
      <c r="S151" s="261"/>
      <c r="T151" s="261"/>
      <c r="U151" s="261"/>
      <c r="V151" s="261"/>
      <c r="W151" s="261"/>
      <c r="X151" s="261"/>
      <c r="Y151" s="261"/>
    </row>
    <row r="152" spans="1:25" hidden="1" outlineLevel="1">
      <c r="A152" s="95"/>
      <c r="B152" s="15"/>
      <c r="C152" s="125" t="s">
        <v>129</v>
      </c>
      <c r="D152" s="106">
        <f>NPV(Tax_Equity_Rate,E133:X133)</f>
        <v>16628.76749376236</v>
      </c>
      <c r="E152" s="107">
        <f>D152/D155</f>
        <v>0.37037037037037035</v>
      </c>
      <c r="F152" s="95"/>
      <c r="G152" s="95"/>
      <c r="H152" s="95"/>
      <c r="I152" s="95"/>
      <c r="J152" s="95"/>
      <c r="K152" s="95"/>
      <c r="L152" s="95"/>
    </row>
    <row r="153" spans="1:25" hidden="1" outlineLevel="1">
      <c r="A153" s="95"/>
      <c r="B153" s="22">
        <f>Assumptions!F14</f>
        <v>0.75800000000000001</v>
      </c>
      <c r="C153" s="125" t="s">
        <v>68</v>
      </c>
      <c r="D153" s="106">
        <f>(D155-D151-D152)*$B153</f>
        <v>16499.196191598243</v>
      </c>
      <c r="E153" s="107">
        <f>D153/D155</f>
        <v>0.36748444565045973</v>
      </c>
      <c r="F153" s="95"/>
      <c r="G153" s="95"/>
      <c r="H153" s="95"/>
      <c r="I153" s="95"/>
      <c r="J153" s="95"/>
      <c r="K153" s="95"/>
      <c r="L153" s="95"/>
    </row>
    <row r="154" spans="1:25" hidden="1" outlineLevel="1">
      <c r="A154" s="95"/>
      <c r="B154" s="22">
        <f>1-B153</f>
        <v>0.24199999999999999</v>
      </c>
      <c r="C154" s="125" t="s">
        <v>69</v>
      </c>
      <c r="D154" s="106">
        <f>(D155-D151-D152)*$B154</f>
        <v>5267.5534015392805</v>
      </c>
      <c r="E154" s="107">
        <f>D154/D155</f>
        <v>0.11732353014170349</v>
      </c>
      <c r="F154" s="95"/>
      <c r="G154" s="95"/>
      <c r="H154" s="95"/>
      <c r="I154" s="95"/>
      <c r="J154" s="95"/>
      <c r="K154" s="95"/>
      <c r="L154" s="95"/>
    </row>
    <row r="155" spans="1:25" hidden="1" outlineLevel="1">
      <c r="A155" s="95"/>
      <c r="C155" s="125" t="s">
        <v>70</v>
      </c>
      <c r="D155" s="106">
        <f>-D136</f>
        <v>44897.672233158373</v>
      </c>
      <c r="E155" s="108"/>
      <c r="F155" s="95"/>
      <c r="G155" s="95"/>
      <c r="H155" s="95"/>
      <c r="I155" s="95"/>
      <c r="J155" s="95"/>
      <c r="K155" s="95"/>
      <c r="L155" s="95"/>
    </row>
    <row r="156" spans="1:25" ht="15.75" hidden="1" outlineLevel="1" thickBot="1">
      <c r="A156" s="95"/>
      <c r="C156" s="127" t="s">
        <v>71</v>
      </c>
      <c r="D156" s="109">
        <f>SUM(D151:D154)-D155</f>
        <v>0</v>
      </c>
      <c r="E156" s="110"/>
      <c r="F156" s="95"/>
      <c r="G156" s="95"/>
      <c r="H156" s="95"/>
      <c r="I156" s="95"/>
      <c r="J156" s="95"/>
      <c r="K156" s="95"/>
      <c r="L156" s="95"/>
    </row>
    <row r="157" spans="1:25" hidden="1" outlineLevel="1">
      <c r="A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</row>
    <row r="158" spans="1:25" ht="15.75" collapsed="1" thickBot="1">
      <c r="A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</row>
    <row r="159" spans="1:25" ht="18.75" thickBot="1">
      <c r="A159" s="95"/>
      <c r="B159" s="82"/>
      <c r="C159" s="484" t="s">
        <v>133</v>
      </c>
      <c r="D159" s="485"/>
      <c r="E159" s="485"/>
      <c r="F159" s="485"/>
      <c r="G159" s="485"/>
      <c r="H159" s="486"/>
      <c r="Y159" s="261"/>
    </row>
    <row r="160" spans="1:25" hidden="1" outlineLevel="1">
      <c r="A160" s="95"/>
      <c r="C160" s="124" t="s">
        <v>44</v>
      </c>
      <c r="D160" s="98"/>
      <c r="E160" s="98">
        <f>'Resource Options'!$E$15*INDEX('DATA (Nominal)'!$B$15:$BX$15,1,MATCH($B$1,'DATA (Nominal)'!$B$1:$BX$1,0))*8760</f>
        <v>1504.8640932333544</v>
      </c>
      <c r="F160" s="98">
        <f>E160</f>
        <v>1504.8640932333544</v>
      </c>
      <c r="G160" s="98">
        <f t="shared" ref="G160:X160" si="306">F160</f>
        <v>1504.8640932333544</v>
      </c>
      <c r="H160" s="98">
        <f t="shared" si="306"/>
        <v>1504.8640932333544</v>
      </c>
      <c r="I160" s="98">
        <f t="shared" si="306"/>
        <v>1504.8640932333544</v>
      </c>
      <c r="J160" s="98">
        <f t="shared" si="306"/>
        <v>1504.8640932333544</v>
      </c>
      <c r="K160" s="98">
        <f t="shared" si="306"/>
        <v>1504.8640932333544</v>
      </c>
      <c r="L160" s="98">
        <f t="shared" si="306"/>
        <v>1504.8640932333544</v>
      </c>
      <c r="M160" s="142">
        <f t="shared" si="306"/>
        <v>1504.8640932333544</v>
      </c>
      <c r="N160" s="142">
        <f t="shared" si="306"/>
        <v>1504.8640932333544</v>
      </c>
      <c r="O160" s="142">
        <f t="shared" si="306"/>
        <v>1504.8640932333544</v>
      </c>
      <c r="P160" s="142">
        <f t="shared" si="306"/>
        <v>1504.8640932333544</v>
      </c>
      <c r="Q160" s="142">
        <f t="shared" si="306"/>
        <v>1504.8640932333544</v>
      </c>
      <c r="R160" s="142">
        <f t="shared" si="306"/>
        <v>1504.8640932333544</v>
      </c>
      <c r="S160" s="142">
        <f t="shared" si="306"/>
        <v>1504.8640932333544</v>
      </c>
      <c r="T160" s="142">
        <f t="shared" si="306"/>
        <v>1504.8640932333544</v>
      </c>
      <c r="U160" s="142">
        <f t="shared" si="306"/>
        <v>1504.8640932333544</v>
      </c>
      <c r="V160" s="142">
        <f t="shared" si="306"/>
        <v>1504.8640932333544</v>
      </c>
      <c r="W160" s="142">
        <f t="shared" si="306"/>
        <v>1504.8640932333544</v>
      </c>
      <c r="X160" s="454">
        <f t="shared" si="306"/>
        <v>1504.8640932333544</v>
      </c>
      <c r="Y160" s="261"/>
    </row>
    <row r="161" spans="1:25" hidden="1" outlineLevel="1">
      <c r="A161" s="95"/>
      <c r="C161" s="125" t="s">
        <v>45</v>
      </c>
      <c r="D161" s="114"/>
      <c r="E161" s="117">
        <f>INDEX('PPA Summary'!$3:$34,MATCH($C159,'PPA Summary'!$D$3:$D$34,0),MATCH(B$1,'PPA Summary'!$2:$2,0))</f>
        <v>125.48567323998029</v>
      </c>
      <c r="F161" s="112">
        <f>E161</f>
        <v>125.48567323998029</v>
      </c>
      <c r="G161" s="112">
        <f t="shared" ref="G161:X161" si="307">F161</f>
        <v>125.48567323998029</v>
      </c>
      <c r="H161" s="112">
        <f t="shared" si="307"/>
        <v>125.48567323998029</v>
      </c>
      <c r="I161" s="112">
        <f t="shared" si="307"/>
        <v>125.48567323998029</v>
      </c>
      <c r="J161" s="112">
        <f t="shared" si="307"/>
        <v>125.48567323998029</v>
      </c>
      <c r="K161" s="112">
        <f t="shared" si="307"/>
        <v>125.48567323998029</v>
      </c>
      <c r="L161" s="112">
        <f t="shared" si="307"/>
        <v>125.48567323998029</v>
      </c>
      <c r="M161" s="117">
        <f t="shared" si="307"/>
        <v>125.48567323998029</v>
      </c>
      <c r="N161" s="117">
        <f t="shared" si="307"/>
        <v>125.48567323998029</v>
      </c>
      <c r="O161" s="117">
        <f t="shared" si="307"/>
        <v>125.48567323998029</v>
      </c>
      <c r="P161" s="117">
        <f t="shared" si="307"/>
        <v>125.48567323998029</v>
      </c>
      <c r="Q161" s="117">
        <f t="shared" si="307"/>
        <v>125.48567323998029</v>
      </c>
      <c r="R161" s="117">
        <f t="shared" si="307"/>
        <v>125.48567323998029</v>
      </c>
      <c r="S161" s="117">
        <f t="shared" si="307"/>
        <v>125.48567323998029</v>
      </c>
      <c r="T161" s="117">
        <f t="shared" si="307"/>
        <v>125.48567323998029</v>
      </c>
      <c r="U161" s="117">
        <f t="shared" si="307"/>
        <v>125.48567323998029</v>
      </c>
      <c r="V161" s="117">
        <f t="shared" si="307"/>
        <v>125.48567323998029</v>
      </c>
      <c r="W161" s="117">
        <f t="shared" si="307"/>
        <v>125.48567323998029</v>
      </c>
      <c r="X161" s="161">
        <f t="shared" si="307"/>
        <v>125.48567323998029</v>
      </c>
      <c r="Y161" s="261"/>
    </row>
    <row r="162" spans="1:25" hidden="1" outlineLevel="1">
      <c r="A162" s="95"/>
      <c r="C162" s="126" t="s">
        <v>46</v>
      </c>
      <c r="D162" s="114"/>
      <c r="E162" s="114">
        <f>E161*E160</f>
        <v>188838.88387405995</v>
      </c>
      <c r="F162" s="114">
        <f t="shared" ref="F162" si="308">F161*F160</f>
        <v>188838.88387405995</v>
      </c>
      <c r="G162" s="114">
        <f t="shared" ref="G162" si="309">G161*G160</f>
        <v>188838.88387405995</v>
      </c>
      <c r="H162" s="114">
        <f t="shared" ref="H162" si="310">H161*H160</f>
        <v>188838.88387405995</v>
      </c>
      <c r="I162" s="114">
        <f t="shared" ref="I162" si="311">I161*I160</f>
        <v>188838.88387405995</v>
      </c>
      <c r="J162" s="114">
        <f t="shared" ref="J162" si="312">J161*J160</f>
        <v>188838.88387405995</v>
      </c>
      <c r="K162" s="114">
        <f t="shared" ref="K162" si="313">K161*K160</f>
        <v>188838.88387405995</v>
      </c>
      <c r="L162" s="114">
        <f t="shared" ref="L162" si="314">L161*L160</f>
        <v>188838.88387405995</v>
      </c>
      <c r="M162" s="93">
        <f t="shared" ref="M162" si="315">M161*M160</f>
        <v>188838.88387405995</v>
      </c>
      <c r="N162" s="93">
        <f t="shared" ref="N162" si="316">N161*N160</f>
        <v>188838.88387405995</v>
      </c>
      <c r="O162" s="93">
        <f t="shared" ref="O162" si="317">O161*O160</f>
        <v>188838.88387405995</v>
      </c>
      <c r="P162" s="93">
        <f t="shared" ref="P162" si="318">P161*P160</f>
        <v>188838.88387405995</v>
      </c>
      <c r="Q162" s="93">
        <f t="shared" ref="Q162" si="319">Q161*Q160</f>
        <v>188838.88387405995</v>
      </c>
      <c r="R162" s="93">
        <f t="shared" ref="R162" si="320">R161*R160</f>
        <v>188838.88387405995</v>
      </c>
      <c r="S162" s="93">
        <f t="shared" ref="S162" si="321">S161*S160</f>
        <v>188838.88387405995</v>
      </c>
      <c r="T162" s="93">
        <f t="shared" ref="T162" si="322">T161*T160</f>
        <v>188838.88387405995</v>
      </c>
      <c r="U162" s="93">
        <f t="shared" ref="U162" si="323">U161*U160</f>
        <v>188838.88387405995</v>
      </c>
      <c r="V162" s="93">
        <f t="shared" ref="V162" si="324">V161*V160</f>
        <v>188838.88387405995</v>
      </c>
      <c r="W162" s="93">
        <f t="shared" ref="W162" si="325">W161*W160</f>
        <v>188838.88387405995</v>
      </c>
      <c r="X162" s="161">
        <f t="shared" ref="X162" si="326">X161*X160</f>
        <v>188838.88387405995</v>
      </c>
      <c r="Y162" s="261"/>
    </row>
    <row r="163" spans="1:25" hidden="1" outlineLevel="1">
      <c r="A163" s="95"/>
      <c r="C163" s="33"/>
      <c r="D163" s="19"/>
      <c r="E163" s="19"/>
      <c r="F163" s="19"/>
      <c r="G163" s="19"/>
      <c r="H163" s="19"/>
      <c r="I163" s="19"/>
      <c r="J163" s="19"/>
      <c r="K163" s="19"/>
      <c r="L163" s="19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161"/>
      <c r="Y163" s="261"/>
    </row>
    <row r="164" spans="1:25" hidden="1" outlineLevel="1">
      <c r="A164" s="95"/>
      <c r="B164" s="92"/>
      <c r="C164" s="32" t="s">
        <v>47</v>
      </c>
      <c r="D164" s="19"/>
      <c r="E164" s="19">
        <f>'Resource Options'!$E$15*INDEX('DATA (Nominal)'!$B$183:$BX$183,1,MATCH(E$1,'DATA (Nominal)'!$B$1:$BX$1,0))*1000</f>
        <v>17932.267701786364</v>
      </c>
      <c r="F164" s="19">
        <f>'Resource Options'!$E$15*INDEX('DATA (Nominal)'!$B$183:$BX$183,1,MATCH(F$1,'DATA (Nominal)'!$B$1:$BX$1,0))*1000</f>
        <v>17483.373376603078</v>
      </c>
      <c r="G164" s="19">
        <f>'Resource Options'!$E$15*INDEX('DATA (Nominal)'!$B$183:$BX$183,1,MATCH(G$1,'DATA (Nominal)'!$B$1:$BX$1,0))*1000</f>
        <v>17005.484221593462</v>
      </c>
      <c r="H164" s="19">
        <f>'Resource Options'!$E$15*INDEX('DATA (Nominal)'!$B$183:$BX$183,1,MATCH(H$1,'DATA (Nominal)'!$B$1:$BX$1,0))*1000</f>
        <v>16492.149988518853</v>
      </c>
      <c r="I164" s="19">
        <f>'Resource Options'!$E$15*INDEX('DATA (Nominal)'!$B$183:$BX$183,1,MATCH(I$1,'DATA (Nominal)'!$B$1:$BX$1,0))*1000</f>
        <v>15947.998394825707</v>
      </c>
      <c r="J164" s="19">
        <f>'Resource Options'!$E$15*INDEX('DATA (Nominal)'!$B$183:$BX$183,1,MATCH(J$1,'DATA (Nominal)'!$B$1:$BX$1,0))*1000</f>
        <v>15371.921930415625</v>
      </c>
      <c r="K164" s="19">
        <f>'Resource Options'!$E$15*INDEX('DATA (Nominal)'!$B$183:$BX$183,1,MATCH(K$1,'DATA (Nominal)'!$B$1:$BX$1,0))*1000</f>
        <v>15574.540925662383</v>
      </c>
      <c r="L164" s="19">
        <f>'Resource Options'!$E$15*INDEX('DATA (Nominal)'!$B$183:$BX$183,1,MATCH(L$1,'DATA (Nominal)'!$B$1:$BX$1,0))*1000</f>
        <v>15778.635146485687</v>
      </c>
      <c r="M164" s="93">
        <f>'Resource Options'!$E$15*INDEX('DATA (Nominal)'!$B$183:$BX$183,1,MATCH(M$1,'DATA (Nominal)'!$B$1:$BX$1,0))*1000</f>
        <v>15984.171435217191</v>
      </c>
      <c r="N164" s="93">
        <f>'Resource Options'!$E$15*INDEX('DATA (Nominal)'!$B$183:$BX$183,1,MATCH(N$1,'DATA (Nominal)'!$B$1:$BX$1,0))*1000</f>
        <v>16191.114461241987</v>
      </c>
      <c r="O164" s="93">
        <f>'Resource Options'!$E$15*INDEX('DATA (Nominal)'!$B$183:$BX$183,1,MATCH(O$1,'DATA (Nominal)'!$B$1:$BX$1,0))*1000</f>
        <v>16399.426641437225</v>
      </c>
      <c r="P164" s="93">
        <f>'Resource Options'!$E$15*INDEX('DATA (Nominal)'!$B$183:$BX$183,1,MATCH(P$1,'DATA (Nominal)'!$B$1:$BX$1,0))*1000</f>
        <v>16609.068058161814</v>
      </c>
      <c r="Q164" s="93">
        <f>'Resource Options'!$E$15*INDEX('DATA (Nominal)'!$B$183:$BX$183,1,MATCH(Q$1,'DATA (Nominal)'!$B$1:$BX$1,0))*1000</f>
        <v>16819.996374727831</v>
      </c>
      <c r="R164" s="93">
        <f>'Resource Options'!$E$15*INDEX('DATA (Nominal)'!$B$183:$BX$183,1,MATCH(R$1,'DATA (Nominal)'!$B$1:$BX$1,0))*1000</f>
        <v>17032.166748282598</v>
      </c>
      <c r="S164" s="93">
        <f>'Resource Options'!$E$15*INDEX('DATA (Nominal)'!$B$183:$BX$183,1,MATCH(S$1,'DATA (Nominal)'!$B$1:$BX$1,0))*1000</f>
        <v>17245.531740028404</v>
      </c>
      <c r="T164" s="93">
        <f>'Resource Options'!$E$15*INDEX('DATA (Nominal)'!$B$183:$BX$183,1,MATCH(T$1,'DATA (Nominal)'!$B$1:$BX$1,0))*1000</f>
        <v>17460.041222704862</v>
      </c>
      <c r="U164" s="93">
        <f>'Resource Options'!$E$15*INDEX('DATA (Nominal)'!$B$183:$BX$183,1,MATCH(U$1,'DATA (Nominal)'!$B$1:$BX$1,0))*1000</f>
        <v>17675.642285256909</v>
      </c>
      <c r="V164" s="93">
        <f>'Resource Options'!$E$15*INDEX('DATA (Nominal)'!$B$183:$BX$183,1,MATCH(V$1,'DATA (Nominal)'!$B$1:$BX$1,0))*1000</f>
        <v>17892.279134609456</v>
      </c>
      <c r="W164" s="93">
        <f>'Resource Options'!$E$15*INDEX('DATA (Nominal)'!$B$183:$BX$183,1,MATCH(W$1,'DATA (Nominal)'!$B$1:$BX$1,0))*1000</f>
        <v>18109.892994467449</v>
      </c>
      <c r="X164" s="161">
        <f>'Resource Options'!$E$15*INDEX('DATA (Nominal)'!$B$183:$BX$183,1,MATCH(X$1,'DATA (Nominal)'!$B$1:$BX$1,0))*1000</f>
        <v>18328.42200105805</v>
      </c>
      <c r="Y164" s="261"/>
    </row>
    <row r="165" spans="1:25" hidden="1" outlineLevel="1">
      <c r="A165" s="95"/>
      <c r="C165" s="32" t="s">
        <v>48</v>
      </c>
      <c r="D165" s="19"/>
      <c r="E165" s="19">
        <f>E160*INDEX('DATA (Nominal)'!$B$110:$BX$110,1,MATCH(E$1,'DATA (Nominal)'!$B$1:$BX$1,0))</f>
        <v>0</v>
      </c>
      <c r="F165" s="19">
        <f>F160*INDEX('DATA (Nominal)'!$B$110:$BX$110,1,MATCH(F$1,'DATA (Nominal)'!$B$1:$BX$1,0))</f>
        <v>0</v>
      </c>
      <c r="G165" s="19">
        <f>G160*INDEX('DATA (Nominal)'!$B$110:$BX$110,1,MATCH(G$1,'DATA (Nominal)'!$B$1:$BX$1,0))</f>
        <v>0</v>
      </c>
      <c r="H165" s="19">
        <f>H160*INDEX('DATA (Nominal)'!$B$110:$BX$110,1,MATCH(H$1,'DATA (Nominal)'!$B$1:$BX$1,0))</f>
        <v>0</v>
      </c>
      <c r="I165" s="19">
        <f>I160*INDEX('DATA (Nominal)'!$B$110:$BX$110,1,MATCH(I$1,'DATA (Nominal)'!$B$1:$BX$1,0))</f>
        <v>0</v>
      </c>
      <c r="J165" s="19">
        <f>J160*INDEX('DATA (Nominal)'!$B$110:$BX$110,1,MATCH(J$1,'DATA (Nominal)'!$B$1:$BX$1,0))</f>
        <v>0</v>
      </c>
      <c r="K165" s="19">
        <f>K160*INDEX('DATA (Nominal)'!$B$110:$BX$110,1,MATCH(K$1,'DATA (Nominal)'!$B$1:$BX$1,0))</f>
        <v>0</v>
      </c>
      <c r="L165" s="19">
        <f>L160*INDEX('DATA (Nominal)'!$B$110:$BX$110,1,MATCH(L$1,'DATA (Nominal)'!$B$1:$BX$1,0))</f>
        <v>0</v>
      </c>
      <c r="M165" s="93">
        <f>M160*INDEX('DATA (Nominal)'!$B$110:$BX$110,1,MATCH(M$1,'DATA (Nominal)'!$B$1:$BX$1,0))</f>
        <v>0</v>
      </c>
      <c r="N165" s="93">
        <f>N160*INDEX('DATA (Nominal)'!$B$110:$BX$110,1,MATCH(N$1,'DATA (Nominal)'!$B$1:$BX$1,0))</f>
        <v>0</v>
      </c>
      <c r="O165" s="93">
        <f>O160*INDEX('DATA (Nominal)'!$B$110:$BX$110,1,MATCH(O$1,'DATA (Nominal)'!$B$1:$BX$1,0))</f>
        <v>0</v>
      </c>
      <c r="P165" s="93">
        <f>P160*INDEX('DATA (Nominal)'!$B$110:$BX$110,1,MATCH(P$1,'DATA (Nominal)'!$B$1:$BX$1,0))</f>
        <v>0</v>
      </c>
      <c r="Q165" s="93">
        <f>Q160*INDEX('DATA (Nominal)'!$B$110:$BX$110,1,MATCH(Q$1,'DATA (Nominal)'!$B$1:$BX$1,0))</f>
        <v>0</v>
      </c>
      <c r="R165" s="93">
        <f>R160*INDEX('DATA (Nominal)'!$B$110:$BX$110,1,MATCH(R$1,'DATA (Nominal)'!$B$1:$BX$1,0))</f>
        <v>0</v>
      </c>
      <c r="S165" s="93">
        <f>S160*INDEX('DATA (Nominal)'!$B$110:$BX$110,1,MATCH(S$1,'DATA (Nominal)'!$B$1:$BX$1,0))</f>
        <v>0</v>
      </c>
      <c r="T165" s="93">
        <f>T160*INDEX('DATA (Nominal)'!$B$110:$BX$110,1,MATCH(T$1,'DATA (Nominal)'!$B$1:$BX$1,0))</f>
        <v>0</v>
      </c>
      <c r="U165" s="93">
        <f>U160*INDEX('DATA (Nominal)'!$B$110:$BX$110,1,MATCH(U$1,'DATA (Nominal)'!$B$1:$BX$1,0))</f>
        <v>0</v>
      </c>
      <c r="V165" s="93">
        <f>V160*INDEX('DATA (Nominal)'!$B$110:$BX$110,1,MATCH(V$1,'DATA (Nominal)'!$B$1:$BX$1,0))</f>
        <v>0</v>
      </c>
      <c r="W165" s="93">
        <f>W160*INDEX('DATA (Nominal)'!$B$110:$BX$110,1,MATCH(W$1,'DATA (Nominal)'!$B$1:$BX$1,0))</f>
        <v>0</v>
      </c>
      <c r="X165" s="161">
        <f>X160*INDEX('DATA (Nominal)'!$B$110:$BX$110,1,MATCH(X$1,'DATA (Nominal)'!$B$1:$BX$1,0))</f>
        <v>0</v>
      </c>
      <c r="Y165" s="261"/>
    </row>
    <row r="166" spans="1:25" hidden="1" outlineLevel="1">
      <c r="A166" s="95"/>
      <c r="C166" s="32" t="s">
        <v>127</v>
      </c>
      <c r="D166" s="19"/>
      <c r="E166" s="93">
        <f>E162*INDEX('DATA (Nominal)'!$B$330:$BX$330,1,MATCH(E$1,'DATA (Nominal)'!$B$1:$BX$1,0))</f>
        <v>0</v>
      </c>
      <c r="F166" s="19">
        <f>F162*INDEX('DATA (Nominal)'!$B$330:$BX$330,1,MATCH(F$1,'DATA (Nominal)'!$B$1:$BX$1,0))</f>
        <v>0</v>
      </c>
      <c r="G166" s="19">
        <f>G162*INDEX('DATA (Nominal)'!$B$330:$BX$330,1,MATCH(G$1,'DATA (Nominal)'!$B$1:$BX$1,0))</f>
        <v>0</v>
      </c>
      <c r="H166" s="19">
        <f>H162*INDEX('DATA (Nominal)'!$B$330:$BX$330,1,MATCH(H$1,'DATA (Nominal)'!$B$1:$BX$1,0))</f>
        <v>0</v>
      </c>
      <c r="I166" s="19">
        <f>I162*INDEX('DATA (Nominal)'!$B$330:$BX$330,1,MATCH(I$1,'DATA (Nominal)'!$B$1:$BX$1,0))</f>
        <v>0</v>
      </c>
      <c r="J166" s="19">
        <f>J162*INDEX('DATA (Nominal)'!$B$330:$BX$330,1,MATCH(J$1,'DATA (Nominal)'!$B$1:$BX$1,0))</f>
        <v>0</v>
      </c>
      <c r="K166" s="19">
        <f>K162*INDEX('DATA (Nominal)'!$B$330:$BX$330,1,MATCH(K$1,'DATA (Nominal)'!$B$1:$BX$1,0))</f>
        <v>0</v>
      </c>
      <c r="L166" s="19">
        <f>L162*INDEX('DATA (Nominal)'!$B$330:$BX$330,1,MATCH(L$1,'DATA (Nominal)'!$B$1:$BX$1,0))</f>
        <v>0</v>
      </c>
      <c r="M166" s="93">
        <f>M162*INDEX('DATA (Nominal)'!$B$330:$BX$330,1,MATCH(M$1,'DATA (Nominal)'!$B$1:$BX$1,0))</f>
        <v>0</v>
      </c>
      <c r="N166" s="93">
        <f>N162*INDEX('DATA (Nominal)'!$B$330:$BX$330,1,MATCH(N$1,'DATA (Nominal)'!$B$1:$BX$1,0))</f>
        <v>0</v>
      </c>
      <c r="O166" s="93">
        <f>O162*INDEX('DATA (Nominal)'!$B$330:$BX$330,1,MATCH(O$1,'DATA (Nominal)'!$B$1:$BX$1,0))</f>
        <v>0</v>
      </c>
      <c r="P166" s="93">
        <f>P162*INDEX('DATA (Nominal)'!$B$330:$BX$330,1,MATCH(P$1,'DATA (Nominal)'!$B$1:$BX$1,0))</f>
        <v>0</v>
      </c>
      <c r="Q166" s="93">
        <f>Q162*INDEX('DATA (Nominal)'!$B$330:$BX$330,1,MATCH(Q$1,'DATA (Nominal)'!$B$1:$BX$1,0))</f>
        <v>0</v>
      </c>
      <c r="R166" s="93">
        <f>R162*INDEX('DATA (Nominal)'!$B$330:$BX$330,1,MATCH(R$1,'DATA (Nominal)'!$B$1:$BX$1,0))</f>
        <v>0</v>
      </c>
      <c r="S166" s="93">
        <f>S162*INDEX('DATA (Nominal)'!$B$330:$BX$330,1,MATCH(S$1,'DATA (Nominal)'!$B$1:$BX$1,0))</f>
        <v>0</v>
      </c>
      <c r="T166" s="93">
        <f>T162*INDEX('DATA (Nominal)'!$B$330:$BX$330,1,MATCH(T$1,'DATA (Nominal)'!$B$1:$BX$1,0))</f>
        <v>0</v>
      </c>
      <c r="U166" s="93">
        <f>U162*INDEX('DATA (Nominal)'!$B$330:$BX$330,1,MATCH(U$1,'DATA (Nominal)'!$B$1:$BX$1,0))</f>
        <v>0</v>
      </c>
      <c r="V166" s="93">
        <f>V162*INDEX('DATA (Nominal)'!$B$330:$BX$330,1,MATCH(V$1,'DATA (Nominal)'!$B$1:$BX$1,0))</f>
        <v>0</v>
      </c>
      <c r="W166" s="93">
        <f>W162*INDEX('DATA (Nominal)'!$B$330:$BX$330,1,MATCH(W$1,'DATA (Nominal)'!$B$1:$BX$1,0))</f>
        <v>0</v>
      </c>
      <c r="X166" s="161">
        <f>X162*INDEX('DATA (Nominal)'!$B$330:$BX$330,1,MATCH(X$1,'DATA (Nominal)'!$B$1:$BX$1,0))</f>
        <v>0</v>
      </c>
      <c r="Y166" s="261"/>
    </row>
    <row r="167" spans="1:25" hidden="1" outlineLevel="1">
      <c r="A167" s="95"/>
      <c r="C167" s="33" t="s">
        <v>49</v>
      </c>
      <c r="D167" s="19"/>
      <c r="E167" s="19">
        <f t="shared" ref="E167:X167" si="327">D186*Property_Tax_Rate</f>
        <v>29866.516702067409</v>
      </c>
      <c r="F167" s="19">
        <f t="shared" si="327"/>
        <v>28202.368727986177</v>
      </c>
      <c r="G167" s="19">
        <f t="shared" si="327"/>
        <v>26630.946280194621</v>
      </c>
      <c r="H167" s="19">
        <f t="shared" si="327"/>
        <v>25147.082736878088</v>
      </c>
      <c r="I167" s="19">
        <f t="shared" si="327"/>
        <v>23745.899357909355</v>
      </c>
      <c r="J167" s="19">
        <f t="shared" si="327"/>
        <v>22422.789244219188</v>
      </c>
      <c r="K167" s="19">
        <f t="shared" si="327"/>
        <v>21173.40219094307</v>
      </c>
      <c r="L167" s="19">
        <f t="shared" si="327"/>
        <v>19993.630384543365</v>
      </c>
      <c r="M167" s="93">
        <f t="shared" si="327"/>
        <v>18879.594896880899</v>
      </c>
      <c r="N167" s="93">
        <f t="shared" si="327"/>
        <v>17827.632931830452</v>
      </c>
      <c r="O167" s="93">
        <f t="shared" si="327"/>
        <v>16834.285782508687</v>
      </c>
      <c r="P167" s="93">
        <f t="shared" si="327"/>
        <v>15896.287459519548</v>
      </c>
      <c r="Q167" s="93">
        <f t="shared" si="327"/>
        <v>15010.553952828383</v>
      </c>
      <c r="R167" s="93">
        <f t="shared" si="327"/>
        <v>14174.173091959285</v>
      </c>
      <c r="S167" s="93">
        <f t="shared" si="327"/>
        <v>13384.39497117736</v>
      </c>
      <c r="T167" s="93">
        <f t="shared" si="327"/>
        <v>12638.622908175246</v>
      </c>
      <c r="U167" s="93">
        <f t="shared" si="327"/>
        <v>11934.404906537291</v>
      </c>
      <c r="V167" s="93">
        <f t="shared" si="327"/>
        <v>11269.42559391111</v>
      </c>
      <c r="W167" s="93">
        <f t="shared" si="327"/>
        <v>10641.498609380362</v>
      </c>
      <c r="X167" s="161">
        <f t="shared" si="327"/>
        <v>10048.559415009469</v>
      </c>
      <c r="Y167" s="261"/>
    </row>
    <row r="168" spans="1:25" hidden="1" outlineLevel="1">
      <c r="A168" s="95"/>
      <c r="C168" s="33" t="s">
        <v>50</v>
      </c>
      <c r="D168" s="19"/>
      <c r="E168" s="19">
        <f>SUM(E164:E167)</f>
        <v>47798.784403853773</v>
      </c>
      <c r="F168" s="19">
        <f t="shared" ref="F168" si="328">SUM(F164:F167)</f>
        <v>45685.742104589255</v>
      </c>
      <c r="G168" s="19">
        <f t="shared" ref="G168" si="329">SUM(G164:G167)</f>
        <v>43636.430501788083</v>
      </c>
      <c r="H168" s="19">
        <f t="shared" ref="H168" si="330">SUM(H164:H167)</f>
        <v>41639.232725396942</v>
      </c>
      <c r="I168" s="19">
        <f t="shared" ref="I168" si="331">SUM(I164:I167)</f>
        <v>39693.897752735065</v>
      </c>
      <c r="J168" s="19">
        <f t="shared" ref="J168" si="332">SUM(J164:J167)</f>
        <v>37794.711174634809</v>
      </c>
      <c r="K168" s="19">
        <f t="shared" ref="K168" si="333">SUM(K164:K167)</f>
        <v>36747.943116605456</v>
      </c>
      <c r="L168" s="19">
        <f t="shared" ref="L168" si="334">SUM(L164:L167)</f>
        <v>35772.26553102905</v>
      </c>
      <c r="M168" s="93">
        <f t="shared" ref="M168" si="335">SUM(M164:M167)</f>
        <v>34863.766332098094</v>
      </c>
      <c r="N168" s="93">
        <f t="shared" ref="N168" si="336">SUM(N164:N167)</f>
        <v>34018.747393072437</v>
      </c>
      <c r="O168" s="93">
        <f t="shared" ref="O168" si="337">SUM(O164:O167)</f>
        <v>33233.712423945908</v>
      </c>
      <c r="P168" s="93">
        <f t="shared" ref="P168" si="338">SUM(P164:P167)</f>
        <v>32505.355517681361</v>
      </c>
      <c r="Q168" s="93">
        <f t="shared" ref="Q168" si="339">SUM(Q164:Q167)</f>
        <v>31830.550327556215</v>
      </c>
      <c r="R168" s="93">
        <f t="shared" ref="R168" si="340">SUM(R164:R167)</f>
        <v>31206.339840241882</v>
      </c>
      <c r="S168" s="93">
        <f t="shared" ref="S168" si="341">SUM(S164:S167)</f>
        <v>30629.926711205764</v>
      </c>
      <c r="T168" s="93">
        <f t="shared" ref="T168" si="342">SUM(T164:T167)</f>
        <v>30098.664130880108</v>
      </c>
      <c r="U168" s="93">
        <f t="shared" ref="U168" si="343">SUM(U164:U167)</f>
        <v>29610.047191794198</v>
      </c>
      <c r="V168" s="93">
        <f t="shared" ref="V168" si="344">SUM(V164:V167)</f>
        <v>29161.704728520566</v>
      </c>
      <c r="W168" s="93">
        <f t="shared" ref="W168" si="345">SUM(W164:W167)</f>
        <v>28751.391603847813</v>
      </c>
      <c r="X168" s="161">
        <f t="shared" ref="X168" si="346">SUM(X164:X167)</f>
        <v>28376.98141606752</v>
      </c>
      <c r="Y168" s="261"/>
    </row>
    <row r="169" spans="1:25" hidden="1" outlineLevel="1">
      <c r="A169" s="95"/>
      <c r="C169" s="33"/>
      <c r="D169" s="19"/>
      <c r="E169" s="19"/>
      <c r="F169" s="19"/>
      <c r="G169" s="19"/>
      <c r="H169" s="19"/>
      <c r="I169" s="19"/>
      <c r="J169" s="19"/>
      <c r="K169" s="19"/>
      <c r="L169" s="19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161"/>
      <c r="Y169" s="261"/>
    </row>
    <row r="170" spans="1:25" hidden="1" outlineLevel="1">
      <c r="A170" s="95"/>
      <c r="C170" s="32" t="s">
        <v>51</v>
      </c>
      <c r="D170" s="19"/>
      <c r="E170" s="19">
        <f>E162-E168</f>
        <v>141040.09947020619</v>
      </c>
      <c r="F170" s="19">
        <f t="shared" ref="F170:X170" si="347">F162-F168</f>
        <v>143153.14176947071</v>
      </c>
      <c r="G170" s="19">
        <f t="shared" si="347"/>
        <v>145202.45337227185</v>
      </c>
      <c r="H170" s="19">
        <f t="shared" si="347"/>
        <v>147199.65114866302</v>
      </c>
      <c r="I170" s="19">
        <f t="shared" si="347"/>
        <v>149144.98612132488</v>
      </c>
      <c r="J170" s="19">
        <f t="shared" si="347"/>
        <v>151044.17269942514</v>
      </c>
      <c r="K170" s="19">
        <f t="shared" si="347"/>
        <v>152090.94075745449</v>
      </c>
      <c r="L170" s="19">
        <f t="shared" si="347"/>
        <v>153066.61834303089</v>
      </c>
      <c r="M170" s="93">
        <f t="shared" si="347"/>
        <v>153975.11754196184</v>
      </c>
      <c r="N170" s="93">
        <f t="shared" si="347"/>
        <v>154820.13648098751</v>
      </c>
      <c r="O170" s="93">
        <f t="shared" si="347"/>
        <v>155605.17145011405</v>
      </c>
      <c r="P170" s="93">
        <f t="shared" si="347"/>
        <v>156333.52835637858</v>
      </c>
      <c r="Q170" s="93">
        <f t="shared" si="347"/>
        <v>157008.33354650374</v>
      </c>
      <c r="R170" s="93">
        <f t="shared" si="347"/>
        <v>157632.54403381806</v>
      </c>
      <c r="S170" s="93">
        <f t="shared" si="347"/>
        <v>158208.95716285417</v>
      </c>
      <c r="T170" s="93">
        <f t="shared" si="347"/>
        <v>158740.21974317983</v>
      </c>
      <c r="U170" s="93">
        <f t="shared" si="347"/>
        <v>159228.83668226574</v>
      </c>
      <c r="V170" s="93">
        <f t="shared" si="347"/>
        <v>159677.17914553938</v>
      </c>
      <c r="W170" s="93">
        <f t="shared" si="347"/>
        <v>160087.49227021213</v>
      </c>
      <c r="X170" s="161">
        <f t="shared" si="347"/>
        <v>160461.90245799243</v>
      </c>
      <c r="Y170" s="261"/>
    </row>
    <row r="171" spans="1:25" hidden="1" outlineLevel="1">
      <c r="A171" s="95"/>
      <c r="C171" s="32" t="s">
        <v>52</v>
      </c>
      <c r="D171" s="19"/>
      <c r="E171" s="93">
        <f>E170-E187-E178</f>
        <v>-430782.36498861748</v>
      </c>
      <c r="F171" s="19">
        <f t="shared" ref="F171" si="348">F170-F187-F178</f>
        <v>-731469.68659220845</v>
      </c>
      <c r="G171" s="19">
        <f t="shared" ref="G171" si="349">G170-G187-G178</f>
        <v>-402533.47095747915</v>
      </c>
      <c r="H171" s="19">
        <f t="shared" ref="H171" si="350">H170-H187-H178</f>
        <v>-203521.79370931821</v>
      </c>
      <c r="I171" s="19">
        <f t="shared" ref="I171" si="351">I170-I187-I178</f>
        <v>-199418.07808174557</v>
      </c>
      <c r="J171" s="19">
        <f t="shared" ref="J171" si="352">J170-J187-J178</f>
        <v>-49015.334139392391</v>
      </c>
      <c r="K171" s="19">
        <f t="shared" ref="K171" si="353">K170-K187-K178</f>
        <v>100660.23132039109</v>
      </c>
      <c r="L171" s="19">
        <f t="shared" ref="L171" si="354">L170-L187-L178</f>
        <v>104170.36877396332</v>
      </c>
      <c r="M171" s="93">
        <f t="shared" ref="M171" si="355">M170-M187-M178</f>
        <v>107752.72313362989</v>
      </c>
      <c r="N171" s="93">
        <f t="shared" ref="N171" si="356">N170-N187-N178</f>
        <v>111418.65926723162</v>
      </c>
      <c r="O171" s="93">
        <f t="shared" ref="O171" si="357">O170-O187-O178</f>
        <v>-247492.33708823877</v>
      </c>
      <c r="P171" s="93">
        <f t="shared" ref="P171" si="358">P170-P187-P178</f>
        <v>-502668.47478519281</v>
      </c>
      <c r="Q171" s="93">
        <f t="shared" ref="Q171" si="359">Q170-Q187-Q178</f>
        <v>-321051.61715003662</v>
      </c>
      <c r="R171" s="93">
        <f t="shared" ref="R171" si="360">R170-R187-R178</f>
        <v>-190050.86199931661</v>
      </c>
      <c r="S171" s="93">
        <f t="shared" ref="S171" si="361">S170-S187-S178</f>
        <v>-95157.677983153408</v>
      </c>
      <c r="T171" s="93">
        <f t="shared" ref="T171" si="362">T170-T187-T178</f>
        <v>-90736.814020615595</v>
      </c>
      <c r="U171" s="93">
        <f t="shared" ref="U171" si="363">U170-U187-U178</f>
        <v>-86144.667623295856</v>
      </c>
      <c r="V171" s="93">
        <f t="shared" ref="V171" si="364">V170-V187-V178</f>
        <v>31958.409392739028</v>
      </c>
      <c r="W171" s="93">
        <f t="shared" ref="W171" si="365">W170-W187-W178</f>
        <v>150185.40474939675</v>
      </c>
      <c r="X171" s="161">
        <f t="shared" ref="X171" si="366">X170-X187-X178</f>
        <v>155378.34901056654</v>
      </c>
      <c r="Y171" s="261"/>
    </row>
    <row r="172" spans="1:25" hidden="1" outlineLevel="1">
      <c r="A172" s="95"/>
      <c r="C172" s="32" t="s">
        <v>128</v>
      </c>
      <c r="D172" s="19"/>
      <c r="E172" s="19">
        <f>-$D175*INDEX('DATA (Nominal)'!$B$243:$BX$243,1,MATCH($B$1,'DATA (Nominal)'!$B$1:$BX$1,0))</f>
        <v>895995.50106202229</v>
      </c>
      <c r="F172" s="19"/>
      <c r="G172" s="19"/>
      <c r="H172" s="19"/>
      <c r="I172" s="19"/>
      <c r="J172" s="19"/>
      <c r="K172" s="19"/>
      <c r="L172" s="19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161"/>
      <c r="Y172" s="261"/>
    </row>
    <row r="173" spans="1:25" hidden="1" outlineLevel="1">
      <c r="A173" s="95"/>
      <c r="C173" s="33" t="s">
        <v>54</v>
      </c>
      <c r="D173" s="19"/>
      <c r="E173" s="19">
        <f t="shared" ref="E173:X173" si="367">E171*Federal_Tax_Rate-E172</f>
        <v>-986459.79770963197</v>
      </c>
      <c r="F173" s="19">
        <f t="shared" si="367"/>
        <v>-153608.63418436376</v>
      </c>
      <c r="G173" s="19">
        <f t="shared" si="367"/>
        <v>-84532.028901070618</v>
      </c>
      <c r="H173" s="19">
        <f t="shared" si="367"/>
        <v>-42739.576678956822</v>
      </c>
      <c r="I173" s="19">
        <f t="shared" si="367"/>
        <v>-41877.796397166567</v>
      </c>
      <c r="J173" s="19">
        <f t="shared" si="367"/>
        <v>-10293.220169272401</v>
      </c>
      <c r="K173" s="19">
        <f t="shared" si="367"/>
        <v>21138.648577282129</v>
      </c>
      <c r="L173" s="19">
        <f t="shared" si="367"/>
        <v>21875.777442532297</v>
      </c>
      <c r="M173" s="93">
        <f t="shared" si="367"/>
        <v>22628.071858062274</v>
      </c>
      <c r="N173" s="93">
        <f t="shared" si="367"/>
        <v>23397.918446118638</v>
      </c>
      <c r="O173" s="93">
        <f t="shared" si="367"/>
        <v>-51973.390788530138</v>
      </c>
      <c r="P173" s="93">
        <f t="shared" si="367"/>
        <v>-105560.37970489048</v>
      </c>
      <c r="Q173" s="93">
        <f t="shared" si="367"/>
        <v>-67420.839601507687</v>
      </c>
      <c r="R173" s="93">
        <f t="shared" si="367"/>
        <v>-39910.681019856485</v>
      </c>
      <c r="S173" s="93">
        <f t="shared" si="367"/>
        <v>-19983.112376462213</v>
      </c>
      <c r="T173" s="93">
        <f t="shared" si="367"/>
        <v>-19054.730944329272</v>
      </c>
      <c r="U173" s="93">
        <f t="shared" si="367"/>
        <v>-18090.38020089213</v>
      </c>
      <c r="V173" s="93">
        <f t="shared" si="367"/>
        <v>6711.2659724751957</v>
      </c>
      <c r="W173" s="93">
        <f t="shared" si="367"/>
        <v>31538.934997373315</v>
      </c>
      <c r="X173" s="161">
        <f t="shared" si="367"/>
        <v>32629.453292218972</v>
      </c>
      <c r="Y173" s="261"/>
    </row>
    <row r="174" spans="1:25" hidden="1" outlineLevel="1">
      <c r="A174" s="95"/>
      <c r="C174" s="33"/>
      <c r="D174" s="19"/>
      <c r="E174" s="19"/>
      <c r="F174" s="19"/>
      <c r="G174" s="19"/>
      <c r="H174" s="19"/>
      <c r="I174" s="19"/>
      <c r="J174" s="19"/>
      <c r="K174" s="19"/>
      <c r="L174" s="19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161"/>
      <c r="Y174" s="261"/>
    </row>
    <row r="175" spans="1:25" hidden="1" outlineLevel="1">
      <c r="A175" s="95"/>
      <c r="B175" s="37">
        <f>IRR(D175:Y175,0.1)</f>
        <v>7.5000004682962862E-2</v>
      </c>
      <c r="C175" s="32" t="s">
        <v>55</v>
      </c>
      <c r="D175" s="4">
        <f>-(1+AFUDC!$C$15)*INDEX('DATA (Nominal)'!$B$64:$BX$64,1,MATCH($B$1,'DATA (Nominal)'!$B$1:$BX$1,0))*1000000*'Resource Options'!$E$15/1000</f>
        <v>-2986651.670206741</v>
      </c>
      <c r="E175" s="3">
        <f t="shared" ref="E175:X175" si="368">E170-E173</f>
        <v>1127499.8971798383</v>
      </c>
      <c r="F175" s="19">
        <f t="shared" si="368"/>
        <v>296761.77595383447</v>
      </c>
      <c r="G175" s="19">
        <f t="shared" si="368"/>
        <v>229734.48227334247</v>
      </c>
      <c r="H175" s="19">
        <f t="shared" si="368"/>
        <v>189939.22782761985</v>
      </c>
      <c r="I175" s="19">
        <f t="shared" si="368"/>
        <v>191022.78251849144</v>
      </c>
      <c r="J175" s="19">
        <f t="shared" si="368"/>
        <v>161337.39286869753</v>
      </c>
      <c r="K175" s="19">
        <f t="shared" si="368"/>
        <v>130952.29218017236</v>
      </c>
      <c r="L175" s="19">
        <f t="shared" si="368"/>
        <v>131190.84090049859</v>
      </c>
      <c r="M175" s="93">
        <f t="shared" si="368"/>
        <v>131347.04568389957</v>
      </c>
      <c r="N175" s="93">
        <f t="shared" si="368"/>
        <v>131422.21803486889</v>
      </c>
      <c r="O175" s="93">
        <f t="shared" si="368"/>
        <v>207578.5622386442</v>
      </c>
      <c r="P175" s="93">
        <f t="shared" si="368"/>
        <v>261893.90806126906</v>
      </c>
      <c r="Q175" s="93">
        <f t="shared" si="368"/>
        <v>224429.17314801144</v>
      </c>
      <c r="R175" s="93">
        <f t="shared" si="368"/>
        <v>197543.22505367454</v>
      </c>
      <c r="S175" s="93">
        <f t="shared" si="368"/>
        <v>178192.06953931638</v>
      </c>
      <c r="T175" s="93">
        <f t="shared" si="368"/>
        <v>177794.95068750909</v>
      </c>
      <c r="U175" s="93">
        <f t="shared" si="368"/>
        <v>177319.21688315787</v>
      </c>
      <c r="V175" s="93">
        <f t="shared" si="368"/>
        <v>152965.91317306418</v>
      </c>
      <c r="W175" s="93">
        <f t="shared" si="368"/>
        <v>128548.55727283881</v>
      </c>
      <c r="X175" s="161">
        <f t="shared" si="368"/>
        <v>127832.44916577346</v>
      </c>
      <c r="Y175" s="261">
        <f>D175*-0.3</f>
        <v>895995.50106202229</v>
      </c>
    </row>
    <row r="176" spans="1:25" hidden="1" outlineLevel="1">
      <c r="A176" s="95"/>
      <c r="B176" s="37">
        <f>IRR(D176:Y176,0.1)</f>
        <v>0.10496504463387013</v>
      </c>
      <c r="C176" s="32" t="s">
        <v>56</v>
      </c>
      <c r="D176" s="6">
        <f>-D192</f>
        <v>-370010.66010794922</v>
      </c>
      <c r="E176" s="3">
        <f t="shared" ref="E176:X176" si="369">E175-E178-E180-E188-E172</f>
        <v>27369.13354535657</v>
      </c>
      <c r="F176" s="19">
        <f t="shared" si="369"/>
        <v>28652.434605546732</v>
      </c>
      <c r="G176" s="19">
        <f t="shared" si="369"/>
        <v>29864.15828593832</v>
      </c>
      <c r="H176" s="19">
        <f t="shared" si="369"/>
        <v>31012.314256745864</v>
      </c>
      <c r="I176" s="19">
        <f t="shared" si="369"/>
        <v>32095.868947617455</v>
      </c>
      <c r="J176" s="19">
        <f t="shared" si="369"/>
        <v>33118.037110221165</v>
      </c>
      <c r="K176" s="19">
        <f t="shared" si="369"/>
        <v>33440.494234093618</v>
      </c>
      <c r="L176" s="19">
        <f t="shared" si="369"/>
        <v>33679.042954419856</v>
      </c>
      <c r="M176" s="93">
        <f t="shared" si="369"/>
        <v>33835.24773782085</v>
      </c>
      <c r="N176" s="93">
        <f t="shared" si="369"/>
        <v>33910.420088790146</v>
      </c>
      <c r="O176" s="93">
        <f t="shared" si="369"/>
        <v>33905.623509941783</v>
      </c>
      <c r="P176" s="93">
        <f t="shared" si="369"/>
        <v>33821.677680187218</v>
      </c>
      <c r="Q176" s="93">
        <f t="shared" si="369"/>
        <v>33659.161866468872</v>
      </c>
      <c r="R176" s="93">
        <f t="shared" si="369"/>
        <v>33418.417582264476</v>
      </c>
      <c r="S176" s="93">
        <f t="shared" si="369"/>
        <v>33099.550503715283</v>
      </c>
      <c r="T176" s="93">
        <f t="shared" si="369"/>
        <v>32702.431651907995</v>
      </c>
      <c r="U176" s="93">
        <f t="shared" si="369"/>
        <v>32226.697847556781</v>
      </c>
      <c r="V176" s="93">
        <f t="shared" si="369"/>
        <v>31671.75144207125</v>
      </c>
      <c r="W176" s="93">
        <f t="shared" si="369"/>
        <v>31036.759326760075</v>
      </c>
      <c r="X176" s="161">
        <f t="shared" si="369"/>
        <v>30320.65121969473</v>
      </c>
      <c r="Y176" s="261">
        <f>Y175</f>
        <v>895995.50106202229</v>
      </c>
    </row>
    <row r="177" spans="1:25" hidden="1" outlineLevel="1">
      <c r="A177" s="95"/>
      <c r="B177" s="21"/>
      <c r="C177" s="32"/>
      <c r="D177" s="6"/>
      <c r="E177" s="19"/>
      <c r="F177" s="19"/>
      <c r="G177" s="19"/>
      <c r="H177" s="19"/>
      <c r="I177" s="19"/>
      <c r="J177" s="19"/>
      <c r="K177" s="19"/>
      <c r="L177" s="19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161"/>
      <c r="Y177" s="261"/>
    </row>
    <row r="178" spans="1:25" hidden="1" outlineLevel="1">
      <c r="A178" s="95"/>
      <c r="B178" s="15"/>
      <c r="C178" s="33" t="s">
        <v>57</v>
      </c>
      <c r="D178" s="19"/>
      <c r="E178" s="19">
        <f t="shared" ref="E178:X178" si="370">D181*Debt_Rate</f>
        <v>64091.680523677758</v>
      </c>
      <c r="F178" s="19">
        <f t="shared" si="370"/>
        <v>62253.574065445704</v>
      </c>
      <c r="G178" s="19">
        <f t="shared" si="370"/>
        <v>60314.371752010891</v>
      </c>
      <c r="H178" s="19">
        <f t="shared" si="370"/>
        <v>58268.513311337163</v>
      </c>
      <c r="I178" s="19">
        <f t="shared" si="370"/>
        <v>56110.132656426373</v>
      </c>
      <c r="J178" s="19">
        <f t="shared" si="370"/>
        <v>53833.04106549549</v>
      </c>
      <c r="K178" s="19">
        <f t="shared" si="370"/>
        <v>51430.709437063408</v>
      </c>
      <c r="L178" s="19">
        <f t="shared" si="370"/>
        <v>48896.249569067571</v>
      </c>
      <c r="M178" s="93">
        <f t="shared" si="370"/>
        <v>46222.394408331958</v>
      </c>
      <c r="N178" s="93">
        <f t="shared" si="370"/>
        <v>43401.477213755883</v>
      </c>
      <c r="O178" s="93">
        <f t="shared" si="370"/>
        <v>40425.409573478122</v>
      </c>
      <c r="P178" s="93">
        <f t="shared" si="370"/>
        <v>37285.658212985087</v>
      </c>
      <c r="Q178" s="93">
        <f t="shared" si="370"/>
        <v>33973.22052766494</v>
      </c>
      <c r="R178" s="93">
        <f t="shared" si="370"/>
        <v>30478.598769652177</v>
      </c>
      <c r="S178" s="93">
        <f t="shared" si="370"/>
        <v>26791.772814948716</v>
      </c>
      <c r="T178" s="93">
        <f t="shared" si="370"/>
        <v>22902.171432736566</v>
      </c>
      <c r="U178" s="93">
        <f t="shared" si="370"/>
        <v>18798.641974502745</v>
      </c>
      <c r="V178" s="93">
        <f t="shared" si="370"/>
        <v>14469.418396066065</v>
      </c>
      <c r="W178" s="93">
        <f t="shared" si="370"/>
        <v>9902.0875208153666</v>
      </c>
      <c r="X178" s="161">
        <f t="shared" si="370"/>
        <v>5083.553447425882</v>
      </c>
      <c r="Y178" s="261"/>
    </row>
    <row r="179" spans="1:25" hidden="1" outlineLevel="1">
      <c r="A179" s="95"/>
      <c r="B179" s="15"/>
      <c r="C179" s="33" t="s">
        <v>58</v>
      </c>
      <c r="D179" s="19"/>
      <c r="E179" s="19">
        <f t="shared" ref="E179:X179" si="371">-PMT(Debt_Rate,20,$D191)</f>
        <v>97511.797946078732</v>
      </c>
      <c r="F179" s="19">
        <f t="shared" si="371"/>
        <v>97511.797946078732</v>
      </c>
      <c r="G179" s="19">
        <f t="shared" si="371"/>
        <v>97511.797946078732</v>
      </c>
      <c r="H179" s="19">
        <f t="shared" si="371"/>
        <v>97511.797946078732</v>
      </c>
      <c r="I179" s="19">
        <f t="shared" si="371"/>
        <v>97511.797946078732</v>
      </c>
      <c r="J179" s="19">
        <f t="shared" si="371"/>
        <v>97511.797946078732</v>
      </c>
      <c r="K179" s="19">
        <f t="shared" si="371"/>
        <v>97511.797946078732</v>
      </c>
      <c r="L179" s="19">
        <f t="shared" si="371"/>
        <v>97511.797946078732</v>
      </c>
      <c r="M179" s="93">
        <f t="shared" si="371"/>
        <v>97511.797946078732</v>
      </c>
      <c r="N179" s="93">
        <f t="shared" si="371"/>
        <v>97511.797946078732</v>
      </c>
      <c r="O179" s="93">
        <f t="shared" si="371"/>
        <v>97511.797946078732</v>
      </c>
      <c r="P179" s="93">
        <f t="shared" si="371"/>
        <v>97511.797946078732</v>
      </c>
      <c r="Q179" s="93">
        <f t="shared" si="371"/>
        <v>97511.797946078732</v>
      </c>
      <c r="R179" s="93">
        <f t="shared" si="371"/>
        <v>97511.797946078732</v>
      </c>
      <c r="S179" s="93">
        <f t="shared" si="371"/>
        <v>97511.797946078732</v>
      </c>
      <c r="T179" s="93">
        <f t="shared" si="371"/>
        <v>97511.797946078732</v>
      </c>
      <c r="U179" s="93">
        <f t="shared" si="371"/>
        <v>97511.797946078732</v>
      </c>
      <c r="V179" s="93">
        <f t="shared" si="371"/>
        <v>97511.797946078732</v>
      </c>
      <c r="W179" s="93">
        <f t="shared" si="371"/>
        <v>97511.797946078732</v>
      </c>
      <c r="X179" s="161">
        <f t="shared" si="371"/>
        <v>97511.797946078732</v>
      </c>
      <c r="Y179" s="261"/>
    </row>
    <row r="180" spans="1:25" hidden="1" outlineLevel="1">
      <c r="A180" s="95"/>
      <c r="B180" s="15"/>
      <c r="C180" s="33" t="s">
        <v>59</v>
      </c>
      <c r="D180" s="19"/>
      <c r="E180" s="3">
        <f>E179-E178</f>
        <v>33420.117422400974</v>
      </c>
      <c r="F180" s="19">
        <f t="shared" ref="F180" si="372">F179-F178</f>
        <v>35258.223880633028</v>
      </c>
      <c r="G180" s="19">
        <f t="shared" ref="G180" si="373">G179-G178</f>
        <v>37197.426194067841</v>
      </c>
      <c r="H180" s="19">
        <f t="shared" ref="H180" si="374">H179-H178</f>
        <v>39243.284634741569</v>
      </c>
      <c r="I180" s="19">
        <f t="shared" ref="I180" si="375">I179-I178</f>
        <v>41401.665289652359</v>
      </c>
      <c r="J180" s="19">
        <f t="shared" ref="J180" si="376">J179-J178</f>
        <v>43678.756880583242</v>
      </c>
      <c r="K180" s="19">
        <f t="shared" ref="K180" si="377">K179-K178</f>
        <v>46081.088509015324</v>
      </c>
      <c r="L180" s="19">
        <f t="shared" ref="L180" si="378">L179-L178</f>
        <v>48615.54837701116</v>
      </c>
      <c r="M180" s="93">
        <f t="shared" ref="M180" si="379">M179-M178</f>
        <v>51289.403537746774</v>
      </c>
      <c r="N180" s="93">
        <f t="shared" ref="N180" si="380">N179-N178</f>
        <v>54110.320732322849</v>
      </c>
      <c r="O180" s="93">
        <f t="shared" ref="O180" si="381">O179-O178</f>
        <v>57086.38837260061</v>
      </c>
      <c r="P180" s="93">
        <f t="shared" ref="P180" si="382">P179-P178</f>
        <v>60226.139733093645</v>
      </c>
      <c r="Q180" s="93">
        <f t="shared" ref="Q180" si="383">Q179-Q178</f>
        <v>63538.577418413792</v>
      </c>
      <c r="R180" s="93">
        <f t="shared" ref="R180" si="384">R179-R178</f>
        <v>67033.199176426555</v>
      </c>
      <c r="S180" s="93">
        <f t="shared" ref="S180" si="385">S179-S178</f>
        <v>70720.025131130009</v>
      </c>
      <c r="T180" s="93">
        <f t="shared" ref="T180" si="386">T179-T178</f>
        <v>74609.626513342169</v>
      </c>
      <c r="U180" s="93">
        <f t="shared" ref="U180" si="387">U179-U178</f>
        <v>78713.155971575994</v>
      </c>
      <c r="V180" s="93">
        <f t="shared" ref="V180" si="388">V179-V178</f>
        <v>83042.379550012673</v>
      </c>
      <c r="W180" s="93">
        <f t="shared" ref="W180" si="389">W179-W178</f>
        <v>87609.710425263358</v>
      </c>
      <c r="X180" s="161">
        <f t="shared" ref="X180" si="390">X179-X178</f>
        <v>92428.244498652843</v>
      </c>
      <c r="Y180" s="261"/>
    </row>
    <row r="181" spans="1:25" hidden="1" outlineLevel="1">
      <c r="A181" s="95"/>
      <c r="B181" s="15"/>
      <c r="C181" s="33" t="s">
        <v>60</v>
      </c>
      <c r="D181" s="19">
        <f>D191</f>
        <v>1165303.2822486865</v>
      </c>
      <c r="E181" s="19">
        <f>D181-E180</f>
        <v>1131883.1648262856</v>
      </c>
      <c r="F181" s="19">
        <f>E181-F180</f>
        <v>1096624.9409456525</v>
      </c>
      <c r="G181" s="19">
        <f t="shared" ref="G181" si="391">F181-G180</f>
        <v>1059427.5147515847</v>
      </c>
      <c r="H181" s="19">
        <f t="shared" ref="H181" si="392">G181-H180</f>
        <v>1020184.2301168431</v>
      </c>
      <c r="I181" s="19">
        <f t="shared" ref="I181" si="393">H181-I180</f>
        <v>978782.56482719071</v>
      </c>
      <c r="J181" s="19">
        <f t="shared" ref="J181" si="394">I181-J180</f>
        <v>935103.80794660747</v>
      </c>
      <c r="K181" s="19">
        <f t="shared" ref="K181" si="395">J181-K180</f>
        <v>889022.7194375922</v>
      </c>
      <c r="L181" s="19">
        <f t="shared" ref="L181" si="396">K181-L180</f>
        <v>840407.17106058099</v>
      </c>
      <c r="M181" s="93">
        <f t="shared" ref="M181" si="397">L181-M180</f>
        <v>789117.76752283424</v>
      </c>
      <c r="N181" s="93">
        <f t="shared" ref="N181" si="398">M181-N180</f>
        <v>735007.44679051137</v>
      </c>
      <c r="O181" s="93">
        <f t="shared" ref="O181" si="399">N181-O180</f>
        <v>677921.05841791071</v>
      </c>
      <c r="P181" s="93">
        <f t="shared" ref="P181" si="400">O181-P180</f>
        <v>617694.91868481704</v>
      </c>
      <c r="Q181" s="93">
        <f t="shared" ref="Q181" si="401">P181-Q180</f>
        <v>554156.34126640321</v>
      </c>
      <c r="R181" s="93">
        <f t="shared" ref="R181" si="402">Q181-R180</f>
        <v>487123.14208997664</v>
      </c>
      <c r="S181" s="93">
        <f t="shared" ref="S181" si="403">R181-S180</f>
        <v>416403.11695884663</v>
      </c>
      <c r="T181" s="93">
        <f t="shared" ref="T181" si="404">S181-T180</f>
        <v>341793.49044550443</v>
      </c>
      <c r="U181" s="93">
        <f t="shared" ref="U181" si="405">T181-U180</f>
        <v>263080.33447392844</v>
      </c>
      <c r="V181" s="93">
        <f t="shared" ref="V181" si="406">U181-V180</f>
        <v>180037.95492391576</v>
      </c>
      <c r="W181" s="93">
        <f t="shared" ref="W181" si="407">V181-W180</f>
        <v>92428.244498652406</v>
      </c>
      <c r="X181" s="161">
        <f t="shared" ref="X181" si="408">W181-X180</f>
        <v>-4.3655745685100555E-10</v>
      </c>
      <c r="Y181" s="261"/>
    </row>
    <row r="182" spans="1:25" hidden="1" outlineLevel="1">
      <c r="A182" s="95"/>
      <c r="B182" s="15"/>
      <c r="C182" s="32"/>
      <c r="D182" s="19"/>
      <c r="E182" s="19"/>
      <c r="F182" s="19"/>
      <c r="G182" s="19"/>
      <c r="H182" s="19"/>
      <c r="I182" s="19"/>
      <c r="J182" s="19"/>
      <c r="K182" s="19"/>
      <c r="L182" s="19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161"/>
      <c r="Y182" s="261"/>
    </row>
    <row r="183" spans="1:25" hidden="1" outlineLevel="1">
      <c r="A183" s="95"/>
      <c r="B183" s="15"/>
      <c r="C183" s="33" t="s">
        <v>61</v>
      </c>
      <c r="D183" s="19"/>
      <c r="E183" s="19">
        <f t="shared" ref="E183:X183" si="409">-$D175/20</f>
        <v>149332.58351033705</v>
      </c>
      <c r="F183" s="19">
        <f t="shared" si="409"/>
        <v>149332.58351033705</v>
      </c>
      <c r="G183" s="19">
        <f t="shared" si="409"/>
        <v>149332.58351033705</v>
      </c>
      <c r="H183" s="19">
        <f t="shared" si="409"/>
        <v>149332.58351033705</v>
      </c>
      <c r="I183" s="19">
        <f t="shared" si="409"/>
        <v>149332.58351033705</v>
      </c>
      <c r="J183" s="19">
        <f t="shared" si="409"/>
        <v>149332.58351033705</v>
      </c>
      <c r="K183" s="19">
        <f t="shared" si="409"/>
        <v>149332.58351033705</v>
      </c>
      <c r="L183" s="19">
        <f t="shared" si="409"/>
        <v>149332.58351033705</v>
      </c>
      <c r="M183" s="93">
        <f t="shared" si="409"/>
        <v>149332.58351033705</v>
      </c>
      <c r="N183" s="93">
        <f t="shared" si="409"/>
        <v>149332.58351033705</v>
      </c>
      <c r="O183" s="93">
        <f t="shared" si="409"/>
        <v>149332.58351033705</v>
      </c>
      <c r="P183" s="93">
        <f t="shared" si="409"/>
        <v>149332.58351033705</v>
      </c>
      <c r="Q183" s="93">
        <f t="shared" si="409"/>
        <v>149332.58351033705</v>
      </c>
      <c r="R183" s="93">
        <f t="shared" si="409"/>
        <v>149332.58351033705</v>
      </c>
      <c r="S183" s="93">
        <f t="shared" si="409"/>
        <v>149332.58351033705</v>
      </c>
      <c r="T183" s="93">
        <f t="shared" si="409"/>
        <v>149332.58351033705</v>
      </c>
      <c r="U183" s="93">
        <f t="shared" si="409"/>
        <v>149332.58351033705</v>
      </c>
      <c r="V183" s="93">
        <f t="shared" si="409"/>
        <v>149332.58351033705</v>
      </c>
      <c r="W183" s="93">
        <f t="shared" si="409"/>
        <v>149332.58351033705</v>
      </c>
      <c r="X183" s="161">
        <f t="shared" si="409"/>
        <v>149332.58351033705</v>
      </c>
      <c r="Y183" s="261"/>
    </row>
    <row r="184" spans="1:25" hidden="1" outlineLevel="1">
      <c r="A184" s="95"/>
      <c r="B184" s="15"/>
      <c r="C184" s="32" t="s">
        <v>62</v>
      </c>
      <c r="D184" s="19"/>
      <c r="E184" s="19">
        <f>SUM($E183:E183)</f>
        <v>149332.58351033705</v>
      </c>
      <c r="F184" s="19">
        <f>SUM($E183:F183)</f>
        <v>298665.1670206741</v>
      </c>
      <c r="G184" s="19">
        <f>SUM($E183:G183)</f>
        <v>447997.75053101114</v>
      </c>
      <c r="H184" s="19">
        <f>SUM($E183:H183)</f>
        <v>597330.33404134819</v>
      </c>
      <c r="I184" s="19">
        <f>SUM($E183:I183)</f>
        <v>746662.91755168524</v>
      </c>
      <c r="J184" s="19">
        <f>SUM($E183:J183)</f>
        <v>895995.50106202229</v>
      </c>
      <c r="K184" s="19">
        <f>SUM($E183:K183)</f>
        <v>1045328.0845723593</v>
      </c>
      <c r="L184" s="19">
        <f>SUM($E183:L183)</f>
        <v>1194660.6680826964</v>
      </c>
      <c r="M184" s="93">
        <f>SUM($E183:M183)</f>
        <v>1343993.2515930333</v>
      </c>
      <c r="N184" s="93">
        <f>SUM($E183:N183)</f>
        <v>1493325.8351033702</v>
      </c>
      <c r="O184" s="93">
        <f>SUM($E183:O183)</f>
        <v>1642658.4186137072</v>
      </c>
      <c r="P184" s="93">
        <f>SUM($E183:P183)</f>
        <v>1791991.0021240441</v>
      </c>
      <c r="Q184" s="93">
        <f>SUM($E183:Q183)</f>
        <v>1941323.585634381</v>
      </c>
      <c r="R184" s="93">
        <f>SUM($E183:R183)</f>
        <v>2090656.169144718</v>
      </c>
      <c r="S184" s="93">
        <f>SUM($E183:S183)</f>
        <v>2239988.7526550549</v>
      </c>
      <c r="T184" s="93">
        <f>SUM($E183:T183)</f>
        <v>2389321.3361653918</v>
      </c>
      <c r="U184" s="93">
        <f>SUM($E183:U183)</f>
        <v>2538653.9196757288</v>
      </c>
      <c r="V184" s="93">
        <f>SUM($E183:V183)</f>
        <v>2687986.5031860657</v>
      </c>
      <c r="W184" s="93">
        <f>SUM($E183:W183)</f>
        <v>2837319.0866964026</v>
      </c>
      <c r="X184" s="161">
        <f>SUM($E183:X183)</f>
        <v>2986651.6702067396</v>
      </c>
      <c r="Y184" s="261"/>
    </row>
    <row r="185" spans="1:25" hidden="1" outlineLevel="1">
      <c r="A185" s="95"/>
      <c r="B185" s="15"/>
      <c r="C185" s="32" t="s">
        <v>63</v>
      </c>
      <c r="D185" s="19"/>
      <c r="E185" s="19">
        <f t="shared" ref="E185" si="410">-$D175-E184</f>
        <v>2837319.086696404</v>
      </c>
      <c r="F185" s="19">
        <f t="shared" ref="F185" si="411">-$D175-F184</f>
        <v>2687986.5031860666</v>
      </c>
      <c r="G185" s="19">
        <f t="shared" ref="G185" si="412">-$D175-G184</f>
        <v>2538653.9196757297</v>
      </c>
      <c r="H185" s="3">
        <f>-$D175-H184</f>
        <v>2389321.3361653928</v>
      </c>
      <c r="I185" s="19">
        <f t="shared" ref="I185" si="413">-$D175-I184</f>
        <v>2239988.7526550558</v>
      </c>
      <c r="J185" s="19">
        <f t="shared" ref="J185" si="414">-$D175-J184</f>
        <v>2090656.1691447187</v>
      </c>
      <c r="K185" s="19">
        <f t="shared" ref="K185" si="415">-$D175-K184</f>
        <v>1941323.5856343815</v>
      </c>
      <c r="L185" s="19">
        <f t="shared" ref="L185" si="416">-$D175-L184</f>
        <v>1791991.0021240446</v>
      </c>
      <c r="M185" s="93">
        <f t="shared" ref="M185" si="417">-$D175-M184</f>
        <v>1642658.4186137076</v>
      </c>
      <c r="N185" s="93">
        <f t="shared" ref="N185" si="418">-$D175-N184</f>
        <v>1493325.8351033707</v>
      </c>
      <c r="O185" s="93">
        <f t="shared" ref="O185" si="419">-$D175-O184</f>
        <v>1343993.2515930338</v>
      </c>
      <c r="P185" s="93">
        <f t="shared" ref="P185" si="420">-$D175-P184</f>
        <v>1194660.6680826969</v>
      </c>
      <c r="Q185" s="93">
        <f t="shared" ref="Q185" si="421">-$D175-Q184</f>
        <v>1045328.0845723599</v>
      </c>
      <c r="R185" s="93">
        <f t="shared" ref="R185" si="422">-$D175-R184</f>
        <v>895995.50106202299</v>
      </c>
      <c r="S185" s="93">
        <f t="shared" ref="S185" si="423">-$D175-S184</f>
        <v>746662.91755168606</v>
      </c>
      <c r="T185" s="93">
        <f t="shared" ref="T185" si="424">-$D175-T184</f>
        <v>597330.33404134912</v>
      </c>
      <c r="U185" s="93">
        <f t="shared" ref="U185" si="425">-$D175-U184</f>
        <v>447997.75053101219</v>
      </c>
      <c r="V185" s="93">
        <f t="shared" ref="V185" si="426">-$D175-V184</f>
        <v>298665.16702067526</v>
      </c>
      <c r="W185" s="93">
        <f t="shared" ref="W185" si="427">-$D175-W184</f>
        <v>149332.58351033833</v>
      </c>
      <c r="X185" s="161">
        <f t="shared" ref="X185" si="428">-$D175-X184</f>
        <v>0</v>
      </c>
      <c r="Y185" s="261"/>
    </row>
    <row r="186" spans="1:25" hidden="1" outlineLevel="1">
      <c r="A186" s="95"/>
      <c r="B186" s="15"/>
      <c r="C186" s="32" t="s">
        <v>64</v>
      </c>
      <c r="D186" s="19">
        <f>-D175</f>
        <v>2986651.670206741</v>
      </c>
      <c r="E186" s="19">
        <f>D186/(($D186/$Y186)^(1/21))</f>
        <v>2820236.8727986175</v>
      </c>
      <c r="F186" s="19">
        <f t="shared" ref="F186:J186" si="429">E186/(($D186/$Y186)^(1/21))</f>
        <v>2663094.6280194619</v>
      </c>
      <c r="G186" s="19">
        <f t="shared" si="429"/>
        <v>2514708.2736878088</v>
      </c>
      <c r="H186" s="19">
        <f t="shared" si="429"/>
        <v>2374589.9357909355</v>
      </c>
      <c r="I186" s="19">
        <f t="shared" si="429"/>
        <v>2242278.9244219186</v>
      </c>
      <c r="J186" s="3">
        <f t="shared" si="429"/>
        <v>2117340.2190943072</v>
      </c>
      <c r="K186" s="3">
        <f>J186/(($D186/$Y186)^(1/21))</f>
        <v>1999363.0384543363</v>
      </c>
      <c r="L186" s="19">
        <f t="shared" ref="L186:V186" si="430">K186/(($D186/$Y186)^(1/21))</f>
        <v>1887959.4896880898</v>
      </c>
      <c r="M186" s="93">
        <f t="shared" si="430"/>
        <v>1782763.2931830452</v>
      </c>
      <c r="N186" s="93">
        <f t="shared" si="430"/>
        <v>1683428.5782508687</v>
      </c>
      <c r="O186" s="93">
        <f t="shared" si="430"/>
        <v>1589628.7459519547</v>
      </c>
      <c r="P186" s="93">
        <f t="shared" si="430"/>
        <v>1501055.3952828383</v>
      </c>
      <c r="Q186" s="93">
        <f t="shared" si="430"/>
        <v>1417417.3091959285</v>
      </c>
      <c r="R186" s="93">
        <f t="shared" si="430"/>
        <v>1338439.4971177359</v>
      </c>
      <c r="S186" s="93">
        <f t="shared" si="430"/>
        <v>1263862.2908175245</v>
      </c>
      <c r="T186" s="93">
        <f t="shared" si="430"/>
        <v>1193440.4906537291</v>
      </c>
      <c r="U186" s="93">
        <f t="shared" si="430"/>
        <v>1126942.5593911109</v>
      </c>
      <c r="V186" s="93">
        <f t="shared" si="430"/>
        <v>1064149.8609380361</v>
      </c>
      <c r="W186" s="93">
        <f>V186/(($D186/$Y186)^(1/21))</f>
        <v>1004855.941500947</v>
      </c>
      <c r="X186" s="161">
        <f t="shared" ref="X186" si="431">W186/(($D186/$Y186)^(1/21))</f>
        <v>948865.85079256049</v>
      </c>
      <c r="Y186" s="261">
        <f>Y175</f>
        <v>895995.50106202229</v>
      </c>
    </row>
    <row r="187" spans="1:25" hidden="1" outlineLevel="1">
      <c r="A187" s="95"/>
      <c r="B187" s="15"/>
      <c r="C187" s="33" t="s">
        <v>65</v>
      </c>
      <c r="D187" s="19"/>
      <c r="E187" s="19">
        <f>-$D175*Assumptions!J$15*INDEX('DATA (Nominal)'!$B$345:$BX$345,1,MATCH($B$1,'DATA (Nominal)'!$B$1:$BX$1,0))</f>
        <v>507730.78393514594</v>
      </c>
      <c r="F187" s="19">
        <f>-$D175*Assumptions!K$15*INDEX('DATA (Nominal)'!$B$345:$BX$345,1,MATCH($B$1,'DATA (Nominal)'!$B$1:$BX$1,0))</f>
        <v>812369.25429623353</v>
      </c>
      <c r="G187" s="19">
        <f>-$D175*Assumptions!L$15*INDEX('DATA (Nominal)'!$B$345:$BX$345,1,MATCH($B$1,'DATA (Nominal)'!$B$1:$BX$1,0))</f>
        <v>487421.55257774011</v>
      </c>
      <c r="H187" s="19">
        <f>-$D175*Assumptions!M$15*INDEX('DATA (Nominal)'!$B$345:$BX$345,1,MATCH($B$1,'DATA (Nominal)'!$B$1:$BX$1,0))</f>
        <v>292452.93154664407</v>
      </c>
      <c r="I187" s="19">
        <f>-$D175*Assumptions!N$15*INDEX('DATA (Nominal)'!$B$345:$BX$345,1,MATCH($B$1,'DATA (Nominal)'!$B$1:$BX$1,0))</f>
        <v>292452.93154664407</v>
      </c>
      <c r="J187" s="19">
        <f>-$D175*Assumptions!O$15*INDEX('DATA (Nominal)'!$B$345:$BX$345,1,MATCH($B$1,'DATA (Nominal)'!$B$1:$BX$1,0))</f>
        <v>146226.46577332204</v>
      </c>
      <c r="K187" s="19">
        <f>-$D175*Assumptions!P$15*INDEX('DATA (Nominal)'!$B$345:$BX$345,1,MATCH($B$1,'DATA (Nominal)'!$B$1:$BX$1,0))</f>
        <v>0</v>
      </c>
      <c r="L187" s="19">
        <f>-$D175*Assumptions!Q$15*INDEX('DATA (Nominal)'!$B$345:$BX$345,1,MATCH($B$1,'DATA (Nominal)'!$B$1:$BX$1,0))</f>
        <v>0</v>
      </c>
      <c r="M187" s="93">
        <f>-$D175*Assumptions!R$15*INDEX('DATA (Nominal)'!$B$345:$BX$345,1,MATCH($B$1,'DATA (Nominal)'!$B$1:$BX$1,0))</f>
        <v>0</v>
      </c>
      <c r="N187" s="93">
        <f>-$D175*Assumptions!S$15*INDEX('DATA (Nominal)'!$B$345:$BX$345,1,MATCH($B$1,'DATA (Nominal)'!$B$1:$BX$1,0))</f>
        <v>0</v>
      </c>
      <c r="O187" s="93">
        <f>-$D175*Assumptions!T$14*INDEX('DATA (Nominal)'!$B$345:$BX$345,1,MATCH($B$1,'DATA (Nominal)'!$B$1:$BX$1,0))</f>
        <v>362672.09896487469</v>
      </c>
      <c r="P187" s="93">
        <f>-$D175*Assumptions!U$14*INDEX('DATA (Nominal)'!$B$345:$BX$345,1,MATCH($B$1,'DATA (Nominal)'!$B$1:$BX$1,0))</f>
        <v>621716.34492858627</v>
      </c>
      <c r="Q187" s="93">
        <f>-$D175*Assumptions!V$14*INDEX('DATA (Nominal)'!$B$345:$BX$345,1,MATCH($B$1,'DATA (Nominal)'!$B$1:$BX$1,0))</f>
        <v>444086.73016887542</v>
      </c>
      <c r="R187" s="93">
        <f>-$D175*Assumptions!W$14*INDEX('DATA (Nominal)'!$B$345:$BX$345,1,MATCH($B$1,'DATA (Nominal)'!$B$1:$BX$1,0))</f>
        <v>317204.80726348248</v>
      </c>
      <c r="S187" s="93">
        <f>-$D175*Assumptions!X$14*INDEX('DATA (Nominal)'!$B$345:$BX$345,1,MATCH($B$1,'DATA (Nominal)'!$B$1:$BX$1,0))</f>
        <v>226574.86233105886</v>
      </c>
      <c r="T187" s="93">
        <f>-$D175*Assumptions!Y$14*INDEX('DATA (Nominal)'!$B$345:$BX$345,1,MATCH($B$1,'DATA (Nominal)'!$B$1:$BX$1,0))</f>
        <v>226574.86233105886</v>
      </c>
      <c r="U187" s="93">
        <f>-$D175*Assumptions!Z$14*INDEX('DATA (Nominal)'!$B$345:$BX$345,1,MATCH($B$1,'DATA (Nominal)'!$B$1:$BX$1,0))</f>
        <v>226574.86233105886</v>
      </c>
      <c r="V187" s="93">
        <f>-$D175*Assumptions!AA$14*INDEX('DATA (Nominal)'!$B$345:$BX$345,1,MATCH($B$1,'DATA (Nominal)'!$B$1:$BX$1,0))</f>
        <v>113249.35135673429</v>
      </c>
      <c r="W187" s="93">
        <f>-$D175*Assumptions!AB$15*INDEX('DATA (Nominal)'!$B$345:$BX$345,1,MATCH($B$1,'DATA (Nominal)'!$B$1:$BX$1,0))</f>
        <v>0</v>
      </c>
      <c r="X187" s="455">
        <f>-$D175*Assumptions!AC$15*INDEX('DATA (Nominal)'!$B$345:$BX$345,1,MATCH($B$1,'DATA (Nominal)'!$B$1:$BX$1,0))</f>
        <v>0</v>
      </c>
      <c r="Y187" s="261"/>
    </row>
    <row r="188" spans="1:25" ht="15.75" hidden="1" outlineLevel="1" thickBot="1">
      <c r="A188" s="95"/>
      <c r="B188" s="15"/>
      <c r="C188" s="34" t="s">
        <v>66</v>
      </c>
      <c r="D188" s="7"/>
      <c r="E188" s="7">
        <f t="shared" ref="E188:X188" si="432">E187*Federal_Tax_Rate</f>
        <v>106623.46462638065</v>
      </c>
      <c r="F188" s="7">
        <f t="shared" si="432"/>
        <v>170597.54340220903</v>
      </c>
      <c r="G188" s="7">
        <f t="shared" si="432"/>
        <v>102358.52604132541</v>
      </c>
      <c r="H188" s="7">
        <f t="shared" si="432"/>
        <v>61415.115624795253</v>
      </c>
      <c r="I188" s="7">
        <f t="shared" si="432"/>
        <v>61415.115624795253</v>
      </c>
      <c r="J188" s="7">
        <f t="shared" si="432"/>
        <v>30707.557812397627</v>
      </c>
      <c r="K188" s="7">
        <f t="shared" si="432"/>
        <v>0</v>
      </c>
      <c r="L188" s="7">
        <f t="shared" si="432"/>
        <v>0</v>
      </c>
      <c r="M188" s="456">
        <f t="shared" si="432"/>
        <v>0</v>
      </c>
      <c r="N188" s="456">
        <f t="shared" si="432"/>
        <v>0</v>
      </c>
      <c r="O188" s="456">
        <f t="shared" si="432"/>
        <v>76161.140782623683</v>
      </c>
      <c r="P188" s="456">
        <f t="shared" si="432"/>
        <v>130560.43243500311</v>
      </c>
      <c r="Q188" s="456">
        <f t="shared" si="432"/>
        <v>93258.213335463835</v>
      </c>
      <c r="R188" s="456">
        <f t="shared" si="432"/>
        <v>66613.009525331319</v>
      </c>
      <c r="S188" s="456">
        <f t="shared" si="432"/>
        <v>47580.721089522362</v>
      </c>
      <c r="T188" s="456">
        <f t="shared" si="432"/>
        <v>47580.721089522362</v>
      </c>
      <c r="U188" s="456">
        <f t="shared" si="432"/>
        <v>47580.721089522362</v>
      </c>
      <c r="V188" s="456">
        <f t="shared" si="432"/>
        <v>23782.3637849142</v>
      </c>
      <c r="W188" s="456">
        <f t="shared" si="432"/>
        <v>0</v>
      </c>
      <c r="X188" s="457">
        <f t="shared" si="432"/>
        <v>0</v>
      </c>
      <c r="Y188" s="261"/>
    </row>
    <row r="189" spans="1:25" hidden="1" outlineLevel="1">
      <c r="A189" s="95"/>
      <c r="B189" s="15"/>
      <c r="C189" s="35" t="s">
        <v>67</v>
      </c>
      <c r="D189" s="8">
        <f>NPV(Tax_Equity_Rate,E188:X188)</f>
        <v>621712.26390378829</v>
      </c>
      <c r="E189" s="9">
        <f>D189/D193</f>
        <v>0.20816363357858614</v>
      </c>
      <c r="F189" s="3"/>
      <c r="G189" s="3"/>
      <c r="H189" s="3"/>
      <c r="I189" s="3"/>
      <c r="J189" s="3"/>
      <c r="K189" s="3"/>
      <c r="L189" s="3"/>
      <c r="M189" s="261"/>
      <c r="N189" s="261"/>
      <c r="O189" s="261"/>
      <c r="P189" s="261"/>
      <c r="Q189" s="261"/>
      <c r="R189" s="261"/>
      <c r="S189" s="261"/>
      <c r="T189" s="261"/>
      <c r="U189" s="261"/>
      <c r="V189" s="261"/>
      <c r="W189" s="261"/>
      <c r="X189" s="261"/>
      <c r="Y189" s="261"/>
    </row>
    <row r="190" spans="1:25" hidden="1" outlineLevel="1">
      <c r="A190" s="95"/>
      <c r="B190" s="15"/>
      <c r="C190" s="32" t="s">
        <v>129</v>
      </c>
      <c r="D190" s="10">
        <f>NPV(Tax_Equity_Rate,E172:X172)</f>
        <v>829625.46394631686</v>
      </c>
      <c r="E190" s="11">
        <f>D190/D193</f>
        <v>0.27777777777777773</v>
      </c>
    </row>
    <row r="191" spans="1:25" hidden="1" outlineLevel="1">
      <c r="A191" s="95"/>
      <c r="B191" s="22">
        <f>Assumptions!F15</f>
        <v>0.75900000000000001</v>
      </c>
      <c r="C191" s="32" t="s">
        <v>68</v>
      </c>
      <c r="D191" s="10">
        <f>(D193-D189-D190)*$B191</f>
        <v>1165303.2822486865</v>
      </c>
      <c r="E191" s="11">
        <f>D191/D193</f>
        <v>0.39017046878051981</v>
      </c>
    </row>
    <row r="192" spans="1:25" hidden="1" outlineLevel="1">
      <c r="A192" s="95"/>
      <c r="B192" s="22">
        <f>1-B191</f>
        <v>0.24099999999999999</v>
      </c>
      <c r="C192" s="32" t="s">
        <v>69</v>
      </c>
      <c r="D192" s="10">
        <f>(D193-D189-D190)*$B192</f>
        <v>370010.66010794922</v>
      </c>
      <c r="E192" s="11">
        <f>D192/D193</f>
        <v>0.12388811986311631</v>
      </c>
    </row>
    <row r="193" spans="1:25" hidden="1" outlineLevel="1">
      <c r="A193" s="95"/>
      <c r="C193" s="32" t="s">
        <v>70</v>
      </c>
      <c r="D193" s="10">
        <f>-D175</f>
        <v>2986651.670206741</v>
      </c>
      <c r="E193" s="12"/>
    </row>
    <row r="194" spans="1:25" ht="15.75" hidden="1" outlineLevel="1" thickBot="1">
      <c r="A194" s="95"/>
      <c r="C194" s="34" t="s">
        <v>71</v>
      </c>
      <c r="D194" s="13">
        <f>SUM(D189:D192)-D193</f>
        <v>0</v>
      </c>
      <c r="E194" s="14"/>
    </row>
    <row r="195" spans="1:25" hidden="1" outlineLevel="1">
      <c r="A195" s="95"/>
    </row>
    <row r="196" spans="1:25" ht="15.75" collapsed="1" thickBot="1">
      <c r="A196" s="95"/>
    </row>
    <row r="197" spans="1:25" ht="18.75" thickBot="1">
      <c r="A197" s="86"/>
      <c r="B197" s="82"/>
      <c r="C197" s="484" t="s">
        <v>134</v>
      </c>
      <c r="D197" s="485"/>
      <c r="E197" s="485"/>
      <c r="F197" s="485"/>
      <c r="G197" s="485"/>
      <c r="H197" s="486"/>
      <c r="I197" s="95"/>
      <c r="J197" s="95"/>
      <c r="K197" s="95"/>
      <c r="L197" s="95"/>
      <c r="Y197" s="261"/>
    </row>
    <row r="198" spans="1:25" hidden="1" outlineLevel="1">
      <c r="A198" s="95"/>
      <c r="C198" s="124" t="s">
        <v>44</v>
      </c>
      <c r="D198" s="153"/>
      <c r="E198" s="153">
        <f>'Resource Options'!$E$16*INDEX('DATA (Nominal)'!$B$16:$BX$16,1,MATCH($B$1,'DATA (Nominal)'!$B$1:$BX$1,0))*8760</f>
        <v>1504.8640932333544</v>
      </c>
      <c r="F198" s="153">
        <f>'Resource Options'!$E$16*INDEX('DATA (Nominal)'!$B$16:$BX$16,1,MATCH($B$1,'DATA (Nominal)'!$B$1:$BX$1,0))*8760</f>
        <v>1504.8640932333544</v>
      </c>
      <c r="G198" s="153">
        <f>'Resource Options'!$E$16*INDEX('DATA (Nominal)'!$B$16:$BX$16,1,MATCH($B$1,'DATA (Nominal)'!$B$1:$BX$1,0))*8760</f>
        <v>1504.8640932333544</v>
      </c>
      <c r="H198" s="153">
        <f>'Resource Options'!$E$16*INDEX('DATA (Nominal)'!$B$16:$BX$16,1,MATCH($B$1,'DATA (Nominal)'!$B$1:$BX$1,0))*8760</f>
        <v>1504.8640932333544</v>
      </c>
      <c r="I198" s="153">
        <f>'Resource Options'!$E$16*INDEX('DATA (Nominal)'!$B$16:$BX$16,1,MATCH($B$1,'DATA (Nominal)'!$B$1:$BX$1,0))*8760</f>
        <v>1504.8640932333544</v>
      </c>
      <c r="J198" s="153">
        <f>'Resource Options'!$E$16*INDEX('DATA (Nominal)'!$B$16:$BX$16,1,MATCH($B$1,'DATA (Nominal)'!$B$1:$BX$1,0))*8760</f>
        <v>1504.8640932333544</v>
      </c>
      <c r="K198" s="153">
        <f>'Resource Options'!$E$16*INDEX('DATA (Nominal)'!$B$16:$BX$16,1,MATCH($B$1,'DATA (Nominal)'!$B$1:$BX$1,0))*8760</f>
        <v>1504.8640932333544</v>
      </c>
      <c r="L198" s="153">
        <f>'Resource Options'!$E$16*INDEX('DATA (Nominal)'!$B$16:$BX$16,1,MATCH($B$1,'DATA (Nominal)'!$B$1:$BX$1,0))*8760</f>
        <v>1504.8640932333544</v>
      </c>
      <c r="M198" s="153">
        <f>'Resource Options'!$E$16*INDEX('DATA (Nominal)'!$B$16:$BX$16,1,MATCH($B$1,'DATA (Nominal)'!$B$1:$BX$1,0))*8760</f>
        <v>1504.8640932333544</v>
      </c>
      <c r="N198" s="153">
        <f>'Resource Options'!$E$16*INDEX('DATA (Nominal)'!$B$16:$BX$16,1,MATCH($B$1,'DATA (Nominal)'!$B$1:$BX$1,0))*8760</f>
        <v>1504.8640932333544</v>
      </c>
      <c r="O198" s="153">
        <f>'Resource Options'!$E$16*INDEX('DATA (Nominal)'!$B$16:$BX$16,1,MATCH($B$1,'DATA (Nominal)'!$B$1:$BX$1,0))*8760</f>
        <v>1504.8640932333544</v>
      </c>
      <c r="P198" s="153">
        <f>'Resource Options'!$E$16*INDEX('DATA (Nominal)'!$B$16:$BX$16,1,MATCH($B$1,'DATA (Nominal)'!$B$1:$BX$1,0))*8760</f>
        <v>1504.8640932333544</v>
      </c>
      <c r="Q198" s="153">
        <f>'Resource Options'!$E$16*INDEX('DATA (Nominal)'!$B$16:$BX$16,1,MATCH($B$1,'DATA (Nominal)'!$B$1:$BX$1,0))*8760</f>
        <v>1504.8640932333544</v>
      </c>
      <c r="R198" s="153">
        <f>'Resource Options'!$E$16*INDEX('DATA (Nominal)'!$B$16:$BX$16,1,MATCH($B$1,'DATA (Nominal)'!$B$1:$BX$1,0))*8760</f>
        <v>1504.8640932333544</v>
      </c>
      <c r="S198" s="153">
        <f>'Resource Options'!$E$16*INDEX('DATA (Nominal)'!$B$16:$BX$16,1,MATCH($B$1,'DATA (Nominal)'!$B$1:$BX$1,0))*8760</f>
        <v>1504.8640932333544</v>
      </c>
      <c r="T198" s="153">
        <f>'Resource Options'!$E$16*INDEX('DATA (Nominal)'!$B$16:$BX$16,1,MATCH($B$1,'DATA (Nominal)'!$B$1:$BX$1,0))*8760</f>
        <v>1504.8640932333544</v>
      </c>
      <c r="U198" s="153">
        <f>'Resource Options'!$E$16*INDEX('DATA (Nominal)'!$B$16:$BX$16,1,MATCH($B$1,'DATA (Nominal)'!$B$1:$BX$1,0))*8760</f>
        <v>1504.8640932333544</v>
      </c>
      <c r="V198" s="153">
        <f>'Resource Options'!$E$16*INDEX('DATA (Nominal)'!$B$16:$BX$16,1,MATCH($B$1,'DATA (Nominal)'!$B$1:$BX$1,0))*8760</f>
        <v>1504.8640932333544</v>
      </c>
      <c r="W198" s="153">
        <f>'Resource Options'!$E$16*INDEX('DATA (Nominal)'!$B$16:$BX$16,1,MATCH($B$1,'DATA (Nominal)'!$B$1:$BX$1,0))*8760</f>
        <v>1504.8640932333544</v>
      </c>
      <c r="X198" s="159">
        <f>'Resource Options'!$E$16*INDEX('DATA (Nominal)'!$B$16:$BX$16,1,MATCH($B$1,'DATA (Nominal)'!$B$1:$BX$1,0))*8760</f>
        <v>1504.8640932333544</v>
      </c>
      <c r="Y198" s="156"/>
    </row>
    <row r="199" spans="1:25" hidden="1" outlineLevel="1">
      <c r="A199" s="95"/>
      <c r="C199" s="125" t="s">
        <v>45</v>
      </c>
      <c r="D199" s="151"/>
      <c r="E199" s="154">
        <f>PPA_SOLAR_Commercial</f>
        <v>125.48567323998029</v>
      </c>
      <c r="F199" s="154">
        <f>E199</f>
        <v>125.48567323998029</v>
      </c>
      <c r="G199" s="154">
        <f t="shared" ref="G199:G200" si="433">F199</f>
        <v>125.48567323998029</v>
      </c>
      <c r="H199" s="154">
        <f t="shared" ref="H199:H200" si="434">G199</f>
        <v>125.48567323998029</v>
      </c>
      <c r="I199" s="154">
        <f t="shared" ref="I199:I200" si="435">H199</f>
        <v>125.48567323998029</v>
      </c>
      <c r="J199" s="154">
        <f t="shared" ref="J199:J200" si="436">I199</f>
        <v>125.48567323998029</v>
      </c>
      <c r="K199" s="154">
        <f t="shared" ref="K199:K200" si="437">J199</f>
        <v>125.48567323998029</v>
      </c>
      <c r="L199" s="154">
        <f t="shared" ref="L199:L200" si="438">K199</f>
        <v>125.48567323998029</v>
      </c>
      <c r="M199" s="154">
        <f t="shared" ref="M199:M200" si="439">L199</f>
        <v>125.48567323998029</v>
      </c>
      <c r="N199" s="154">
        <f t="shared" ref="N199:N200" si="440">M199</f>
        <v>125.48567323998029</v>
      </c>
      <c r="O199" s="154">
        <f t="shared" ref="O199:O200" si="441">N199</f>
        <v>125.48567323998029</v>
      </c>
      <c r="P199" s="154">
        <f t="shared" ref="P199:P200" si="442">O199</f>
        <v>125.48567323998029</v>
      </c>
      <c r="Q199" s="154">
        <f t="shared" ref="Q199:Q200" si="443">P199</f>
        <v>125.48567323998029</v>
      </c>
      <c r="R199" s="154">
        <f t="shared" ref="R199:R200" si="444">Q199</f>
        <v>125.48567323998029</v>
      </c>
      <c r="S199" s="154">
        <f t="shared" ref="S199:S200" si="445">R199</f>
        <v>125.48567323998029</v>
      </c>
      <c r="T199" s="154">
        <f t="shared" ref="T199:T200" si="446">S199</f>
        <v>125.48567323998029</v>
      </c>
      <c r="U199" s="154">
        <f t="shared" ref="U199:U200" si="447">T199</f>
        <v>125.48567323998029</v>
      </c>
      <c r="V199" s="154">
        <f t="shared" ref="V199:V200" si="448">U199</f>
        <v>125.48567323998029</v>
      </c>
      <c r="W199" s="154">
        <f t="shared" ref="W199:W200" si="449">V199</f>
        <v>125.48567323998029</v>
      </c>
      <c r="X199" s="152">
        <f t="shared" ref="X199:X200" si="450">W199</f>
        <v>125.48567323998029</v>
      </c>
      <c r="Y199" s="156"/>
    </row>
    <row r="200" spans="1:25" s="95" customFormat="1" hidden="1" outlineLevel="1">
      <c r="C200" s="125" t="s">
        <v>111</v>
      </c>
      <c r="D200" s="151"/>
      <c r="E200" s="154">
        <f>INDEX('PPA Summary'!$75:$106,MATCH($C197,'PPA Summary'!$D$75:$D$106,0),MATCH($B$1,'PPA Summary'!$74:$74,0))</f>
        <v>27.00865819776806</v>
      </c>
      <c r="F200" s="154">
        <f>E200</f>
        <v>27.00865819776806</v>
      </c>
      <c r="G200" s="154">
        <f t="shared" si="433"/>
        <v>27.00865819776806</v>
      </c>
      <c r="H200" s="154">
        <f t="shared" si="434"/>
        <v>27.00865819776806</v>
      </c>
      <c r="I200" s="154">
        <f t="shared" si="435"/>
        <v>27.00865819776806</v>
      </c>
      <c r="J200" s="154">
        <f t="shared" si="436"/>
        <v>27.00865819776806</v>
      </c>
      <c r="K200" s="154">
        <f t="shared" si="437"/>
        <v>27.00865819776806</v>
      </c>
      <c r="L200" s="154">
        <f t="shared" si="438"/>
        <v>27.00865819776806</v>
      </c>
      <c r="M200" s="154">
        <f t="shared" si="439"/>
        <v>27.00865819776806</v>
      </c>
      <c r="N200" s="154">
        <f t="shared" si="440"/>
        <v>27.00865819776806</v>
      </c>
      <c r="O200" s="154">
        <f t="shared" si="441"/>
        <v>27.00865819776806</v>
      </c>
      <c r="P200" s="154">
        <f t="shared" si="442"/>
        <v>27.00865819776806</v>
      </c>
      <c r="Q200" s="154">
        <f t="shared" si="443"/>
        <v>27.00865819776806</v>
      </c>
      <c r="R200" s="154">
        <f t="shared" si="444"/>
        <v>27.00865819776806</v>
      </c>
      <c r="S200" s="154">
        <f t="shared" si="445"/>
        <v>27.00865819776806</v>
      </c>
      <c r="T200" s="154">
        <f t="shared" si="446"/>
        <v>27.00865819776806</v>
      </c>
      <c r="U200" s="154">
        <f t="shared" si="447"/>
        <v>27.00865819776806</v>
      </c>
      <c r="V200" s="154">
        <f t="shared" si="448"/>
        <v>27.00865819776806</v>
      </c>
      <c r="W200" s="154">
        <f t="shared" si="449"/>
        <v>27.00865819776806</v>
      </c>
      <c r="X200" s="152">
        <f t="shared" si="450"/>
        <v>27.00865819776806</v>
      </c>
      <c r="Y200" s="156"/>
    </row>
    <row r="201" spans="1:25" hidden="1" outlineLevel="1">
      <c r="A201" s="95"/>
      <c r="C201" s="126" t="s">
        <v>46</v>
      </c>
      <c r="D201" s="151"/>
      <c r="E201" s="151">
        <f>E199*E198+E200*12*'Resource Options'!$E$16*1000</f>
        <v>512942.78224727669</v>
      </c>
      <c r="F201" s="151">
        <f>F199*F198+F200*12*'Resource Options'!$E$16*1000</f>
        <v>512942.78224727669</v>
      </c>
      <c r="G201" s="151">
        <f>G199*G198+G200*12*'Resource Options'!$E$16*1000</f>
        <v>512942.78224727669</v>
      </c>
      <c r="H201" s="151">
        <f>H199*H198+H200*12*'Resource Options'!$E$16*1000</f>
        <v>512942.78224727669</v>
      </c>
      <c r="I201" s="151">
        <f>I199*I198+I200*12*'Resource Options'!$E$16*1000</f>
        <v>512942.78224727669</v>
      </c>
      <c r="J201" s="151">
        <f>J199*J198+J200*12*'Resource Options'!$E$16*1000</f>
        <v>512942.78224727669</v>
      </c>
      <c r="K201" s="151">
        <f>K199*K198+K200*12*'Resource Options'!$E$16*1000</f>
        <v>512942.78224727669</v>
      </c>
      <c r="L201" s="151">
        <f>L199*L198+L200*12*'Resource Options'!$E$16*1000</f>
        <v>512942.78224727669</v>
      </c>
      <c r="M201" s="151">
        <f>M199*M198+M200*12*'Resource Options'!$E$16*1000</f>
        <v>512942.78224727669</v>
      </c>
      <c r="N201" s="151">
        <f>N199*N198+N200*12*'Resource Options'!$E$16*1000</f>
        <v>512942.78224727669</v>
      </c>
      <c r="O201" s="151">
        <f>O199*O198+O200*12*'Resource Options'!$E$16*1000</f>
        <v>512942.78224727669</v>
      </c>
      <c r="P201" s="151">
        <f>P199*P198+P200*12*'Resource Options'!$E$16*1000</f>
        <v>512942.78224727669</v>
      </c>
      <c r="Q201" s="151">
        <f>Q199*Q198+Q200*12*'Resource Options'!$E$16*1000</f>
        <v>512942.78224727669</v>
      </c>
      <c r="R201" s="151">
        <f>R199*R198+R200*12*'Resource Options'!$E$16*1000</f>
        <v>512942.78224727669</v>
      </c>
      <c r="S201" s="151">
        <f>S199*S198+S200*12*'Resource Options'!$E$16*1000</f>
        <v>512942.78224727669</v>
      </c>
      <c r="T201" s="151">
        <f>T199*T198+T200*12*'Resource Options'!$E$16*1000</f>
        <v>512942.78224727669</v>
      </c>
      <c r="U201" s="151">
        <f>U199*U198+U200*12*'Resource Options'!$E$16*1000</f>
        <v>512942.78224727669</v>
      </c>
      <c r="V201" s="151">
        <f>V199*V198+V200*12*'Resource Options'!$E$16*1000</f>
        <v>512942.78224727669</v>
      </c>
      <c r="W201" s="151">
        <f>W199*W198+W200*12*'Resource Options'!$E$16*1000</f>
        <v>512942.78224727669</v>
      </c>
      <c r="X201" s="152">
        <f>X199*X198+X200*12*'Resource Options'!$E$16*1000</f>
        <v>512942.78224727669</v>
      </c>
      <c r="Y201" s="156"/>
    </row>
    <row r="202" spans="1:25" hidden="1" outlineLevel="1">
      <c r="A202" s="95"/>
      <c r="C202" s="126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2"/>
      <c r="Y202" s="156"/>
    </row>
    <row r="203" spans="1:25" hidden="1" outlineLevel="1">
      <c r="A203" s="95"/>
      <c r="B203" s="92"/>
      <c r="C203" s="125" t="s">
        <v>158</v>
      </c>
      <c r="D203" s="151"/>
      <c r="E203" s="151">
        <f>'Resource Options'!$E$16*INDEX('DATA (Nominal)'!$B$184:$BX$184,1,MATCH(E$1,'DATA (Nominal)'!$B$1:$BX$1,0))*1000*0.8</f>
        <v>14345.814161429093</v>
      </c>
      <c r="F203" s="151">
        <f>'Resource Options'!$E$16*INDEX('DATA (Nominal)'!$B$184:$BX$184,1,MATCH(F$1,'DATA (Nominal)'!$B$1:$BX$1,0))*1000*0.8</f>
        <v>13986.698701282463</v>
      </c>
      <c r="G203" s="151">
        <f>'Resource Options'!$E$16*INDEX('DATA (Nominal)'!$B$184:$BX$184,1,MATCH(G$1,'DATA (Nominal)'!$B$1:$BX$1,0))*1000*0.8</f>
        <v>13604.38737727477</v>
      </c>
      <c r="H203" s="151">
        <f>'Resource Options'!$E$16*INDEX('DATA (Nominal)'!$B$184:$BX$184,1,MATCH(H$1,'DATA (Nominal)'!$B$1:$BX$1,0))*1000*0.8</f>
        <v>13193.719990815083</v>
      </c>
      <c r="I203" s="151">
        <f>'Resource Options'!$E$16*INDEX('DATA (Nominal)'!$B$184:$BX$184,1,MATCH(I$1,'DATA (Nominal)'!$B$1:$BX$1,0))*1000*0.8</f>
        <v>12758.398715860567</v>
      </c>
      <c r="J203" s="151">
        <f>'Resource Options'!$E$16*INDEX('DATA (Nominal)'!$B$184:$BX$184,1,MATCH(J$1,'DATA (Nominal)'!$B$1:$BX$1,0))*1000*0.8</f>
        <v>12297.537544332501</v>
      </c>
      <c r="K203" s="151">
        <f>'Resource Options'!$E$16*INDEX('DATA (Nominal)'!$B$184:$BX$184,1,MATCH(K$1,'DATA (Nominal)'!$B$1:$BX$1,0))*1000*0.8</f>
        <v>12459.632740529907</v>
      </c>
      <c r="L203" s="151">
        <f>'Resource Options'!$E$16*INDEX('DATA (Nominal)'!$B$184:$BX$184,1,MATCH(L$1,'DATA (Nominal)'!$B$1:$BX$1,0))*1000*0.8</f>
        <v>12622.90811718855</v>
      </c>
      <c r="M203" s="151">
        <f>'Resource Options'!$E$16*INDEX('DATA (Nominal)'!$B$184:$BX$184,1,MATCH(M$1,'DATA (Nominal)'!$B$1:$BX$1,0))*1000*0.8</f>
        <v>12787.337148173754</v>
      </c>
      <c r="N203" s="151">
        <f>'Resource Options'!$E$16*INDEX('DATA (Nominal)'!$B$184:$BX$184,1,MATCH(N$1,'DATA (Nominal)'!$B$1:$BX$1,0))*1000*0.8</f>
        <v>12952.891568993589</v>
      </c>
      <c r="O203" s="151">
        <f>'Resource Options'!$E$16*INDEX('DATA (Nominal)'!$B$184:$BX$184,1,MATCH(O$1,'DATA (Nominal)'!$B$1:$BX$1,0))*1000*0.8</f>
        <v>13119.541313149781</v>
      </c>
      <c r="P203" s="151">
        <f>'Resource Options'!$E$16*INDEX('DATA (Nominal)'!$B$184:$BX$184,1,MATCH(P$1,'DATA (Nominal)'!$B$1:$BX$1,0))*1000*0.8</f>
        <v>13287.254446529452</v>
      </c>
      <c r="Q203" s="151">
        <f>'Resource Options'!$E$16*INDEX('DATA (Nominal)'!$B$184:$BX$184,1,MATCH(Q$1,'DATA (Nominal)'!$B$1:$BX$1,0))*1000*0.8</f>
        <v>13455.997099782266</v>
      </c>
      <c r="R203" s="151">
        <f>'Resource Options'!$E$16*INDEX('DATA (Nominal)'!$B$184:$BX$184,1,MATCH(R$1,'DATA (Nominal)'!$B$1:$BX$1,0))*1000*0.8</f>
        <v>13625.733398626078</v>
      </c>
      <c r="S203" s="151">
        <f>'Resource Options'!$E$16*INDEX('DATA (Nominal)'!$B$184:$BX$184,1,MATCH(S$1,'DATA (Nominal)'!$B$1:$BX$1,0))*1000*0.8</f>
        <v>13796.425392022724</v>
      </c>
      <c r="T203" s="151">
        <f>'Resource Options'!$E$16*INDEX('DATA (Nominal)'!$B$184:$BX$184,1,MATCH(T$1,'DATA (Nominal)'!$B$1:$BX$1,0))*1000*0.8</f>
        <v>13968.03297816389</v>
      </c>
      <c r="U203" s="151">
        <f>'Resource Options'!$E$16*INDEX('DATA (Nominal)'!$B$184:$BX$184,1,MATCH(U$1,'DATA (Nominal)'!$B$1:$BX$1,0))*1000*0.8</f>
        <v>14140.513828205527</v>
      </c>
      <c r="V203" s="151">
        <f>'Resource Options'!$E$16*INDEX('DATA (Nominal)'!$B$184:$BX$184,1,MATCH(V$1,'DATA (Nominal)'!$B$1:$BX$1,0))*1000*0.8</f>
        <v>14313.823307687566</v>
      </c>
      <c r="W203" s="151">
        <f>'Resource Options'!$E$16*INDEX('DATA (Nominal)'!$B$184:$BX$184,1,MATCH(W$1,'DATA (Nominal)'!$B$1:$BX$1,0))*1000*0.8</f>
        <v>14487.91439557396</v>
      </c>
      <c r="X203" s="152">
        <f>'Resource Options'!$E$16*INDEX('DATA (Nominal)'!$B$184:$BX$184,1,MATCH(X$1,'DATA (Nominal)'!$B$1:$BX$1,0))*1000*0.8</f>
        <v>14662.737600846442</v>
      </c>
      <c r="Y203" s="156"/>
    </row>
    <row r="204" spans="1:25" s="95" customFormat="1" hidden="1" outlineLevel="1">
      <c r="B204" s="92"/>
      <c r="C204" s="125" t="s">
        <v>159</v>
      </c>
      <c r="D204" s="151"/>
      <c r="E204" s="151">
        <f>'Resource Options'!$E$16*INDEX('DATA (Nominal)'!$B$185:$BX$185,1,MATCH(E$1,'DATA (Nominal)'!$B$1:$BX$1,0))*1000*0.8</f>
        <v>31811.659893390526</v>
      </c>
      <c r="F204" s="151">
        <f>'Resource Options'!$E$16*INDEX('DATA (Nominal)'!$B$185:$BX$185,1,MATCH(F$1,'DATA (Nominal)'!$B$1:$BX$1,0))*1000*0.8</f>
        <v>31159.941768580764</v>
      </c>
      <c r="G204" s="151">
        <f>'Resource Options'!$E$16*INDEX('DATA (Nominal)'!$B$185:$BX$185,1,MATCH(G$1,'DATA (Nominal)'!$B$1:$BX$1,0))*1000*0.8</f>
        <v>30623.194426634403</v>
      </c>
      <c r="H204" s="151">
        <f>'Resource Options'!$E$16*INDEX('DATA (Nominal)'!$B$185:$BX$185,1,MATCH(H$1,'DATA (Nominal)'!$B$1:$BX$1,0))*1000*0.8</f>
        <v>30226.827778965511</v>
      </c>
      <c r="I204" s="151">
        <f>'Resource Options'!$E$16*INDEX('DATA (Nominal)'!$B$185:$BX$185,1,MATCH(I$1,'DATA (Nominal)'!$B$1:$BX$1,0))*1000*0.8</f>
        <v>29858.134570725619</v>
      </c>
      <c r="J204" s="151">
        <f>'Resource Options'!$E$16*INDEX('DATA (Nominal)'!$B$185:$BX$185,1,MATCH(J$1,'DATA (Nominal)'!$B$1:$BX$1,0))*1000*0.8</f>
        <v>29558.528464359144</v>
      </c>
      <c r="K204" s="151">
        <f>'Resource Options'!$E$16*INDEX('DATA (Nominal)'!$B$185:$BX$185,1,MATCH(K$1,'DATA (Nominal)'!$B$1:$BX$1,0))*1000*0.8</f>
        <v>29833.117536542093</v>
      </c>
      <c r="L204" s="151">
        <f>'Resource Options'!$E$16*INDEX('DATA (Nominal)'!$B$185:$BX$185,1,MATCH(L$1,'DATA (Nominal)'!$B$1:$BX$1,0))*1000*0.8</f>
        <v>30103.532219759392</v>
      </c>
      <c r="M204" s="151">
        <f>'Resource Options'!$E$16*INDEX('DATA (Nominal)'!$B$185:$BX$185,1,MATCH(M$1,'DATA (Nominal)'!$B$1:$BX$1,0))*1000*0.8</f>
        <v>30371.405920150559</v>
      </c>
      <c r="N204" s="151">
        <f>'Resource Options'!$E$16*INDEX('DATA (Nominal)'!$B$185:$BX$185,1,MATCH(N$1,'DATA (Nominal)'!$B$1:$BX$1,0))*1000*0.8</f>
        <v>30636.495953764639</v>
      </c>
      <c r="O204" s="151">
        <f>'Resource Options'!$E$16*INDEX('DATA (Nominal)'!$B$185:$BX$185,1,MATCH(O$1,'DATA (Nominal)'!$B$1:$BX$1,0))*1000*0.8</f>
        <v>30898.550188392244</v>
      </c>
      <c r="P204" s="151">
        <f>'Resource Options'!$E$16*INDEX('DATA (Nominal)'!$B$185:$BX$185,1,MATCH(P$1,'DATA (Nominal)'!$B$1:$BX$1,0))*1000*0.8</f>
        <v>31157.306745301979</v>
      </c>
      <c r="Q204" s="151">
        <f>'Resource Options'!$E$16*INDEX('DATA (Nominal)'!$B$185:$BX$185,1,MATCH(Q$1,'DATA (Nominal)'!$B$1:$BX$1,0))*1000*0.8</f>
        <v>31412.493692424447</v>
      </c>
      <c r="R204" s="151">
        <f>'Resource Options'!$E$16*INDEX('DATA (Nominal)'!$B$185:$BX$185,1,MATCH(R$1,'DATA (Nominal)'!$B$1:$BX$1,0))*1000*0.8</f>
        <v>31663.828728755689</v>
      </c>
      <c r="S204" s="151">
        <f>'Resource Options'!$E$16*INDEX('DATA (Nominal)'!$B$185:$BX$185,1,MATCH(S$1,'DATA (Nominal)'!$B$1:$BX$1,0))*1000*0.8</f>
        <v>31911.018859738266</v>
      </c>
      <c r="T204" s="151">
        <f>'Resource Options'!$E$16*INDEX('DATA (Nominal)'!$B$185:$BX$185,1,MATCH(T$1,'DATA (Nominal)'!$B$1:$BX$1,0))*1000*0.8</f>
        <v>32153.76006337945</v>
      </c>
      <c r="U204" s="151">
        <f>'Resource Options'!$E$16*INDEX('DATA (Nominal)'!$B$185:$BX$185,1,MATCH(U$1,'DATA (Nominal)'!$B$1:$BX$1,0))*1000*0.8</f>
        <v>32391.736946852623</v>
      </c>
      <c r="V204" s="151">
        <f>'Resource Options'!$E$16*INDEX('DATA (Nominal)'!$B$185:$BX$185,1,MATCH(V$1,'DATA (Nominal)'!$B$1:$BX$1,0))*1000*0.8</f>
        <v>32624.622393328071</v>
      </c>
      <c r="W204" s="151">
        <f>'Resource Options'!$E$16*INDEX('DATA (Nominal)'!$B$185:$BX$185,1,MATCH(W$1,'DATA (Nominal)'!$B$1:$BX$1,0))*1000*0.8</f>
        <v>32852.077198766012</v>
      </c>
      <c r="X204" s="152">
        <f>'Resource Options'!$E$16*INDEX('DATA (Nominal)'!$B$185:$BX$185,1,MATCH(X$1,'DATA (Nominal)'!$B$1:$BX$1,0))*1000*0.8</f>
        <v>33073.749698405001</v>
      </c>
      <c r="Y204" s="156"/>
    </row>
    <row r="205" spans="1:25" hidden="1" outlineLevel="1">
      <c r="A205" s="95"/>
      <c r="C205" s="125" t="s">
        <v>160</v>
      </c>
      <c r="D205" s="151"/>
      <c r="E205" s="151">
        <f>E198*INDEX('DATA (Nominal)'!$B$111:$BX$111,1,MATCH(E$1,'DATA (Nominal)'!$B$1:$BX$1,0))</f>
        <v>0</v>
      </c>
      <c r="F205" s="151">
        <f>F198*INDEX('DATA (Nominal)'!$B$111:$BX$111,1,MATCH(F$1,'DATA (Nominal)'!$B$1:$BX$1,0))</f>
        <v>0</v>
      </c>
      <c r="G205" s="151">
        <f>G198*INDEX('DATA (Nominal)'!$B$111:$BX$111,1,MATCH(G$1,'DATA (Nominal)'!$B$1:$BX$1,0))</f>
        <v>0</v>
      </c>
      <c r="H205" s="151">
        <f>H198*INDEX('DATA (Nominal)'!$B$111:$BX$111,1,MATCH(H$1,'DATA (Nominal)'!$B$1:$BX$1,0))</f>
        <v>0</v>
      </c>
      <c r="I205" s="151">
        <f>I198*INDEX('DATA (Nominal)'!$B$111:$BX$111,1,MATCH(I$1,'DATA (Nominal)'!$B$1:$BX$1,0))</f>
        <v>0</v>
      </c>
      <c r="J205" s="151">
        <f>J198*INDEX('DATA (Nominal)'!$B$111:$BX$111,1,MATCH(J$1,'DATA (Nominal)'!$B$1:$BX$1,0))</f>
        <v>0</v>
      </c>
      <c r="K205" s="151">
        <f>K198*INDEX('DATA (Nominal)'!$B$111:$BX$111,1,MATCH(K$1,'DATA (Nominal)'!$B$1:$BX$1,0))</f>
        <v>0</v>
      </c>
      <c r="L205" s="151">
        <f>L198*INDEX('DATA (Nominal)'!$B$111:$BX$111,1,MATCH(L$1,'DATA (Nominal)'!$B$1:$BX$1,0))</f>
        <v>0</v>
      </c>
      <c r="M205" s="151">
        <f>M198*INDEX('DATA (Nominal)'!$B$111:$BX$111,1,MATCH(M$1,'DATA (Nominal)'!$B$1:$BX$1,0))</f>
        <v>0</v>
      </c>
      <c r="N205" s="151">
        <f>N198*INDEX('DATA (Nominal)'!$B$111:$BX$111,1,MATCH(N$1,'DATA (Nominal)'!$B$1:$BX$1,0))</f>
        <v>0</v>
      </c>
      <c r="O205" s="151">
        <f>O198*INDEX('DATA (Nominal)'!$B$111:$BX$111,1,MATCH(O$1,'DATA (Nominal)'!$B$1:$BX$1,0))</f>
        <v>0</v>
      </c>
      <c r="P205" s="151">
        <f>P198*INDEX('DATA (Nominal)'!$B$111:$BX$111,1,MATCH(P$1,'DATA (Nominal)'!$B$1:$BX$1,0))</f>
        <v>0</v>
      </c>
      <c r="Q205" s="151">
        <f>Q198*INDEX('DATA (Nominal)'!$B$111:$BX$111,1,MATCH(Q$1,'DATA (Nominal)'!$B$1:$BX$1,0))</f>
        <v>0</v>
      </c>
      <c r="R205" s="151">
        <f>R198*INDEX('DATA (Nominal)'!$B$111:$BX$111,1,MATCH(R$1,'DATA (Nominal)'!$B$1:$BX$1,0))</f>
        <v>0</v>
      </c>
      <c r="S205" s="151">
        <f>S198*INDEX('DATA (Nominal)'!$B$111:$BX$111,1,MATCH(S$1,'DATA (Nominal)'!$B$1:$BX$1,0))</f>
        <v>0</v>
      </c>
      <c r="T205" s="151">
        <f>T198*INDEX('DATA (Nominal)'!$B$111:$BX$111,1,MATCH(T$1,'DATA (Nominal)'!$B$1:$BX$1,0))</f>
        <v>0</v>
      </c>
      <c r="U205" s="151">
        <f>U198*INDEX('DATA (Nominal)'!$B$111:$BX$111,1,MATCH(U$1,'DATA (Nominal)'!$B$1:$BX$1,0))</f>
        <v>0</v>
      </c>
      <c r="V205" s="151">
        <f>V198*INDEX('DATA (Nominal)'!$B$111:$BX$111,1,MATCH(V$1,'DATA (Nominal)'!$B$1:$BX$1,0))</f>
        <v>0</v>
      </c>
      <c r="W205" s="151">
        <f>W198*INDEX('DATA (Nominal)'!$B$111:$BX$111,1,MATCH(W$1,'DATA (Nominal)'!$B$1:$BX$1,0))</f>
        <v>0</v>
      </c>
      <c r="X205" s="152">
        <f>X198*INDEX('DATA (Nominal)'!$B$111:$BX$111,1,MATCH(X$1,'DATA (Nominal)'!$B$1:$BX$1,0))</f>
        <v>0</v>
      </c>
      <c r="Y205" s="156"/>
    </row>
    <row r="206" spans="1:25" hidden="1" outlineLevel="1">
      <c r="A206" s="95"/>
      <c r="C206" s="125" t="s">
        <v>127</v>
      </c>
      <c r="D206" s="151"/>
      <c r="E206" s="151">
        <f>E198*E199*INDEX('DATA (Nominal)'!$B$331:$BX$331,1,MATCH(E$1,'DATA (Nominal)'!$B$1:$BX$1,0))</f>
        <v>0</v>
      </c>
      <c r="F206" s="151">
        <f>F198*F199*INDEX('DATA (Nominal)'!$B$331:$BX$331,1,MATCH(F$1,'DATA (Nominal)'!$B$1:$BX$1,0))</f>
        <v>0</v>
      </c>
      <c r="G206" s="151">
        <f>G198*G199*INDEX('DATA (Nominal)'!$B$331:$BX$331,1,MATCH(G$1,'DATA (Nominal)'!$B$1:$BX$1,0))</f>
        <v>0</v>
      </c>
      <c r="H206" s="151">
        <f>H198*H199*INDEX('DATA (Nominal)'!$B$331:$BX$331,1,MATCH(H$1,'DATA (Nominal)'!$B$1:$BX$1,0))</f>
        <v>0</v>
      </c>
      <c r="I206" s="151">
        <f>I198*I199*INDEX('DATA (Nominal)'!$B$331:$BX$331,1,MATCH(I$1,'DATA (Nominal)'!$B$1:$BX$1,0))</f>
        <v>0</v>
      </c>
      <c r="J206" s="151">
        <f>J198*J199*INDEX('DATA (Nominal)'!$B$331:$BX$331,1,MATCH(J$1,'DATA (Nominal)'!$B$1:$BX$1,0))</f>
        <v>0</v>
      </c>
      <c r="K206" s="151">
        <f>K198*K199*INDEX('DATA (Nominal)'!$B$331:$BX$331,1,MATCH(K$1,'DATA (Nominal)'!$B$1:$BX$1,0))</f>
        <v>0</v>
      </c>
      <c r="L206" s="151">
        <f>L198*L199*INDEX('DATA (Nominal)'!$B$331:$BX$331,1,MATCH(L$1,'DATA (Nominal)'!$B$1:$BX$1,0))</f>
        <v>0</v>
      </c>
      <c r="M206" s="151">
        <f>M198*M199*INDEX('DATA (Nominal)'!$B$331:$BX$331,1,MATCH(M$1,'DATA (Nominal)'!$B$1:$BX$1,0))</f>
        <v>0</v>
      </c>
      <c r="N206" s="151">
        <f>N198*N199*INDEX('DATA (Nominal)'!$B$331:$BX$331,1,MATCH(N$1,'DATA (Nominal)'!$B$1:$BX$1,0))</f>
        <v>0</v>
      </c>
      <c r="O206" s="151">
        <f>O198*O199*INDEX('DATA (Nominal)'!$B$331:$BX$331,1,MATCH(O$1,'DATA (Nominal)'!$B$1:$BX$1,0))</f>
        <v>0</v>
      </c>
      <c r="P206" s="151">
        <f>P198*P199*INDEX('DATA (Nominal)'!$B$331:$BX$331,1,MATCH(P$1,'DATA (Nominal)'!$B$1:$BX$1,0))</f>
        <v>0</v>
      </c>
      <c r="Q206" s="151">
        <f>Q198*Q199*INDEX('DATA (Nominal)'!$B$331:$BX$331,1,MATCH(Q$1,'DATA (Nominal)'!$B$1:$BX$1,0))</f>
        <v>0</v>
      </c>
      <c r="R206" s="151">
        <f>R198*R199*INDEX('DATA (Nominal)'!$B$331:$BX$331,1,MATCH(R$1,'DATA (Nominal)'!$B$1:$BX$1,0))</f>
        <v>0</v>
      </c>
      <c r="S206" s="151">
        <f>S198*S199*INDEX('DATA (Nominal)'!$B$331:$BX$331,1,MATCH(S$1,'DATA (Nominal)'!$B$1:$BX$1,0))</f>
        <v>0</v>
      </c>
      <c r="T206" s="151">
        <f>T198*T199*INDEX('DATA (Nominal)'!$B$331:$BX$331,1,MATCH(T$1,'DATA (Nominal)'!$B$1:$BX$1,0))</f>
        <v>0</v>
      </c>
      <c r="U206" s="151">
        <f>U198*U199*INDEX('DATA (Nominal)'!$B$331:$BX$331,1,MATCH(U$1,'DATA (Nominal)'!$B$1:$BX$1,0))</f>
        <v>0</v>
      </c>
      <c r="V206" s="151">
        <f>V198*V199*INDEX('DATA (Nominal)'!$B$331:$BX$331,1,MATCH(V$1,'DATA (Nominal)'!$B$1:$BX$1,0))</f>
        <v>0</v>
      </c>
      <c r="W206" s="151">
        <f>W198*W199*INDEX('DATA (Nominal)'!$B$331:$BX$331,1,MATCH(W$1,'DATA (Nominal)'!$B$1:$BX$1,0))</f>
        <v>0</v>
      </c>
      <c r="X206" s="152">
        <f>X198*X199*INDEX('DATA (Nominal)'!$B$331:$BX$331,1,MATCH(X$1,'DATA (Nominal)'!$B$1:$BX$1,0))</f>
        <v>0</v>
      </c>
      <c r="Y206" s="156"/>
    </row>
    <row r="207" spans="1:25" hidden="1" outlineLevel="1">
      <c r="A207" s="95"/>
      <c r="C207" s="126" t="s">
        <v>49</v>
      </c>
      <c r="D207" s="151"/>
      <c r="E207" s="151">
        <f>D229*Property_Tax_Rate</f>
        <v>58853.084038562636</v>
      </c>
      <c r="F207" s="151">
        <f t="shared" ref="F207:M207" si="451">E229*Property_Tax_Rate</f>
        <v>55573.81844665559</v>
      </c>
      <c r="G207" s="151">
        <f t="shared" si="451"/>
        <v>52477.271959412959</v>
      </c>
      <c r="H207" s="151">
        <f t="shared" si="451"/>
        <v>49553.263556031859</v>
      </c>
      <c r="I207" s="151">
        <f t="shared" si="451"/>
        <v>46792.17949730144</v>
      </c>
      <c r="J207" s="151">
        <f t="shared" si="451"/>
        <v>44184.941716944901</v>
      </c>
      <c r="K207" s="151">
        <f t="shared" si="451"/>
        <v>41722.977974180707</v>
      </c>
      <c r="L207" s="151">
        <f t="shared" si="451"/>
        <v>39398.193669368804</v>
      </c>
      <c r="M207" s="151">
        <f t="shared" si="451"/>
        <v>37202.945230075522</v>
      </c>
      <c r="N207" s="151">
        <f>M229*Property_Tax_Rate</f>
        <v>35130.014980054104</v>
      </c>
      <c r="O207" s="151">
        <f>N229*Property_Tax_Rate</f>
        <v>33172.587408513646</v>
      </c>
      <c r="P207" s="151">
        <f t="shared" ref="P207:X207" si="452">O229*Property_Tax_Rate</f>
        <v>49995.601064340699</v>
      </c>
      <c r="Q207" s="151">
        <f t="shared" si="452"/>
        <v>45481.746067859807</v>
      </c>
      <c r="R207" s="151">
        <f t="shared" si="452"/>
        <v>41375.424664245111</v>
      </c>
      <c r="S207" s="151">
        <f t="shared" si="452"/>
        <v>37639.842665503442</v>
      </c>
      <c r="T207" s="151">
        <f t="shared" si="452"/>
        <v>34241.527848490092</v>
      </c>
      <c r="U207" s="151">
        <f t="shared" si="452"/>
        <v>31150.030031169383</v>
      </c>
      <c r="V207" s="151">
        <f t="shared" si="452"/>
        <v>28337.648227502839</v>
      </c>
      <c r="W207" s="151">
        <f t="shared" si="452"/>
        <v>25779.182436170158</v>
      </c>
      <c r="X207" s="152">
        <f t="shared" si="452"/>
        <v>23451.707839056151</v>
      </c>
      <c r="Y207" s="156"/>
    </row>
    <row r="208" spans="1:25" hidden="1" outlineLevel="1">
      <c r="A208" s="95"/>
      <c r="C208" s="126" t="s">
        <v>50</v>
      </c>
      <c r="D208" s="151"/>
      <c r="E208" s="151">
        <f>SUM(E203:E207)</f>
        <v>105010.55809338225</v>
      </c>
      <c r="F208" s="151">
        <f>SUM(F203:F207)</f>
        <v>100720.45891651881</v>
      </c>
      <c r="G208" s="151">
        <f t="shared" ref="G208:N208" si="453">SUM(G203:G207)</f>
        <v>96704.853763322142</v>
      </c>
      <c r="H208" s="151">
        <f t="shared" si="453"/>
        <v>92973.81132581245</v>
      </c>
      <c r="I208" s="151">
        <f t="shared" si="453"/>
        <v>89408.712783887633</v>
      </c>
      <c r="J208" s="151">
        <f t="shared" si="453"/>
        <v>86041.007725636548</v>
      </c>
      <c r="K208" s="151">
        <f t="shared" si="453"/>
        <v>84015.728251252702</v>
      </c>
      <c r="L208" s="151">
        <f t="shared" si="453"/>
        <v>82124.634006316744</v>
      </c>
      <c r="M208" s="151">
        <f t="shared" si="453"/>
        <v>80361.688298399837</v>
      </c>
      <c r="N208" s="151">
        <f t="shared" si="453"/>
        <v>78719.402502812329</v>
      </c>
      <c r="O208" s="151">
        <f>SUM(O203:O207)</f>
        <v>77190.678910055663</v>
      </c>
      <c r="P208" s="151">
        <f t="shared" ref="P208:X208" si="454">SUM(P203:P207)</f>
        <v>94440.162256172131</v>
      </c>
      <c r="Q208" s="151">
        <f t="shared" si="454"/>
        <v>90350.236860066521</v>
      </c>
      <c r="R208" s="151">
        <f t="shared" si="454"/>
        <v>86664.98679162687</v>
      </c>
      <c r="S208" s="151">
        <f t="shared" si="454"/>
        <v>83347.286917264428</v>
      </c>
      <c r="T208" s="151">
        <f t="shared" si="454"/>
        <v>80363.320890033428</v>
      </c>
      <c r="U208" s="151">
        <f t="shared" si="454"/>
        <v>77682.280806227529</v>
      </c>
      <c r="V208" s="151">
        <f t="shared" si="454"/>
        <v>75276.093928518472</v>
      </c>
      <c r="W208" s="151">
        <f t="shared" si="454"/>
        <v>73119.174030510127</v>
      </c>
      <c r="X208" s="152">
        <f t="shared" si="454"/>
        <v>71188.195138307594</v>
      </c>
      <c r="Y208" s="156"/>
    </row>
    <row r="209" spans="1:25" s="95" customFormat="1" hidden="1" outlineLevel="1">
      <c r="C209" s="126" t="s">
        <v>179</v>
      </c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>
        <f>INDEX('DATA (Nominal)'!$B$66:$BX$66,1,MATCH($O$1,'DATA (Nominal)'!$B$1:$BX$1,0))*1000000*(1+AFUDC!$D$16)*0.5*'Resource Options'!$D$16/1000</f>
        <v>1802847.538978881</v>
      </c>
      <c r="P209" s="151"/>
      <c r="Q209" s="151"/>
      <c r="R209" s="151"/>
      <c r="S209" s="151"/>
      <c r="T209" s="151"/>
      <c r="U209" s="151"/>
      <c r="V209" s="151"/>
      <c r="W209" s="151"/>
      <c r="X209" s="152"/>
      <c r="Y209" s="156"/>
    </row>
    <row r="210" spans="1:25" hidden="1" outlineLevel="1">
      <c r="A210" s="95"/>
      <c r="C210" s="126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2"/>
      <c r="Y210" s="156"/>
    </row>
    <row r="211" spans="1:25" hidden="1" outlineLevel="1">
      <c r="A211" s="95"/>
      <c r="C211" s="125" t="s">
        <v>51</v>
      </c>
      <c r="D211" s="151"/>
      <c r="E211" s="151">
        <f>E201-E208</f>
        <v>407932.22415389447</v>
      </c>
      <c r="F211" s="151">
        <f t="shared" ref="F211:N211" si="455">F201-F208</f>
        <v>412222.32333075791</v>
      </c>
      <c r="G211" s="151">
        <f t="shared" si="455"/>
        <v>416237.92848395451</v>
      </c>
      <c r="H211" s="151">
        <f t="shared" si="455"/>
        <v>419968.97092146426</v>
      </c>
      <c r="I211" s="151">
        <f t="shared" si="455"/>
        <v>423534.06946338905</v>
      </c>
      <c r="J211" s="151">
        <f t="shared" si="455"/>
        <v>426901.77452164015</v>
      </c>
      <c r="K211" s="151">
        <f t="shared" si="455"/>
        <v>428927.05399602395</v>
      </c>
      <c r="L211" s="151">
        <f t="shared" si="455"/>
        <v>430818.14824095997</v>
      </c>
      <c r="M211" s="151">
        <f t="shared" si="455"/>
        <v>432581.09394887683</v>
      </c>
      <c r="N211" s="151">
        <f t="shared" si="455"/>
        <v>434223.37974446436</v>
      </c>
      <c r="O211" s="151">
        <f>O201-O208</f>
        <v>435752.10333722102</v>
      </c>
      <c r="P211" s="151">
        <f t="shared" ref="P211:X211" si="456">P201-P208</f>
        <v>418502.61999110458</v>
      </c>
      <c r="Q211" s="151">
        <f t="shared" si="456"/>
        <v>422592.54538721015</v>
      </c>
      <c r="R211" s="151">
        <f t="shared" si="456"/>
        <v>426277.79545564984</v>
      </c>
      <c r="S211" s="151">
        <f t="shared" si="456"/>
        <v>429595.49533001229</v>
      </c>
      <c r="T211" s="151">
        <f t="shared" si="456"/>
        <v>432579.46135724324</v>
      </c>
      <c r="U211" s="151">
        <f t="shared" si="456"/>
        <v>435260.50144104916</v>
      </c>
      <c r="V211" s="151">
        <f t="shared" si="456"/>
        <v>437666.68831875821</v>
      </c>
      <c r="W211" s="151">
        <f t="shared" si="456"/>
        <v>439823.60821676656</v>
      </c>
      <c r="X211" s="152">
        <f t="shared" si="456"/>
        <v>441754.58710896911</v>
      </c>
      <c r="Y211" s="156"/>
    </row>
    <row r="212" spans="1:25" hidden="1" outlineLevel="1">
      <c r="A212" s="95"/>
      <c r="C212" s="125" t="s">
        <v>52</v>
      </c>
      <c r="D212" s="151"/>
      <c r="E212" s="151">
        <f>E211-E230-E219</f>
        <v>-728818.8822734548</v>
      </c>
      <c r="F212" s="151">
        <f t="shared" ref="F212:M212" si="457">F211-F230-F219</f>
        <v>-1320922.7194932897</v>
      </c>
      <c r="G212" s="151">
        <f t="shared" si="457"/>
        <v>-672463.12556007633</v>
      </c>
      <c r="H212" s="151">
        <f t="shared" si="457"/>
        <v>-280189.98218414909</v>
      </c>
      <c r="I212" s="151">
        <f t="shared" si="457"/>
        <v>-272036.51104913634</v>
      </c>
      <c r="J212" s="151">
        <f t="shared" si="457"/>
        <v>24316.626547625216</v>
      </c>
      <c r="K212" s="151">
        <f t="shared" si="457"/>
        <v>319593.5788802334</v>
      </c>
      <c r="L212" s="151">
        <f t="shared" si="457"/>
        <v>326872.53006788937</v>
      </c>
      <c r="M212" s="151">
        <f t="shared" si="457"/>
        <v>334319.66485037573</v>
      </c>
      <c r="N212" s="151">
        <f>N211-N230-N219</f>
        <v>341958.77011963411</v>
      </c>
      <c r="O212" s="151">
        <f>O211-O230-O219</f>
        <v>17098.624938561028</v>
      </c>
      <c r="P212" s="151">
        <f>P211-P230-P219</f>
        <v>-171588.09146069121</v>
      </c>
      <c r="Q212" s="151">
        <f t="shared" ref="Q212:W212" si="458">Q211-Q230-Q219</f>
        <v>-28138.700797629339</v>
      </c>
      <c r="R212" s="151">
        <f t="shared" si="458"/>
        <v>79593.874496632125</v>
      </c>
      <c r="S212" s="151">
        <f t="shared" si="458"/>
        <v>161980.99202771907</v>
      </c>
      <c r="T212" s="151">
        <f t="shared" si="458"/>
        <v>180481.64539846324</v>
      </c>
      <c r="U212" s="151">
        <f t="shared" si="458"/>
        <v>199532.79062967561</v>
      </c>
      <c r="V212" s="151">
        <f t="shared" si="458"/>
        <v>299688.55257791578</v>
      </c>
      <c r="W212" s="151">
        <f t="shared" si="458"/>
        <v>400490.83747146407</v>
      </c>
      <c r="X212" s="152">
        <f>X211-X230-X219</f>
        <v>421644.27114085172</v>
      </c>
      <c r="Y212" s="156"/>
    </row>
    <row r="213" spans="1:25" hidden="1" outlineLevel="1">
      <c r="A213" s="95"/>
      <c r="C213" s="125" t="s">
        <v>128</v>
      </c>
      <c r="D213" s="151"/>
      <c r="E213" s="151">
        <f>-$D216*INDEX('DATA (Nominal)'!$B$244:$BX$244,1,MATCH($B$1,'DATA (Nominal)'!$B$1:$BX$1,0))</f>
        <v>1765592.5211568789</v>
      </c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2"/>
      <c r="Y213" s="156"/>
    </row>
    <row r="214" spans="1:25" hidden="1" outlineLevel="1">
      <c r="A214" s="95"/>
      <c r="C214" s="126" t="s">
        <v>54</v>
      </c>
      <c r="D214" s="151"/>
      <c r="E214" s="151">
        <f>E212*Federal_Tax_Rate-E213</f>
        <v>-1918644.4864343044</v>
      </c>
      <c r="F214" s="151">
        <f>F212*Federal_Tax_Rate-F213</f>
        <v>-277393.77109359083</v>
      </c>
      <c r="G214" s="151">
        <f t="shared" ref="G214" si="459">G212*Federal_Tax_Rate-G213</f>
        <v>-141217.25636761604</v>
      </c>
      <c r="H214" s="151">
        <f t="shared" ref="H214" si="460">H212*Federal_Tax_Rate-H213</f>
        <v>-58839.89625867131</v>
      </c>
      <c r="I214" s="151">
        <f t="shared" ref="I214" si="461">I212*Federal_Tax_Rate-I213</f>
        <v>-57127.667320318629</v>
      </c>
      <c r="J214" s="151">
        <f t="shared" ref="J214" si="462">J212*Federal_Tax_Rate-J213</f>
        <v>5106.4915750012951</v>
      </c>
      <c r="K214" s="151">
        <f t="shared" ref="K214" si="463">K212*Federal_Tax_Rate-K213</f>
        <v>67114.651564849017</v>
      </c>
      <c r="L214" s="151">
        <f t="shared" ref="L214" si="464">L212*Federal_Tax_Rate-L213</f>
        <v>68643.231314256758</v>
      </c>
      <c r="M214" s="151">
        <f t="shared" ref="M214" si="465">M212*Federal_Tax_Rate-M213</f>
        <v>70207.129618578896</v>
      </c>
      <c r="N214" s="151">
        <f t="shared" ref="N214" si="466">N212*Federal_Tax_Rate-N213</f>
        <v>71811.341725123159</v>
      </c>
      <c r="O214" s="151">
        <f>O212*Federal_Tax_Rate-O213</f>
        <v>3590.7112370978157</v>
      </c>
      <c r="P214" s="151">
        <f t="shared" ref="P214" si="467">P212*Federal_Tax_Rate-P213</f>
        <v>-36033.499206745153</v>
      </c>
      <c r="Q214" s="151">
        <f t="shared" ref="Q214" si="468">Q212*Federal_Tax_Rate-Q213</f>
        <v>-5909.1271675021608</v>
      </c>
      <c r="R214" s="151">
        <f t="shared" ref="R214" si="469">R212*Federal_Tax_Rate-R213</f>
        <v>16714.713644292744</v>
      </c>
      <c r="S214" s="151">
        <f t="shared" ref="S214" si="470">S212*Federal_Tax_Rate-S213</f>
        <v>34016.008325821</v>
      </c>
      <c r="T214" s="151">
        <f t="shared" ref="T214" si="471">T212*Federal_Tax_Rate-T213</f>
        <v>37901.145533677278</v>
      </c>
      <c r="U214" s="151">
        <f t="shared" ref="U214" si="472">U212*Federal_Tax_Rate-U213</f>
        <v>41901.88603223188</v>
      </c>
      <c r="V214" s="151">
        <f t="shared" ref="V214" si="473">V212*Federal_Tax_Rate-V213</f>
        <v>62934.596041362311</v>
      </c>
      <c r="W214" s="151">
        <f t="shared" ref="W214" si="474">W212*Federal_Tax_Rate-W213</f>
        <v>84103.075869007458</v>
      </c>
      <c r="X214" s="152">
        <f t="shared" ref="X214" si="475">X212*Federal_Tax_Rate-X213</f>
        <v>88545.296939578853</v>
      </c>
      <c r="Y214" s="156"/>
    </row>
    <row r="215" spans="1:25" hidden="1" outlineLevel="1">
      <c r="A215" s="95"/>
      <c r="C215" s="126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2"/>
      <c r="Y215" s="156"/>
    </row>
    <row r="216" spans="1:25" hidden="1" outlineLevel="1">
      <c r="A216" s="95"/>
      <c r="B216" s="37">
        <f>IRR(D216:Y216,0.1)</f>
        <v>7.500001142486945E-2</v>
      </c>
      <c r="C216" s="125" t="s">
        <v>55</v>
      </c>
      <c r="D216" s="155">
        <f>SUM(D225:D226)</f>
        <v>-5885308.4038562635</v>
      </c>
      <c r="E216" s="156">
        <f t="shared" ref="E216:K216" si="476">E211-E214</f>
        <v>2326576.7105881991</v>
      </c>
      <c r="F216" s="151">
        <f t="shared" si="476"/>
        <v>689616.09442434879</v>
      </c>
      <c r="G216" s="151">
        <f t="shared" si="476"/>
        <v>557455.18485157052</v>
      </c>
      <c r="H216" s="151">
        <f t="shared" si="476"/>
        <v>478808.86718013557</v>
      </c>
      <c r="I216" s="151">
        <f t="shared" si="476"/>
        <v>480661.73678370769</v>
      </c>
      <c r="J216" s="151">
        <f t="shared" si="476"/>
        <v>421795.28294663888</v>
      </c>
      <c r="K216" s="151">
        <f t="shared" si="476"/>
        <v>361812.40243117494</v>
      </c>
      <c r="L216" s="151">
        <f>L211-L214</f>
        <v>362174.91692670318</v>
      </c>
      <c r="M216" s="151">
        <f t="shared" ref="M216:N216" si="477">M211-M214</f>
        <v>362373.96433029795</v>
      </c>
      <c r="N216" s="151">
        <f t="shared" si="477"/>
        <v>362412.03801934118</v>
      </c>
      <c r="O216" s="151">
        <f>O211-O214-O209</f>
        <v>-1370686.1468787577</v>
      </c>
      <c r="P216" s="151">
        <f>P211-P214</f>
        <v>454536.11919784977</v>
      </c>
      <c r="Q216" s="151">
        <f t="shared" ref="Q216:X216" si="478">Q211-Q214</f>
        <v>428501.67255471234</v>
      </c>
      <c r="R216" s="151">
        <f t="shared" si="478"/>
        <v>409563.08181135711</v>
      </c>
      <c r="S216" s="151">
        <f t="shared" si="478"/>
        <v>395579.48700419127</v>
      </c>
      <c r="T216" s="151">
        <f t="shared" si="478"/>
        <v>394678.31582356594</v>
      </c>
      <c r="U216" s="151">
        <f t="shared" si="478"/>
        <v>393358.61540881731</v>
      </c>
      <c r="V216" s="151">
        <f t="shared" si="478"/>
        <v>374732.09227739589</v>
      </c>
      <c r="W216" s="151">
        <f t="shared" si="478"/>
        <v>355720.53234775912</v>
      </c>
      <c r="X216" s="152">
        <f t="shared" si="478"/>
        <v>353209.29016939027</v>
      </c>
      <c r="Y216" s="156">
        <f>D216*-0.3</f>
        <v>1765592.5211568789</v>
      </c>
    </row>
    <row r="217" spans="1:25" hidden="1" outlineLevel="1">
      <c r="A217" s="95"/>
      <c r="B217" s="37">
        <f>IRR(D217:Y217,0.1)</f>
        <v>0.15694335715034491</v>
      </c>
      <c r="C217" s="125" t="s">
        <v>56</v>
      </c>
      <c r="D217" s="155">
        <f>-D235</f>
        <v>-786583.57511079218</v>
      </c>
      <c r="E217" s="156">
        <f t="shared" ref="E217:M217" si="479">E216-E219-E222-E231-E213</f>
        <v>143584.1689756806</v>
      </c>
      <c r="F217" s="151">
        <f t="shared" si="479"/>
        <v>146152.76795810804</v>
      </c>
      <c r="G217" s="151">
        <f t="shared" si="479"/>
        <v>148459.38479663761</v>
      </c>
      <c r="H217" s="151">
        <f t="shared" si="479"/>
        <v>150493.58297198749</v>
      </c>
      <c r="I217" s="151">
        <f t="shared" si="479"/>
        <v>152346.45257555955</v>
      </c>
      <c r="J217" s="151">
        <f t="shared" si="479"/>
        <v>153990.38562357935</v>
      </c>
      <c r="K217" s="151">
        <f t="shared" si="479"/>
        <v>154517.89199320393</v>
      </c>
      <c r="L217" s="151">
        <f t="shared" si="479"/>
        <v>154880.40648873217</v>
      </c>
      <c r="M217" s="151">
        <f t="shared" si="479"/>
        <v>155079.45389232697</v>
      </c>
      <c r="N217" s="151">
        <f>N216-N219-N222-N231-N213</f>
        <v>155117.5275813702</v>
      </c>
      <c r="O217" s="151">
        <f>O216-O219-O222-O231-O213+O209</f>
        <v>-10757.064290071605</v>
      </c>
      <c r="P217" s="151">
        <f>P216-P219-P222-P231-P213</f>
        <v>-27014.475396600174</v>
      </c>
      <c r="Q217" s="151">
        <f>Q216-Q219-Q222-Q231-Q213</f>
        <v>-26558.421156243683</v>
      </c>
      <c r="R217" s="151">
        <f t="shared" ref="R217:X217" si="480">R216-R219-R222-R231-R213</f>
        <v>-26574.684699984333</v>
      </c>
      <c r="S217" s="151">
        <f t="shared" si="480"/>
        <v>-27042.33150742545</v>
      </c>
      <c r="T217" s="151">
        <f t="shared" si="480"/>
        <v>-27943.502688050838</v>
      </c>
      <c r="U217" s="151">
        <f t="shared" si="480"/>
        <v>-29263.203102799467</v>
      </c>
      <c r="V217" s="151">
        <f t="shared" si="480"/>
        <v>-30989.112264817264</v>
      </c>
      <c r="W217" s="151">
        <f t="shared" si="480"/>
        <v>-33111.416164545983</v>
      </c>
      <c r="X217" s="152">
        <f t="shared" si="480"/>
        <v>-35622.65834291483</v>
      </c>
      <c r="Y217" s="156">
        <f>Y216</f>
        <v>1765592.5211568789</v>
      </c>
    </row>
    <row r="218" spans="1:25" hidden="1" outlineLevel="1">
      <c r="A218" s="95"/>
      <c r="B218" s="21"/>
      <c r="C218" s="125"/>
      <c r="D218" s="155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2"/>
      <c r="Y218" s="156"/>
    </row>
    <row r="219" spans="1:25" hidden="1" outlineLevel="1">
      <c r="A219" s="95"/>
      <c r="B219" s="15"/>
      <c r="C219" s="126" t="s">
        <v>57</v>
      </c>
      <c r="D219" s="151"/>
      <c r="E219" s="151">
        <f t="shared" ref="E219:W219" si="481">D223*Debt_Rate</f>
        <v>136248.67777178434</v>
      </c>
      <c r="F219" s="151">
        <f t="shared" si="481"/>
        <v>132341.15697514405</v>
      </c>
      <c r="G219" s="151">
        <f t="shared" si="481"/>
        <v>128218.72253468858</v>
      </c>
      <c r="H219" s="151">
        <f t="shared" si="481"/>
        <v>123869.55420000805</v>
      </c>
      <c r="I219" s="151">
        <f t="shared" si="481"/>
        <v>119281.18160692009</v>
      </c>
      <c r="J219" s="151">
        <f t="shared" si="481"/>
        <v>114440.44852121228</v>
      </c>
      <c r="K219" s="151">
        <f t="shared" si="481"/>
        <v>109333.47511579056</v>
      </c>
      <c r="L219" s="151">
        <f t="shared" si="481"/>
        <v>103945.61817307063</v>
      </c>
      <c r="M219" s="151">
        <f t="shared" si="481"/>
        <v>98261.429098501118</v>
      </c>
      <c r="N219" s="151">
        <f t="shared" si="481"/>
        <v>92264.609624830264</v>
      </c>
      <c r="O219" s="151">
        <f t="shared" si="481"/>
        <v>161098.67898013708</v>
      </c>
      <c r="P219" s="151">
        <f t="shared" si="481"/>
        <v>148573.34915586785</v>
      </c>
      <c r="Q219" s="151">
        <f t="shared" si="481"/>
        <v>135359.12619126381</v>
      </c>
      <c r="R219" s="151">
        <f t="shared" si="481"/>
        <v>121418.12096360653</v>
      </c>
      <c r="S219" s="151">
        <f t="shared" si="481"/>
        <v>106710.36044842811</v>
      </c>
      <c r="T219" s="151">
        <f t="shared" si="481"/>
        <v>91193.67310491488</v>
      </c>
      <c r="U219" s="151">
        <f t="shared" si="481"/>
        <v>74823.567957508421</v>
      </c>
      <c r="V219" s="151">
        <f t="shared" si="481"/>
        <v>57553.107026994599</v>
      </c>
      <c r="W219" s="151">
        <f t="shared" si="481"/>
        <v>39332.770745302514</v>
      </c>
      <c r="X219" s="152">
        <f>W223*Debt_Rate</f>
        <v>20110.315968117375</v>
      </c>
      <c r="Y219" s="156"/>
    </row>
    <row r="220" spans="1:25" hidden="1" outlineLevel="1">
      <c r="A220" s="95"/>
      <c r="B220" s="15"/>
      <c r="C220" s="126" t="s">
        <v>113</v>
      </c>
      <c r="D220" s="151"/>
      <c r="E220" s="151">
        <f t="shared" ref="E220:X220" si="482">-PMT(Debt_Rate,20,$D234)</f>
        <v>207294.51043797101</v>
      </c>
      <c r="F220" s="151">
        <f t="shared" si="482"/>
        <v>207294.51043797101</v>
      </c>
      <c r="G220" s="151">
        <f t="shared" si="482"/>
        <v>207294.51043797101</v>
      </c>
      <c r="H220" s="151">
        <f t="shared" si="482"/>
        <v>207294.51043797101</v>
      </c>
      <c r="I220" s="151">
        <f t="shared" si="482"/>
        <v>207294.51043797101</v>
      </c>
      <c r="J220" s="151">
        <f t="shared" si="482"/>
        <v>207294.51043797101</v>
      </c>
      <c r="K220" s="151">
        <f t="shared" si="482"/>
        <v>207294.51043797101</v>
      </c>
      <c r="L220" s="151">
        <f t="shared" si="482"/>
        <v>207294.51043797101</v>
      </c>
      <c r="M220" s="151">
        <f t="shared" si="482"/>
        <v>207294.51043797101</v>
      </c>
      <c r="N220" s="151">
        <f t="shared" si="482"/>
        <v>207294.51043797101</v>
      </c>
      <c r="O220" s="151">
        <f t="shared" si="482"/>
        <v>207294.51043797101</v>
      </c>
      <c r="P220" s="151">
        <f t="shared" si="482"/>
        <v>207294.51043797101</v>
      </c>
      <c r="Q220" s="151">
        <f t="shared" si="482"/>
        <v>207294.51043797101</v>
      </c>
      <c r="R220" s="151">
        <f t="shared" si="482"/>
        <v>207294.51043797101</v>
      </c>
      <c r="S220" s="151">
        <f t="shared" si="482"/>
        <v>207294.51043797101</v>
      </c>
      <c r="T220" s="151">
        <f t="shared" si="482"/>
        <v>207294.51043797101</v>
      </c>
      <c r="U220" s="151">
        <f t="shared" si="482"/>
        <v>207294.51043797101</v>
      </c>
      <c r="V220" s="151">
        <f t="shared" si="482"/>
        <v>207294.51043797101</v>
      </c>
      <c r="W220" s="151">
        <f t="shared" si="482"/>
        <v>207294.51043797101</v>
      </c>
      <c r="X220" s="152">
        <f t="shared" si="482"/>
        <v>207294.51043797101</v>
      </c>
      <c r="Y220" s="156"/>
    </row>
    <row r="221" spans="1:25" s="95" customFormat="1" hidden="1" outlineLevel="1">
      <c r="B221" s="52"/>
      <c r="C221" s="126" t="s">
        <v>161</v>
      </c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>
        <f t="shared" ref="O221:X221" si="483">-PMT(Debt_Rate,10,$O209)*$B234</f>
        <v>181537.43807433409</v>
      </c>
      <c r="P221" s="151">
        <f t="shared" si="483"/>
        <v>181537.43807433409</v>
      </c>
      <c r="Q221" s="151">
        <f t="shared" si="483"/>
        <v>181537.43807433409</v>
      </c>
      <c r="R221" s="151">
        <f t="shared" si="483"/>
        <v>181537.43807433409</v>
      </c>
      <c r="S221" s="151">
        <f t="shared" si="483"/>
        <v>181537.43807433409</v>
      </c>
      <c r="T221" s="151">
        <f t="shared" si="483"/>
        <v>181537.43807433409</v>
      </c>
      <c r="U221" s="151">
        <f t="shared" si="483"/>
        <v>181537.43807433409</v>
      </c>
      <c r="V221" s="151">
        <f t="shared" si="483"/>
        <v>181537.43807433409</v>
      </c>
      <c r="W221" s="151">
        <f t="shared" si="483"/>
        <v>181537.43807433409</v>
      </c>
      <c r="X221" s="152">
        <f t="shared" si="483"/>
        <v>181537.43807433409</v>
      </c>
      <c r="Y221" s="156"/>
    </row>
    <row r="222" spans="1:25" hidden="1" outlineLevel="1">
      <c r="A222" s="95"/>
      <c r="B222" s="15"/>
      <c r="C222" s="126" t="s">
        <v>59</v>
      </c>
      <c r="D222" s="151"/>
      <c r="E222" s="156">
        <f>E221+E220-E219</f>
        <v>71045.832666186674</v>
      </c>
      <c r="F222" s="151">
        <f t="shared" ref="F222" si="484">F221+F220-F219</f>
        <v>74953.353462826955</v>
      </c>
      <c r="G222" s="151">
        <f t="shared" ref="G222" si="485">G221+G220-G219</f>
        <v>79075.787903282428</v>
      </c>
      <c r="H222" s="151">
        <f t="shared" ref="H222" si="486">H221+H220-H219</f>
        <v>83424.956237962964</v>
      </c>
      <c r="I222" s="151">
        <f t="shared" ref="I222" si="487">I221+I220-I219</f>
        <v>88013.328831050923</v>
      </c>
      <c r="J222" s="151">
        <f t="shared" ref="J222" si="488">J221+J220-J219</f>
        <v>92854.061916758728</v>
      </c>
      <c r="K222" s="151">
        <f t="shared" ref="K222" si="489">K221+K220-K219</f>
        <v>97961.035322180454</v>
      </c>
      <c r="L222" s="151">
        <f t="shared" ref="L222" si="490">L221+L220-L219</f>
        <v>103348.89226490038</v>
      </c>
      <c r="M222" s="151">
        <f>M221+M220-M219</f>
        <v>109033.08133946989</v>
      </c>
      <c r="N222" s="151">
        <f>N221+N220-N219</f>
        <v>115029.90081314075</v>
      </c>
      <c r="O222" s="151">
        <f>O221+O220-O219</f>
        <v>227733.26953216802</v>
      </c>
      <c r="P222" s="151">
        <f>P221+P220-P219</f>
        <v>240258.59935643725</v>
      </c>
      <c r="Q222" s="151">
        <f t="shared" ref="Q222" si="491">Q221+Q220-Q219</f>
        <v>253472.82232104128</v>
      </c>
      <c r="R222" s="151">
        <f t="shared" ref="R222" si="492">R221+R220-R219</f>
        <v>267413.82754869858</v>
      </c>
      <c r="S222" s="151">
        <f t="shared" ref="S222" si="493">S221+S220-S219</f>
        <v>282121.58806387696</v>
      </c>
      <c r="T222" s="151">
        <f t="shared" ref="T222" si="494">T221+T220-T219</f>
        <v>297638.2754073902</v>
      </c>
      <c r="U222" s="151">
        <f t="shared" ref="U222" si="495">U221+U220-U219</f>
        <v>314008.38055479666</v>
      </c>
      <c r="V222" s="151">
        <f t="shared" ref="V222" si="496">V221+V220-V219</f>
        <v>331278.84148531052</v>
      </c>
      <c r="W222" s="151">
        <f t="shared" ref="W222" si="497">W221+W220-W219</f>
        <v>349499.17776700261</v>
      </c>
      <c r="X222" s="152">
        <f t="shared" ref="X222" si="498">X221+X220-X219</f>
        <v>368721.63254418771</v>
      </c>
      <c r="Y222" s="156"/>
    </row>
    <row r="223" spans="1:25" hidden="1" outlineLevel="1">
      <c r="A223" s="95"/>
      <c r="B223" s="15"/>
      <c r="C223" s="126" t="s">
        <v>60</v>
      </c>
      <c r="D223" s="151">
        <f>D234</f>
        <v>2477248.686759715</v>
      </c>
      <c r="E223" s="151">
        <f>D223-E222+(F209*$B$76)</f>
        <v>2406202.8540935284</v>
      </c>
      <c r="F223" s="151">
        <f t="shared" ref="F223" si="499">E223-F222+(G209*$B$76)</f>
        <v>2331249.5006307014</v>
      </c>
      <c r="G223" s="151">
        <f t="shared" ref="G223" si="500">F223-G222+(H209*$B$76)</f>
        <v>2252173.7127274191</v>
      </c>
      <c r="H223" s="151">
        <f t="shared" ref="H223" si="501">G223-H222+(I209*$B$76)</f>
        <v>2168748.7564894562</v>
      </c>
      <c r="I223" s="151">
        <f t="shared" ref="I223" si="502">H223-I222+(J209*$B$76)</f>
        <v>2080735.4276584052</v>
      </c>
      <c r="J223" s="151">
        <f t="shared" ref="J223" si="503">I223-J222+(K209*$B$76)</f>
        <v>1987881.3657416464</v>
      </c>
      <c r="K223" s="151">
        <f t="shared" ref="K223" si="504">J223-K222+(L209*$B$76)</f>
        <v>1889920.3304194659</v>
      </c>
      <c r="L223" s="151">
        <f t="shared" ref="L223" si="505">K223-L222+(M209*$B$76)</f>
        <v>1786571.4381545656</v>
      </c>
      <c r="M223" s="151">
        <f>L223-M222+(N209*$B$76)</f>
        <v>1677538.3568150958</v>
      </c>
      <c r="N223" s="151">
        <f>M223-N222+(O209*$B$76)</f>
        <v>2929066.890547947</v>
      </c>
      <c r="O223" s="151">
        <f t="shared" ref="O223" si="506">N223-O222+(P209*$B$76)</f>
        <v>2701333.6210157792</v>
      </c>
      <c r="P223" s="151">
        <f t="shared" ref="P223" si="507">O223-P222+(Q209*$B$76)</f>
        <v>2461075.0216593421</v>
      </c>
      <c r="Q223" s="151">
        <f t="shared" ref="Q223" si="508">P223-Q222+(R209*$B$76)</f>
        <v>2207602.1993383006</v>
      </c>
      <c r="R223" s="151">
        <f t="shared" ref="R223" si="509">Q223-R222+(S209*$B$76)</f>
        <v>1940188.3717896021</v>
      </c>
      <c r="S223" s="151">
        <f t="shared" ref="S223" si="510">R223-S222+(T209*$B$76)</f>
        <v>1658066.783725725</v>
      </c>
      <c r="T223" s="151">
        <f t="shared" ref="T223" si="511">S223-T222+(U209*$B$76)</f>
        <v>1360428.5083183348</v>
      </c>
      <c r="U223" s="151">
        <f t="shared" ref="U223" si="512">T223-U222+(V209*$B$76)</f>
        <v>1046420.1277635382</v>
      </c>
      <c r="V223" s="151">
        <f t="shared" ref="V223" si="513">U223-V222+(W209*$B$76)</f>
        <v>715141.28627822758</v>
      </c>
      <c r="W223" s="151">
        <f t="shared" ref="W223" si="514">V223-W222+(X209*$B$76)</f>
        <v>365642.10851122497</v>
      </c>
      <c r="X223" s="152">
        <f t="shared" ref="X223" si="515">W223-X222+(Y209*$B$76)</f>
        <v>-3079.5240329627413</v>
      </c>
      <c r="Y223" s="156"/>
    </row>
    <row r="224" spans="1:25" hidden="1" outlineLevel="1">
      <c r="A224" s="95"/>
      <c r="B224" s="15"/>
      <c r="C224" s="125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2"/>
      <c r="Y224" s="156"/>
    </row>
    <row r="225" spans="1:25" hidden="1" outlineLevel="1">
      <c r="A225" s="95"/>
      <c r="B225" s="15"/>
      <c r="C225" s="126" t="s">
        <v>162</v>
      </c>
      <c r="D225" s="151">
        <f>-INDEX('DATA (Nominal)'!$B$65:$BX$65,1,MATCH($B$1,'DATA (Nominal)'!$B$1:$BX$1,0))*1000000*(1+AFUDC!$C$16)*'Resource Options'!$E$16/1000</f>
        <v>-2986651.6702067405</v>
      </c>
      <c r="E225" s="151">
        <f t="shared" ref="E225:X225" si="516">-$D225/20</f>
        <v>149332.58351033702</v>
      </c>
      <c r="F225" s="151">
        <f t="shared" si="516"/>
        <v>149332.58351033702</v>
      </c>
      <c r="G225" s="151">
        <f t="shared" si="516"/>
        <v>149332.58351033702</v>
      </c>
      <c r="H225" s="151">
        <f t="shared" si="516"/>
        <v>149332.58351033702</v>
      </c>
      <c r="I225" s="151">
        <f t="shared" si="516"/>
        <v>149332.58351033702</v>
      </c>
      <c r="J225" s="151">
        <f t="shared" si="516"/>
        <v>149332.58351033702</v>
      </c>
      <c r="K225" s="151">
        <f t="shared" si="516"/>
        <v>149332.58351033702</v>
      </c>
      <c r="L225" s="151">
        <f t="shared" si="516"/>
        <v>149332.58351033702</v>
      </c>
      <c r="M225" s="151">
        <f t="shared" si="516"/>
        <v>149332.58351033702</v>
      </c>
      <c r="N225" s="151">
        <f t="shared" si="516"/>
        <v>149332.58351033702</v>
      </c>
      <c r="O225" s="151">
        <f t="shared" si="516"/>
        <v>149332.58351033702</v>
      </c>
      <c r="P225" s="151">
        <f t="shared" si="516"/>
        <v>149332.58351033702</v>
      </c>
      <c r="Q225" s="151">
        <f t="shared" si="516"/>
        <v>149332.58351033702</v>
      </c>
      <c r="R225" s="151">
        <f t="shared" si="516"/>
        <v>149332.58351033702</v>
      </c>
      <c r="S225" s="151">
        <f t="shared" si="516"/>
        <v>149332.58351033702</v>
      </c>
      <c r="T225" s="151">
        <f t="shared" si="516"/>
        <v>149332.58351033702</v>
      </c>
      <c r="U225" s="151">
        <f t="shared" si="516"/>
        <v>149332.58351033702</v>
      </c>
      <c r="V225" s="151">
        <f t="shared" si="516"/>
        <v>149332.58351033702</v>
      </c>
      <c r="W225" s="151">
        <f t="shared" si="516"/>
        <v>149332.58351033702</v>
      </c>
      <c r="X225" s="152">
        <f t="shared" si="516"/>
        <v>149332.58351033702</v>
      </c>
      <c r="Y225" s="156"/>
    </row>
    <row r="226" spans="1:25" s="95" customFormat="1" hidden="1" outlineLevel="1">
      <c r="B226" s="52"/>
      <c r="C226" s="126" t="s">
        <v>163</v>
      </c>
      <c r="D226" s="151">
        <f>-INDEX('DATA (Nominal)'!$B$66:$BX$66,1,MATCH($B$1,'DATA (Nominal)'!$B$1:$BX$1,0))*1000000*(1+AFUDC!$D$16)*'Resource Options'!$D$16/1000</f>
        <v>-2898656.733649523</v>
      </c>
      <c r="E226" s="151">
        <f t="shared" ref="E226:N226" si="517">-$D226/10</f>
        <v>289865.67336495232</v>
      </c>
      <c r="F226" s="151">
        <f t="shared" si="517"/>
        <v>289865.67336495232</v>
      </c>
      <c r="G226" s="151">
        <f t="shared" si="517"/>
        <v>289865.67336495232</v>
      </c>
      <c r="H226" s="151">
        <f t="shared" si="517"/>
        <v>289865.67336495232</v>
      </c>
      <c r="I226" s="151">
        <f t="shared" si="517"/>
        <v>289865.67336495232</v>
      </c>
      <c r="J226" s="151">
        <f t="shared" si="517"/>
        <v>289865.67336495232</v>
      </c>
      <c r="K226" s="151">
        <f t="shared" si="517"/>
        <v>289865.67336495232</v>
      </c>
      <c r="L226" s="151">
        <f t="shared" si="517"/>
        <v>289865.67336495232</v>
      </c>
      <c r="M226" s="151">
        <f t="shared" si="517"/>
        <v>289865.67336495232</v>
      </c>
      <c r="N226" s="151">
        <f t="shared" si="517"/>
        <v>289865.67336495232</v>
      </c>
      <c r="O226" s="151">
        <f t="shared" ref="O226:X226" si="518">$O209/10</f>
        <v>180284.75389788809</v>
      </c>
      <c r="P226" s="151">
        <f t="shared" si="518"/>
        <v>180284.75389788809</v>
      </c>
      <c r="Q226" s="151">
        <f t="shared" si="518"/>
        <v>180284.75389788809</v>
      </c>
      <c r="R226" s="151">
        <f t="shared" si="518"/>
        <v>180284.75389788809</v>
      </c>
      <c r="S226" s="151">
        <f t="shared" si="518"/>
        <v>180284.75389788809</v>
      </c>
      <c r="T226" s="151">
        <f t="shared" si="518"/>
        <v>180284.75389788809</v>
      </c>
      <c r="U226" s="151">
        <f t="shared" si="518"/>
        <v>180284.75389788809</v>
      </c>
      <c r="V226" s="151">
        <f t="shared" si="518"/>
        <v>180284.75389788809</v>
      </c>
      <c r="W226" s="151">
        <f t="shared" si="518"/>
        <v>180284.75389788809</v>
      </c>
      <c r="X226" s="152">
        <f t="shared" si="518"/>
        <v>180284.75389788809</v>
      </c>
      <c r="Y226" s="156"/>
    </row>
    <row r="227" spans="1:25" hidden="1" outlineLevel="1">
      <c r="A227" s="95"/>
      <c r="B227" s="15"/>
      <c r="C227" s="125" t="s">
        <v>62</v>
      </c>
      <c r="D227" s="151"/>
      <c r="E227" s="151">
        <f>SUM($E225:E226)</f>
        <v>439198.25687528937</v>
      </c>
      <c r="F227" s="151">
        <f>SUM($E225:F226)</f>
        <v>878396.51375057863</v>
      </c>
      <c r="G227" s="151">
        <f>SUM($E225:G226)</f>
        <v>1317594.7706258679</v>
      </c>
      <c r="H227" s="151">
        <f>SUM($E225:H226)</f>
        <v>1756793.027501157</v>
      </c>
      <c r="I227" s="151">
        <f>SUM($E225:I226)</f>
        <v>2195991.2843764466</v>
      </c>
      <c r="J227" s="151">
        <f>SUM($E225:J226)</f>
        <v>2635189.5412517358</v>
      </c>
      <c r="K227" s="151">
        <f>SUM($E225:K226)</f>
        <v>3074387.7981270249</v>
      </c>
      <c r="L227" s="151">
        <f>SUM($E225:L226)</f>
        <v>3513586.055002314</v>
      </c>
      <c r="M227" s="151">
        <f>SUM($E225:M226)</f>
        <v>3952784.3118776032</v>
      </c>
      <c r="N227" s="151">
        <f>SUM($E225:N226)</f>
        <v>4391982.5687528923</v>
      </c>
      <c r="O227" s="151">
        <f>SUM($E225:O226)</f>
        <v>4721599.9061611174</v>
      </c>
      <c r="P227" s="151">
        <f>SUM($E225:P226)</f>
        <v>5051217.2435693415</v>
      </c>
      <c r="Q227" s="151">
        <f>SUM($E225:Q226)</f>
        <v>5380834.5809775665</v>
      </c>
      <c r="R227" s="151">
        <f>SUM($E225:R226)</f>
        <v>5710451.9183857907</v>
      </c>
      <c r="S227" s="151">
        <f>SUM($E225:S226)</f>
        <v>6040069.2557940157</v>
      </c>
      <c r="T227" s="151">
        <f>SUM($E225:T226)</f>
        <v>6369686.5932022398</v>
      </c>
      <c r="U227" s="151">
        <f>SUM($E225:U226)</f>
        <v>6699303.9306104649</v>
      </c>
      <c r="V227" s="151">
        <f>SUM($E225:V226)</f>
        <v>7028921.268018689</v>
      </c>
      <c r="W227" s="151">
        <f>SUM($E225:W226)</f>
        <v>7358538.6054269141</v>
      </c>
      <c r="X227" s="152">
        <f>SUM($E225:X226)</f>
        <v>7688155.9428351382</v>
      </c>
      <c r="Y227" s="156"/>
    </row>
    <row r="228" spans="1:25" hidden="1" outlineLevel="1">
      <c r="A228" s="95"/>
      <c r="B228" s="15"/>
      <c r="C228" s="125" t="s">
        <v>63</v>
      </c>
      <c r="D228" s="151"/>
      <c r="E228" s="151">
        <f>-$D216-E227</f>
        <v>5446110.1469809739</v>
      </c>
      <c r="F228" s="151">
        <f t="shared" ref="F228:G228" si="519">-$D216-F227</f>
        <v>5006911.8901056852</v>
      </c>
      <c r="G228" s="151">
        <f t="shared" si="519"/>
        <v>4567713.6332303956</v>
      </c>
      <c r="H228" s="156">
        <f>-$D216-H227</f>
        <v>4128515.3763551065</v>
      </c>
      <c r="I228" s="151">
        <f t="shared" ref="I228:L228" si="520">-$D216-I227</f>
        <v>3689317.1194798169</v>
      </c>
      <c r="J228" s="151">
        <f t="shared" si="520"/>
        <v>3250118.8626045277</v>
      </c>
      <c r="K228" s="151">
        <f t="shared" si="520"/>
        <v>2810920.6057292386</v>
      </c>
      <c r="L228" s="151">
        <f t="shared" si="520"/>
        <v>2371722.3488539495</v>
      </c>
      <c r="M228" s="151">
        <f>-$D216-M227</f>
        <v>1932524.0919786603</v>
      </c>
      <c r="N228" s="151">
        <f>-$D216-N227</f>
        <v>1493325.8351033712</v>
      </c>
      <c r="O228" s="151">
        <f>-$D216-O227+$O209</f>
        <v>2966556.0366740273</v>
      </c>
      <c r="P228" s="151">
        <f t="shared" ref="P228" si="521">-$D216-P227+$O209</f>
        <v>2636938.6992658032</v>
      </c>
      <c r="Q228" s="151">
        <f t="shared" ref="Q228" si="522">-$D216-Q227+$O209</f>
        <v>2307321.3618575782</v>
      </c>
      <c r="R228" s="151">
        <f t="shared" ref="R228" si="523">-$D216-R227+$O209</f>
        <v>1977704.0244493538</v>
      </c>
      <c r="S228" s="151">
        <f t="shared" ref="S228" si="524">-$D216-S227+$O209</f>
        <v>1648086.6870411288</v>
      </c>
      <c r="T228" s="151">
        <f t="shared" ref="T228" si="525">-$D216-T227+$O209</f>
        <v>1318469.3496329046</v>
      </c>
      <c r="U228" s="151">
        <f t="shared" ref="U228" si="526">-$D216-U227+$O209</f>
        <v>988852.01222467958</v>
      </c>
      <c r="V228" s="151">
        <f t="shared" ref="V228" si="527">-$D216-V227+$O209</f>
        <v>659234.67481645546</v>
      </c>
      <c r="W228" s="151">
        <f t="shared" ref="W228" si="528">-$D216-W227+$O209</f>
        <v>329617.33740823041</v>
      </c>
      <c r="X228" s="152">
        <f t="shared" ref="X228" si="529">-$D216-X227+$O209</f>
        <v>6.28642737865448E-9</v>
      </c>
      <c r="Y228" s="156"/>
    </row>
    <row r="229" spans="1:25" hidden="1" outlineLevel="1">
      <c r="A229" s="95"/>
      <c r="B229" s="15"/>
      <c r="C229" s="125" t="s">
        <v>64</v>
      </c>
      <c r="D229" s="151">
        <f>-D216</f>
        <v>5885308.4038562635</v>
      </c>
      <c r="E229" s="151">
        <f>D229/(($D229/$Y229)^(1/21))</f>
        <v>5557381.844665559</v>
      </c>
      <c r="F229" s="151">
        <f t="shared" ref="F229" si="530">E229/(($D229/$Y229)^(1/21))</f>
        <v>5247727.1959412955</v>
      </c>
      <c r="G229" s="151">
        <f t="shared" ref="G229" si="531">F229/(($D229/$Y229)^(1/21))</f>
        <v>4955326.3556031855</v>
      </c>
      <c r="H229" s="151">
        <f t="shared" ref="H229" si="532">G229/(($D229/$Y229)^(1/21))</f>
        <v>4679217.9497301439</v>
      </c>
      <c r="I229" s="151">
        <f t="shared" ref="I229" si="533">H229/(($D229/$Y229)^(1/21))</f>
        <v>4418494.1716944901</v>
      </c>
      <c r="J229" s="156">
        <f t="shared" ref="J229" si="534">I229/(($D229/$Y229)^(1/21))</f>
        <v>4172297.7974180705</v>
      </c>
      <c r="K229" s="156">
        <f>J229/(($D229/$Y229)^(1/21))</f>
        <v>3939819.3669368802</v>
      </c>
      <c r="L229" s="151">
        <f t="shared" ref="L229" si="535">K229/(($D229/$Y229)^(1/21))</f>
        <v>3720294.5230075521</v>
      </c>
      <c r="M229" s="151">
        <f t="shared" ref="M229" si="536">L229/(($D229/$Y229)^(1/21))</f>
        <v>3513001.4980054107</v>
      </c>
      <c r="N229" s="151">
        <f>M229/(($D229/$Y229)^(1/21))</f>
        <v>3317258.7408513646</v>
      </c>
      <c r="O229" s="151">
        <f>(N229+O209)/(($D229/($Y229+O209))^(1/21))</f>
        <v>4999560.1064340696</v>
      </c>
      <c r="P229" s="151">
        <f>O229/(($O229/$Y229)^(1/11))</f>
        <v>4548174.606785981</v>
      </c>
      <c r="Q229" s="151">
        <f>P229/(($O229/$Y229)^(1/11))</f>
        <v>4137542.4664245113</v>
      </c>
      <c r="R229" s="151">
        <f t="shared" ref="R229:X229" si="537">Q229/(($O229/$Y229)^(1/11))</f>
        <v>3763984.2665503439</v>
      </c>
      <c r="S229" s="151">
        <f t="shared" si="537"/>
        <v>3424152.7848490095</v>
      </c>
      <c r="T229" s="151">
        <f t="shared" si="537"/>
        <v>3115003.0031169383</v>
      </c>
      <c r="U229" s="151">
        <f t="shared" si="537"/>
        <v>2833764.8227502839</v>
      </c>
      <c r="V229" s="151">
        <f t="shared" si="537"/>
        <v>2577918.2436170159</v>
      </c>
      <c r="W229" s="151">
        <f t="shared" si="537"/>
        <v>2345170.7839056151</v>
      </c>
      <c r="X229" s="152">
        <f t="shared" si="537"/>
        <v>2133436.9386237022</v>
      </c>
      <c r="Y229" s="156">
        <f>Y216</f>
        <v>1765592.5211568789</v>
      </c>
    </row>
    <row r="230" spans="1:25" hidden="1" outlineLevel="1">
      <c r="A230" s="95"/>
      <c r="B230" s="15"/>
      <c r="C230" s="126" t="s">
        <v>65</v>
      </c>
      <c r="D230" s="151"/>
      <c r="E230" s="151">
        <f>-$D216*Assumptions!J$16*INDEX('DATA (Nominal)'!$B$346:$BX$346,1,MATCH($B$1,'DATA (Nominal)'!$B$1:$BX$1,0))</f>
        <v>1000502.4286555649</v>
      </c>
      <c r="F230" s="151">
        <f>-$D216*Assumptions!K$16*INDEX('DATA (Nominal)'!$B$346:$BX$346,1,MATCH($B$1,'DATA (Nominal)'!$B$1:$BX$1,0))</f>
        <v>1600803.8858489036</v>
      </c>
      <c r="G230" s="151">
        <f>-$D216*Assumptions!L$16*INDEX('DATA (Nominal)'!$B$346:$BX$346,1,MATCH($B$1,'DATA (Nominal)'!$B$1:$BX$1,0))</f>
        <v>960482.3315093423</v>
      </c>
      <c r="H230" s="151">
        <f>-$D216*Assumptions!M$16*INDEX('DATA (Nominal)'!$B$346:$BX$346,1,MATCH($B$1,'DATA (Nominal)'!$B$1:$BX$1,0))</f>
        <v>576289.39890560531</v>
      </c>
      <c r="I230" s="151">
        <f>-$D216*Assumptions!N$16*INDEX('DATA (Nominal)'!$B$346:$BX$346,1,MATCH($B$1,'DATA (Nominal)'!$B$1:$BX$1,0))</f>
        <v>576289.39890560531</v>
      </c>
      <c r="J230" s="151">
        <f>-$D216*Assumptions!O$16*INDEX('DATA (Nominal)'!$B$346:$BX$346,1,MATCH($B$1,'DATA (Nominal)'!$B$1:$BX$1,0))</f>
        <v>288144.69945280266</v>
      </c>
      <c r="K230" s="151">
        <f>-$D216*Assumptions!P$16*INDEX('DATA (Nominal)'!$B$346:$BX$346,1,MATCH($B$1,'DATA (Nominal)'!$B$1:$BX$1,0))</f>
        <v>0</v>
      </c>
      <c r="L230" s="151">
        <f>-$D216*Assumptions!Q$16*INDEX('DATA (Nominal)'!$B$346:$BX$346,1,MATCH($B$1,'DATA (Nominal)'!$B$1:$BX$1,0))</f>
        <v>0</v>
      </c>
      <c r="M230" s="151">
        <f>-$D216*Assumptions!R$16*INDEX('DATA (Nominal)'!$B$346:$BX$346,1,MATCH($B$1,'DATA (Nominal)'!$B$1:$BX$1,0))</f>
        <v>0</v>
      </c>
      <c r="N230" s="151">
        <f>-$D216*Assumptions!S$16*INDEX('DATA (Nominal)'!$B$346:$BX$346,1,MATCH($B$1,'DATA (Nominal)'!$B$1:$BX$1,0))</f>
        <v>0</v>
      </c>
      <c r="O230" s="151">
        <f>$O209*Assumptions!T$16</f>
        <v>257554.79941852292</v>
      </c>
      <c r="P230" s="151">
        <f>$O209*Assumptions!U$16</f>
        <v>441517.36229592795</v>
      </c>
      <c r="Q230" s="151">
        <f>$O209*Assumptions!V$16</f>
        <v>315372.11999357567</v>
      </c>
      <c r="R230" s="151">
        <f>$O209*Assumptions!W$16</f>
        <v>225265.79999541119</v>
      </c>
      <c r="S230" s="151">
        <f>$O209*Assumptions!X$16</f>
        <v>160904.14285386511</v>
      </c>
      <c r="T230" s="151">
        <f>$O209*Assumptions!Y$16</f>
        <v>160904.14285386511</v>
      </c>
      <c r="U230" s="151">
        <f>$O209*Assumptions!Z$16</f>
        <v>160904.14285386511</v>
      </c>
      <c r="V230" s="151">
        <f>$O209*Assumptions!AA$16</f>
        <v>80425.028713847874</v>
      </c>
      <c r="W230" s="151">
        <f>$O209*Assumptions!AB$16</f>
        <v>0</v>
      </c>
      <c r="X230" s="160">
        <f>$O209*Assumptions!AC$16</f>
        <v>0</v>
      </c>
      <c r="Y230" s="156"/>
    </row>
    <row r="231" spans="1:25" ht="15.75" hidden="1" outlineLevel="1" thickBot="1">
      <c r="A231" s="95"/>
      <c r="B231" s="15"/>
      <c r="C231" s="127" t="s">
        <v>66</v>
      </c>
      <c r="D231" s="157"/>
      <c r="E231" s="157">
        <f>E230*Federal_Tax_Rate</f>
        <v>210105.51001766862</v>
      </c>
      <c r="F231" s="157">
        <f>F230*Federal_Tax_Rate</f>
        <v>336168.81602826976</v>
      </c>
      <c r="G231" s="157">
        <f t="shared" ref="G231" si="538">G230*Federal_Tax_Rate</f>
        <v>201701.28961696188</v>
      </c>
      <c r="H231" s="157">
        <f t="shared" ref="H231" si="539">H230*Federal_Tax_Rate</f>
        <v>121020.77377017711</v>
      </c>
      <c r="I231" s="157">
        <f t="shared" ref="I231" si="540">I230*Federal_Tax_Rate</f>
        <v>121020.77377017711</v>
      </c>
      <c r="J231" s="157">
        <f t="shared" ref="J231" si="541">J230*Federal_Tax_Rate</f>
        <v>60510.386885088556</v>
      </c>
      <c r="K231" s="157">
        <f t="shared" ref="K231" si="542">K230*Federal_Tax_Rate</f>
        <v>0</v>
      </c>
      <c r="L231" s="157">
        <f t="shared" ref="L231" si="543">L230*Federal_Tax_Rate</f>
        <v>0</v>
      </c>
      <c r="M231" s="157">
        <f t="shared" ref="M231" si="544">M230*Federal_Tax_Rate</f>
        <v>0</v>
      </c>
      <c r="N231" s="157">
        <f>N230*Federal_Tax_Rate</f>
        <v>0</v>
      </c>
      <c r="O231" s="157">
        <f>O230*Federal_Tax_Rate</f>
        <v>54086.50787788981</v>
      </c>
      <c r="P231" s="157">
        <f t="shared" ref="P231" si="545">P230*Federal_Tax_Rate</f>
        <v>92718.646082144871</v>
      </c>
      <c r="Q231" s="157">
        <f t="shared" ref="Q231" si="546">Q230*Federal_Tax_Rate</f>
        <v>66228.145198650891</v>
      </c>
      <c r="R231" s="157">
        <f t="shared" ref="R231" si="547">R230*Federal_Tax_Rate</f>
        <v>47305.81799903635</v>
      </c>
      <c r="S231" s="157">
        <f t="shared" ref="S231" si="548">S230*Federal_Tax_Rate</f>
        <v>33789.869999311675</v>
      </c>
      <c r="T231" s="157">
        <f t="shared" ref="T231" si="549">T230*Federal_Tax_Rate</f>
        <v>33789.869999311675</v>
      </c>
      <c r="U231" s="157">
        <f t="shared" ref="U231" si="550">U230*Federal_Tax_Rate</f>
        <v>33789.869999311675</v>
      </c>
      <c r="V231" s="157">
        <f t="shared" ref="V231" si="551">V230*Federal_Tax_Rate</f>
        <v>16889.256029908054</v>
      </c>
      <c r="W231" s="157">
        <f t="shared" ref="W231" si="552">W230*Federal_Tax_Rate</f>
        <v>0</v>
      </c>
      <c r="X231" s="158">
        <f t="shared" ref="X231" si="553">X230*Federal_Tax_Rate</f>
        <v>0</v>
      </c>
      <c r="Y231" s="156"/>
    </row>
    <row r="232" spans="1:25" hidden="1" outlineLevel="1">
      <c r="A232" s="95"/>
      <c r="B232" s="15"/>
      <c r="C232" s="128" t="s">
        <v>67</v>
      </c>
      <c r="D232" s="104">
        <f>NPV(Tax_Equity_Rate,E231:X231)</f>
        <v>986668.25202568388</v>
      </c>
      <c r="E232" s="105">
        <f>D232/D236</f>
        <v>0.16764937099629032</v>
      </c>
      <c r="F232" s="99"/>
      <c r="G232" s="99"/>
      <c r="H232" s="99"/>
      <c r="I232" s="99"/>
      <c r="J232" s="99"/>
      <c r="K232" s="99"/>
      <c r="L232" s="99"/>
      <c r="M232" s="261"/>
      <c r="N232" s="261"/>
      <c r="O232" s="261"/>
      <c r="P232" s="261"/>
      <c r="Q232" s="261"/>
      <c r="R232" s="261"/>
      <c r="S232" s="261"/>
      <c r="T232" s="261"/>
      <c r="U232" s="261"/>
      <c r="V232" s="261"/>
      <c r="W232" s="261"/>
      <c r="X232" s="261"/>
      <c r="Y232" s="261"/>
    </row>
    <row r="233" spans="1:25" hidden="1" outlineLevel="1">
      <c r="A233" s="95"/>
      <c r="B233" s="15"/>
      <c r="C233" s="125" t="s">
        <v>129</v>
      </c>
      <c r="D233" s="106">
        <f>NPV(Tax_Equity_Rate,E213:X213)</f>
        <v>1634807.8899600729</v>
      </c>
      <c r="E233" s="107">
        <f>D233/D236</f>
        <v>0.27777777777777773</v>
      </c>
      <c r="F233" s="95"/>
      <c r="G233" s="95"/>
      <c r="H233" s="95"/>
      <c r="I233" s="95"/>
      <c r="J233" s="95"/>
      <c r="K233" s="95"/>
      <c r="L233" s="95"/>
    </row>
    <row r="234" spans="1:25" hidden="1" outlineLevel="1">
      <c r="A234" s="95"/>
      <c r="B234" s="22">
        <f>Assumptions!F16</f>
        <v>0.75900000000000001</v>
      </c>
      <c r="C234" s="125" t="s">
        <v>68</v>
      </c>
      <c r="D234" s="106">
        <f>(D236-D232-D233)*$B234</f>
        <v>2477248.686759715</v>
      </c>
      <c r="E234" s="107">
        <f>D234/D236</f>
        <v>0.42092079408048244</v>
      </c>
      <c r="F234" s="95"/>
      <c r="G234" s="95"/>
      <c r="H234" s="95"/>
      <c r="I234" s="95"/>
      <c r="J234" s="95"/>
      <c r="K234" s="95"/>
      <c r="L234" s="95"/>
    </row>
    <row r="235" spans="1:25" hidden="1" outlineLevel="1">
      <c r="A235" s="95"/>
      <c r="B235" s="22">
        <f>1-B234</f>
        <v>0.24099999999999999</v>
      </c>
      <c r="C235" s="125" t="s">
        <v>69</v>
      </c>
      <c r="D235" s="106">
        <f>(D236-D232-D233)*$B235</f>
        <v>786583.57511079218</v>
      </c>
      <c r="E235" s="107">
        <f>D235/D236</f>
        <v>0.13365205714544962</v>
      </c>
      <c r="F235" s="95"/>
      <c r="G235" s="95"/>
      <c r="H235" s="95"/>
      <c r="I235" s="95"/>
      <c r="J235" s="95"/>
      <c r="K235" s="95"/>
      <c r="L235" s="95"/>
    </row>
    <row r="236" spans="1:25" hidden="1" outlineLevel="1">
      <c r="A236" s="95"/>
      <c r="C236" s="125" t="s">
        <v>70</v>
      </c>
      <c r="D236" s="106">
        <f>-D216</f>
        <v>5885308.4038562635</v>
      </c>
      <c r="E236" s="108"/>
      <c r="F236" s="95"/>
      <c r="G236" s="95"/>
      <c r="H236" s="95"/>
      <c r="I236" s="95"/>
      <c r="J236" s="95"/>
      <c r="K236" s="95"/>
      <c r="L236" s="95"/>
    </row>
    <row r="237" spans="1:25" ht="15.75" hidden="1" outlineLevel="1" thickBot="1">
      <c r="A237" s="95"/>
      <c r="C237" s="127" t="s">
        <v>71</v>
      </c>
      <c r="D237" s="109">
        <f>SUM(D232:D235)-D236</f>
        <v>0</v>
      </c>
      <c r="E237" s="110"/>
      <c r="F237" s="95"/>
      <c r="G237" s="95"/>
      <c r="H237" s="95"/>
      <c r="I237" s="95"/>
      <c r="J237" s="95"/>
      <c r="K237" s="95"/>
      <c r="L237" s="95"/>
    </row>
    <row r="238" spans="1:25" hidden="1" outlineLevel="1">
      <c r="A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</row>
    <row r="239" spans="1:25" ht="15.75" collapsed="1" thickBot="1">
      <c r="A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</row>
    <row r="240" spans="1:25" ht="18.75" thickBot="1">
      <c r="A240" s="95"/>
      <c r="B240" s="82"/>
      <c r="C240" s="484" t="s">
        <v>8</v>
      </c>
      <c r="D240" s="485"/>
      <c r="E240" s="485"/>
      <c r="F240" s="485"/>
      <c r="G240" s="485"/>
      <c r="H240" s="486"/>
      <c r="Y240" s="261"/>
    </row>
    <row r="241" spans="1:25" hidden="1" outlineLevel="1">
      <c r="A241" s="95"/>
      <c r="C241" s="124" t="s">
        <v>44</v>
      </c>
      <c r="D241" s="98"/>
      <c r="E241" s="98">
        <f>'Resource Options'!$E$17*INDEX('DATA (Nominal)'!$B$17:$BX$17,1,MATCH($B$1,'DATA (Nominal)'!$B$1:$BX$1,0))*8760</f>
        <v>12034.754758988021</v>
      </c>
      <c r="F241" s="98">
        <f>E241</f>
        <v>12034.754758988021</v>
      </c>
      <c r="G241" s="98">
        <f t="shared" ref="G241:X241" si="554">F241</f>
        <v>12034.754758988021</v>
      </c>
      <c r="H241" s="98">
        <f t="shared" si="554"/>
        <v>12034.754758988021</v>
      </c>
      <c r="I241" s="98">
        <f t="shared" si="554"/>
        <v>12034.754758988021</v>
      </c>
      <c r="J241" s="98">
        <f t="shared" si="554"/>
        <v>12034.754758988021</v>
      </c>
      <c r="K241" s="98">
        <f t="shared" si="554"/>
        <v>12034.754758988021</v>
      </c>
      <c r="L241" s="98">
        <f t="shared" si="554"/>
        <v>12034.754758988021</v>
      </c>
      <c r="M241" s="142">
        <f t="shared" si="554"/>
        <v>12034.754758988021</v>
      </c>
      <c r="N241" s="142">
        <f t="shared" si="554"/>
        <v>12034.754758988021</v>
      </c>
      <c r="O241" s="142">
        <f t="shared" si="554"/>
        <v>12034.754758988021</v>
      </c>
      <c r="P241" s="142">
        <f t="shared" si="554"/>
        <v>12034.754758988021</v>
      </c>
      <c r="Q241" s="142">
        <f t="shared" si="554"/>
        <v>12034.754758988021</v>
      </c>
      <c r="R241" s="142">
        <f t="shared" si="554"/>
        <v>12034.754758988021</v>
      </c>
      <c r="S241" s="142">
        <f t="shared" si="554"/>
        <v>12034.754758988021</v>
      </c>
      <c r="T241" s="142">
        <f t="shared" si="554"/>
        <v>12034.754758988021</v>
      </c>
      <c r="U241" s="142">
        <f t="shared" si="554"/>
        <v>12034.754758988021</v>
      </c>
      <c r="V241" s="142">
        <f t="shared" si="554"/>
        <v>12034.754758988021</v>
      </c>
      <c r="W241" s="142">
        <f t="shared" si="554"/>
        <v>12034.754758988021</v>
      </c>
      <c r="X241" s="454">
        <f t="shared" si="554"/>
        <v>12034.754758988021</v>
      </c>
      <c r="Y241" s="261"/>
    </row>
    <row r="242" spans="1:25" hidden="1" outlineLevel="1">
      <c r="A242" s="95"/>
      <c r="C242" s="125" t="s">
        <v>45</v>
      </c>
      <c r="D242" s="114"/>
      <c r="E242" s="117">
        <f>INDEX('PPA Summary'!$3:$34,MATCH($C240,'PPA Summary'!$D$3:$D$34,0),MATCH(B$1,'PPA Summary'!$2:$2,0))</f>
        <v>60.920910811966756</v>
      </c>
      <c r="F242" s="112">
        <f>E242</f>
        <v>60.920910811966756</v>
      </c>
      <c r="G242" s="112">
        <f t="shared" ref="G242:X242" si="555">F242</f>
        <v>60.920910811966756</v>
      </c>
      <c r="H242" s="112">
        <f t="shared" si="555"/>
        <v>60.920910811966756</v>
      </c>
      <c r="I242" s="112">
        <f t="shared" si="555"/>
        <v>60.920910811966756</v>
      </c>
      <c r="J242" s="112">
        <f t="shared" si="555"/>
        <v>60.920910811966756</v>
      </c>
      <c r="K242" s="112">
        <f t="shared" si="555"/>
        <v>60.920910811966756</v>
      </c>
      <c r="L242" s="112">
        <f t="shared" si="555"/>
        <v>60.920910811966756</v>
      </c>
      <c r="M242" s="117">
        <f t="shared" si="555"/>
        <v>60.920910811966756</v>
      </c>
      <c r="N242" s="117">
        <f t="shared" si="555"/>
        <v>60.920910811966756</v>
      </c>
      <c r="O242" s="117">
        <f t="shared" si="555"/>
        <v>60.920910811966756</v>
      </c>
      <c r="P242" s="117">
        <f t="shared" si="555"/>
        <v>60.920910811966756</v>
      </c>
      <c r="Q242" s="117">
        <f t="shared" si="555"/>
        <v>60.920910811966756</v>
      </c>
      <c r="R242" s="117">
        <f t="shared" si="555"/>
        <v>60.920910811966756</v>
      </c>
      <c r="S242" s="117">
        <f t="shared" si="555"/>
        <v>60.920910811966756</v>
      </c>
      <c r="T242" s="117">
        <f t="shared" si="555"/>
        <v>60.920910811966756</v>
      </c>
      <c r="U242" s="117">
        <f t="shared" si="555"/>
        <v>60.920910811966756</v>
      </c>
      <c r="V242" s="117">
        <f t="shared" si="555"/>
        <v>60.920910811966756</v>
      </c>
      <c r="W242" s="117">
        <f t="shared" si="555"/>
        <v>60.920910811966756</v>
      </c>
      <c r="X242" s="161">
        <f t="shared" si="555"/>
        <v>60.920910811966756</v>
      </c>
      <c r="Y242" s="261"/>
    </row>
    <row r="243" spans="1:25" hidden="1" outlineLevel="1">
      <c r="A243" s="95"/>
      <c r="C243" s="126" t="s">
        <v>46</v>
      </c>
      <c r="D243" s="114"/>
      <c r="E243" s="114">
        <f>E242*E241</f>
        <v>733168.22131620173</v>
      </c>
      <c r="F243" s="114">
        <f t="shared" ref="F243" si="556">F242*F241</f>
        <v>733168.22131620173</v>
      </c>
      <c r="G243" s="114">
        <f t="shared" ref="G243" si="557">G242*G241</f>
        <v>733168.22131620173</v>
      </c>
      <c r="H243" s="114">
        <f t="shared" ref="H243" si="558">H242*H241</f>
        <v>733168.22131620173</v>
      </c>
      <c r="I243" s="114">
        <f t="shared" ref="I243" si="559">I242*I241</f>
        <v>733168.22131620173</v>
      </c>
      <c r="J243" s="114">
        <f t="shared" ref="J243" si="560">J242*J241</f>
        <v>733168.22131620173</v>
      </c>
      <c r="K243" s="114">
        <f t="shared" ref="K243" si="561">K242*K241</f>
        <v>733168.22131620173</v>
      </c>
      <c r="L243" s="114">
        <f t="shared" ref="L243" si="562">L242*L241</f>
        <v>733168.22131620173</v>
      </c>
      <c r="M243" s="93">
        <f t="shared" ref="M243" si="563">M242*M241</f>
        <v>733168.22131620173</v>
      </c>
      <c r="N243" s="93">
        <f t="shared" ref="N243" si="564">N242*N241</f>
        <v>733168.22131620173</v>
      </c>
      <c r="O243" s="93">
        <f t="shared" ref="O243" si="565">O242*O241</f>
        <v>733168.22131620173</v>
      </c>
      <c r="P243" s="93">
        <f t="shared" ref="P243" si="566">P242*P241</f>
        <v>733168.22131620173</v>
      </c>
      <c r="Q243" s="93">
        <f t="shared" ref="Q243" si="567">Q242*Q241</f>
        <v>733168.22131620173</v>
      </c>
      <c r="R243" s="93">
        <f t="shared" ref="R243" si="568">R242*R241</f>
        <v>733168.22131620173</v>
      </c>
      <c r="S243" s="93">
        <f t="shared" ref="S243" si="569">S242*S241</f>
        <v>733168.22131620173</v>
      </c>
      <c r="T243" s="93">
        <f t="shared" ref="T243" si="570">T242*T241</f>
        <v>733168.22131620173</v>
      </c>
      <c r="U243" s="93">
        <f t="shared" ref="U243" si="571">U242*U241</f>
        <v>733168.22131620173</v>
      </c>
      <c r="V243" s="93">
        <f t="shared" ref="V243" si="572">V242*V241</f>
        <v>733168.22131620173</v>
      </c>
      <c r="W243" s="93">
        <f t="shared" ref="W243" si="573">W242*W241</f>
        <v>733168.22131620173</v>
      </c>
      <c r="X243" s="161">
        <f t="shared" ref="X243" si="574">X242*X241</f>
        <v>733168.22131620173</v>
      </c>
      <c r="Y243" s="261"/>
    </row>
    <row r="244" spans="1:25" hidden="1" outlineLevel="1">
      <c r="A244" s="95"/>
      <c r="C244" s="33"/>
      <c r="D244" s="19"/>
      <c r="E244" s="19"/>
      <c r="F244" s="19"/>
      <c r="G244" s="19"/>
      <c r="H244" s="19"/>
      <c r="I244" s="19"/>
      <c r="J244" s="19"/>
      <c r="K244" s="19"/>
      <c r="L244" s="19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161"/>
      <c r="Y244" s="261"/>
    </row>
    <row r="245" spans="1:25" hidden="1" outlineLevel="1">
      <c r="A245" s="95"/>
      <c r="B245" s="92"/>
      <c r="C245" s="32" t="s">
        <v>47</v>
      </c>
      <c r="D245" s="19"/>
      <c r="E245" s="19">
        <f>'Resource Options'!$E$17*INDEX('DATA (Nominal)'!$B$186:$BX$186,1,MATCH(E$1,'DATA (Nominal)'!$B$1:$BX$1,0))*1000</f>
        <v>134067.63545900746</v>
      </c>
      <c r="F245" s="19">
        <f>'Resource Options'!$E$17*INDEX('DATA (Nominal)'!$B$186:$BX$186,1,MATCH(F$1,'DATA (Nominal)'!$B$1:$BX$1,0))*1000</f>
        <v>132595.59006809295</v>
      </c>
      <c r="G245" s="19">
        <f>'Resource Options'!$E$17*INDEX('DATA (Nominal)'!$B$186:$BX$186,1,MATCH(G$1,'DATA (Nominal)'!$B$1:$BX$1,0))*1000</f>
        <v>131003.64089781277</v>
      </c>
      <c r="H245" s="19">
        <f>'Resource Options'!$E$17*INDEX('DATA (Nominal)'!$B$186:$BX$186,1,MATCH(H$1,'DATA (Nominal)'!$B$1:$BX$1,0))*1000</f>
        <v>129244.7822929351</v>
      </c>
      <c r="I245" s="19">
        <f>'Resource Options'!$E$17*INDEX('DATA (Nominal)'!$B$186:$BX$186,1,MATCH(I$1,'DATA (Nominal)'!$B$1:$BX$1,0))*1000</f>
        <v>127357.38846030811</v>
      </c>
      <c r="J245" s="19">
        <f>'Resource Options'!$E$17*INDEX('DATA (Nominal)'!$B$186:$BX$186,1,MATCH(J$1,'DATA (Nominal)'!$B$1:$BX$1,0))*1000</f>
        <v>125336.44222578709</v>
      </c>
      <c r="K245" s="19">
        <f>'Resource Options'!$E$17*INDEX('DATA (Nominal)'!$B$186:$BX$186,1,MATCH(K$1,'DATA (Nominal)'!$B$1:$BX$1,0))*1000</f>
        <v>127246.40499359855</v>
      </c>
      <c r="L245" s="19">
        <f>'Resource Options'!$E$17*INDEX('DATA (Nominal)'!$B$186:$BX$186,1,MATCH(L$1,'DATA (Nominal)'!$B$1:$BX$1,0))*1000</f>
        <v>129181.97191730843</v>
      </c>
      <c r="M245" s="93">
        <f>'Resource Options'!$E$17*INDEX('DATA (Nominal)'!$B$186:$BX$186,1,MATCH(M$1,'DATA (Nominal)'!$B$1:$BX$1,0))*1000</f>
        <v>131143.35684898184</v>
      </c>
      <c r="N245" s="93">
        <f>'Resource Options'!$E$17*INDEX('DATA (Nominal)'!$B$186:$BX$186,1,MATCH(N$1,'DATA (Nominal)'!$B$1:$BX$1,0))*1000</f>
        <v>133130.77092308627</v>
      </c>
      <c r="O245" s="93">
        <f>'Resource Options'!$E$17*INDEX('DATA (Nominal)'!$B$186:$BX$186,1,MATCH(O$1,'DATA (Nominal)'!$B$1:$BX$1,0))*1000</f>
        <v>135144.42233476535</v>
      </c>
      <c r="P245" s="93">
        <f>'Resource Options'!$E$17*INDEX('DATA (Nominal)'!$B$186:$BX$186,1,MATCH(P$1,'DATA (Nominal)'!$B$1:$BX$1,0))*1000</f>
        <v>137184.51610975136</v>
      </c>
      <c r="Q245" s="93">
        <f>'Resource Options'!$E$17*INDEX('DATA (Nominal)'!$B$186:$BX$186,1,MATCH(Q$1,'DATA (Nominal)'!$B$1:$BX$1,0))*1000</f>
        <v>139251.25386565601</v>
      </c>
      <c r="R245" s="93">
        <f>'Resource Options'!$E$17*INDEX('DATA (Nominal)'!$B$186:$BX$186,1,MATCH(R$1,'DATA (Nominal)'!$B$1:$BX$1,0))*1000</f>
        <v>141344.83356437011</v>
      </c>
      <c r="S245" s="93">
        <f>'Resource Options'!$E$17*INDEX('DATA (Nominal)'!$B$186:$BX$186,1,MATCH(S$1,'DATA (Nominal)'!$B$1:$BX$1,0))*1000</f>
        <v>143465.4492552969</v>
      </c>
      <c r="T245" s="93">
        <f>'Resource Options'!$E$17*INDEX('DATA (Nominal)'!$B$186:$BX$186,1,MATCH(T$1,'DATA (Nominal)'!$B$1:$BX$1,0))*1000</f>
        <v>145613.29080913472</v>
      </c>
      <c r="U245" s="93">
        <f>'Resource Options'!$E$17*INDEX('DATA (Nominal)'!$B$186:$BX$186,1,MATCH(U$1,'DATA (Nominal)'!$B$1:$BX$1,0))*1000</f>
        <v>147788.54364191659</v>
      </c>
      <c r="V245" s="93">
        <f>'Resource Options'!$E$17*INDEX('DATA (Nominal)'!$B$186:$BX$186,1,MATCH(V$1,'DATA (Nominal)'!$B$1:$BX$1,0))*1000</f>
        <v>149991.38842900743</v>
      </c>
      <c r="W245" s="93">
        <f>'Resource Options'!$E$17*INDEX('DATA (Nominal)'!$B$186:$BX$186,1,MATCH(W$1,'DATA (Nominal)'!$B$1:$BX$1,0))*1000</f>
        <v>152222.0008087492</v>
      </c>
      <c r="X245" s="161">
        <f>'Resource Options'!$E$17*INDEX('DATA (Nominal)'!$B$186:$BX$186,1,MATCH(X$1,'DATA (Nominal)'!$B$1:$BX$1,0))*1000</f>
        <v>154480.55107543824</v>
      </c>
      <c r="Y245" s="261"/>
    </row>
    <row r="246" spans="1:25" hidden="1" outlineLevel="1">
      <c r="A246" s="95"/>
      <c r="C246" s="32" t="s">
        <v>48</v>
      </c>
      <c r="D246" s="19"/>
      <c r="E246" s="19">
        <f>E241*INDEX('DATA (Nominal)'!$B$112:$BX$112,1,MATCH(E$1,'DATA (Nominal)'!$B$1:$BX$1,0))</f>
        <v>0</v>
      </c>
      <c r="F246" s="19">
        <f>F241*INDEX('DATA (Nominal)'!$B$112:$BX$112,1,MATCH(F$1,'DATA (Nominal)'!$B$1:$BX$1,0))</f>
        <v>0</v>
      </c>
      <c r="G246" s="19">
        <f>G241*INDEX('DATA (Nominal)'!$B$112:$BX$112,1,MATCH(G$1,'DATA (Nominal)'!$B$1:$BX$1,0))</f>
        <v>0</v>
      </c>
      <c r="H246" s="19">
        <f>H241*INDEX('DATA (Nominal)'!$B$112:$BX$112,1,MATCH(H$1,'DATA (Nominal)'!$B$1:$BX$1,0))</f>
        <v>0</v>
      </c>
      <c r="I246" s="19">
        <f>I241*INDEX('DATA (Nominal)'!$B$112:$BX$112,1,MATCH(I$1,'DATA (Nominal)'!$B$1:$BX$1,0))</f>
        <v>0</v>
      </c>
      <c r="J246" s="19">
        <f>J241*INDEX('DATA (Nominal)'!$B$112:$BX$112,1,MATCH(J$1,'DATA (Nominal)'!$B$1:$BX$1,0))</f>
        <v>0</v>
      </c>
      <c r="K246" s="19">
        <f>K241*INDEX('DATA (Nominal)'!$B$112:$BX$112,1,MATCH(K$1,'DATA (Nominal)'!$B$1:$BX$1,0))</f>
        <v>0</v>
      </c>
      <c r="L246" s="19">
        <f>L241*INDEX('DATA (Nominal)'!$B$112:$BX$112,1,MATCH(L$1,'DATA (Nominal)'!$B$1:$BX$1,0))</f>
        <v>0</v>
      </c>
      <c r="M246" s="93">
        <f>M241*INDEX('DATA (Nominal)'!$B$112:$BX$112,1,MATCH(M$1,'DATA (Nominal)'!$B$1:$BX$1,0))</f>
        <v>0</v>
      </c>
      <c r="N246" s="93">
        <f>N241*INDEX('DATA (Nominal)'!$B$112:$BX$112,1,MATCH(N$1,'DATA (Nominal)'!$B$1:$BX$1,0))</f>
        <v>0</v>
      </c>
      <c r="O246" s="93">
        <f>O241*INDEX('DATA (Nominal)'!$B$112:$BX$112,1,MATCH(O$1,'DATA (Nominal)'!$B$1:$BX$1,0))</f>
        <v>0</v>
      </c>
      <c r="P246" s="93">
        <f>P241*INDEX('DATA (Nominal)'!$B$112:$BX$112,1,MATCH(P$1,'DATA (Nominal)'!$B$1:$BX$1,0))</f>
        <v>0</v>
      </c>
      <c r="Q246" s="93">
        <f>Q241*INDEX('DATA (Nominal)'!$B$112:$BX$112,1,MATCH(Q$1,'DATA (Nominal)'!$B$1:$BX$1,0))</f>
        <v>0</v>
      </c>
      <c r="R246" s="93">
        <f>R241*INDEX('DATA (Nominal)'!$B$112:$BX$112,1,MATCH(R$1,'DATA (Nominal)'!$B$1:$BX$1,0))</f>
        <v>0</v>
      </c>
      <c r="S246" s="93">
        <f>S241*INDEX('DATA (Nominal)'!$B$112:$BX$112,1,MATCH(S$1,'DATA (Nominal)'!$B$1:$BX$1,0))</f>
        <v>0</v>
      </c>
      <c r="T246" s="93">
        <f>T241*INDEX('DATA (Nominal)'!$B$112:$BX$112,1,MATCH(T$1,'DATA (Nominal)'!$B$1:$BX$1,0))</f>
        <v>0</v>
      </c>
      <c r="U246" s="93">
        <f>U241*INDEX('DATA (Nominal)'!$B$112:$BX$112,1,MATCH(U$1,'DATA (Nominal)'!$B$1:$BX$1,0))</f>
        <v>0</v>
      </c>
      <c r="V246" s="93">
        <f>V241*INDEX('DATA (Nominal)'!$B$112:$BX$112,1,MATCH(V$1,'DATA (Nominal)'!$B$1:$BX$1,0))</f>
        <v>0</v>
      </c>
      <c r="W246" s="93">
        <f>W241*INDEX('DATA (Nominal)'!$B$112:$BX$112,1,MATCH(W$1,'DATA (Nominal)'!$B$1:$BX$1,0))</f>
        <v>0</v>
      </c>
      <c r="X246" s="161">
        <f>X241*INDEX('DATA (Nominal)'!$B$112:$BX$112,1,MATCH(X$1,'DATA (Nominal)'!$B$1:$BX$1,0))</f>
        <v>0</v>
      </c>
      <c r="Y246" s="261"/>
    </row>
    <row r="247" spans="1:25" hidden="1" outlineLevel="1">
      <c r="A247" s="95"/>
      <c r="C247" s="32" t="s">
        <v>127</v>
      </c>
      <c r="D247" s="19"/>
      <c r="E247" s="93">
        <f>E243*INDEX('DATA (Nominal)'!$B$332:$BX$332,1,MATCH(E$1,'DATA (Nominal)'!$B$1:$BX$1,0))</f>
        <v>2016.2126086195547</v>
      </c>
      <c r="F247" s="19">
        <f>F243*INDEX('DATA (Nominal)'!$B$332:$BX$332,1,MATCH(F$1,'DATA (Nominal)'!$B$1:$BX$1,0))</f>
        <v>2016.2126086195547</v>
      </c>
      <c r="G247" s="19">
        <f>G243*INDEX('DATA (Nominal)'!$B$332:$BX$332,1,MATCH(G$1,'DATA (Nominal)'!$B$1:$BX$1,0))</f>
        <v>2016.2126086195547</v>
      </c>
      <c r="H247" s="19">
        <f>H243*INDEX('DATA (Nominal)'!$B$332:$BX$332,1,MATCH(H$1,'DATA (Nominal)'!$B$1:$BX$1,0))</f>
        <v>2016.2126086195547</v>
      </c>
      <c r="I247" s="19">
        <f>I243*INDEX('DATA (Nominal)'!$B$332:$BX$332,1,MATCH(I$1,'DATA (Nominal)'!$B$1:$BX$1,0))</f>
        <v>2016.2126086195547</v>
      </c>
      <c r="J247" s="19">
        <f>J243*INDEX('DATA (Nominal)'!$B$332:$BX$332,1,MATCH(J$1,'DATA (Nominal)'!$B$1:$BX$1,0))</f>
        <v>2016.2126086195547</v>
      </c>
      <c r="K247" s="19">
        <f>K243*INDEX('DATA (Nominal)'!$B$332:$BX$332,1,MATCH(K$1,'DATA (Nominal)'!$B$1:$BX$1,0))</f>
        <v>2016.2126086195547</v>
      </c>
      <c r="L247" s="19">
        <f>L243*INDEX('DATA (Nominal)'!$B$332:$BX$332,1,MATCH(L$1,'DATA (Nominal)'!$B$1:$BX$1,0))</f>
        <v>2016.2126086195547</v>
      </c>
      <c r="M247" s="93">
        <f>M243*INDEX('DATA (Nominal)'!$B$332:$BX$332,1,MATCH(M$1,'DATA (Nominal)'!$B$1:$BX$1,0))</f>
        <v>2016.2126086195547</v>
      </c>
      <c r="N247" s="93">
        <f>N243*INDEX('DATA (Nominal)'!$B$332:$BX$332,1,MATCH(N$1,'DATA (Nominal)'!$B$1:$BX$1,0))</f>
        <v>2016.2126086195547</v>
      </c>
      <c r="O247" s="93">
        <f>O243*INDEX('DATA (Nominal)'!$B$332:$BX$332,1,MATCH(O$1,'DATA (Nominal)'!$B$1:$BX$1,0))</f>
        <v>2016.2126086195547</v>
      </c>
      <c r="P247" s="93">
        <f>P243*INDEX('DATA (Nominal)'!$B$332:$BX$332,1,MATCH(P$1,'DATA (Nominal)'!$B$1:$BX$1,0))</f>
        <v>2016.2126086195547</v>
      </c>
      <c r="Q247" s="93">
        <f>Q243*INDEX('DATA (Nominal)'!$B$332:$BX$332,1,MATCH(Q$1,'DATA (Nominal)'!$B$1:$BX$1,0))</f>
        <v>2016.2126086195547</v>
      </c>
      <c r="R247" s="93">
        <f>R243*INDEX('DATA (Nominal)'!$B$332:$BX$332,1,MATCH(R$1,'DATA (Nominal)'!$B$1:$BX$1,0))</f>
        <v>2016.2126086195547</v>
      </c>
      <c r="S247" s="93">
        <f>S243*INDEX('DATA (Nominal)'!$B$332:$BX$332,1,MATCH(S$1,'DATA (Nominal)'!$B$1:$BX$1,0))</f>
        <v>2016.2126086195547</v>
      </c>
      <c r="T247" s="93">
        <f>T243*INDEX('DATA (Nominal)'!$B$332:$BX$332,1,MATCH(T$1,'DATA (Nominal)'!$B$1:$BX$1,0))</f>
        <v>2016.2126086195547</v>
      </c>
      <c r="U247" s="93">
        <f>U243*INDEX('DATA (Nominal)'!$B$332:$BX$332,1,MATCH(U$1,'DATA (Nominal)'!$B$1:$BX$1,0))</f>
        <v>2016.2126086195547</v>
      </c>
      <c r="V247" s="93">
        <f>V243*INDEX('DATA (Nominal)'!$B$332:$BX$332,1,MATCH(V$1,'DATA (Nominal)'!$B$1:$BX$1,0))</f>
        <v>2016.2126086195547</v>
      </c>
      <c r="W247" s="93">
        <f>W243*INDEX('DATA (Nominal)'!$B$332:$BX$332,1,MATCH(W$1,'DATA (Nominal)'!$B$1:$BX$1,0))</f>
        <v>2016.2126086195547</v>
      </c>
      <c r="X247" s="161">
        <f>X243*INDEX('DATA (Nominal)'!$B$332:$BX$332,1,MATCH(X$1,'DATA (Nominal)'!$B$1:$BX$1,0))</f>
        <v>2016.2126086195547</v>
      </c>
      <c r="Y247" s="261"/>
    </row>
    <row r="248" spans="1:25" hidden="1" outlineLevel="1">
      <c r="A248" s="95"/>
      <c r="C248" s="33" t="s">
        <v>49</v>
      </c>
      <c r="D248" s="19"/>
      <c r="E248" s="19">
        <f t="shared" ref="E248:X248" si="575">D267*Property_Tax_Rate</f>
        <v>90915.575462310895</v>
      </c>
      <c r="F248" s="19">
        <f t="shared" si="575"/>
        <v>85849.803238944747</v>
      </c>
      <c r="G248" s="19">
        <f t="shared" si="575"/>
        <v>81066.293412187049</v>
      </c>
      <c r="H248" s="19">
        <f t="shared" si="575"/>
        <v>76549.318456790672</v>
      </c>
      <c r="I248" s="19">
        <f t="shared" si="575"/>
        <v>72284.027177665732</v>
      </c>
      <c r="J248" s="19">
        <f t="shared" si="575"/>
        <v>68256.395881183853</v>
      </c>
      <c r="K248" s="19">
        <f t="shared" si="575"/>
        <v>64453.182267193981</v>
      </c>
      <c r="L248" s="19">
        <f t="shared" si="575"/>
        <v>60861.881890152872</v>
      </c>
      <c r="M248" s="93">
        <f t="shared" si="575"/>
        <v>57470.687046220555</v>
      </c>
      <c r="N248" s="93">
        <f t="shared" si="575"/>
        <v>54268.4479511471</v>
      </c>
      <c r="O248" s="93">
        <f t="shared" si="575"/>
        <v>51244.636081308825</v>
      </c>
      <c r="P248" s="93">
        <f t="shared" si="575"/>
        <v>48389.309557364475</v>
      </c>
      <c r="Q248" s="93">
        <f t="shared" si="575"/>
        <v>45693.08045671734</v>
      </c>
      <c r="R248" s="93">
        <f t="shared" si="575"/>
        <v>43147.083947311425</v>
      </c>
      <c r="S248" s="93">
        <f t="shared" si="575"/>
        <v>40742.94914127759</v>
      </c>
      <c r="T248" s="93">
        <f t="shared" si="575"/>
        <v>38472.771572600541</v>
      </c>
      <c r="U248" s="93">
        <f t="shared" si="575"/>
        <v>36329.087208317062</v>
      </c>
      <c r="V248" s="93">
        <f t="shared" si="575"/>
        <v>34304.847907797739</v>
      </c>
      <c r="W248" s="93">
        <f t="shared" si="575"/>
        <v>32393.398249425805</v>
      </c>
      <c r="X248" s="161">
        <f t="shared" si="575"/>
        <v>30588.453648482198</v>
      </c>
      <c r="Y248" s="261"/>
    </row>
    <row r="249" spans="1:25" hidden="1" outlineLevel="1">
      <c r="A249" s="95"/>
      <c r="C249" s="33" t="s">
        <v>50</v>
      </c>
      <c r="D249" s="19"/>
      <c r="E249" s="19">
        <f>SUM(E245:E248)</f>
        <v>226999.42352993792</v>
      </c>
      <c r="F249" s="19">
        <f t="shared" ref="F249" si="576">SUM(F245:F248)</f>
        <v>220461.60591565724</v>
      </c>
      <c r="G249" s="19">
        <f t="shared" ref="G249" si="577">SUM(G245:G248)</f>
        <v>214086.14691861937</v>
      </c>
      <c r="H249" s="19">
        <f t="shared" ref="H249" si="578">SUM(H245:H248)</f>
        <v>207810.31335834533</v>
      </c>
      <c r="I249" s="19">
        <f t="shared" ref="I249" si="579">SUM(I245:I248)</f>
        <v>201657.62824659341</v>
      </c>
      <c r="J249" s="19">
        <f t="shared" ref="J249" si="580">SUM(J245:J248)</f>
        <v>195609.05071559048</v>
      </c>
      <c r="K249" s="19">
        <f t="shared" ref="K249" si="581">SUM(K245:K248)</f>
        <v>193715.79986941209</v>
      </c>
      <c r="L249" s="19">
        <f t="shared" ref="L249" si="582">SUM(L245:L248)</f>
        <v>192060.06641608087</v>
      </c>
      <c r="M249" s="93">
        <f t="shared" ref="M249" si="583">SUM(M245:M248)</f>
        <v>190630.25650382196</v>
      </c>
      <c r="N249" s="93">
        <f t="shared" ref="N249" si="584">SUM(N245:N248)</f>
        <v>189415.43148285293</v>
      </c>
      <c r="O249" s="93">
        <f t="shared" ref="O249" si="585">SUM(O245:O248)</f>
        <v>188405.27102469373</v>
      </c>
      <c r="P249" s="93">
        <f t="shared" ref="P249" si="586">SUM(P245:P248)</f>
        <v>187590.03827573539</v>
      </c>
      <c r="Q249" s="93">
        <f t="shared" ref="Q249" si="587">SUM(Q245:Q248)</f>
        <v>186960.54693099292</v>
      </c>
      <c r="R249" s="93">
        <f t="shared" ref="R249" si="588">SUM(R245:R248)</f>
        <v>186508.1301203011</v>
      </c>
      <c r="S249" s="93">
        <f t="shared" ref="S249" si="589">SUM(S245:S248)</f>
        <v>186224.61100519405</v>
      </c>
      <c r="T249" s="93">
        <f t="shared" ref="T249" si="590">SUM(T245:T248)</f>
        <v>186102.27499035484</v>
      </c>
      <c r="U249" s="93">
        <f t="shared" ref="U249" si="591">SUM(U245:U248)</f>
        <v>186133.84345885323</v>
      </c>
      <c r="V249" s="93">
        <f t="shared" ref="V249" si="592">SUM(V245:V248)</f>
        <v>186312.44894542475</v>
      </c>
      <c r="W249" s="93">
        <f t="shared" ref="W249" si="593">SUM(W245:W248)</f>
        <v>186631.61166679458</v>
      </c>
      <c r="X249" s="161">
        <f t="shared" ref="X249" si="594">SUM(X245:X248)</f>
        <v>187085.21733253999</v>
      </c>
      <c r="Y249" s="261"/>
    </row>
    <row r="250" spans="1:25" hidden="1" outlineLevel="1">
      <c r="A250" s="95"/>
      <c r="C250" s="33"/>
      <c r="D250" s="19"/>
      <c r="E250" s="19"/>
      <c r="F250" s="19"/>
      <c r="G250" s="19"/>
      <c r="H250" s="19"/>
      <c r="I250" s="19"/>
      <c r="J250" s="19"/>
      <c r="K250" s="19"/>
      <c r="L250" s="19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161"/>
      <c r="Y250" s="261"/>
    </row>
    <row r="251" spans="1:25" hidden="1" outlineLevel="1">
      <c r="A251" s="95"/>
      <c r="C251" s="32" t="s">
        <v>51</v>
      </c>
      <c r="D251" s="19"/>
      <c r="E251" s="19">
        <f>E243-E249</f>
        <v>506168.79778626381</v>
      </c>
      <c r="F251" s="19">
        <f t="shared" ref="F251:X251" si="595">F243-F249</f>
        <v>512706.61540054448</v>
      </c>
      <c r="G251" s="19">
        <f t="shared" si="595"/>
        <v>519082.07439758233</v>
      </c>
      <c r="H251" s="19">
        <f t="shared" si="595"/>
        <v>525357.90795785643</v>
      </c>
      <c r="I251" s="19">
        <f t="shared" si="595"/>
        <v>531510.59306960832</v>
      </c>
      <c r="J251" s="19">
        <f t="shared" si="595"/>
        <v>537559.17060061125</v>
      </c>
      <c r="K251" s="19">
        <f t="shared" si="595"/>
        <v>539452.42144678964</v>
      </c>
      <c r="L251" s="19">
        <f t="shared" si="595"/>
        <v>541108.1549001208</v>
      </c>
      <c r="M251" s="93">
        <f t="shared" si="595"/>
        <v>542537.9648123798</v>
      </c>
      <c r="N251" s="93">
        <f t="shared" si="595"/>
        <v>543752.78983334883</v>
      </c>
      <c r="O251" s="93">
        <f t="shared" si="595"/>
        <v>544762.95029150799</v>
      </c>
      <c r="P251" s="93">
        <f t="shared" si="595"/>
        <v>545578.18304046639</v>
      </c>
      <c r="Q251" s="93">
        <f t="shared" si="595"/>
        <v>546207.67438520887</v>
      </c>
      <c r="R251" s="93">
        <f t="shared" si="595"/>
        <v>546660.09119590069</v>
      </c>
      <c r="S251" s="93">
        <f t="shared" si="595"/>
        <v>546943.61031100771</v>
      </c>
      <c r="T251" s="93">
        <f t="shared" si="595"/>
        <v>547065.94632584695</v>
      </c>
      <c r="U251" s="93">
        <f t="shared" si="595"/>
        <v>547034.37785734853</v>
      </c>
      <c r="V251" s="93">
        <f t="shared" si="595"/>
        <v>546855.77237077698</v>
      </c>
      <c r="W251" s="93">
        <f t="shared" si="595"/>
        <v>546536.60964940721</v>
      </c>
      <c r="X251" s="161">
        <f t="shared" si="595"/>
        <v>546083.00398366177</v>
      </c>
      <c r="Y251" s="261"/>
    </row>
    <row r="252" spans="1:25" hidden="1" outlineLevel="1">
      <c r="A252" s="95"/>
      <c r="C252" s="32" t="s">
        <v>52</v>
      </c>
      <c r="D252" s="19"/>
      <c r="E252" s="93">
        <f>E251-E268-E259</f>
        <v>-1251605.8298211296</v>
      </c>
      <c r="F252" s="19">
        <f t="shared" ref="F252" si="596">F251-F268-F259</f>
        <v>-2166320.8457482271</v>
      </c>
      <c r="G252" s="19">
        <f t="shared" ref="G252" si="597">G251-G268-G259</f>
        <v>-1164363.1575574728</v>
      </c>
      <c r="H252" s="19">
        <f t="shared" ref="H252" si="598">H251-H268-H259</f>
        <v>-557816.53696645214</v>
      </c>
      <c r="I252" s="19">
        <f t="shared" ref="I252" si="599">I251-I268-I259</f>
        <v>-544517.37636921613</v>
      </c>
      <c r="J252" s="19">
        <f t="shared" ref="J252" si="600">J251-J268-J259</f>
        <v>-85806.609737553488</v>
      </c>
      <c r="K252" s="19">
        <f t="shared" ref="K252" si="601">K251-K268-K259</f>
        <v>369163.5044493298</v>
      </c>
      <c r="L252" s="19">
        <f t="shared" ref="L252" si="602">L251-L268-L259</f>
        <v>379210.9251031396</v>
      </c>
      <c r="M252" s="93">
        <f t="shared" ref="M252" si="603">M251-M268-M259</f>
        <v>389493.96501190343</v>
      </c>
      <c r="N252" s="93">
        <f t="shared" ref="N252" si="604">N251-N268-N259</f>
        <v>400048.94767918513</v>
      </c>
      <c r="O252" s="93">
        <f t="shared" ref="O252" si="605">O251-O268-O259</f>
        <v>410912.97445420414</v>
      </c>
      <c r="P252" s="93">
        <f t="shared" ref="P252" si="606">P251-P268-P259</f>
        <v>422124.03616744967</v>
      </c>
      <c r="Q252" s="93">
        <f t="shared" ref="Q252" si="607">Q251-Q268-Q259</f>
        <v>433721.12706951512</v>
      </c>
      <c r="R252" s="93">
        <f t="shared" ref="R252" si="608">R251-R268-R259</f>
        <v>445744.36141318263</v>
      </c>
      <c r="S252" s="93">
        <f t="shared" ref="S252" si="609">S251-S268-S259</f>
        <v>458235.093025579</v>
      </c>
      <c r="T252" s="93">
        <f t="shared" ref="T252" si="610">T251-T268-T259</f>
        <v>471236.03822505847</v>
      </c>
      <c r="U252" s="93">
        <f t="shared" ref="U252" si="611">U251-U268-U259</f>
        <v>484791.40244635555</v>
      </c>
      <c r="V252" s="93">
        <f t="shared" ref="V252" si="612">V251-V268-V259</f>
        <v>498947.01094751828</v>
      </c>
      <c r="W252" s="93">
        <f t="shared" ref="W252" si="613">W251-W268-W259</f>
        <v>513750.4439832081</v>
      </c>
      <c r="X252" s="161">
        <f t="shared" ref="X252" si="614">X251-X268-X259</f>
        <v>529251.17684116052</v>
      </c>
      <c r="Y252" s="261"/>
    </row>
    <row r="253" spans="1:25" hidden="1" outlineLevel="1">
      <c r="A253" s="95"/>
      <c r="C253" s="32" t="s">
        <v>128</v>
      </c>
      <c r="D253" s="19"/>
      <c r="E253" s="19">
        <f>-$D256*INDEX('DATA (Nominal)'!$B$245:$BX$245,1,MATCH($B$1,'DATA (Nominal)'!$B$1:$BX$1,0))</f>
        <v>2727467.2638693266</v>
      </c>
      <c r="F253" s="19"/>
      <c r="G253" s="19"/>
      <c r="H253" s="19"/>
      <c r="I253" s="19"/>
      <c r="J253" s="19"/>
      <c r="K253" s="19"/>
      <c r="L253" s="19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161"/>
      <c r="Y253" s="261"/>
    </row>
    <row r="254" spans="1:25" hidden="1" outlineLevel="1">
      <c r="A254" s="95"/>
      <c r="C254" s="33" t="s">
        <v>54</v>
      </c>
      <c r="D254" s="19"/>
      <c r="E254" s="19">
        <f t="shared" ref="E254:X254" si="615">E252*Federal_Tax_Rate-E253</f>
        <v>-2990304.4881317639</v>
      </c>
      <c r="F254" s="19">
        <f t="shared" si="615"/>
        <v>-454927.37760712765</v>
      </c>
      <c r="G254" s="19">
        <f t="shared" si="615"/>
        <v>-244516.2630870693</v>
      </c>
      <c r="H254" s="19">
        <f t="shared" si="615"/>
        <v>-117141.47276295495</v>
      </c>
      <c r="I254" s="19">
        <f t="shared" si="615"/>
        <v>-114348.64903753539</v>
      </c>
      <c r="J254" s="19">
        <f t="shared" si="615"/>
        <v>-18019.388044886233</v>
      </c>
      <c r="K254" s="19">
        <f t="shared" si="615"/>
        <v>77524.33593435926</v>
      </c>
      <c r="L254" s="19">
        <f t="shared" si="615"/>
        <v>79634.29427165931</v>
      </c>
      <c r="M254" s="93">
        <f t="shared" si="615"/>
        <v>81793.732652499719</v>
      </c>
      <c r="N254" s="93">
        <f t="shared" si="615"/>
        <v>84010.279012628875</v>
      </c>
      <c r="O254" s="93">
        <f t="shared" si="615"/>
        <v>86291.724635382867</v>
      </c>
      <c r="P254" s="93">
        <f t="shared" si="615"/>
        <v>88646.047595164433</v>
      </c>
      <c r="Q254" s="93">
        <f t="shared" si="615"/>
        <v>91081.436684598171</v>
      </c>
      <c r="R254" s="93">
        <f t="shared" si="615"/>
        <v>93606.315896768356</v>
      </c>
      <c r="S254" s="93">
        <f t="shared" si="615"/>
        <v>96229.369535371588</v>
      </c>
      <c r="T254" s="93">
        <f t="shared" si="615"/>
        <v>98959.56802726227</v>
      </c>
      <c r="U254" s="93">
        <f t="shared" si="615"/>
        <v>101806.19451373466</v>
      </c>
      <c r="V254" s="93">
        <f t="shared" si="615"/>
        <v>104778.87229897884</v>
      </c>
      <c r="W254" s="93">
        <f t="shared" si="615"/>
        <v>107887.59323647369</v>
      </c>
      <c r="X254" s="161">
        <f t="shared" si="615"/>
        <v>111142.74713664371</v>
      </c>
      <c r="Y254" s="261"/>
    </row>
    <row r="255" spans="1:25" hidden="1" outlineLevel="1">
      <c r="A255" s="95"/>
      <c r="C255" s="33"/>
      <c r="D255" s="19"/>
      <c r="E255" s="19"/>
      <c r="F255" s="19"/>
      <c r="G255" s="19"/>
      <c r="H255" s="19"/>
      <c r="I255" s="19"/>
      <c r="J255" s="19"/>
      <c r="K255" s="19"/>
      <c r="L255" s="19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161"/>
      <c r="Y255" s="261"/>
    </row>
    <row r="256" spans="1:25" hidden="1" outlineLevel="1">
      <c r="A256" s="95"/>
      <c r="B256" s="37">
        <f>IRR(D256:Y256,0.1)</f>
        <v>7.4999926138533457E-2</v>
      </c>
      <c r="C256" s="32" t="s">
        <v>55</v>
      </c>
      <c r="D256" s="4">
        <f>-(1+AFUDC!$C$17)*INDEX('DATA (Nominal)'!$B$67:$BX$67,1,MATCH($B$1,'DATA (Nominal)'!$B$1:$BX$1,0))*1000000*'Resource Options'!$E$17/1000</f>
        <v>-9091557.5462310892</v>
      </c>
      <c r="E256" s="3">
        <f t="shared" ref="E256:X256" si="616">E251-E254</f>
        <v>3496473.2859180276</v>
      </c>
      <c r="F256" s="19">
        <f t="shared" si="616"/>
        <v>967633.99300767214</v>
      </c>
      <c r="G256" s="19">
        <f t="shared" si="616"/>
        <v>763598.33748465159</v>
      </c>
      <c r="H256" s="19">
        <f t="shared" si="616"/>
        <v>642499.38072081143</v>
      </c>
      <c r="I256" s="19">
        <f t="shared" si="616"/>
        <v>645859.24210714374</v>
      </c>
      <c r="J256" s="19">
        <f t="shared" si="616"/>
        <v>555578.55864549754</v>
      </c>
      <c r="K256" s="19">
        <f t="shared" si="616"/>
        <v>461928.08551243041</v>
      </c>
      <c r="L256" s="19">
        <f t="shared" si="616"/>
        <v>461473.86062846147</v>
      </c>
      <c r="M256" s="93">
        <f t="shared" si="616"/>
        <v>460744.23215988011</v>
      </c>
      <c r="N256" s="93">
        <f t="shared" si="616"/>
        <v>459742.51082071994</v>
      </c>
      <c r="O256" s="93">
        <f t="shared" si="616"/>
        <v>458471.22565612511</v>
      </c>
      <c r="P256" s="93">
        <f t="shared" si="616"/>
        <v>456932.13544530194</v>
      </c>
      <c r="Q256" s="93">
        <f t="shared" si="616"/>
        <v>455126.23770061071</v>
      </c>
      <c r="R256" s="93">
        <f t="shared" si="616"/>
        <v>453053.77529913234</v>
      </c>
      <c r="S256" s="93">
        <f t="shared" si="616"/>
        <v>450714.24077563611</v>
      </c>
      <c r="T256" s="93">
        <f t="shared" si="616"/>
        <v>448106.37829858466</v>
      </c>
      <c r="U256" s="93">
        <f t="shared" si="616"/>
        <v>445228.18334361387</v>
      </c>
      <c r="V256" s="93">
        <f t="shared" si="616"/>
        <v>442076.90007179813</v>
      </c>
      <c r="W256" s="93">
        <f t="shared" si="616"/>
        <v>438649.01641293353</v>
      </c>
      <c r="X256" s="161">
        <f t="shared" si="616"/>
        <v>434940.25684701803</v>
      </c>
      <c r="Y256" s="261">
        <f>D256*-0.3</f>
        <v>2727467.2638693266</v>
      </c>
    </row>
    <row r="257" spans="1:25" hidden="1" outlineLevel="1">
      <c r="A257" s="95"/>
      <c r="B257" s="37">
        <f>IRR(D257:Y257,0.1)</f>
        <v>0.10658677004387718</v>
      </c>
      <c r="C257" s="32" t="s">
        <v>56</v>
      </c>
      <c r="D257" s="6">
        <f>-D273</f>
        <v>-1391109.6810945848</v>
      </c>
      <c r="E257" s="3">
        <f t="shared" ref="E257:X257" si="617">E256-E259-E261-E269-E253</f>
        <v>121572.36973299924</v>
      </c>
      <c r="F257" s="19">
        <f t="shared" si="617"/>
        <v>125459.17805170052</v>
      </c>
      <c r="G257" s="19">
        <f t="shared" si="617"/>
        <v>129147.42934496782</v>
      </c>
      <c r="H257" s="19">
        <f t="shared" si="617"/>
        <v>132682.81667090044</v>
      </c>
      <c r="I257" s="19">
        <f t="shared" si="617"/>
        <v>136042.67805723281</v>
      </c>
      <c r="J257" s="19">
        <f t="shared" si="617"/>
        <v>139237.75266291609</v>
      </c>
      <c r="K257" s="19">
        <f t="shared" si="617"/>
        <v>139063.03759717851</v>
      </c>
      <c r="L257" s="19">
        <f t="shared" si="617"/>
        <v>138608.81271320963</v>
      </c>
      <c r="M257" s="93">
        <f t="shared" si="617"/>
        <v>137879.18424462824</v>
      </c>
      <c r="N257" s="93">
        <f t="shared" si="617"/>
        <v>136877.46290546807</v>
      </c>
      <c r="O257" s="93">
        <f t="shared" si="617"/>
        <v>135606.17774087325</v>
      </c>
      <c r="P257" s="93">
        <f t="shared" si="617"/>
        <v>134067.08753005011</v>
      </c>
      <c r="Q257" s="93">
        <f t="shared" si="617"/>
        <v>132261.18978535885</v>
      </c>
      <c r="R257" s="93">
        <f t="shared" si="617"/>
        <v>130188.72738388047</v>
      </c>
      <c r="S257" s="93">
        <f t="shared" si="617"/>
        <v>127849.19286038424</v>
      </c>
      <c r="T257" s="93">
        <f t="shared" si="617"/>
        <v>125241.33038333282</v>
      </c>
      <c r="U257" s="93">
        <f t="shared" si="617"/>
        <v>122363.13542836197</v>
      </c>
      <c r="V257" s="93">
        <f t="shared" si="617"/>
        <v>119211.85215654626</v>
      </c>
      <c r="W257" s="93">
        <f t="shared" si="617"/>
        <v>115783.96849768166</v>
      </c>
      <c r="X257" s="161">
        <f t="shared" si="617"/>
        <v>112075.20893176616</v>
      </c>
      <c r="Y257" s="261">
        <f>Y256</f>
        <v>2727467.2638693266</v>
      </c>
    </row>
    <row r="258" spans="1:25" hidden="1" outlineLevel="1">
      <c r="A258" s="95"/>
      <c r="B258" s="21"/>
      <c r="C258" s="32"/>
      <c r="D258" s="6"/>
      <c r="E258" s="19"/>
      <c r="F258" s="19"/>
      <c r="G258" s="19"/>
      <c r="H258" s="19"/>
      <c r="I258" s="19"/>
      <c r="J258" s="19"/>
      <c r="K258" s="19"/>
      <c r="L258" s="19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161"/>
      <c r="Y258" s="261"/>
    </row>
    <row r="259" spans="1:25" hidden="1" outlineLevel="1">
      <c r="A259" s="95"/>
      <c r="B259" s="15"/>
      <c r="C259" s="33" t="s">
        <v>57</v>
      </c>
      <c r="D259" s="19"/>
      <c r="E259" s="19">
        <f t="shared" ref="E259:X259" si="618">D262*Debt_Rate</f>
        <v>212209.84474810786</v>
      </c>
      <c r="F259" s="19">
        <f t="shared" si="618"/>
        <v>206123.80857391495</v>
      </c>
      <c r="G259" s="19">
        <f t="shared" si="618"/>
        <v>199703.04041014143</v>
      </c>
      <c r="H259" s="19">
        <f t="shared" si="618"/>
        <v>192929.12999736035</v>
      </c>
      <c r="I259" s="19">
        <f t="shared" si="618"/>
        <v>185782.65451187632</v>
      </c>
      <c r="J259" s="19">
        <f t="shared" si="618"/>
        <v>178243.12287469066</v>
      </c>
      <c r="K259" s="19">
        <f t="shared" si="618"/>
        <v>170288.9169974598</v>
      </c>
      <c r="L259" s="19">
        <f t="shared" si="618"/>
        <v>161897.22979698124</v>
      </c>
      <c r="M259" s="93">
        <f t="shared" si="618"/>
        <v>153043.99980047636</v>
      </c>
      <c r="N259" s="93">
        <f t="shared" si="618"/>
        <v>143703.84215416369</v>
      </c>
      <c r="O259" s="93">
        <f t="shared" si="618"/>
        <v>133849.97583730385</v>
      </c>
      <c r="P259" s="93">
        <f t="shared" si="618"/>
        <v>123454.1468730167</v>
      </c>
      <c r="Q259" s="93">
        <f t="shared" si="618"/>
        <v>112486.54731569377</v>
      </c>
      <c r="R259" s="93">
        <f t="shared" si="618"/>
        <v>100915.72978271807</v>
      </c>
      <c r="S259" s="93">
        <f t="shared" si="618"/>
        <v>88708.517285428723</v>
      </c>
      <c r="T259" s="93">
        <f t="shared" si="618"/>
        <v>75829.908100788452</v>
      </c>
      <c r="U259" s="93">
        <f t="shared" si="618"/>
        <v>62242.975410992956</v>
      </c>
      <c r="V259" s="93">
        <f t="shared" si="618"/>
        <v>47908.761423258715</v>
      </c>
      <c r="W259" s="93">
        <f t="shared" si="618"/>
        <v>32786.165666199093</v>
      </c>
      <c r="X259" s="161">
        <f t="shared" si="618"/>
        <v>16831.827142501192</v>
      </c>
      <c r="Y259" s="261"/>
    </row>
    <row r="260" spans="1:25" hidden="1" outlineLevel="1">
      <c r="A260" s="95"/>
      <c r="B260" s="15"/>
      <c r="C260" s="33" t="s">
        <v>58</v>
      </c>
      <c r="D260" s="19"/>
      <c r="E260" s="19">
        <f t="shared" ref="E260:X260" si="619">-PMT(Debt_Rate,20,$D272)</f>
        <v>322865.04791525187</v>
      </c>
      <c r="F260" s="19">
        <f t="shared" si="619"/>
        <v>322865.04791525187</v>
      </c>
      <c r="G260" s="19">
        <f t="shared" si="619"/>
        <v>322865.04791525187</v>
      </c>
      <c r="H260" s="19">
        <f t="shared" si="619"/>
        <v>322865.04791525187</v>
      </c>
      <c r="I260" s="19">
        <f t="shared" si="619"/>
        <v>322865.04791525187</v>
      </c>
      <c r="J260" s="19">
        <f t="shared" si="619"/>
        <v>322865.04791525187</v>
      </c>
      <c r="K260" s="19">
        <f t="shared" si="619"/>
        <v>322865.04791525187</v>
      </c>
      <c r="L260" s="19">
        <f t="shared" si="619"/>
        <v>322865.04791525187</v>
      </c>
      <c r="M260" s="93">
        <f t="shared" si="619"/>
        <v>322865.04791525187</v>
      </c>
      <c r="N260" s="93">
        <f t="shared" si="619"/>
        <v>322865.04791525187</v>
      </c>
      <c r="O260" s="93">
        <f t="shared" si="619"/>
        <v>322865.04791525187</v>
      </c>
      <c r="P260" s="93">
        <f t="shared" si="619"/>
        <v>322865.04791525187</v>
      </c>
      <c r="Q260" s="93">
        <f t="shared" si="619"/>
        <v>322865.04791525187</v>
      </c>
      <c r="R260" s="93">
        <f t="shared" si="619"/>
        <v>322865.04791525187</v>
      </c>
      <c r="S260" s="93">
        <f t="shared" si="619"/>
        <v>322865.04791525187</v>
      </c>
      <c r="T260" s="93">
        <f t="shared" si="619"/>
        <v>322865.04791525187</v>
      </c>
      <c r="U260" s="93">
        <f t="shared" si="619"/>
        <v>322865.04791525187</v>
      </c>
      <c r="V260" s="93">
        <f t="shared" si="619"/>
        <v>322865.04791525187</v>
      </c>
      <c r="W260" s="93">
        <f t="shared" si="619"/>
        <v>322865.04791525187</v>
      </c>
      <c r="X260" s="161">
        <f t="shared" si="619"/>
        <v>322865.04791525187</v>
      </c>
      <c r="Y260" s="261"/>
    </row>
    <row r="261" spans="1:25" hidden="1" outlineLevel="1">
      <c r="A261" s="95"/>
      <c r="B261" s="15"/>
      <c r="C261" s="33" t="s">
        <v>59</v>
      </c>
      <c r="D261" s="19"/>
      <c r="E261" s="3">
        <f>E260-E259</f>
        <v>110655.20316714401</v>
      </c>
      <c r="F261" s="19">
        <f t="shared" ref="F261" si="620">F260-F259</f>
        <v>116741.23934133691</v>
      </c>
      <c r="G261" s="19">
        <f t="shared" ref="G261" si="621">G260-G259</f>
        <v>123162.00750511044</v>
      </c>
      <c r="H261" s="19">
        <f t="shared" ref="H261" si="622">H260-H259</f>
        <v>129935.91791789152</v>
      </c>
      <c r="I261" s="19">
        <f t="shared" ref="I261" si="623">I260-I259</f>
        <v>137082.39340337555</v>
      </c>
      <c r="J261" s="19">
        <f t="shared" ref="J261" si="624">J260-J259</f>
        <v>144621.92504056121</v>
      </c>
      <c r="K261" s="19">
        <f t="shared" ref="K261" si="625">K260-K259</f>
        <v>152576.13091779206</v>
      </c>
      <c r="L261" s="19">
        <f t="shared" ref="L261" si="626">L260-L259</f>
        <v>160967.81811827063</v>
      </c>
      <c r="M261" s="93">
        <f t="shared" ref="M261" si="627">M260-M259</f>
        <v>169821.04811477551</v>
      </c>
      <c r="N261" s="93">
        <f t="shared" ref="N261" si="628">N260-N259</f>
        <v>179161.20576108817</v>
      </c>
      <c r="O261" s="93">
        <f t="shared" ref="O261" si="629">O260-O259</f>
        <v>189015.07207794802</v>
      </c>
      <c r="P261" s="93">
        <f t="shared" ref="P261" si="630">P260-P259</f>
        <v>199410.90104223517</v>
      </c>
      <c r="Q261" s="93">
        <f t="shared" ref="Q261" si="631">Q260-Q259</f>
        <v>210378.50059955812</v>
      </c>
      <c r="R261" s="93">
        <f t="shared" ref="R261" si="632">R260-R259</f>
        <v>221949.31813253381</v>
      </c>
      <c r="S261" s="93">
        <f t="shared" ref="S261" si="633">S260-S259</f>
        <v>234156.53062982316</v>
      </c>
      <c r="T261" s="93">
        <f t="shared" ref="T261" si="634">T260-T259</f>
        <v>247035.13981446341</v>
      </c>
      <c r="U261" s="93">
        <f t="shared" ref="U261" si="635">U260-U259</f>
        <v>260622.07250425892</v>
      </c>
      <c r="V261" s="93">
        <f t="shared" ref="V261" si="636">V260-V259</f>
        <v>274956.28649199317</v>
      </c>
      <c r="W261" s="93">
        <f t="shared" ref="W261" si="637">W260-W259</f>
        <v>290078.88224905275</v>
      </c>
      <c r="X261" s="161">
        <f t="shared" ref="X261" si="638">X260-X259</f>
        <v>306033.22077275068</v>
      </c>
      <c r="Y261" s="261"/>
    </row>
    <row r="262" spans="1:25" hidden="1" outlineLevel="1">
      <c r="A262" s="95"/>
      <c r="B262" s="15"/>
      <c r="C262" s="33" t="s">
        <v>60</v>
      </c>
      <c r="D262" s="19">
        <f>D272</f>
        <v>3858360.8136019614</v>
      </c>
      <c r="E262" s="19">
        <f>D262-E261</f>
        <v>3747705.6104348172</v>
      </c>
      <c r="F262" s="19">
        <f>E262-F261</f>
        <v>3630964.3710934804</v>
      </c>
      <c r="G262" s="19">
        <f t="shared" ref="G262" si="639">F262-G261</f>
        <v>3507802.3635883699</v>
      </c>
      <c r="H262" s="19">
        <f t="shared" ref="H262" si="640">G262-H261</f>
        <v>3377866.4456704785</v>
      </c>
      <c r="I262" s="19">
        <f t="shared" ref="I262" si="641">H262-I261</f>
        <v>3240784.052267103</v>
      </c>
      <c r="J262" s="19">
        <f t="shared" ref="J262" si="642">I262-J261</f>
        <v>3096162.1272265418</v>
      </c>
      <c r="K262" s="19">
        <f t="shared" ref="K262" si="643">J262-K261</f>
        <v>2943585.9963087495</v>
      </c>
      <c r="L262" s="19">
        <f t="shared" ref="L262" si="644">K262-L261</f>
        <v>2782618.1781904791</v>
      </c>
      <c r="M262" s="93">
        <f t="shared" ref="M262" si="645">L262-M261</f>
        <v>2612797.1300757034</v>
      </c>
      <c r="N262" s="93">
        <f t="shared" ref="N262" si="646">M262-N261</f>
        <v>2433635.9243146153</v>
      </c>
      <c r="O262" s="93">
        <f t="shared" ref="O262" si="647">N262-O261</f>
        <v>2244620.8522366672</v>
      </c>
      <c r="P262" s="93">
        <f t="shared" ref="P262" si="648">O262-P261</f>
        <v>2045209.9511944321</v>
      </c>
      <c r="Q262" s="93">
        <f t="shared" ref="Q262" si="649">P262-Q261</f>
        <v>1834831.4505948741</v>
      </c>
      <c r="R262" s="93">
        <f t="shared" ref="R262" si="650">Q262-R261</f>
        <v>1612882.1324623404</v>
      </c>
      <c r="S262" s="93">
        <f t="shared" ref="S262" si="651">R262-S261</f>
        <v>1378725.6018325172</v>
      </c>
      <c r="T262" s="93">
        <f t="shared" ref="T262" si="652">S262-T261</f>
        <v>1131690.4620180537</v>
      </c>
      <c r="U262" s="93">
        <f t="shared" ref="U262" si="653">T262-U261</f>
        <v>871068.3895137948</v>
      </c>
      <c r="V262" s="93">
        <f t="shared" ref="V262" si="654">U262-V261</f>
        <v>596112.10302180168</v>
      </c>
      <c r="W262" s="93">
        <f t="shared" ref="W262" si="655">V262-W261</f>
        <v>306033.22077274893</v>
      </c>
      <c r="X262" s="161">
        <f t="shared" ref="X262" si="656">W262-X261</f>
        <v>-1.7462298274040222E-9</v>
      </c>
      <c r="Y262" s="261"/>
    </row>
    <row r="263" spans="1:25" hidden="1" outlineLevel="1">
      <c r="A263" s="95"/>
      <c r="B263" s="15"/>
      <c r="C263" s="32"/>
      <c r="D263" s="19"/>
      <c r="E263" s="19"/>
      <c r="F263" s="19"/>
      <c r="G263" s="19"/>
      <c r="H263" s="19"/>
      <c r="I263" s="19"/>
      <c r="J263" s="19"/>
      <c r="K263" s="19"/>
      <c r="L263" s="19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161"/>
      <c r="Y263" s="261"/>
    </row>
    <row r="264" spans="1:25" hidden="1" outlineLevel="1">
      <c r="A264" s="95"/>
      <c r="B264" s="15"/>
      <c r="C264" s="33" t="s">
        <v>61</v>
      </c>
      <c r="D264" s="19"/>
      <c r="E264" s="19">
        <f t="shared" ref="E264:X264" si="657">-$D256/25</f>
        <v>363662.30184924358</v>
      </c>
      <c r="F264" s="19">
        <f t="shared" si="657"/>
        <v>363662.30184924358</v>
      </c>
      <c r="G264" s="19">
        <f t="shared" si="657"/>
        <v>363662.30184924358</v>
      </c>
      <c r="H264" s="19">
        <f t="shared" si="657"/>
        <v>363662.30184924358</v>
      </c>
      <c r="I264" s="19">
        <f t="shared" si="657"/>
        <v>363662.30184924358</v>
      </c>
      <c r="J264" s="19">
        <f t="shared" si="657"/>
        <v>363662.30184924358</v>
      </c>
      <c r="K264" s="19">
        <f t="shared" si="657"/>
        <v>363662.30184924358</v>
      </c>
      <c r="L264" s="19">
        <f t="shared" si="657"/>
        <v>363662.30184924358</v>
      </c>
      <c r="M264" s="93">
        <f t="shared" si="657"/>
        <v>363662.30184924358</v>
      </c>
      <c r="N264" s="93">
        <f t="shared" si="657"/>
        <v>363662.30184924358</v>
      </c>
      <c r="O264" s="93">
        <f t="shared" si="657"/>
        <v>363662.30184924358</v>
      </c>
      <c r="P264" s="93">
        <f t="shared" si="657"/>
        <v>363662.30184924358</v>
      </c>
      <c r="Q264" s="93">
        <f t="shared" si="657"/>
        <v>363662.30184924358</v>
      </c>
      <c r="R264" s="93">
        <f t="shared" si="657"/>
        <v>363662.30184924358</v>
      </c>
      <c r="S264" s="93">
        <f t="shared" si="657"/>
        <v>363662.30184924358</v>
      </c>
      <c r="T264" s="93">
        <f t="shared" si="657"/>
        <v>363662.30184924358</v>
      </c>
      <c r="U264" s="93">
        <f t="shared" si="657"/>
        <v>363662.30184924358</v>
      </c>
      <c r="V264" s="93">
        <f t="shared" si="657"/>
        <v>363662.30184924358</v>
      </c>
      <c r="W264" s="93">
        <f t="shared" si="657"/>
        <v>363662.30184924358</v>
      </c>
      <c r="X264" s="161">
        <f t="shared" si="657"/>
        <v>363662.30184924358</v>
      </c>
      <c r="Y264" s="261"/>
    </row>
    <row r="265" spans="1:25" hidden="1" outlineLevel="1">
      <c r="A265" s="95"/>
      <c r="B265" s="15"/>
      <c r="C265" s="32" t="s">
        <v>62</v>
      </c>
      <c r="D265" s="19"/>
      <c r="E265" s="19">
        <f>SUM($E264:E264)</f>
        <v>363662.30184924358</v>
      </c>
      <c r="F265" s="19">
        <f>SUM($E264:F264)</f>
        <v>727324.60369848716</v>
      </c>
      <c r="G265" s="19">
        <f>SUM($E264:G264)</f>
        <v>1090986.9055477306</v>
      </c>
      <c r="H265" s="19">
        <f>SUM($E264:H264)</f>
        <v>1454649.2073969743</v>
      </c>
      <c r="I265" s="19">
        <f>SUM($E264:I264)</f>
        <v>1818311.509246218</v>
      </c>
      <c r="J265" s="19">
        <f>SUM($E264:J264)</f>
        <v>2181973.8110954617</v>
      </c>
      <c r="K265" s="19">
        <f>SUM($E264:K264)</f>
        <v>2545636.1129447054</v>
      </c>
      <c r="L265" s="19">
        <f>SUM($E264:L264)</f>
        <v>2909298.4147939491</v>
      </c>
      <c r="M265" s="93">
        <f>SUM($E264:M264)</f>
        <v>3272960.7166431928</v>
      </c>
      <c r="N265" s="93">
        <f>SUM($E264:N264)</f>
        <v>3636623.0184924365</v>
      </c>
      <c r="O265" s="93">
        <f>SUM($E264:O264)</f>
        <v>4000285.3203416802</v>
      </c>
      <c r="P265" s="93">
        <f>SUM($E264:P264)</f>
        <v>4363947.6221909234</v>
      </c>
      <c r="Q265" s="93">
        <f>SUM($E264:Q264)</f>
        <v>4727609.9240401667</v>
      </c>
      <c r="R265" s="93">
        <f>SUM($E264:R264)</f>
        <v>5091272.2258894099</v>
      </c>
      <c r="S265" s="93">
        <f>SUM($E264:S264)</f>
        <v>5454934.5277386531</v>
      </c>
      <c r="T265" s="93">
        <f>SUM($E264:T264)</f>
        <v>5818596.8295878964</v>
      </c>
      <c r="U265" s="93">
        <f>SUM($E264:U264)</f>
        <v>6182259.1314371396</v>
      </c>
      <c r="V265" s="93">
        <f>SUM($E264:V264)</f>
        <v>6545921.4332863828</v>
      </c>
      <c r="W265" s="93">
        <f>SUM($E264:W264)</f>
        <v>6909583.735135626</v>
      </c>
      <c r="X265" s="161">
        <f>SUM($E264:X264)</f>
        <v>7273246.0369848693</v>
      </c>
      <c r="Y265" s="261"/>
    </row>
    <row r="266" spans="1:25" hidden="1" outlineLevel="1">
      <c r="A266" s="95"/>
      <c r="B266" s="15"/>
      <c r="C266" s="32" t="s">
        <v>63</v>
      </c>
      <c r="D266" s="19"/>
      <c r="E266" s="19">
        <f t="shared" ref="E266" si="658">-$D256-E265</f>
        <v>8727895.244381845</v>
      </c>
      <c r="F266" s="19">
        <f t="shared" ref="F266" si="659">-$D256-F265</f>
        <v>8364232.9425326018</v>
      </c>
      <c r="G266" s="19">
        <f t="shared" ref="G266" si="660">-$D256-G265</f>
        <v>8000570.6406833585</v>
      </c>
      <c r="H266" s="3">
        <f>-$D256-H265</f>
        <v>7636908.3388341144</v>
      </c>
      <c r="I266" s="19">
        <f t="shared" ref="I266" si="661">-$D256-I265</f>
        <v>7273246.0369848711</v>
      </c>
      <c r="J266" s="19">
        <f t="shared" ref="J266" si="662">-$D256-J265</f>
        <v>6909583.7351356279</v>
      </c>
      <c r="K266" s="19">
        <f t="shared" ref="K266" si="663">-$D256-K265</f>
        <v>6545921.4332863837</v>
      </c>
      <c r="L266" s="19">
        <f t="shared" ref="L266" si="664">-$D256-L265</f>
        <v>6182259.1314371396</v>
      </c>
      <c r="M266" s="93">
        <f t="shared" ref="M266" si="665">-$D256-M265</f>
        <v>5818596.8295878964</v>
      </c>
      <c r="N266" s="93">
        <f t="shared" ref="N266" si="666">-$D256-N265</f>
        <v>5454934.5277386531</v>
      </c>
      <c r="O266" s="93">
        <f t="shared" ref="O266" si="667">-$D256-O265</f>
        <v>5091272.225889409</v>
      </c>
      <c r="P266" s="93">
        <f t="shared" ref="P266" si="668">-$D256-P265</f>
        <v>4727609.9240401657</v>
      </c>
      <c r="Q266" s="93">
        <f t="shared" ref="Q266" si="669">-$D256-Q265</f>
        <v>4363947.6221909225</v>
      </c>
      <c r="R266" s="93">
        <f t="shared" ref="R266" si="670">-$D256-R265</f>
        <v>4000285.3203416793</v>
      </c>
      <c r="S266" s="93">
        <f t="shared" ref="S266" si="671">-$D256-S265</f>
        <v>3636623.018492436</v>
      </c>
      <c r="T266" s="93">
        <f t="shared" ref="T266" si="672">-$D256-T265</f>
        <v>3272960.7166431928</v>
      </c>
      <c r="U266" s="93">
        <f t="shared" ref="U266" si="673">-$D256-U265</f>
        <v>2909298.4147939496</v>
      </c>
      <c r="V266" s="93">
        <f t="shared" ref="V266" si="674">-$D256-V265</f>
        <v>2545636.1129447063</v>
      </c>
      <c r="W266" s="93">
        <f t="shared" ref="W266" si="675">-$D256-W265</f>
        <v>2181973.8110954631</v>
      </c>
      <c r="X266" s="161">
        <f t="shared" ref="X266" si="676">-$D256-X265</f>
        <v>1818311.5092462199</v>
      </c>
      <c r="Y266" s="261"/>
    </row>
    <row r="267" spans="1:25" hidden="1" outlineLevel="1">
      <c r="A267" s="95"/>
      <c r="B267" s="15"/>
      <c r="C267" s="32" t="s">
        <v>64</v>
      </c>
      <c r="D267" s="19">
        <f>-D256</f>
        <v>9091557.5462310892</v>
      </c>
      <c r="E267" s="19">
        <f>D267/(($D267/$Y267)^(1/21))</f>
        <v>8584980.3238944747</v>
      </c>
      <c r="F267" s="19">
        <f t="shared" ref="F267:J267" si="677">E267/(($D267/$Y267)^(1/21))</f>
        <v>8106629.3412187044</v>
      </c>
      <c r="G267" s="19">
        <f t="shared" si="677"/>
        <v>7654931.8456790671</v>
      </c>
      <c r="H267" s="19">
        <f t="shared" si="677"/>
        <v>7228402.7177665727</v>
      </c>
      <c r="I267" s="19">
        <f t="shared" si="677"/>
        <v>6825639.5881183855</v>
      </c>
      <c r="J267" s="3">
        <f t="shared" si="677"/>
        <v>6445318.2267193981</v>
      </c>
      <c r="K267" s="3">
        <f>J267/(($D267/$Y267)^(1/21))</f>
        <v>6086188.189015287</v>
      </c>
      <c r="L267" s="19">
        <f t="shared" ref="L267:V267" si="678">K267/(($D267/$Y267)^(1/21))</f>
        <v>5747068.7046220554</v>
      </c>
      <c r="M267" s="93">
        <f t="shared" si="678"/>
        <v>5426844.79511471</v>
      </c>
      <c r="N267" s="93">
        <f t="shared" si="678"/>
        <v>5124463.6081308825</v>
      </c>
      <c r="O267" s="93">
        <f t="shared" si="678"/>
        <v>4838930.9557364471</v>
      </c>
      <c r="P267" s="93">
        <f t="shared" si="678"/>
        <v>4569308.045671734</v>
      </c>
      <c r="Q267" s="93">
        <f t="shared" si="678"/>
        <v>4314708.3947311426</v>
      </c>
      <c r="R267" s="93">
        <f t="shared" si="678"/>
        <v>4074294.9141277587</v>
      </c>
      <c r="S267" s="93">
        <f t="shared" si="678"/>
        <v>3847277.1572600538</v>
      </c>
      <c r="T267" s="93">
        <f t="shared" si="678"/>
        <v>3632908.7208317057</v>
      </c>
      <c r="U267" s="93">
        <f t="shared" si="678"/>
        <v>3430484.7907797741</v>
      </c>
      <c r="V267" s="93">
        <f t="shared" si="678"/>
        <v>3239339.8249425804</v>
      </c>
      <c r="W267" s="93">
        <f>V267/(($D267/$Y267)^(1/21))</f>
        <v>3058845.3648482198</v>
      </c>
      <c r="X267" s="161">
        <f t="shared" ref="X267" si="679">W267/(($D267/$Y267)^(1/21))</f>
        <v>2888407.9694291693</v>
      </c>
      <c r="Y267" s="261">
        <f>Y256</f>
        <v>2727467.2638693266</v>
      </c>
    </row>
    <row r="268" spans="1:25" hidden="1" outlineLevel="1">
      <c r="A268" s="95"/>
      <c r="B268" s="15"/>
      <c r="C268" s="33" t="s">
        <v>65</v>
      </c>
      <c r="D268" s="19"/>
      <c r="E268" s="19">
        <f>-$D256*Assumptions!J$17*INDEX('DATA (Nominal)'!$B$347:$BX$347,1,MATCH($B$1,'DATA (Nominal)'!$B$1:$BX$1,0))</f>
        <v>1545564.7828592854</v>
      </c>
      <c r="F268" s="19">
        <f>-$D256*Assumptions!K$17*INDEX('DATA (Nominal)'!$B$347:$BX$347,1,MATCH($B$1,'DATA (Nominal)'!$B$1:$BX$1,0))</f>
        <v>2472903.6525748563</v>
      </c>
      <c r="G268" s="19">
        <f>-$D256*Assumptions!L$17*INDEX('DATA (Nominal)'!$B$347:$BX$347,1,MATCH($B$1,'DATA (Nominal)'!$B$1:$BX$1,0))</f>
        <v>1483742.1915449137</v>
      </c>
      <c r="H268" s="19">
        <f>-$D256*Assumptions!M$17*INDEX('DATA (Nominal)'!$B$347:$BX$347,1,MATCH($B$1,'DATA (Nominal)'!$B$1:$BX$1,0))</f>
        <v>890245.31492694817</v>
      </c>
      <c r="I268" s="19">
        <f>-$D256*Assumptions!N$17*INDEX('DATA (Nominal)'!$B$347:$BX$347,1,MATCH($B$1,'DATA (Nominal)'!$B$1:$BX$1,0))</f>
        <v>890245.31492694817</v>
      </c>
      <c r="J268" s="19">
        <f>-$D256*Assumptions!O$17*INDEX('DATA (Nominal)'!$B$347:$BX$347,1,MATCH($B$1,'DATA (Nominal)'!$B$1:$BX$1,0))</f>
        <v>445122.65746347408</v>
      </c>
      <c r="K268" s="19">
        <f>-$D256*Assumptions!P$17*INDEX('DATA (Nominal)'!$B$347:$BX$347,1,MATCH($B$1,'DATA (Nominal)'!$B$1:$BX$1,0))</f>
        <v>0</v>
      </c>
      <c r="L268" s="19">
        <f>-$D256*Assumptions!Q$17*INDEX('DATA (Nominal)'!$B$347:$BX$347,1,MATCH($B$1,'DATA (Nominal)'!$B$1:$BX$1,0))</f>
        <v>0</v>
      </c>
      <c r="M268" s="93">
        <f>-$D256*Assumptions!R$17*INDEX('DATA (Nominal)'!$B$347:$BX$347,1,MATCH($B$1,'DATA (Nominal)'!$B$1:$BX$1,0))</f>
        <v>0</v>
      </c>
      <c r="N268" s="93">
        <f>-$D256*Assumptions!S$17*INDEX('DATA (Nominal)'!$B$347:$BX$347,1,MATCH($B$1,'DATA (Nominal)'!$B$1:$BX$1,0))</f>
        <v>0</v>
      </c>
      <c r="O268" s="93">
        <f>-$D256*Assumptions!T$17*INDEX('DATA (Nominal)'!$B$347:$BX$347,1,MATCH($B$1,'DATA (Nominal)'!$B$1:$BX$1,0))</f>
        <v>0</v>
      </c>
      <c r="P268" s="93">
        <f>-$D256*Assumptions!U$17*INDEX('DATA (Nominal)'!$B$347:$BX$347,1,MATCH($B$1,'DATA (Nominal)'!$B$1:$BX$1,0))</f>
        <v>0</v>
      </c>
      <c r="Q268" s="93">
        <f>-$D256*Assumptions!V$17*INDEX('DATA (Nominal)'!$B$347:$BX$347,1,MATCH($B$1,'DATA (Nominal)'!$B$1:$BX$1,0))</f>
        <v>0</v>
      </c>
      <c r="R268" s="93">
        <f>-$D256*Assumptions!W$17*INDEX('DATA (Nominal)'!$B$347:$BX$347,1,MATCH($B$1,'DATA (Nominal)'!$B$1:$BX$1,0))</f>
        <v>0</v>
      </c>
      <c r="S268" s="93">
        <f>-$D256*Assumptions!X$17*INDEX('DATA (Nominal)'!$B$347:$BX$347,1,MATCH($B$1,'DATA (Nominal)'!$B$1:$BX$1,0))</f>
        <v>0</v>
      </c>
      <c r="T268" s="93">
        <f>-$D256*Assumptions!Y$17*INDEX('DATA (Nominal)'!$B$347:$BX$347,1,MATCH($B$1,'DATA (Nominal)'!$B$1:$BX$1,0))</f>
        <v>0</v>
      </c>
      <c r="U268" s="93">
        <f>-$D256*Assumptions!Z$17*INDEX('DATA (Nominal)'!$B$347:$BX$347,1,MATCH($B$1,'DATA (Nominal)'!$B$1:$BX$1,0))</f>
        <v>0</v>
      </c>
      <c r="V268" s="93">
        <f>-$D256*Assumptions!AA$17*INDEX('DATA (Nominal)'!$B$347:$BX$347,1,MATCH($B$1,'DATA (Nominal)'!$B$1:$BX$1,0))</f>
        <v>0</v>
      </c>
      <c r="W268" s="93">
        <f>-$D256*Assumptions!AB$17*INDEX('DATA (Nominal)'!$B$347:$BX$347,1,MATCH($B$1,'DATA (Nominal)'!$B$1:$BX$1,0))</f>
        <v>0</v>
      </c>
      <c r="X268" s="455">
        <f>-$D256*Assumptions!AC$17*INDEX('DATA (Nominal)'!$B$347:$BX$347,1,MATCH($B$1,'DATA (Nominal)'!$B$1:$BX$1,0))</f>
        <v>0</v>
      </c>
      <c r="Y268" s="261"/>
    </row>
    <row r="269" spans="1:25" ht="15.75" hidden="1" outlineLevel="1" thickBot="1">
      <c r="A269" s="95"/>
      <c r="B269" s="15"/>
      <c r="C269" s="34" t="s">
        <v>66</v>
      </c>
      <c r="D269" s="7"/>
      <c r="E269" s="7">
        <f t="shared" ref="E269:X269" si="680">E268*Federal_Tax_Rate</f>
        <v>324568.6044004499</v>
      </c>
      <c r="F269" s="7">
        <f t="shared" si="680"/>
        <v>519309.7670407198</v>
      </c>
      <c r="G269" s="7">
        <f t="shared" si="680"/>
        <v>311585.86022443185</v>
      </c>
      <c r="H269" s="7">
        <f t="shared" si="680"/>
        <v>186951.51613465912</v>
      </c>
      <c r="I269" s="7">
        <f t="shared" si="680"/>
        <v>186951.51613465912</v>
      </c>
      <c r="J269" s="7">
        <f t="shared" si="680"/>
        <v>93475.75806732956</v>
      </c>
      <c r="K269" s="7">
        <f t="shared" si="680"/>
        <v>0</v>
      </c>
      <c r="L269" s="7">
        <f t="shared" si="680"/>
        <v>0</v>
      </c>
      <c r="M269" s="456">
        <f t="shared" si="680"/>
        <v>0</v>
      </c>
      <c r="N269" s="456">
        <f t="shared" si="680"/>
        <v>0</v>
      </c>
      <c r="O269" s="456">
        <f t="shared" si="680"/>
        <v>0</v>
      </c>
      <c r="P269" s="456">
        <f t="shared" si="680"/>
        <v>0</v>
      </c>
      <c r="Q269" s="456">
        <f t="shared" si="680"/>
        <v>0</v>
      </c>
      <c r="R269" s="456">
        <f t="shared" si="680"/>
        <v>0</v>
      </c>
      <c r="S269" s="456">
        <f t="shared" si="680"/>
        <v>0</v>
      </c>
      <c r="T269" s="456">
        <f t="shared" si="680"/>
        <v>0</v>
      </c>
      <c r="U269" s="456">
        <f t="shared" si="680"/>
        <v>0</v>
      </c>
      <c r="V269" s="456">
        <f t="shared" si="680"/>
        <v>0</v>
      </c>
      <c r="W269" s="456">
        <f t="shared" si="680"/>
        <v>0</v>
      </c>
      <c r="X269" s="457">
        <f t="shared" si="680"/>
        <v>0</v>
      </c>
      <c r="Y269" s="261"/>
    </row>
    <row r="270" spans="1:25" hidden="1" outlineLevel="1">
      <c r="A270" s="95"/>
      <c r="B270" s="15"/>
      <c r="C270" s="35" t="s">
        <v>67</v>
      </c>
      <c r="D270" s="8">
        <f>NPV(Tax_Equity_Rate,E269:X269)</f>
        <v>1316654.399803685</v>
      </c>
      <c r="E270" s="9">
        <f>D270/D274</f>
        <v>0.14482165383746648</v>
      </c>
      <c r="F270" s="3"/>
      <c r="G270" s="3"/>
      <c r="H270" s="3"/>
      <c r="I270" s="3"/>
      <c r="J270" s="3"/>
      <c r="K270" s="3"/>
      <c r="L270" s="3"/>
      <c r="M270" s="261"/>
      <c r="N270" s="261"/>
      <c r="O270" s="261"/>
      <c r="P270" s="261"/>
      <c r="Q270" s="261"/>
      <c r="R270" s="261"/>
      <c r="S270" s="261"/>
      <c r="T270" s="261"/>
      <c r="U270" s="261"/>
      <c r="V270" s="261"/>
      <c r="W270" s="261"/>
      <c r="X270" s="261"/>
      <c r="Y270" s="261"/>
    </row>
    <row r="271" spans="1:25" hidden="1" outlineLevel="1">
      <c r="A271" s="95"/>
      <c r="B271" s="15"/>
      <c r="C271" s="32" t="s">
        <v>129</v>
      </c>
      <c r="D271" s="10">
        <f>NPV(Tax_Equity_Rate,E253:X253)</f>
        <v>2525432.6517308578</v>
      </c>
      <c r="E271" s="11">
        <f>D271/D274</f>
        <v>0.27777777777777773</v>
      </c>
    </row>
    <row r="272" spans="1:25" hidden="1" outlineLevel="1">
      <c r="A272" s="95"/>
      <c r="B272" s="22">
        <f>Assumptions!F17</f>
        <v>0.73499999999999999</v>
      </c>
      <c r="C272" s="32" t="s">
        <v>68</v>
      </c>
      <c r="D272" s="10">
        <f>(D274-D270-D271)*$B272</f>
        <v>3858360.8136019614</v>
      </c>
      <c r="E272" s="11">
        <f>D272/D274</f>
        <v>0.42438941776279548</v>
      </c>
    </row>
    <row r="273" spans="1:25" hidden="1" outlineLevel="1">
      <c r="A273" s="95"/>
      <c r="B273" s="22">
        <f>1-B272</f>
        <v>0.26500000000000001</v>
      </c>
      <c r="C273" s="32" t="s">
        <v>69</v>
      </c>
      <c r="D273" s="10">
        <f>(D274-D270-D271)*$B273</f>
        <v>1391109.6810945848</v>
      </c>
      <c r="E273" s="11">
        <f>D273/D274</f>
        <v>0.15301115062196027</v>
      </c>
    </row>
    <row r="274" spans="1:25" hidden="1" outlineLevel="1">
      <c r="A274" s="95"/>
      <c r="C274" s="32" t="s">
        <v>70</v>
      </c>
      <c r="D274" s="10">
        <f>-D256</f>
        <v>9091557.5462310892</v>
      </c>
      <c r="E274" s="12"/>
    </row>
    <row r="275" spans="1:25" ht="15.75" hidden="1" outlineLevel="1" thickBot="1">
      <c r="A275" s="95"/>
      <c r="C275" s="34" t="s">
        <v>71</v>
      </c>
      <c r="D275" s="13">
        <f>SUM(D270:D273)-D274</f>
        <v>0</v>
      </c>
      <c r="E275" s="14"/>
    </row>
    <row r="276" spans="1:25" hidden="1" outlineLevel="1">
      <c r="A276" s="95"/>
    </row>
    <row r="277" spans="1:25" ht="15.75" collapsed="1" thickBot="1">
      <c r="A277" s="95"/>
    </row>
    <row r="278" spans="1:25" ht="18.75" thickBot="1">
      <c r="A278" s="86"/>
      <c r="B278" s="82"/>
      <c r="C278" s="484" t="s">
        <v>9</v>
      </c>
      <c r="D278" s="485"/>
      <c r="E278" s="485"/>
      <c r="F278" s="485"/>
      <c r="G278" s="485"/>
      <c r="H278" s="486"/>
      <c r="I278" s="95"/>
      <c r="J278" s="95"/>
      <c r="K278" s="95"/>
      <c r="L278" s="95"/>
      <c r="Y278" s="261"/>
    </row>
    <row r="279" spans="1:25" hidden="1" outlineLevel="1">
      <c r="A279" s="95"/>
      <c r="C279" s="124" t="s">
        <v>44</v>
      </c>
      <c r="D279" s="153"/>
      <c r="E279" s="153">
        <f>'Resource Options'!$E$18*INDEX('DATA (Nominal)'!$B$18:$BX$18,1,MATCH($B$1,'DATA (Nominal)'!$B$1:$BX$1,0))*8760</f>
        <v>12034.754758988021</v>
      </c>
      <c r="F279" s="153">
        <f>'Resource Options'!$E$18*INDEX('DATA (Nominal)'!$B$18:$BX$18,1,MATCH($B$1,'DATA (Nominal)'!$B$1:$BX$1,0))*8760</f>
        <v>12034.754758988021</v>
      </c>
      <c r="G279" s="153">
        <f>'Resource Options'!$E$18*INDEX('DATA (Nominal)'!$B$18:$BX$18,1,MATCH($B$1,'DATA (Nominal)'!$B$1:$BX$1,0))*8760</f>
        <v>12034.754758988021</v>
      </c>
      <c r="H279" s="153">
        <f>'Resource Options'!$E$18*INDEX('DATA (Nominal)'!$B$18:$BX$18,1,MATCH($B$1,'DATA (Nominal)'!$B$1:$BX$1,0))*8760</f>
        <v>12034.754758988021</v>
      </c>
      <c r="I279" s="153">
        <f>'Resource Options'!$E$18*INDEX('DATA (Nominal)'!$B$18:$BX$18,1,MATCH($B$1,'DATA (Nominal)'!$B$1:$BX$1,0))*8760</f>
        <v>12034.754758988021</v>
      </c>
      <c r="J279" s="153">
        <f>'Resource Options'!$E$18*INDEX('DATA (Nominal)'!$B$18:$BX$18,1,MATCH($B$1,'DATA (Nominal)'!$B$1:$BX$1,0))*8760</f>
        <v>12034.754758988021</v>
      </c>
      <c r="K279" s="153">
        <f>'Resource Options'!$E$18*INDEX('DATA (Nominal)'!$B$18:$BX$18,1,MATCH($B$1,'DATA (Nominal)'!$B$1:$BX$1,0))*8760</f>
        <v>12034.754758988021</v>
      </c>
      <c r="L279" s="153">
        <f>'Resource Options'!$E$18*INDEX('DATA (Nominal)'!$B$18:$BX$18,1,MATCH($B$1,'DATA (Nominal)'!$B$1:$BX$1,0))*8760</f>
        <v>12034.754758988021</v>
      </c>
      <c r="M279" s="153">
        <f>'Resource Options'!$E$18*INDEX('DATA (Nominal)'!$B$18:$BX$18,1,MATCH($B$1,'DATA (Nominal)'!$B$1:$BX$1,0))*8760</f>
        <v>12034.754758988021</v>
      </c>
      <c r="N279" s="153">
        <f>'Resource Options'!$E$18*INDEX('DATA (Nominal)'!$B$18:$BX$18,1,MATCH($B$1,'DATA (Nominal)'!$B$1:$BX$1,0))*8760</f>
        <v>12034.754758988021</v>
      </c>
      <c r="O279" s="153">
        <f>'Resource Options'!$E$18*INDEX('DATA (Nominal)'!$B$18:$BX$18,1,MATCH($B$1,'DATA (Nominal)'!$B$1:$BX$1,0))*8760</f>
        <v>12034.754758988021</v>
      </c>
      <c r="P279" s="153">
        <f>'Resource Options'!$E$18*INDEX('DATA (Nominal)'!$B$18:$BX$18,1,MATCH($B$1,'DATA (Nominal)'!$B$1:$BX$1,0))*8760</f>
        <v>12034.754758988021</v>
      </c>
      <c r="Q279" s="153">
        <f>'Resource Options'!$E$18*INDEX('DATA (Nominal)'!$B$18:$BX$18,1,MATCH($B$1,'DATA (Nominal)'!$B$1:$BX$1,0))*8760</f>
        <v>12034.754758988021</v>
      </c>
      <c r="R279" s="153">
        <f>'Resource Options'!$E$18*INDEX('DATA (Nominal)'!$B$18:$BX$18,1,MATCH($B$1,'DATA (Nominal)'!$B$1:$BX$1,0))*8760</f>
        <v>12034.754758988021</v>
      </c>
      <c r="S279" s="153">
        <f>'Resource Options'!$E$18*INDEX('DATA (Nominal)'!$B$18:$BX$18,1,MATCH($B$1,'DATA (Nominal)'!$B$1:$BX$1,0))*8760</f>
        <v>12034.754758988021</v>
      </c>
      <c r="T279" s="153">
        <f>'Resource Options'!$E$18*INDEX('DATA (Nominal)'!$B$18:$BX$18,1,MATCH($B$1,'DATA (Nominal)'!$B$1:$BX$1,0))*8760</f>
        <v>12034.754758988021</v>
      </c>
      <c r="U279" s="153">
        <f>'Resource Options'!$E$18*INDEX('DATA (Nominal)'!$B$18:$BX$18,1,MATCH($B$1,'DATA (Nominal)'!$B$1:$BX$1,0))*8760</f>
        <v>12034.754758988021</v>
      </c>
      <c r="V279" s="153">
        <f>'Resource Options'!$E$18*INDEX('DATA (Nominal)'!$B$18:$BX$18,1,MATCH($B$1,'DATA (Nominal)'!$B$1:$BX$1,0))*8760</f>
        <v>12034.754758988021</v>
      </c>
      <c r="W279" s="153">
        <f>'Resource Options'!$E$18*INDEX('DATA (Nominal)'!$B$18:$BX$18,1,MATCH($B$1,'DATA (Nominal)'!$B$1:$BX$1,0))*8760</f>
        <v>12034.754758988021</v>
      </c>
      <c r="X279" s="159">
        <f>'Resource Options'!$E$18*INDEX('DATA (Nominal)'!$B$18:$BX$18,1,MATCH($B$1,'DATA (Nominal)'!$B$1:$BX$1,0))*8760</f>
        <v>12034.754758988021</v>
      </c>
      <c r="Y279" s="156"/>
    </row>
    <row r="280" spans="1:25" hidden="1" outlineLevel="1">
      <c r="A280" s="95"/>
      <c r="C280" s="125" t="s">
        <v>45</v>
      </c>
      <c r="D280" s="151"/>
      <c r="E280" s="154">
        <f>PPA_SOLAR_PV_Fixed_Array</f>
        <v>60.920910811966756</v>
      </c>
      <c r="F280" s="154">
        <f>E280</f>
        <v>60.920910811966756</v>
      </c>
      <c r="G280" s="154">
        <f t="shared" ref="G280:G281" si="681">F280</f>
        <v>60.920910811966756</v>
      </c>
      <c r="H280" s="154">
        <f t="shared" ref="H280:H281" si="682">G280</f>
        <v>60.920910811966756</v>
      </c>
      <c r="I280" s="154">
        <f t="shared" ref="I280:I281" si="683">H280</f>
        <v>60.920910811966756</v>
      </c>
      <c r="J280" s="154">
        <f t="shared" ref="J280:J281" si="684">I280</f>
        <v>60.920910811966756</v>
      </c>
      <c r="K280" s="154">
        <f t="shared" ref="K280:K281" si="685">J280</f>
        <v>60.920910811966756</v>
      </c>
      <c r="L280" s="154">
        <f t="shared" ref="L280:L281" si="686">K280</f>
        <v>60.920910811966756</v>
      </c>
      <c r="M280" s="154">
        <f t="shared" ref="M280:M281" si="687">L280</f>
        <v>60.920910811966756</v>
      </c>
      <c r="N280" s="154">
        <f t="shared" ref="N280:N281" si="688">M280</f>
        <v>60.920910811966756</v>
      </c>
      <c r="O280" s="154">
        <f t="shared" ref="O280:O281" si="689">N280</f>
        <v>60.920910811966756</v>
      </c>
      <c r="P280" s="154">
        <f t="shared" ref="P280:P281" si="690">O280</f>
        <v>60.920910811966756</v>
      </c>
      <c r="Q280" s="154">
        <f t="shared" ref="Q280:Q281" si="691">P280</f>
        <v>60.920910811966756</v>
      </c>
      <c r="R280" s="154">
        <f t="shared" ref="R280:R281" si="692">Q280</f>
        <v>60.920910811966756</v>
      </c>
      <c r="S280" s="154">
        <f t="shared" ref="S280:S281" si="693">R280</f>
        <v>60.920910811966756</v>
      </c>
      <c r="T280" s="154">
        <f t="shared" ref="T280:T281" si="694">S280</f>
        <v>60.920910811966756</v>
      </c>
      <c r="U280" s="154">
        <f t="shared" ref="U280:U281" si="695">T280</f>
        <v>60.920910811966756</v>
      </c>
      <c r="V280" s="154">
        <f t="shared" ref="V280:V281" si="696">U280</f>
        <v>60.920910811966756</v>
      </c>
      <c r="W280" s="154">
        <f t="shared" ref="W280:W281" si="697">V280</f>
        <v>60.920910811966756</v>
      </c>
      <c r="X280" s="152">
        <f t="shared" ref="X280:X281" si="698">W280</f>
        <v>60.920910811966756</v>
      </c>
      <c r="Y280" s="156"/>
    </row>
    <row r="281" spans="1:25" s="95" customFormat="1" hidden="1" outlineLevel="1">
      <c r="C281" s="125" t="s">
        <v>111</v>
      </c>
      <c r="D281" s="151"/>
      <c r="E281" s="154">
        <f>INDEX('PPA Summary'!$75:$106,MATCH($C278,'PPA Summary'!$D$75:$D$106,0),MATCH($B$1,'PPA Summary'!$74:$74,0))</f>
        <v>13.887269350560917</v>
      </c>
      <c r="F281" s="154">
        <f>E281</f>
        <v>13.887269350560917</v>
      </c>
      <c r="G281" s="154">
        <f t="shared" si="681"/>
        <v>13.887269350560917</v>
      </c>
      <c r="H281" s="154">
        <f t="shared" si="682"/>
        <v>13.887269350560917</v>
      </c>
      <c r="I281" s="154">
        <f t="shared" si="683"/>
        <v>13.887269350560917</v>
      </c>
      <c r="J281" s="154">
        <f t="shared" si="684"/>
        <v>13.887269350560917</v>
      </c>
      <c r="K281" s="154">
        <f t="shared" si="685"/>
        <v>13.887269350560917</v>
      </c>
      <c r="L281" s="154">
        <f t="shared" si="686"/>
        <v>13.887269350560917</v>
      </c>
      <c r="M281" s="154">
        <f t="shared" si="687"/>
        <v>13.887269350560917</v>
      </c>
      <c r="N281" s="154">
        <f t="shared" si="688"/>
        <v>13.887269350560917</v>
      </c>
      <c r="O281" s="154">
        <f t="shared" si="689"/>
        <v>13.887269350560917</v>
      </c>
      <c r="P281" s="154">
        <f t="shared" si="690"/>
        <v>13.887269350560917</v>
      </c>
      <c r="Q281" s="154">
        <f t="shared" si="691"/>
        <v>13.887269350560917</v>
      </c>
      <c r="R281" s="154">
        <f t="shared" si="692"/>
        <v>13.887269350560917</v>
      </c>
      <c r="S281" s="154">
        <f t="shared" si="693"/>
        <v>13.887269350560917</v>
      </c>
      <c r="T281" s="154">
        <f t="shared" si="694"/>
        <v>13.887269350560917</v>
      </c>
      <c r="U281" s="154">
        <f t="shared" si="695"/>
        <v>13.887269350560917</v>
      </c>
      <c r="V281" s="154">
        <f t="shared" si="696"/>
        <v>13.887269350560917</v>
      </c>
      <c r="W281" s="154">
        <f t="shared" si="697"/>
        <v>13.887269350560917</v>
      </c>
      <c r="X281" s="152">
        <f t="shared" si="698"/>
        <v>13.887269350560917</v>
      </c>
      <c r="Y281" s="156"/>
    </row>
    <row r="282" spans="1:25" hidden="1" outlineLevel="1">
      <c r="A282" s="95"/>
      <c r="C282" s="126" t="s">
        <v>46</v>
      </c>
      <c r="D282" s="151"/>
      <c r="E282" s="151">
        <f>E280*E279+E281*12*'Resource Options'!$E$18*1000</f>
        <v>1566404.3823498567</v>
      </c>
      <c r="F282" s="151">
        <f>F280*F279+F281*12*'Resource Options'!$E$18*1000</f>
        <v>1566404.3823498567</v>
      </c>
      <c r="G282" s="151">
        <f>G280*G279+G281*12*'Resource Options'!$E$18*1000</f>
        <v>1566404.3823498567</v>
      </c>
      <c r="H282" s="151">
        <f>H280*H279+H281*12*'Resource Options'!$E$18*1000</f>
        <v>1566404.3823498567</v>
      </c>
      <c r="I282" s="151">
        <f>I280*I279+I281*12*'Resource Options'!$E$18*1000</f>
        <v>1566404.3823498567</v>
      </c>
      <c r="J282" s="151">
        <f>J280*J279+J281*12*'Resource Options'!$E$18*1000</f>
        <v>1566404.3823498567</v>
      </c>
      <c r="K282" s="151">
        <f>K280*K279+K281*12*'Resource Options'!$E$18*1000</f>
        <v>1566404.3823498567</v>
      </c>
      <c r="L282" s="151">
        <f>L280*L279+L281*12*'Resource Options'!$E$18*1000</f>
        <v>1566404.3823498567</v>
      </c>
      <c r="M282" s="151">
        <f>M280*M279+M281*12*'Resource Options'!$E$18*1000</f>
        <v>1566404.3823498567</v>
      </c>
      <c r="N282" s="151">
        <f>N280*N279+N281*12*'Resource Options'!$E$18*1000</f>
        <v>1566404.3823498567</v>
      </c>
      <c r="O282" s="151">
        <f>O280*O279+O281*12*'Resource Options'!$E$18*1000</f>
        <v>1566404.3823498567</v>
      </c>
      <c r="P282" s="151">
        <f>P280*P279+P281*12*'Resource Options'!$E$18*1000</f>
        <v>1566404.3823498567</v>
      </c>
      <c r="Q282" s="151">
        <f>Q280*Q279+Q281*12*'Resource Options'!$E$18*1000</f>
        <v>1566404.3823498567</v>
      </c>
      <c r="R282" s="151">
        <f>R280*R279+R281*12*'Resource Options'!$E$18*1000</f>
        <v>1566404.3823498567</v>
      </c>
      <c r="S282" s="151">
        <f>S280*S279+S281*12*'Resource Options'!$E$18*1000</f>
        <v>1566404.3823498567</v>
      </c>
      <c r="T282" s="151">
        <f>T280*T279+T281*12*'Resource Options'!$E$18*1000</f>
        <v>1566404.3823498567</v>
      </c>
      <c r="U282" s="151">
        <f>U280*U279+U281*12*'Resource Options'!$E$18*1000</f>
        <v>1566404.3823498567</v>
      </c>
      <c r="V282" s="151">
        <f>V280*V279+V281*12*'Resource Options'!$E$18*1000</f>
        <v>1566404.3823498567</v>
      </c>
      <c r="W282" s="151">
        <f>W280*W279+W281*12*'Resource Options'!$E$18*1000</f>
        <v>1566404.3823498567</v>
      </c>
      <c r="X282" s="152">
        <f>X280*X279+X281*12*'Resource Options'!$E$18*1000</f>
        <v>1566404.3823498567</v>
      </c>
      <c r="Y282" s="156"/>
    </row>
    <row r="283" spans="1:25" hidden="1" outlineLevel="1">
      <c r="A283" s="95"/>
      <c r="C283" s="126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2"/>
      <c r="Y283" s="156"/>
    </row>
    <row r="284" spans="1:25" hidden="1" outlineLevel="1">
      <c r="A284" s="95"/>
      <c r="B284" s="92"/>
      <c r="C284" s="125" t="s">
        <v>158</v>
      </c>
      <c r="D284" s="151"/>
      <c r="E284" s="151">
        <f>'Resource Options'!$E$18*INDEX('DATA (Nominal)'!$B$187:$BX$187,1,MATCH(E$1,'DATA (Nominal)'!$B$1:$BX$1,0))*1000*0.8</f>
        <v>107254.10836720598</v>
      </c>
      <c r="F284" s="151">
        <f>'Resource Options'!$E$18*INDEX('DATA (Nominal)'!$B$187:$BX$187,1,MATCH(F$1,'DATA (Nominal)'!$B$1:$BX$1,0))*1000*0.8</f>
        <v>106076.47205447436</v>
      </c>
      <c r="G284" s="151">
        <f>'Resource Options'!$E$18*INDEX('DATA (Nominal)'!$B$187:$BX$187,1,MATCH(G$1,'DATA (Nominal)'!$B$1:$BX$1,0))*1000*0.8</f>
        <v>104802.91271825023</v>
      </c>
      <c r="H284" s="151">
        <f>'Resource Options'!$E$18*INDEX('DATA (Nominal)'!$B$187:$BX$187,1,MATCH(H$1,'DATA (Nominal)'!$B$1:$BX$1,0))*1000*0.8</f>
        <v>103395.82583434808</v>
      </c>
      <c r="I284" s="151">
        <f>'Resource Options'!$E$18*INDEX('DATA (Nominal)'!$B$187:$BX$187,1,MATCH(I$1,'DATA (Nominal)'!$B$1:$BX$1,0))*1000*0.8</f>
        <v>101885.9107682465</v>
      </c>
      <c r="J284" s="151">
        <f>'Resource Options'!$E$18*INDEX('DATA (Nominal)'!$B$187:$BX$187,1,MATCH(J$1,'DATA (Nominal)'!$B$1:$BX$1,0))*1000*0.8</f>
        <v>100269.15378062968</v>
      </c>
      <c r="K284" s="151">
        <f>'Resource Options'!$E$18*INDEX('DATA (Nominal)'!$B$187:$BX$187,1,MATCH(K$1,'DATA (Nominal)'!$B$1:$BX$1,0))*1000*0.8</f>
        <v>101797.12399487884</v>
      </c>
      <c r="L284" s="151">
        <f>'Resource Options'!$E$18*INDEX('DATA (Nominal)'!$B$187:$BX$187,1,MATCH(L$1,'DATA (Nominal)'!$B$1:$BX$1,0))*1000*0.8</f>
        <v>103345.57753384675</v>
      </c>
      <c r="M284" s="151">
        <f>'Resource Options'!$E$18*INDEX('DATA (Nominal)'!$B$187:$BX$187,1,MATCH(M$1,'DATA (Nominal)'!$B$1:$BX$1,0))*1000*0.8</f>
        <v>104914.68547918549</v>
      </c>
      <c r="N284" s="151">
        <f>'Resource Options'!$E$18*INDEX('DATA (Nominal)'!$B$187:$BX$187,1,MATCH(N$1,'DATA (Nominal)'!$B$1:$BX$1,0))*1000*0.8</f>
        <v>106504.61673846902</v>
      </c>
      <c r="O284" s="151">
        <f>'Resource Options'!$E$18*INDEX('DATA (Nominal)'!$B$187:$BX$187,1,MATCH(O$1,'DATA (Nominal)'!$B$1:$BX$1,0))*1000*0.8</f>
        <v>108115.53786781228</v>
      </c>
      <c r="P284" s="151">
        <f>'Resource Options'!$E$18*INDEX('DATA (Nominal)'!$B$187:$BX$187,1,MATCH(P$1,'DATA (Nominal)'!$B$1:$BX$1,0))*1000*0.8</f>
        <v>109747.61288780109</v>
      </c>
      <c r="Q284" s="151">
        <f>'Resource Options'!$E$18*INDEX('DATA (Nominal)'!$B$187:$BX$187,1,MATCH(Q$1,'DATA (Nominal)'!$B$1:$BX$1,0))*1000*0.8</f>
        <v>111401.00309252481</v>
      </c>
      <c r="R284" s="151">
        <f>'Resource Options'!$E$18*INDEX('DATA (Nominal)'!$B$187:$BX$187,1,MATCH(R$1,'DATA (Nominal)'!$B$1:$BX$1,0))*1000*0.8</f>
        <v>113075.8668514961</v>
      </c>
      <c r="S284" s="151">
        <f>'Resource Options'!$E$18*INDEX('DATA (Nominal)'!$B$187:$BX$187,1,MATCH(S$1,'DATA (Nominal)'!$B$1:$BX$1,0))*1000*0.8</f>
        <v>114772.35940423753</v>
      </c>
      <c r="T284" s="151">
        <f>'Resource Options'!$E$18*INDEX('DATA (Nominal)'!$B$187:$BX$187,1,MATCH(T$1,'DATA (Nominal)'!$B$1:$BX$1,0))*1000*0.8</f>
        <v>116490.63264730778</v>
      </c>
      <c r="U284" s="151">
        <f>'Resource Options'!$E$18*INDEX('DATA (Nominal)'!$B$187:$BX$187,1,MATCH(U$1,'DATA (Nominal)'!$B$1:$BX$1,0))*1000*0.8</f>
        <v>118230.83491353328</v>
      </c>
      <c r="V284" s="151">
        <f>'Resource Options'!$E$18*INDEX('DATA (Nominal)'!$B$187:$BX$187,1,MATCH(V$1,'DATA (Nominal)'!$B$1:$BX$1,0))*1000*0.8</f>
        <v>119993.11074320595</v>
      </c>
      <c r="W284" s="151">
        <f>'Resource Options'!$E$18*INDEX('DATA (Nominal)'!$B$187:$BX$187,1,MATCH(W$1,'DATA (Nominal)'!$B$1:$BX$1,0))*1000*0.8</f>
        <v>121777.60064699937</v>
      </c>
      <c r="X284" s="152">
        <f>'Resource Options'!$E$18*INDEX('DATA (Nominal)'!$B$187:$BX$187,1,MATCH(X$1,'DATA (Nominal)'!$B$1:$BX$1,0))*1000*0.8</f>
        <v>123584.4408603506</v>
      </c>
      <c r="Y284" s="156"/>
    </row>
    <row r="285" spans="1:25" s="95" customFormat="1" hidden="1" outlineLevel="1">
      <c r="B285" s="92"/>
      <c r="C285" s="125" t="s">
        <v>159</v>
      </c>
      <c r="D285" s="151"/>
      <c r="E285" s="151">
        <f>'Resource Options'!$E$18*INDEX('DATA (Nominal)'!$B$188:$BX$188,1,MATCH(E$1,'DATA (Nominal)'!$B$1:$BX$1,0))*1000*0.8</f>
        <v>68092.286200557457</v>
      </c>
      <c r="F285" s="151">
        <f>'Resource Options'!$E$18*INDEX('DATA (Nominal)'!$B$188:$BX$188,1,MATCH(F$1,'DATA (Nominal)'!$B$1:$BX$1,0))*1000*0.8</f>
        <v>66643.738450199293</v>
      </c>
      <c r="G285" s="151">
        <f>'Resource Options'!$E$18*INDEX('DATA (Nominal)'!$B$188:$BX$188,1,MATCH(G$1,'DATA (Nominal)'!$B$1:$BX$1,0))*1000*0.8</f>
        <v>65433.813680514337</v>
      </c>
      <c r="H285" s="151">
        <f>'Resource Options'!$E$18*INDEX('DATA (Nominal)'!$B$188:$BX$188,1,MATCH(H$1,'DATA (Nominal)'!$B$1:$BX$1,0))*1000*0.8</f>
        <v>63770.985322550747</v>
      </c>
      <c r="I285" s="151">
        <f>'Resource Options'!$E$18*INDEX('DATA (Nominal)'!$B$188:$BX$188,1,MATCH(I$1,'DATA (Nominal)'!$B$1:$BX$1,0))*1000*0.8</f>
        <v>62707.905761822396</v>
      </c>
      <c r="J285" s="151">
        <f>'Resource Options'!$E$18*INDEX('DATA (Nominal)'!$B$188:$BX$188,1,MATCH(J$1,'DATA (Nominal)'!$B$1:$BX$1,0))*1000*0.8</f>
        <v>61567.185543525877</v>
      </c>
      <c r="K285" s="151">
        <f>'Resource Options'!$E$18*INDEX('DATA (Nominal)'!$B$188:$BX$188,1,MATCH(K$1,'DATA (Nominal)'!$B$1:$BX$1,0))*1000*0.8</f>
        <v>62166.419680505096</v>
      </c>
      <c r="L285" s="151">
        <f>'Resource Options'!$E$18*INDEX('DATA (Nominal)'!$B$188:$BX$188,1,MATCH(L$1,'DATA (Nominal)'!$B$1:$BX$1,0))*1000*0.8</f>
        <v>62730.256660660547</v>
      </c>
      <c r="M285" s="151">
        <f>'Resource Options'!$E$18*INDEX('DATA (Nominal)'!$B$188:$BX$188,1,MATCH(M$1,'DATA (Nominal)'!$B$1:$BX$1,0))*1000*0.8</f>
        <v>63288.813920817702</v>
      </c>
      <c r="N285" s="151">
        <f>'Resource Options'!$E$18*INDEX('DATA (Nominal)'!$B$188:$BX$188,1,MATCH(N$1,'DATA (Nominal)'!$B$1:$BX$1,0))*1000*0.8</f>
        <v>63841.586256197981</v>
      </c>
      <c r="O285" s="151">
        <f>'Resource Options'!$E$18*INDEX('DATA (Nominal)'!$B$188:$BX$188,1,MATCH(O$1,'DATA (Nominal)'!$B$1:$BX$1,0))*1000*0.8</f>
        <v>64388.0487883971</v>
      </c>
      <c r="P285" s="151">
        <f>'Resource Options'!$E$18*INDEX('DATA (Nominal)'!$B$188:$BX$188,1,MATCH(P$1,'DATA (Nominal)'!$B$1:$BX$1,0))*1000*0.8</f>
        <v>64927.656344265131</v>
      </c>
      <c r="Q285" s="151">
        <f>'Resource Options'!$E$18*INDEX('DATA (Nominal)'!$B$188:$BX$188,1,MATCH(Q$1,'DATA (Nominal)'!$B$1:$BX$1,0))*1000*0.8</f>
        <v>65459.842816977616</v>
      </c>
      <c r="R285" s="151">
        <f>'Resource Options'!$E$18*INDEX('DATA (Nominal)'!$B$188:$BX$188,1,MATCH(R$1,'DATA (Nominal)'!$B$1:$BX$1,0))*1000*0.8</f>
        <v>65984.0205088191</v>
      </c>
      <c r="S285" s="151">
        <f>'Resource Options'!$E$18*INDEX('DATA (Nominal)'!$B$188:$BX$188,1,MATCH(S$1,'DATA (Nominal)'!$B$1:$BX$1,0))*1000*0.8</f>
        <v>66499.579455178158</v>
      </c>
      <c r="T285" s="151">
        <f>'Resource Options'!$E$18*INDEX('DATA (Nominal)'!$B$188:$BX$188,1,MATCH(T$1,'DATA (Nominal)'!$B$1:$BX$1,0))*1000*0.8</f>
        <v>67005.886729250531</v>
      </c>
      <c r="U285" s="151">
        <f>'Resource Options'!$E$18*INDEX('DATA (Nominal)'!$B$188:$BX$188,1,MATCH(U$1,'DATA (Nominal)'!$B$1:$BX$1,0))*1000*0.8</f>
        <v>67502.285726925897</v>
      </c>
      <c r="V285" s="151">
        <f>'Resource Options'!$E$18*INDEX('DATA (Nominal)'!$B$188:$BX$188,1,MATCH(V$1,'DATA (Nominal)'!$B$1:$BX$1,0))*1000*0.8</f>
        <v>67988.095431321897</v>
      </c>
      <c r="W285" s="151">
        <f>'Resource Options'!$E$18*INDEX('DATA (Nominal)'!$B$188:$BX$188,1,MATCH(W$1,'DATA (Nominal)'!$B$1:$BX$1,0))*1000*0.8</f>
        <v>68462.609656419707</v>
      </c>
      <c r="X285" s="152">
        <f>'Resource Options'!$E$18*INDEX('DATA (Nominal)'!$B$188:$BX$188,1,MATCH(X$1,'DATA (Nominal)'!$B$1:$BX$1,0))*1000*0.8</f>
        <v>68925.096269233094</v>
      </c>
      <c r="Y285" s="156"/>
    </row>
    <row r="286" spans="1:25" hidden="1" outlineLevel="1">
      <c r="A286" s="95"/>
      <c r="C286" s="125" t="s">
        <v>160</v>
      </c>
      <c r="D286" s="151"/>
      <c r="E286" s="151">
        <f>E279*INDEX('DATA (Nominal)'!$B$113:$BX$113,1,MATCH(E$1,'DATA (Nominal)'!$B$1:$BX$1,0))</f>
        <v>0</v>
      </c>
      <c r="F286" s="151">
        <f>F279*INDEX('DATA (Nominal)'!$B$113:$BX$113,1,MATCH(F$1,'DATA (Nominal)'!$B$1:$BX$1,0))</f>
        <v>0</v>
      </c>
      <c r="G286" s="151">
        <f>G279*INDEX('DATA (Nominal)'!$B$113:$BX$113,1,MATCH(G$1,'DATA (Nominal)'!$B$1:$BX$1,0))</f>
        <v>0</v>
      </c>
      <c r="H286" s="151">
        <f>H279*INDEX('DATA (Nominal)'!$B$113:$BX$113,1,MATCH(H$1,'DATA (Nominal)'!$B$1:$BX$1,0))</f>
        <v>0</v>
      </c>
      <c r="I286" s="151">
        <f>I279*INDEX('DATA (Nominal)'!$B$113:$BX$113,1,MATCH(I$1,'DATA (Nominal)'!$B$1:$BX$1,0))</f>
        <v>0</v>
      </c>
      <c r="J286" s="151">
        <f>J279*INDEX('DATA (Nominal)'!$B$113:$BX$113,1,MATCH(J$1,'DATA (Nominal)'!$B$1:$BX$1,0))</f>
        <v>0</v>
      </c>
      <c r="K286" s="151">
        <f>K279*INDEX('DATA (Nominal)'!$B$113:$BX$113,1,MATCH(K$1,'DATA (Nominal)'!$B$1:$BX$1,0))</f>
        <v>0</v>
      </c>
      <c r="L286" s="151">
        <f>L279*INDEX('DATA (Nominal)'!$B$113:$BX$113,1,MATCH(L$1,'DATA (Nominal)'!$B$1:$BX$1,0))</f>
        <v>0</v>
      </c>
      <c r="M286" s="151">
        <f>M279*INDEX('DATA (Nominal)'!$B$113:$BX$113,1,MATCH(M$1,'DATA (Nominal)'!$B$1:$BX$1,0))</f>
        <v>0</v>
      </c>
      <c r="N286" s="151">
        <f>N279*INDEX('DATA (Nominal)'!$B$113:$BX$113,1,MATCH(N$1,'DATA (Nominal)'!$B$1:$BX$1,0))</f>
        <v>0</v>
      </c>
      <c r="O286" s="151">
        <f>O279*INDEX('DATA (Nominal)'!$B$113:$BX$113,1,MATCH(O$1,'DATA (Nominal)'!$B$1:$BX$1,0))</f>
        <v>0</v>
      </c>
      <c r="P286" s="151">
        <f>P279*INDEX('DATA (Nominal)'!$B$113:$BX$113,1,MATCH(P$1,'DATA (Nominal)'!$B$1:$BX$1,0))</f>
        <v>0</v>
      </c>
      <c r="Q286" s="151">
        <f>Q279*INDEX('DATA (Nominal)'!$B$113:$BX$113,1,MATCH(Q$1,'DATA (Nominal)'!$B$1:$BX$1,0))</f>
        <v>0</v>
      </c>
      <c r="R286" s="151">
        <f>R279*INDEX('DATA (Nominal)'!$B$113:$BX$113,1,MATCH(R$1,'DATA (Nominal)'!$B$1:$BX$1,0))</f>
        <v>0</v>
      </c>
      <c r="S286" s="151">
        <f>S279*INDEX('DATA (Nominal)'!$B$113:$BX$113,1,MATCH(S$1,'DATA (Nominal)'!$B$1:$BX$1,0))</f>
        <v>0</v>
      </c>
      <c r="T286" s="151">
        <f>T279*INDEX('DATA (Nominal)'!$B$113:$BX$113,1,MATCH(T$1,'DATA (Nominal)'!$B$1:$BX$1,0))</f>
        <v>0</v>
      </c>
      <c r="U286" s="151">
        <f>U279*INDEX('DATA (Nominal)'!$B$113:$BX$113,1,MATCH(U$1,'DATA (Nominal)'!$B$1:$BX$1,0))</f>
        <v>0</v>
      </c>
      <c r="V286" s="151">
        <f>V279*INDEX('DATA (Nominal)'!$B$113:$BX$113,1,MATCH(V$1,'DATA (Nominal)'!$B$1:$BX$1,0))</f>
        <v>0</v>
      </c>
      <c r="W286" s="151">
        <f>W279*INDEX('DATA (Nominal)'!$B$113:$BX$113,1,MATCH(W$1,'DATA (Nominal)'!$B$1:$BX$1,0))</f>
        <v>0</v>
      </c>
      <c r="X286" s="152">
        <f>X279*INDEX('DATA (Nominal)'!$B$113:$BX$113,1,MATCH(X$1,'DATA (Nominal)'!$B$1:$BX$1,0))</f>
        <v>0</v>
      </c>
      <c r="Y286" s="156"/>
    </row>
    <row r="287" spans="1:25" hidden="1" outlineLevel="1">
      <c r="A287" s="95"/>
      <c r="C287" s="125" t="s">
        <v>127</v>
      </c>
      <c r="D287" s="151"/>
      <c r="E287" s="151">
        <f>E279*E280*INDEX('DATA (Nominal)'!$B$333:$BX$333,1,MATCH(E$1,'DATA (Nominal)'!$B$1:$BX$1,0))</f>
        <v>2016.2126086195547</v>
      </c>
      <c r="F287" s="151">
        <f>F279*F280*INDEX('DATA (Nominal)'!$B$333:$BX$333,1,MATCH(F$1,'DATA (Nominal)'!$B$1:$BX$1,0))</f>
        <v>2016.2126086195547</v>
      </c>
      <c r="G287" s="151">
        <f>G279*G280*INDEX('DATA (Nominal)'!$B$333:$BX$333,1,MATCH(G$1,'DATA (Nominal)'!$B$1:$BX$1,0))</f>
        <v>2016.2126086195547</v>
      </c>
      <c r="H287" s="151">
        <f>H279*H280*INDEX('DATA (Nominal)'!$B$333:$BX$333,1,MATCH(H$1,'DATA (Nominal)'!$B$1:$BX$1,0))</f>
        <v>2016.2126086195547</v>
      </c>
      <c r="I287" s="151">
        <f>I279*I280*INDEX('DATA (Nominal)'!$B$333:$BX$333,1,MATCH(I$1,'DATA (Nominal)'!$B$1:$BX$1,0))</f>
        <v>2016.2126086195547</v>
      </c>
      <c r="J287" s="151">
        <f>J279*J280*INDEX('DATA (Nominal)'!$B$333:$BX$333,1,MATCH(J$1,'DATA (Nominal)'!$B$1:$BX$1,0))</f>
        <v>2016.2126086195547</v>
      </c>
      <c r="K287" s="151">
        <f>K279*K280*INDEX('DATA (Nominal)'!$B$333:$BX$333,1,MATCH(K$1,'DATA (Nominal)'!$B$1:$BX$1,0))</f>
        <v>2016.2126086195547</v>
      </c>
      <c r="L287" s="151">
        <f>L279*L280*INDEX('DATA (Nominal)'!$B$333:$BX$333,1,MATCH(L$1,'DATA (Nominal)'!$B$1:$BX$1,0))</f>
        <v>2016.2126086195547</v>
      </c>
      <c r="M287" s="151">
        <f>M279*M280*INDEX('DATA (Nominal)'!$B$333:$BX$333,1,MATCH(M$1,'DATA (Nominal)'!$B$1:$BX$1,0))</f>
        <v>2016.2126086195547</v>
      </c>
      <c r="N287" s="151">
        <f>N279*N280*INDEX('DATA (Nominal)'!$B$333:$BX$333,1,MATCH(N$1,'DATA (Nominal)'!$B$1:$BX$1,0))</f>
        <v>2016.2126086195547</v>
      </c>
      <c r="O287" s="151">
        <f>O279*O280*INDEX('DATA (Nominal)'!$B$333:$BX$333,1,MATCH(O$1,'DATA (Nominal)'!$B$1:$BX$1,0))</f>
        <v>2016.2126086195547</v>
      </c>
      <c r="P287" s="151">
        <f>P279*P280*INDEX('DATA (Nominal)'!$B$333:$BX$333,1,MATCH(P$1,'DATA (Nominal)'!$B$1:$BX$1,0))</f>
        <v>2016.2126086195547</v>
      </c>
      <c r="Q287" s="151">
        <f>Q279*Q280*INDEX('DATA (Nominal)'!$B$333:$BX$333,1,MATCH(Q$1,'DATA (Nominal)'!$B$1:$BX$1,0))</f>
        <v>2016.2126086195547</v>
      </c>
      <c r="R287" s="151">
        <f>R279*R280*INDEX('DATA (Nominal)'!$B$333:$BX$333,1,MATCH(R$1,'DATA (Nominal)'!$B$1:$BX$1,0))</f>
        <v>2016.2126086195547</v>
      </c>
      <c r="S287" s="151">
        <f>S279*S280*INDEX('DATA (Nominal)'!$B$333:$BX$333,1,MATCH(S$1,'DATA (Nominal)'!$B$1:$BX$1,0))</f>
        <v>2016.2126086195547</v>
      </c>
      <c r="T287" s="151">
        <f>T279*T280*INDEX('DATA (Nominal)'!$B$333:$BX$333,1,MATCH(T$1,'DATA (Nominal)'!$B$1:$BX$1,0))</f>
        <v>2016.2126086195547</v>
      </c>
      <c r="U287" s="151">
        <f>U279*U280*INDEX('DATA (Nominal)'!$B$333:$BX$333,1,MATCH(U$1,'DATA (Nominal)'!$B$1:$BX$1,0))</f>
        <v>2016.2126086195547</v>
      </c>
      <c r="V287" s="151">
        <f>V279*V280*INDEX('DATA (Nominal)'!$B$333:$BX$333,1,MATCH(V$1,'DATA (Nominal)'!$B$1:$BX$1,0))</f>
        <v>2016.2126086195547</v>
      </c>
      <c r="W287" s="151">
        <f>W279*W280*INDEX('DATA (Nominal)'!$B$333:$BX$333,1,MATCH(W$1,'DATA (Nominal)'!$B$1:$BX$1,0))</f>
        <v>2016.2126086195547</v>
      </c>
      <c r="X287" s="152">
        <f>X279*X280*INDEX('DATA (Nominal)'!$B$333:$BX$333,1,MATCH(X$1,'DATA (Nominal)'!$B$1:$BX$1,0))</f>
        <v>2016.2126086195547</v>
      </c>
      <c r="Y287" s="156"/>
    </row>
    <row r="288" spans="1:25" hidden="1" outlineLevel="1">
      <c r="A288" s="95"/>
      <c r="C288" s="126" t="s">
        <v>49</v>
      </c>
      <c r="D288" s="151"/>
      <c r="E288" s="151">
        <f>D310*Property_Tax_Rate</f>
        <v>182146.64739673861</v>
      </c>
      <c r="F288" s="151">
        <f t="shared" ref="F288:M288" si="699">E310*Property_Tax_Rate</f>
        <v>171997.52363802493</v>
      </c>
      <c r="G288" s="151">
        <f t="shared" si="699"/>
        <v>162413.9041833533</v>
      </c>
      <c r="H288" s="151">
        <f t="shared" si="699"/>
        <v>153364.27940435649</v>
      </c>
      <c r="I288" s="151">
        <f t="shared" si="699"/>
        <v>144818.89537403462</v>
      </c>
      <c r="J288" s="151">
        <f t="shared" si="699"/>
        <v>136749.65603991773</v>
      </c>
      <c r="K288" s="151">
        <f t="shared" si="699"/>
        <v>129130.03084809272</v>
      </c>
      <c r="L288" s="151">
        <f t="shared" si="699"/>
        <v>121934.96751437541</v>
      </c>
      <c r="M288" s="151">
        <f t="shared" si="699"/>
        <v>115140.80965583067</v>
      </c>
      <c r="N288" s="151">
        <f>M310*Property_Tax_Rate</f>
        <v>108725.21901182497</v>
      </c>
      <c r="O288" s="151">
        <f>N310*Property_Tax_Rate</f>
        <v>102667.10199888443</v>
      </c>
      <c r="P288" s="151">
        <f t="shared" ref="P288:X288" si="700">O310*Property_Tax_Rate</f>
        <v>141545.2223963727</v>
      </c>
      <c r="Q288" s="151">
        <f t="shared" si="700"/>
        <v>129812.85149198803</v>
      </c>
      <c r="R288" s="151">
        <f t="shared" si="700"/>
        <v>119052.95090279767</v>
      </c>
      <c r="S288" s="151">
        <f t="shared" si="700"/>
        <v>109184.91471192081</v>
      </c>
      <c r="T288" s="151">
        <f t="shared" si="700"/>
        <v>100134.81824892151</v>
      </c>
      <c r="U288" s="151">
        <f t="shared" si="700"/>
        <v>91834.86429604546</v>
      </c>
      <c r="V288" s="151">
        <f t="shared" si="700"/>
        <v>84222.875197198635</v>
      </c>
      <c r="W288" s="151">
        <f t="shared" si="700"/>
        <v>77241.827064891215</v>
      </c>
      <c r="X288" s="152">
        <f t="shared" si="700"/>
        <v>70839.422595739277</v>
      </c>
      <c r="Y288" s="156"/>
    </row>
    <row r="289" spans="1:25" hidden="1" outlineLevel="1">
      <c r="A289" s="95"/>
      <c r="C289" s="126" t="s">
        <v>50</v>
      </c>
      <c r="D289" s="151"/>
      <c r="E289" s="151">
        <f>SUM(E284:E288)</f>
        <v>359509.25457312161</v>
      </c>
      <c r="F289" s="151">
        <f>SUM(F284:F288)</f>
        <v>346733.94675131817</v>
      </c>
      <c r="G289" s="151">
        <f t="shared" ref="G289:N289" si="701">SUM(G284:G288)</f>
        <v>334666.84319073742</v>
      </c>
      <c r="H289" s="151">
        <f t="shared" si="701"/>
        <v>322547.30316987488</v>
      </c>
      <c r="I289" s="151">
        <f t="shared" si="701"/>
        <v>311428.92451272311</v>
      </c>
      <c r="J289" s="151">
        <f t="shared" si="701"/>
        <v>300602.20797269285</v>
      </c>
      <c r="K289" s="151">
        <f t="shared" si="701"/>
        <v>295109.78713209624</v>
      </c>
      <c r="L289" s="151">
        <f t="shared" si="701"/>
        <v>290027.01431750227</v>
      </c>
      <c r="M289" s="151">
        <f t="shared" si="701"/>
        <v>285360.52166445344</v>
      </c>
      <c r="N289" s="151">
        <f t="shared" si="701"/>
        <v>281087.63461511151</v>
      </c>
      <c r="O289" s="151">
        <f>SUM(O284:O288)</f>
        <v>277186.90126371337</v>
      </c>
      <c r="P289" s="151">
        <f t="shared" ref="P289:X289" si="702">SUM(P284:P288)</f>
        <v>318236.70423705853</v>
      </c>
      <c r="Q289" s="151">
        <f t="shared" si="702"/>
        <v>308689.91001011</v>
      </c>
      <c r="R289" s="151">
        <f t="shared" si="702"/>
        <v>300129.05087173241</v>
      </c>
      <c r="S289" s="151">
        <f t="shared" si="702"/>
        <v>292473.06617995608</v>
      </c>
      <c r="T289" s="151">
        <f t="shared" si="702"/>
        <v>285647.55023409938</v>
      </c>
      <c r="U289" s="151">
        <f t="shared" si="702"/>
        <v>279584.19754512422</v>
      </c>
      <c r="V289" s="151">
        <f t="shared" si="702"/>
        <v>274220.29398034606</v>
      </c>
      <c r="W289" s="151">
        <f t="shared" si="702"/>
        <v>269498.24997692986</v>
      </c>
      <c r="X289" s="152">
        <f t="shared" si="702"/>
        <v>265365.17233394255</v>
      </c>
      <c r="Y289" s="156"/>
    </row>
    <row r="290" spans="1:25" s="95" customFormat="1" hidden="1" outlineLevel="1">
      <c r="C290" s="126" t="s">
        <v>179</v>
      </c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>
        <f>INDEX('DATA (Nominal)'!$B$69:$BX$69,1,MATCH($O$1,'DATA (Nominal)'!$B$1:$BX$1,0))*1000000*(1+AFUDC!$D$18)*0.5*'Resource Options'!$D$18/1000</f>
        <v>4313403.9393463666</v>
      </c>
      <c r="P290" s="151"/>
      <c r="Q290" s="151"/>
      <c r="R290" s="151"/>
      <c r="S290" s="151"/>
      <c r="T290" s="151"/>
      <c r="U290" s="151"/>
      <c r="V290" s="151"/>
      <c r="W290" s="151"/>
      <c r="X290" s="152"/>
      <c r="Y290" s="156"/>
    </row>
    <row r="291" spans="1:25" hidden="1" outlineLevel="1">
      <c r="A291" s="95"/>
      <c r="C291" s="126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2"/>
      <c r="Y291" s="156"/>
    </row>
    <row r="292" spans="1:25" hidden="1" outlineLevel="1">
      <c r="A292" s="95"/>
      <c r="C292" s="125" t="s">
        <v>51</v>
      </c>
      <c r="D292" s="151"/>
      <c r="E292" s="151">
        <f>E282-E289</f>
        <v>1206895.127776735</v>
      </c>
      <c r="F292" s="151">
        <f t="shared" ref="F292:N292" si="703">F282-F289</f>
        <v>1219670.4355985385</v>
      </c>
      <c r="G292" s="151">
        <f t="shared" si="703"/>
        <v>1231737.5391591191</v>
      </c>
      <c r="H292" s="151">
        <f t="shared" si="703"/>
        <v>1243857.0791799817</v>
      </c>
      <c r="I292" s="151">
        <f t="shared" si="703"/>
        <v>1254975.4578371337</v>
      </c>
      <c r="J292" s="151">
        <f t="shared" si="703"/>
        <v>1265802.1743771639</v>
      </c>
      <c r="K292" s="151">
        <f t="shared" si="703"/>
        <v>1271294.5952177604</v>
      </c>
      <c r="L292" s="151">
        <f t="shared" si="703"/>
        <v>1276377.3680323544</v>
      </c>
      <c r="M292" s="151">
        <f t="shared" si="703"/>
        <v>1281043.8606854032</v>
      </c>
      <c r="N292" s="151">
        <f t="shared" si="703"/>
        <v>1285316.747734745</v>
      </c>
      <c r="O292" s="151">
        <f>O282-O289</f>
        <v>1289217.4810861433</v>
      </c>
      <c r="P292" s="151">
        <f t="shared" ref="P292:X292" si="704">P282-P289</f>
        <v>1248167.6781127981</v>
      </c>
      <c r="Q292" s="151">
        <f t="shared" si="704"/>
        <v>1257714.4723397465</v>
      </c>
      <c r="R292" s="151">
        <f t="shared" si="704"/>
        <v>1266275.3314781243</v>
      </c>
      <c r="S292" s="151">
        <f t="shared" si="704"/>
        <v>1273931.3161699006</v>
      </c>
      <c r="T292" s="151">
        <f t="shared" si="704"/>
        <v>1280756.8321157573</v>
      </c>
      <c r="U292" s="151">
        <f t="shared" si="704"/>
        <v>1286820.1848047324</v>
      </c>
      <c r="V292" s="151">
        <f t="shared" si="704"/>
        <v>1292184.0883695106</v>
      </c>
      <c r="W292" s="151">
        <f t="shared" si="704"/>
        <v>1296906.1323729269</v>
      </c>
      <c r="X292" s="152">
        <f t="shared" si="704"/>
        <v>1301039.2100159142</v>
      </c>
      <c r="Y292" s="156"/>
    </row>
    <row r="293" spans="1:25" hidden="1" outlineLevel="1">
      <c r="A293" s="95"/>
      <c r="C293" s="125" t="s">
        <v>52</v>
      </c>
      <c r="D293" s="151"/>
      <c r="E293" s="151">
        <f>E292-E311-E300</f>
        <v>-2314753.9809666304</v>
      </c>
      <c r="F293" s="151">
        <f t="shared" ref="F293:M293" si="705">F292-F311-F300</f>
        <v>-4147681.284397292</v>
      </c>
      <c r="G293" s="151">
        <f t="shared" si="705"/>
        <v>-2140994.8393952413</v>
      </c>
      <c r="H293" s="151">
        <f t="shared" si="705"/>
        <v>-926250.65742644283</v>
      </c>
      <c r="I293" s="151">
        <f t="shared" si="705"/>
        <v>-900814.52800145326</v>
      </c>
      <c r="J293" s="151">
        <f t="shared" si="705"/>
        <v>16907.401253077609</v>
      </c>
      <c r="K293" s="151">
        <f t="shared" si="705"/>
        <v>930125.82229647867</v>
      </c>
      <c r="L293" s="151">
        <f t="shared" si="705"/>
        <v>952021.09045960556</v>
      </c>
      <c r="M293" s="151">
        <f t="shared" si="705"/>
        <v>974424.76570535661</v>
      </c>
      <c r="N293" s="151">
        <f>N292-N311-N300</f>
        <v>997410.38038999925</v>
      </c>
      <c r="O293" s="151">
        <f>O292-O311-O300</f>
        <v>225014.34439026797</v>
      </c>
      <c r="P293" s="151">
        <f>P292-P311-P300</f>
        <v>-222104.68928207929</v>
      </c>
      <c r="Q293" s="151">
        <f t="shared" ref="Q293:W293" si="706">Q292-Q311-Q300</f>
        <v>125195.36375279014</v>
      </c>
      <c r="R293" s="151">
        <f t="shared" si="706"/>
        <v>387261.47813600709</v>
      </c>
      <c r="S293" s="151">
        <f t="shared" si="706"/>
        <v>588912.98276835354</v>
      </c>
      <c r="T293" s="151">
        <f t="shared" si="706"/>
        <v>637945.88298193982</v>
      </c>
      <c r="U293" s="151">
        <f t="shared" si="706"/>
        <v>688538.02607336966</v>
      </c>
      <c r="V293" s="151">
        <f t="shared" si="706"/>
        <v>933430.15536515904</v>
      </c>
      <c r="W293" s="151">
        <f t="shared" si="706"/>
        <v>1180134.8060405089</v>
      </c>
      <c r="X293" s="152">
        <f>X292-X311-X300</f>
        <v>1236555.4317527614</v>
      </c>
      <c r="Y293" s="156"/>
    </row>
    <row r="294" spans="1:25" hidden="1" outlineLevel="1">
      <c r="A294" s="95"/>
      <c r="C294" s="125" t="s">
        <v>128</v>
      </c>
      <c r="D294" s="151"/>
      <c r="E294" s="151">
        <f>-$D297*INDEX('DATA (Nominal)'!$B$246:$BX$246,1,MATCH($B$1,'DATA (Nominal)'!$B$1:$BX$1,0))</f>
        <v>5464399.4219021583</v>
      </c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2"/>
      <c r="Y294" s="156"/>
    </row>
    <row r="295" spans="1:25" hidden="1" outlineLevel="1">
      <c r="A295" s="95"/>
      <c r="C295" s="126" t="s">
        <v>54</v>
      </c>
      <c r="D295" s="151"/>
      <c r="E295" s="151">
        <f>E293*Federal_Tax_Rate-E294</f>
        <v>-5950497.7579051508</v>
      </c>
      <c r="F295" s="151">
        <f>F293*Federal_Tax_Rate-F294</f>
        <v>-871013.06972343125</v>
      </c>
      <c r="G295" s="151">
        <f t="shared" ref="G295" si="707">G293*Federal_Tax_Rate-G294</f>
        <v>-449608.91627300065</v>
      </c>
      <c r="H295" s="151">
        <f t="shared" ref="H295" si="708">H293*Federal_Tax_Rate-H294</f>
        <v>-194512.63805955299</v>
      </c>
      <c r="I295" s="151">
        <f t="shared" ref="I295" si="709">I293*Federal_Tax_Rate-I294</f>
        <v>-189171.05088030518</v>
      </c>
      <c r="J295" s="151">
        <f t="shared" ref="J295" si="710">J293*Federal_Tax_Rate-J294</f>
        <v>3550.5542631462977</v>
      </c>
      <c r="K295" s="151">
        <f t="shared" ref="K295" si="711">K293*Federal_Tax_Rate-K294</f>
        <v>195326.42268226051</v>
      </c>
      <c r="L295" s="151">
        <f t="shared" ref="L295" si="712">L293*Federal_Tax_Rate-L294</f>
        <v>199924.42899651715</v>
      </c>
      <c r="M295" s="151">
        <f t="shared" ref="M295" si="713">M293*Federal_Tax_Rate-M294</f>
        <v>204629.20079812489</v>
      </c>
      <c r="N295" s="151">
        <f t="shared" ref="N295" si="714">N293*Federal_Tax_Rate-N294</f>
        <v>209456.17988189982</v>
      </c>
      <c r="O295" s="151">
        <f>O293*Federal_Tax_Rate-O294</f>
        <v>47253.012321956274</v>
      </c>
      <c r="P295" s="151">
        <f t="shared" ref="P295" si="715">P293*Federal_Tax_Rate-P294</f>
        <v>-46641.984749236646</v>
      </c>
      <c r="Q295" s="151">
        <f t="shared" ref="Q295" si="716">Q293*Federal_Tax_Rate-Q294</f>
        <v>26291.026388085931</v>
      </c>
      <c r="R295" s="151">
        <f t="shared" ref="R295" si="717">R293*Federal_Tax_Rate-R294</f>
        <v>81324.910408561482</v>
      </c>
      <c r="S295" s="151">
        <f t="shared" ref="S295" si="718">S293*Federal_Tax_Rate-S294</f>
        <v>123671.72638135424</v>
      </c>
      <c r="T295" s="151">
        <f t="shared" ref="T295" si="719">T293*Federal_Tax_Rate-T294</f>
        <v>133968.63542620736</v>
      </c>
      <c r="U295" s="151">
        <f t="shared" ref="U295" si="720">U293*Federal_Tax_Rate-U294</f>
        <v>144592.98547540762</v>
      </c>
      <c r="V295" s="151">
        <f t="shared" ref="V295" si="721">V293*Federal_Tax_Rate-V294</f>
        <v>196020.3326266834</v>
      </c>
      <c r="W295" s="151">
        <f t="shared" ref="W295" si="722">W293*Federal_Tax_Rate-W294</f>
        <v>247828.30926850686</v>
      </c>
      <c r="X295" s="152">
        <f t="shared" ref="X295" si="723">X293*Federal_Tax_Rate-X294</f>
        <v>259676.64066807987</v>
      </c>
      <c r="Y295" s="156"/>
    </row>
    <row r="296" spans="1:25" hidden="1" outlineLevel="1">
      <c r="A296" s="95"/>
      <c r="C296" s="126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2"/>
      <c r="Y296" s="156"/>
    </row>
    <row r="297" spans="1:25" hidden="1" outlineLevel="1">
      <c r="A297" s="95"/>
      <c r="B297" s="37">
        <f>IRR(D297:Y297,0.1)</f>
        <v>7.4999991153398948E-2</v>
      </c>
      <c r="C297" s="125" t="s">
        <v>55</v>
      </c>
      <c r="D297" s="155">
        <f>SUM(D306:D307)</f>
        <v>-18214664.73967386</v>
      </c>
      <c r="E297" s="156">
        <f t="shared" ref="E297:K297" si="724">E292-E295</f>
        <v>7157392.8856818862</v>
      </c>
      <c r="F297" s="151">
        <f t="shared" si="724"/>
        <v>2090683.5053219697</v>
      </c>
      <c r="G297" s="151">
        <f t="shared" si="724"/>
        <v>1681346.4554321198</v>
      </c>
      <c r="H297" s="151">
        <f t="shared" si="724"/>
        <v>1438369.7172395347</v>
      </c>
      <c r="I297" s="151">
        <f t="shared" si="724"/>
        <v>1444146.5087174389</v>
      </c>
      <c r="J297" s="151">
        <f t="shared" si="724"/>
        <v>1262251.6201140175</v>
      </c>
      <c r="K297" s="151">
        <f t="shared" si="724"/>
        <v>1075968.1725355</v>
      </c>
      <c r="L297" s="151">
        <f>L292-L295</f>
        <v>1076452.9390358373</v>
      </c>
      <c r="M297" s="151">
        <f t="shared" ref="M297:N297" si="725">M292-M295</f>
        <v>1076414.6598872785</v>
      </c>
      <c r="N297" s="151">
        <f t="shared" si="725"/>
        <v>1075860.5678528452</v>
      </c>
      <c r="O297" s="151">
        <f>O292-O295-O290</f>
        <v>-3071439.4705821797</v>
      </c>
      <c r="P297" s="151">
        <f>P292-P295</f>
        <v>1294809.6628620347</v>
      </c>
      <c r="Q297" s="151">
        <f t="shared" ref="Q297:X297" si="726">Q292-Q295</f>
        <v>1231423.4459516606</v>
      </c>
      <c r="R297" s="151">
        <f t="shared" si="726"/>
        <v>1184950.4210695627</v>
      </c>
      <c r="S297" s="151">
        <f t="shared" si="726"/>
        <v>1150259.5897885463</v>
      </c>
      <c r="T297" s="151">
        <f t="shared" si="726"/>
        <v>1146788.1966895498</v>
      </c>
      <c r="U297" s="151">
        <f t="shared" si="726"/>
        <v>1142227.1993293248</v>
      </c>
      <c r="V297" s="151">
        <f t="shared" si="726"/>
        <v>1096163.7557428272</v>
      </c>
      <c r="W297" s="151">
        <f t="shared" si="726"/>
        <v>1049077.82310442</v>
      </c>
      <c r="X297" s="152">
        <f t="shared" si="726"/>
        <v>1041362.5693478343</v>
      </c>
      <c r="Y297" s="156">
        <f>D297*-0.3</f>
        <v>5464399.4219021583</v>
      </c>
    </row>
    <row r="298" spans="1:25" hidden="1" outlineLevel="1">
      <c r="A298" s="95"/>
      <c r="B298" s="37">
        <f>IRR(D298:Y298,0.1)</f>
        <v>0.12412691642812823</v>
      </c>
      <c r="C298" s="125" t="s">
        <v>56</v>
      </c>
      <c r="D298" s="155">
        <f>-D316</f>
        <v>-2787046.8100107461</v>
      </c>
      <c r="E298" s="156">
        <f t="shared" ref="E298:M298" si="727">E297-E300-E303-E312-E294</f>
        <v>395879.42604240123</v>
      </c>
      <c r="F298" s="151">
        <f t="shared" si="727"/>
        <v>403411.34886082797</v>
      </c>
      <c r="G298" s="151">
        <f t="shared" si="727"/>
        <v>410242.95894304651</v>
      </c>
      <c r="H298" s="151">
        <f t="shared" si="727"/>
        <v>416967.41673370259</v>
      </c>
      <c r="I298" s="151">
        <f t="shared" si="727"/>
        <v>422744.20821160666</v>
      </c>
      <c r="J298" s="151">
        <f t="shared" si="727"/>
        <v>428125.21659561596</v>
      </c>
      <c r="K298" s="151">
        <f t="shared" si="727"/>
        <v>429117.66600452922</v>
      </c>
      <c r="L298" s="151">
        <f t="shared" si="727"/>
        <v>429602.43250486651</v>
      </c>
      <c r="M298" s="151">
        <f t="shared" si="727"/>
        <v>429564.15335630765</v>
      </c>
      <c r="N298" s="151">
        <f>N297-N300-N303-N312-N294</f>
        <v>429010.06132187438</v>
      </c>
      <c r="O298" s="151">
        <f>O297-O300-O303-O312-O294+O290</f>
        <v>45105.744040557183</v>
      </c>
      <c r="P298" s="151">
        <f>P297-P300-P303-P312-P294</f>
        <v>5521.593164515245</v>
      </c>
      <c r="Q298" s="151">
        <f>Q297-Q300-Q303-Q312-Q294</f>
        <v>5515.2397177148378</v>
      </c>
      <c r="R298" s="151">
        <f t="shared" ref="R298:X298" si="728">R297-R300-R303-R312-R294</f>
        <v>4314.8399022084632</v>
      </c>
      <c r="S298" s="151">
        <f t="shared" si="728"/>
        <v>1961.597954471843</v>
      </c>
      <c r="T298" s="151">
        <f t="shared" si="728"/>
        <v>-1509.7951445246435</v>
      </c>
      <c r="U298" s="151">
        <f t="shared" si="728"/>
        <v>-6070.792504749712</v>
      </c>
      <c r="V298" s="151">
        <f t="shared" si="728"/>
        <v>-11698.662202238716</v>
      </c>
      <c r="W298" s="151">
        <f t="shared" si="728"/>
        <v>-18376.195396455238</v>
      </c>
      <c r="X298" s="152">
        <f t="shared" si="728"/>
        <v>-26091.449153040885</v>
      </c>
      <c r="Y298" s="156">
        <f>Y297</f>
        <v>5464399.4219021583</v>
      </c>
    </row>
    <row r="299" spans="1:25" hidden="1" outlineLevel="1">
      <c r="A299" s="95"/>
      <c r="B299" s="21"/>
      <c r="C299" s="125"/>
      <c r="D299" s="155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2"/>
      <c r="Y299" s="156"/>
    </row>
    <row r="300" spans="1:25" hidden="1" outlineLevel="1">
      <c r="A300" s="95"/>
      <c r="B300" s="15"/>
      <c r="C300" s="126" t="s">
        <v>57</v>
      </c>
      <c r="D300" s="151"/>
      <c r="E300" s="151">
        <f t="shared" ref="E300:W300" si="729">D304*Debt_Rate</f>
        <v>425156.10299880902</v>
      </c>
      <c r="F300" s="151">
        <f t="shared" si="729"/>
        <v>412962.91080454015</v>
      </c>
      <c r="G300" s="151">
        <f t="shared" si="729"/>
        <v>400099.0930395865</v>
      </c>
      <c r="H300" s="151">
        <f t="shared" si="729"/>
        <v>386527.76529756037</v>
      </c>
      <c r="I300" s="151">
        <f t="shared" si="729"/>
        <v>372210.0145297228</v>
      </c>
      <c r="J300" s="151">
        <f t="shared" si="729"/>
        <v>357104.78746965417</v>
      </c>
      <c r="K300" s="151">
        <f t="shared" si="729"/>
        <v>341168.77292128175</v>
      </c>
      <c r="L300" s="151">
        <f t="shared" si="729"/>
        <v>324356.27757274883</v>
      </c>
      <c r="M300" s="151">
        <f t="shared" si="729"/>
        <v>306619.09498004662</v>
      </c>
      <c r="N300" s="151">
        <f t="shared" si="729"/>
        <v>287906.36734474578</v>
      </c>
      <c r="O300" s="151">
        <f t="shared" si="729"/>
        <v>447990.24992085341</v>
      </c>
      <c r="P300" s="151">
        <f t="shared" si="729"/>
        <v>413919.74264895223</v>
      </c>
      <c r="Q300" s="151">
        <f t="shared" si="729"/>
        <v>377975.35747709649</v>
      </c>
      <c r="R300" s="151">
        <f t="shared" si="729"/>
        <v>340054.03112078866</v>
      </c>
      <c r="S300" s="151">
        <f t="shared" si="729"/>
        <v>300047.03181488387</v>
      </c>
      <c r="T300" s="151">
        <f t="shared" si="729"/>
        <v>257839.64754715437</v>
      </c>
      <c r="U300" s="151">
        <f t="shared" si="729"/>
        <v>213310.85714469972</v>
      </c>
      <c r="V300" s="151">
        <f t="shared" si="729"/>
        <v>166332.98327011007</v>
      </c>
      <c r="W300" s="151">
        <f t="shared" si="729"/>
        <v>116771.32633241799</v>
      </c>
      <c r="X300" s="152">
        <f>W304*Debt_Rate</f>
        <v>64483.778263152846</v>
      </c>
      <c r="Y300" s="156"/>
    </row>
    <row r="301" spans="1:25" hidden="1" outlineLevel="1">
      <c r="A301" s="95"/>
      <c r="B301" s="15"/>
      <c r="C301" s="126" t="s">
        <v>113</v>
      </c>
      <c r="D301" s="151"/>
      <c r="E301" s="151">
        <f t="shared" ref="E301:X301" si="730">-PMT(Debt_Rate,20,$D315)</f>
        <v>646850.5065309708</v>
      </c>
      <c r="F301" s="151">
        <f t="shared" si="730"/>
        <v>646850.5065309708</v>
      </c>
      <c r="G301" s="151">
        <f t="shared" si="730"/>
        <v>646850.5065309708</v>
      </c>
      <c r="H301" s="151">
        <f t="shared" si="730"/>
        <v>646850.5065309708</v>
      </c>
      <c r="I301" s="151">
        <f t="shared" si="730"/>
        <v>646850.5065309708</v>
      </c>
      <c r="J301" s="151">
        <f t="shared" si="730"/>
        <v>646850.5065309708</v>
      </c>
      <c r="K301" s="151">
        <f t="shared" si="730"/>
        <v>646850.5065309708</v>
      </c>
      <c r="L301" s="151">
        <f t="shared" si="730"/>
        <v>646850.5065309708</v>
      </c>
      <c r="M301" s="151">
        <f t="shared" si="730"/>
        <v>646850.5065309708</v>
      </c>
      <c r="N301" s="151">
        <f t="shared" si="730"/>
        <v>646850.5065309708</v>
      </c>
      <c r="O301" s="151">
        <f t="shared" si="730"/>
        <v>646850.5065309708</v>
      </c>
      <c r="P301" s="151">
        <f t="shared" si="730"/>
        <v>646850.5065309708</v>
      </c>
      <c r="Q301" s="151">
        <f t="shared" si="730"/>
        <v>646850.5065309708</v>
      </c>
      <c r="R301" s="151">
        <f t="shared" si="730"/>
        <v>646850.5065309708</v>
      </c>
      <c r="S301" s="151">
        <f t="shared" si="730"/>
        <v>646850.5065309708</v>
      </c>
      <c r="T301" s="151">
        <f t="shared" si="730"/>
        <v>646850.5065309708</v>
      </c>
      <c r="U301" s="151">
        <f t="shared" si="730"/>
        <v>646850.5065309708</v>
      </c>
      <c r="V301" s="151">
        <f t="shared" si="730"/>
        <v>646850.5065309708</v>
      </c>
      <c r="W301" s="151">
        <f t="shared" si="730"/>
        <v>646850.5065309708</v>
      </c>
      <c r="X301" s="152">
        <f t="shared" si="730"/>
        <v>646850.5065309708</v>
      </c>
      <c r="Y301" s="156"/>
    </row>
    <row r="302" spans="1:25" s="95" customFormat="1" hidden="1" outlineLevel="1">
      <c r="B302" s="52"/>
      <c r="C302" s="126" t="s">
        <v>161</v>
      </c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>
        <f t="shared" ref="O302:X302" si="731">-PMT(Debt_Rate,10,$O290)*$B315</f>
        <v>420603.51196990436</v>
      </c>
      <c r="P302" s="151">
        <f t="shared" si="731"/>
        <v>420603.51196990436</v>
      </c>
      <c r="Q302" s="151">
        <f t="shared" si="731"/>
        <v>420603.51196990436</v>
      </c>
      <c r="R302" s="151">
        <f t="shared" si="731"/>
        <v>420603.51196990436</v>
      </c>
      <c r="S302" s="151">
        <f t="shared" si="731"/>
        <v>420603.51196990436</v>
      </c>
      <c r="T302" s="151">
        <f t="shared" si="731"/>
        <v>420603.51196990436</v>
      </c>
      <c r="U302" s="151">
        <f t="shared" si="731"/>
        <v>420603.51196990436</v>
      </c>
      <c r="V302" s="151">
        <f t="shared" si="731"/>
        <v>420603.51196990436</v>
      </c>
      <c r="W302" s="151">
        <f t="shared" si="731"/>
        <v>420603.51196990436</v>
      </c>
      <c r="X302" s="152">
        <f t="shared" si="731"/>
        <v>420603.51196990436</v>
      </c>
      <c r="Y302" s="156"/>
    </row>
    <row r="303" spans="1:25" hidden="1" outlineLevel="1">
      <c r="A303" s="95"/>
      <c r="B303" s="15"/>
      <c r="C303" s="126" t="s">
        <v>59</v>
      </c>
      <c r="D303" s="151"/>
      <c r="E303" s="156">
        <f>E302+E301-E300</f>
        <v>221694.40353216178</v>
      </c>
      <c r="F303" s="151">
        <f t="shared" ref="F303" si="732">F302+F301-F300</f>
        <v>233887.59572643065</v>
      </c>
      <c r="G303" s="151">
        <f t="shared" ref="G303" si="733">G302+G301-G300</f>
        <v>246751.4134913843</v>
      </c>
      <c r="H303" s="151">
        <f t="shared" ref="H303" si="734">H302+H301-H300</f>
        <v>260322.74123341043</v>
      </c>
      <c r="I303" s="151">
        <f t="shared" ref="I303" si="735">I302+I301-I300</f>
        <v>274640.492001248</v>
      </c>
      <c r="J303" s="151">
        <f t="shared" ref="J303" si="736">J302+J301-J300</f>
        <v>289745.71906131663</v>
      </c>
      <c r="K303" s="151">
        <f t="shared" ref="K303" si="737">K302+K301-K300</f>
        <v>305681.73360968905</v>
      </c>
      <c r="L303" s="151">
        <f t="shared" ref="L303" si="738">L302+L301-L300</f>
        <v>322494.22895822197</v>
      </c>
      <c r="M303" s="151">
        <f>M302+M301-M300</f>
        <v>340231.41155092418</v>
      </c>
      <c r="N303" s="151">
        <f>N302+N301-N300</f>
        <v>358944.13918622502</v>
      </c>
      <c r="O303" s="151">
        <f>O302+O301-O300</f>
        <v>619463.7685800218</v>
      </c>
      <c r="P303" s="151">
        <f>P302+P301-P300</f>
        <v>653534.27585192304</v>
      </c>
      <c r="Q303" s="151">
        <f t="shared" ref="Q303" si="739">Q302+Q301-Q300</f>
        <v>689478.66102377872</v>
      </c>
      <c r="R303" s="151">
        <f t="shared" ref="R303" si="740">R302+R301-R300</f>
        <v>727399.98738008656</v>
      </c>
      <c r="S303" s="151">
        <f t="shared" ref="S303" si="741">S302+S301-S300</f>
        <v>767406.98668599129</v>
      </c>
      <c r="T303" s="151">
        <f t="shared" ref="T303" si="742">T302+T301-T300</f>
        <v>809614.37095372088</v>
      </c>
      <c r="U303" s="151">
        <f t="shared" ref="U303" si="743">U302+U301-U300</f>
        <v>854143.16135617555</v>
      </c>
      <c r="V303" s="151">
        <f t="shared" ref="V303" si="744">V302+V301-V300</f>
        <v>901121.03523076512</v>
      </c>
      <c r="W303" s="151">
        <f t="shared" ref="W303" si="745">W302+W301-W300</f>
        <v>950682.6921684572</v>
      </c>
      <c r="X303" s="152">
        <f t="shared" ref="X303" si="746">X302+X301-X300</f>
        <v>1002970.2402377224</v>
      </c>
      <c r="Y303" s="156"/>
    </row>
    <row r="304" spans="1:25" hidden="1" outlineLevel="1">
      <c r="A304" s="95"/>
      <c r="B304" s="15"/>
      <c r="C304" s="126" t="s">
        <v>60</v>
      </c>
      <c r="D304" s="151">
        <f>D315</f>
        <v>7730110.9636147097</v>
      </c>
      <c r="E304" s="151">
        <f>D304-E303+(F290*$B$76)</f>
        <v>7508416.5600825483</v>
      </c>
      <c r="F304" s="151">
        <f t="shared" ref="F304" si="747">E304-F303+(G290*$B$76)</f>
        <v>7274528.9643561179</v>
      </c>
      <c r="G304" s="151">
        <f t="shared" ref="G304" si="748">F304-G303+(H290*$B$76)</f>
        <v>7027777.5508647338</v>
      </c>
      <c r="H304" s="151">
        <f t="shared" ref="H304" si="749">G304-H303+(I290*$B$76)</f>
        <v>6767454.8096313234</v>
      </c>
      <c r="I304" s="151">
        <f t="shared" ref="I304" si="750">H304-I303+(J290*$B$76)</f>
        <v>6492814.3176300758</v>
      </c>
      <c r="J304" s="151">
        <f t="shared" ref="J304" si="751">I304-J303+(K290*$B$76)</f>
        <v>6203068.5985687589</v>
      </c>
      <c r="K304" s="151">
        <f t="shared" ref="K304" si="752">J304-K303+(L290*$B$76)</f>
        <v>5897386.8649590695</v>
      </c>
      <c r="L304" s="151">
        <f t="shared" ref="L304" si="753">K304-L303+(M290*$B$76)</f>
        <v>5574892.6360008474</v>
      </c>
      <c r="M304" s="151">
        <f>L304-M303+(N290*$B$76)</f>
        <v>5234661.2244499233</v>
      </c>
      <c r="N304" s="151">
        <f>M304-N303+(O290*$B$76)</f>
        <v>8145277.2712882441</v>
      </c>
      <c r="O304" s="151">
        <f t="shared" ref="O304" si="754">N304-O303+(P290*$B$76)</f>
        <v>7525813.5027082227</v>
      </c>
      <c r="P304" s="151">
        <f t="shared" ref="P304" si="755">O304-P303+(Q290*$B$76)</f>
        <v>6872279.2268562997</v>
      </c>
      <c r="Q304" s="151">
        <f t="shared" ref="Q304" si="756">P304-Q303+(R290*$B$76)</f>
        <v>6182800.5658325208</v>
      </c>
      <c r="R304" s="151">
        <f t="shared" ref="R304" si="757">Q304-R303+(S290*$B$76)</f>
        <v>5455400.5784524344</v>
      </c>
      <c r="S304" s="151">
        <f t="shared" ref="S304" si="758">R304-S303+(T290*$B$76)</f>
        <v>4687993.5917664431</v>
      </c>
      <c r="T304" s="151">
        <f t="shared" ref="T304" si="759">S304-T303+(U290*$B$76)</f>
        <v>3878379.2208127221</v>
      </c>
      <c r="U304" s="151">
        <f t="shared" ref="U304" si="760">T304-U303+(V290*$B$76)</f>
        <v>3024236.0594565468</v>
      </c>
      <c r="V304" s="151">
        <f t="shared" ref="V304" si="761">U304-V303+(W290*$B$76)</f>
        <v>2123115.0242257817</v>
      </c>
      <c r="W304" s="151">
        <f t="shared" ref="W304" si="762">V304-W303+(X290*$B$76)</f>
        <v>1172432.3320573245</v>
      </c>
      <c r="X304" s="152">
        <f t="shared" ref="X304" si="763">W304-X303+(Y290*$B$76)</f>
        <v>169462.09181960206</v>
      </c>
      <c r="Y304" s="156"/>
    </row>
    <row r="305" spans="1:25" hidden="1" outlineLevel="1">
      <c r="A305" s="95"/>
      <c r="B305" s="15"/>
      <c r="C305" s="125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2"/>
      <c r="Y305" s="156"/>
    </row>
    <row r="306" spans="1:25" hidden="1" outlineLevel="1">
      <c r="A306" s="95"/>
      <c r="B306" s="15"/>
      <c r="C306" s="126" t="s">
        <v>162</v>
      </c>
      <c r="D306" s="151">
        <f>-INDEX('DATA (Nominal)'!$B$68:$BX$68,1,MATCH($B$1,'DATA (Nominal)'!$B$1:$BX$1,0))*1000000*(1+AFUDC!$C$18)*'Resource Options'!$E$18/1000</f>
        <v>-9091557.5462310873</v>
      </c>
      <c r="E306" s="151">
        <f t="shared" ref="E306:X306" si="764">-$D306/25</f>
        <v>363662.30184924346</v>
      </c>
      <c r="F306" s="151">
        <f t="shared" si="764"/>
        <v>363662.30184924346</v>
      </c>
      <c r="G306" s="151">
        <f t="shared" si="764"/>
        <v>363662.30184924346</v>
      </c>
      <c r="H306" s="151">
        <f t="shared" si="764"/>
        <v>363662.30184924346</v>
      </c>
      <c r="I306" s="151">
        <f t="shared" si="764"/>
        <v>363662.30184924346</v>
      </c>
      <c r="J306" s="151">
        <f t="shared" si="764"/>
        <v>363662.30184924346</v>
      </c>
      <c r="K306" s="151">
        <f t="shared" si="764"/>
        <v>363662.30184924346</v>
      </c>
      <c r="L306" s="151">
        <f t="shared" si="764"/>
        <v>363662.30184924346</v>
      </c>
      <c r="M306" s="151">
        <f t="shared" si="764"/>
        <v>363662.30184924346</v>
      </c>
      <c r="N306" s="151">
        <f t="shared" si="764"/>
        <v>363662.30184924346</v>
      </c>
      <c r="O306" s="151">
        <f t="shared" si="764"/>
        <v>363662.30184924346</v>
      </c>
      <c r="P306" s="151">
        <f t="shared" si="764"/>
        <v>363662.30184924346</v>
      </c>
      <c r="Q306" s="151">
        <f t="shared" si="764"/>
        <v>363662.30184924346</v>
      </c>
      <c r="R306" s="151">
        <f t="shared" si="764"/>
        <v>363662.30184924346</v>
      </c>
      <c r="S306" s="151">
        <f t="shared" si="764"/>
        <v>363662.30184924346</v>
      </c>
      <c r="T306" s="151">
        <f t="shared" si="764"/>
        <v>363662.30184924346</v>
      </c>
      <c r="U306" s="151">
        <f t="shared" si="764"/>
        <v>363662.30184924346</v>
      </c>
      <c r="V306" s="151">
        <f t="shared" si="764"/>
        <v>363662.30184924346</v>
      </c>
      <c r="W306" s="151">
        <f t="shared" si="764"/>
        <v>363662.30184924346</v>
      </c>
      <c r="X306" s="152">
        <f t="shared" si="764"/>
        <v>363662.30184924346</v>
      </c>
      <c r="Y306" s="156"/>
    </row>
    <row r="307" spans="1:25" s="95" customFormat="1" hidden="1" outlineLevel="1">
      <c r="B307" s="52"/>
      <c r="C307" s="126" t="s">
        <v>163</v>
      </c>
      <c r="D307" s="151">
        <f>-INDEX('DATA (Nominal)'!$B$69:$BX$69,1,MATCH($B$1,'DATA (Nominal)'!$B$1:$BX$1,0))*1000000*(1+AFUDC!$D$18)*'Resource Options'!$D$18/1000</f>
        <v>-9123107.1934427712</v>
      </c>
      <c r="E307" s="151">
        <f t="shared" ref="E307:N307" si="765">-$D307/10</f>
        <v>912310.71934427717</v>
      </c>
      <c r="F307" s="151">
        <f t="shared" si="765"/>
        <v>912310.71934427717</v>
      </c>
      <c r="G307" s="151">
        <f t="shared" si="765"/>
        <v>912310.71934427717</v>
      </c>
      <c r="H307" s="151">
        <f t="shared" si="765"/>
        <v>912310.71934427717</v>
      </c>
      <c r="I307" s="151">
        <f t="shared" si="765"/>
        <v>912310.71934427717</v>
      </c>
      <c r="J307" s="151">
        <f t="shared" si="765"/>
        <v>912310.71934427717</v>
      </c>
      <c r="K307" s="151">
        <f t="shared" si="765"/>
        <v>912310.71934427717</v>
      </c>
      <c r="L307" s="151">
        <f t="shared" si="765"/>
        <v>912310.71934427717</v>
      </c>
      <c r="M307" s="151">
        <f t="shared" si="765"/>
        <v>912310.71934427717</v>
      </c>
      <c r="N307" s="151">
        <f t="shared" si="765"/>
        <v>912310.71934427717</v>
      </c>
      <c r="O307" s="151">
        <f t="shared" ref="O307:X307" si="766">$O290/10</f>
        <v>431340.39393463667</v>
      </c>
      <c r="P307" s="151">
        <f t="shared" si="766"/>
        <v>431340.39393463667</v>
      </c>
      <c r="Q307" s="151">
        <f t="shared" si="766"/>
        <v>431340.39393463667</v>
      </c>
      <c r="R307" s="151">
        <f t="shared" si="766"/>
        <v>431340.39393463667</v>
      </c>
      <c r="S307" s="151">
        <f t="shared" si="766"/>
        <v>431340.39393463667</v>
      </c>
      <c r="T307" s="151">
        <f t="shared" si="766"/>
        <v>431340.39393463667</v>
      </c>
      <c r="U307" s="151">
        <f t="shared" si="766"/>
        <v>431340.39393463667</v>
      </c>
      <c r="V307" s="151">
        <f t="shared" si="766"/>
        <v>431340.39393463667</v>
      </c>
      <c r="W307" s="151">
        <f t="shared" si="766"/>
        <v>431340.39393463667</v>
      </c>
      <c r="X307" s="152">
        <f t="shared" si="766"/>
        <v>431340.39393463667</v>
      </c>
      <c r="Y307" s="156"/>
    </row>
    <row r="308" spans="1:25" hidden="1" outlineLevel="1">
      <c r="A308" s="95"/>
      <c r="B308" s="15"/>
      <c r="C308" s="125" t="s">
        <v>62</v>
      </c>
      <c r="D308" s="151"/>
      <c r="E308" s="151">
        <f>SUM($E306:E307)</f>
        <v>1275973.0211935206</v>
      </c>
      <c r="F308" s="151">
        <f>SUM($E306:F307)</f>
        <v>2551946.0423870413</v>
      </c>
      <c r="G308" s="151">
        <f>SUM($E306:G307)</f>
        <v>3827919.0635805614</v>
      </c>
      <c r="H308" s="151">
        <f>SUM($E306:H307)</f>
        <v>5103892.0847740816</v>
      </c>
      <c r="I308" s="151">
        <f>SUM($E306:I307)</f>
        <v>6379865.1059676027</v>
      </c>
      <c r="J308" s="151">
        <f>SUM($E306:J307)</f>
        <v>7655838.1271611229</v>
      </c>
      <c r="K308" s="151">
        <f>SUM($E306:K307)</f>
        <v>8931811.148354644</v>
      </c>
      <c r="L308" s="151">
        <f>SUM($E306:L307)</f>
        <v>10207784.169548163</v>
      </c>
      <c r="M308" s="151">
        <f>SUM($E306:M307)</f>
        <v>11483757.190741684</v>
      </c>
      <c r="N308" s="151">
        <f>SUM($E306:N307)</f>
        <v>12759730.211935204</v>
      </c>
      <c r="O308" s="151">
        <f>SUM($E306:O307)</f>
        <v>13554732.907719085</v>
      </c>
      <c r="P308" s="151">
        <f>SUM($E306:P307)</f>
        <v>14349735.603502965</v>
      </c>
      <c r="Q308" s="151">
        <f>SUM($E306:Q307)</f>
        <v>15144738.299286846</v>
      </c>
      <c r="R308" s="151">
        <f>SUM($E306:R307)</f>
        <v>15939740.995070726</v>
      </c>
      <c r="S308" s="151">
        <f>SUM($E306:S307)</f>
        <v>16734743.690854607</v>
      </c>
      <c r="T308" s="151">
        <f>SUM($E306:T307)</f>
        <v>17529746.386638485</v>
      </c>
      <c r="U308" s="151">
        <f>SUM($E306:U307)</f>
        <v>18324749.082422368</v>
      </c>
      <c r="V308" s="151">
        <f>SUM($E306:V307)</f>
        <v>19119751.778206248</v>
      </c>
      <c r="W308" s="151">
        <f>SUM($E306:W307)</f>
        <v>19914754.473990127</v>
      </c>
      <c r="X308" s="152">
        <f>SUM($E306:X307)</f>
        <v>20709757.169774007</v>
      </c>
      <c r="Y308" s="156"/>
    </row>
    <row r="309" spans="1:25" hidden="1" outlineLevel="1">
      <c r="A309" s="95"/>
      <c r="B309" s="15"/>
      <c r="C309" s="125" t="s">
        <v>63</v>
      </c>
      <c r="D309" s="151"/>
      <c r="E309" s="151">
        <f>-$D297-E308</f>
        <v>16938691.718480341</v>
      </c>
      <c r="F309" s="151">
        <f t="shared" ref="F309:G309" si="767">-$D297-F308</f>
        <v>15662718.697286818</v>
      </c>
      <c r="G309" s="151">
        <f t="shared" si="767"/>
        <v>14386745.676093299</v>
      </c>
      <c r="H309" s="156">
        <f>-$D297-H308</f>
        <v>13110772.65489978</v>
      </c>
      <c r="I309" s="151">
        <f t="shared" ref="I309:L309" si="768">-$D297-I308</f>
        <v>11834799.633706257</v>
      </c>
      <c r="J309" s="151">
        <f t="shared" si="768"/>
        <v>10558826.612512738</v>
      </c>
      <c r="K309" s="151">
        <f t="shared" si="768"/>
        <v>9282853.5913192164</v>
      </c>
      <c r="L309" s="151">
        <f t="shared" si="768"/>
        <v>8006880.5701256972</v>
      </c>
      <c r="M309" s="151">
        <f>-$D297-M308</f>
        <v>6730907.5489321761</v>
      </c>
      <c r="N309" s="151">
        <f>-$D297-N308</f>
        <v>5454934.5277386568</v>
      </c>
      <c r="O309" s="151">
        <f>-$D297-O308+$O290</f>
        <v>8973335.7713011429</v>
      </c>
      <c r="P309" s="151">
        <f t="shared" ref="P309" si="769">-$D297-P308+$O290</f>
        <v>8178333.0755172623</v>
      </c>
      <c r="Q309" s="151">
        <f t="shared" ref="Q309" si="770">-$D297-Q308+$O290</f>
        <v>7383330.3797333809</v>
      </c>
      <c r="R309" s="151">
        <f t="shared" ref="R309" si="771">-$D297-R308+$O290</f>
        <v>6588327.6839495013</v>
      </c>
      <c r="S309" s="151">
        <f t="shared" ref="S309" si="772">-$D297-S308+$O290</f>
        <v>5793324.9881656198</v>
      </c>
      <c r="T309" s="151">
        <f t="shared" ref="T309" si="773">-$D297-T308+$O290</f>
        <v>4998322.292381742</v>
      </c>
      <c r="U309" s="151">
        <f t="shared" ref="U309" si="774">-$D297-U308+$O290</f>
        <v>4203319.5965978587</v>
      </c>
      <c r="V309" s="151">
        <f t="shared" ref="V309" si="775">-$D297-V308+$O290</f>
        <v>3408316.9008139791</v>
      </c>
      <c r="W309" s="151">
        <f t="shared" ref="W309" si="776">-$D297-W308+$O290</f>
        <v>2613314.2050300995</v>
      </c>
      <c r="X309" s="152">
        <f t="shared" ref="X309" si="777">-$D297-X308+$O290</f>
        <v>1818311.5092462199</v>
      </c>
      <c r="Y309" s="156"/>
    </row>
    <row r="310" spans="1:25" hidden="1" outlineLevel="1">
      <c r="A310" s="95"/>
      <c r="B310" s="15"/>
      <c r="C310" s="125" t="s">
        <v>64</v>
      </c>
      <c r="D310" s="151">
        <f>-D297</f>
        <v>18214664.73967386</v>
      </c>
      <c r="E310" s="151">
        <f>D310/(($D310/$Y310)^(1/21))</f>
        <v>17199752.363802493</v>
      </c>
      <c r="F310" s="151">
        <f t="shared" ref="F310" si="778">E310/(($D310/$Y310)^(1/21))</f>
        <v>16241390.41833533</v>
      </c>
      <c r="G310" s="151">
        <f t="shared" ref="G310" si="779">F310/(($D310/$Y310)^(1/21))</f>
        <v>15336427.94043565</v>
      </c>
      <c r="H310" s="151">
        <f t="shared" ref="H310" si="780">G310/(($D310/$Y310)^(1/21))</f>
        <v>14481889.537403462</v>
      </c>
      <c r="I310" s="151">
        <f t="shared" ref="I310" si="781">H310/(($D310/$Y310)^(1/21))</f>
        <v>13674965.603991771</v>
      </c>
      <c r="J310" s="156">
        <f t="shared" ref="J310" si="782">I310/(($D310/$Y310)^(1/21))</f>
        <v>12913003.084809272</v>
      </c>
      <c r="K310" s="156">
        <f>J310/(($D310/$Y310)^(1/21))</f>
        <v>12193496.751437541</v>
      </c>
      <c r="L310" s="151">
        <f t="shared" ref="L310" si="783">K310/(($D310/$Y310)^(1/21))</f>
        <v>11514080.965583067</v>
      </c>
      <c r="M310" s="151">
        <f t="shared" ref="M310" si="784">L310/(($D310/$Y310)^(1/21))</f>
        <v>10872521.901182497</v>
      </c>
      <c r="N310" s="151">
        <f>M310/(($D310/$Y310)^(1/21))</f>
        <v>10266710.199888444</v>
      </c>
      <c r="O310" s="151">
        <f>(N310+O290)/(($D310/($Y310+O290))^(1/21))</f>
        <v>14154522.239637271</v>
      </c>
      <c r="P310" s="151">
        <f>O310/(($O310/$Y310)^(1/11))</f>
        <v>12981285.149198802</v>
      </c>
      <c r="Q310" s="151">
        <f>P310/(($O310/$Y310)^(1/11))</f>
        <v>11905295.090279767</v>
      </c>
      <c r="R310" s="151">
        <f t="shared" ref="R310:X310" si="785">Q310/(($O310/$Y310)^(1/11))</f>
        <v>10918491.471192081</v>
      </c>
      <c r="S310" s="151">
        <f t="shared" si="785"/>
        <v>10013481.82489215</v>
      </c>
      <c r="T310" s="151">
        <f t="shared" si="785"/>
        <v>9183486.4296045452</v>
      </c>
      <c r="U310" s="151">
        <f t="shared" si="785"/>
        <v>8422287.5197198633</v>
      </c>
      <c r="V310" s="151">
        <f t="shared" si="785"/>
        <v>7724182.7064891215</v>
      </c>
      <c r="W310" s="151">
        <f t="shared" si="785"/>
        <v>7083942.2595739271</v>
      </c>
      <c r="X310" s="152">
        <f t="shared" si="785"/>
        <v>6496769.9294346087</v>
      </c>
      <c r="Y310" s="156">
        <f>Y297</f>
        <v>5464399.4219021583</v>
      </c>
    </row>
    <row r="311" spans="1:25" hidden="1" outlineLevel="1">
      <c r="A311" s="95"/>
      <c r="B311" s="15"/>
      <c r="C311" s="126" t="s">
        <v>65</v>
      </c>
      <c r="D311" s="151"/>
      <c r="E311" s="151">
        <f>-$D297*Assumptions!J$18*INDEX('DATA (Nominal)'!$B$348:$BX$348,1,MATCH($B$1,'DATA (Nominal)'!$B$1:$BX$1,0))</f>
        <v>3096493.0057445564</v>
      </c>
      <c r="F311" s="151">
        <f>-$D297*Assumptions!K$18*INDEX('DATA (Nominal)'!$B$348:$BX$348,1,MATCH($B$1,'DATA (Nominal)'!$B$1:$BX$1,0))</f>
        <v>4954388.8091912903</v>
      </c>
      <c r="G311" s="151">
        <f>-$D297*Assumptions!L$18*INDEX('DATA (Nominal)'!$B$348:$BX$348,1,MATCH($B$1,'DATA (Nominal)'!$B$1:$BX$1,0))</f>
        <v>2972633.2855147738</v>
      </c>
      <c r="H311" s="151">
        <f>-$D297*Assumptions!M$18*INDEX('DATA (Nominal)'!$B$348:$BX$348,1,MATCH($B$1,'DATA (Nominal)'!$B$1:$BX$1,0))</f>
        <v>1783579.9713088642</v>
      </c>
      <c r="I311" s="151">
        <f>-$D297*Assumptions!N$18*INDEX('DATA (Nominal)'!$B$348:$BX$348,1,MATCH($B$1,'DATA (Nominal)'!$B$1:$BX$1,0))</f>
        <v>1783579.9713088642</v>
      </c>
      <c r="J311" s="151">
        <f>-$D297*Assumptions!O$18*INDEX('DATA (Nominal)'!$B$348:$BX$348,1,MATCH($B$1,'DATA (Nominal)'!$B$1:$BX$1,0))</f>
        <v>891789.98565443209</v>
      </c>
      <c r="K311" s="151">
        <f>-$D297*Assumptions!P$18*INDEX('DATA (Nominal)'!$B$348:$BX$348,1,MATCH($B$1,'DATA (Nominal)'!$B$1:$BX$1,0))</f>
        <v>0</v>
      </c>
      <c r="L311" s="151">
        <f>-$D297*Assumptions!Q$18*INDEX('DATA (Nominal)'!$B$348:$BX$348,1,MATCH($B$1,'DATA (Nominal)'!$B$1:$BX$1,0))</f>
        <v>0</v>
      </c>
      <c r="M311" s="151">
        <f>-$D297*Assumptions!R$18*INDEX('DATA (Nominal)'!$B$348:$BX$348,1,MATCH($B$1,'DATA (Nominal)'!$B$1:$BX$1,0))</f>
        <v>0</v>
      </c>
      <c r="N311" s="151">
        <f>-$D297*Assumptions!S$18*INDEX('DATA (Nominal)'!$B$348:$BX$348,1,MATCH($B$1,'DATA (Nominal)'!$B$1:$BX$1,0))</f>
        <v>0</v>
      </c>
      <c r="O311" s="151">
        <f>$O290*Assumptions!T$18</f>
        <v>616212.88677502191</v>
      </c>
      <c r="P311" s="151">
        <f>$O290*Assumptions!U$18</f>
        <v>1056352.6247459252</v>
      </c>
      <c r="Q311" s="151">
        <f>$O290*Assumptions!V$18</f>
        <v>754543.75110985991</v>
      </c>
      <c r="R311" s="151">
        <f>$O290*Assumptions!W$18</f>
        <v>538959.8222213285</v>
      </c>
      <c r="S311" s="151">
        <f>$O290*Assumptions!X$18</f>
        <v>384971.30158666318</v>
      </c>
      <c r="T311" s="151">
        <f>$O290*Assumptions!Y$18</f>
        <v>384971.30158666318</v>
      </c>
      <c r="U311" s="151">
        <f>$O290*Assumptions!Z$18</f>
        <v>384971.30158666318</v>
      </c>
      <c r="V311" s="151">
        <f>$O290*Assumptions!AA$18</f>
        <v>192420.94973424141</v>
      </c>
      <c r="W311" s="151">
        <f>$O290*Assumptions!AB$18</f>
        <v>0</v>
      </c>
      <c r="X311" s="160">
        <f>$O290*Assumptions!AC$18</f>
        <v>0</v>
      </c>
      <c r="Y311" s="156"/>
    </row>
    <row r="312" spans="1:25" ht="15.75" hidden="1" outlineLevel="1" thickBot="1">
      <c r="A312" s="95"/>
      <c r="B312" s="15"/>
      <c r="C312" s="127" t="s">
        <v>66</v>
      </c>
      <c r="D312" s="157"/>
      <c r="E312" s="157">
        <f>E311*Federal_Tax_Rate</f>
        <v>650263.53120635683</v>
      </c>
      <c r="F312" s="157">
        <f>F311*Federal_Tax_Rate</f>
        <v>1040421.649930171</v>
      </c>
      <c r="G312" s="157">
        <f t="shared" ref="G312" si="786">G311*Federal_Tax_Rate</f>
        <v>624252.98995810247</v>
      </c>
      <c r="H312" s="157">
        <f t="shared" ref="H312" si="787">H311*Federal_Tax_Rate</f>
        <v>374551.79397486144</v>
      </c>
      <c r="I312" s="157">
        <f t="shared" ref="I312" si="788">I311*Federal_Tax_Rate</f>
        <v>374551.79397486144</v>
      </c>
      <c r="J312" s="157">
        <f t="shared" ref="J312" si="789">J311*Federal_Tax_Rate</f>
        <v>187275.89698743072</v>
      </c>
      <c r="K312" s="157">
        <f t="shared" ref="K312" si="790">K311*Federal_Tax_Rate</f>
        <v>0</v>
      </c>
      <c r="L312" s="157">
        <f t="shared" ref="L312" si="791">L311*Federal_Tax_Rate</f>
        <v>0</v>
      </c>
      <c r="M312" s="157">
        <f t="shared" ref="M312" si="792">M311*Federal_Tax_Rate</f>
        <v>0</v>
      </c>
      <c r="N312" s="157">
        <f>N311*Federal_Tax_Rate</f>
        <v>0</v>
      </c>
      <c r="O312" s="157">
        <f>O311*Federal_Tax_Rate</f>
        <v>129404.7062227546</v>
      </c>
      <c r="P312" s="157">
        <f t="shared" ref="P312" si="793">P311*Federal_Tax_Rate</f>
        <v>221834.05119664429</v>
      </c>
      <c r="Q312" s="157">
        <f t="shared" ref="Q312" si="794">Q311*Federal_Tax_Rate</f>
        <v>158454.18773307058</v>
      </c>
      <c r="R312" s="157">
        <f t="shared" ref="R312" si="795">R311*Federal_Tax_Rate</f>
        <v>113181.56266647899</v>
      </c>
      <c r="S312" s="157">
        <f t="shared" ref="S312" si="796">S311*Federal_Tax_Rate</f>
        <v>80843.973333199261</v>
      </c>
      <c r="T312" s="157">
        <f t="shared" ref="T312" si="797">T311*Federal_Tax_Rate</f>
        <v>80843.973333199261</v>
      </c>
      <c r="U312" s="157">
        <f t="shared" ref="U312" si="798">U311*Federal_Tax_Rate</f>
        <v>80843.973333199261</v>
      </c>
      <c r="V312" s="157">
        <f t="shared" ref="V312" si="799">V311*Federal_Tax_Rate</f>
        <v>40408.399444190698</v>
      </c>
      <c r="W312" s="157">
        <f t="shared" ref="W312" si="800">W311*Federal_Tax_Rate</f>
        <v>0</v>
      </c>
      <c r="X312" s="158">
        <f t="shared" ref="X312" si="801">X311*Federal_Tax_Rate</f>
        <v>0</v>
      </c>
      <c r="Y312" s="156"/>
    </row>
    <row r="313" spans="1:25" hidden="1" outlineLevel="1">
      <c r="A313" s="95"/>
      <c r="B313" s="15"/>
      <c r="C313" s="128" t="s">
        <v>67</v>
      </c>
      <c r="D313" s="104">
        <f>NPV(Tax_Equity_Rate,E312:N312)</f>
        <v>2637877.871694555</v>
      </c>
      <c r="E313" s="105">
        <f>D313/D317</f>
        <v>0.14482165383746651</v>
      </c>
      <c r="F313" s="99"/>
      <c r="G313" s="99"/>
      <c r="H313" s="99"/>
      <c r="I313" s="99"/>
      <c r="J313" s="99"/>
      <c r="K313" s="99"/>
      <c r="L313" s="99"/>
      <c r="M313" s="261"/>
      <c r="N313" s="261"/>
      <c r="O313" s="261"/>
      <c r="P313" s="261"/>
      <c r="Q313" s="261"/>
      <c r="R313" s="261"/>
      <c r="S313" s="261"/>
      <c r="T313" s="261"/>
      <c r="U313" s="261"/>
      <c r="V313" s="261"/>
      <c r="W313" s="261"/>
      <c r="X313" s="261"/>
      <c r="Y313" s="261"/>
    </row>
    <row r="314" spans="1:25" hidden="1" outlineLevel="1">
      <c r="A314" s="95"/>
      <c r="B314" s="15"/>
      <c r="C314" s="125" t="s">
        <v>129</v>
      </c>
      <c r="D314" s="106">
        <f>NPV(Tax_Equity_Rate,E294:X294)</f>
        <v>5059629.09435385</v>
      </c>
      <c r="E314" s="107">
        <f>D314/D317</f>
        <v>0.27777777777777779</v>
      </c>
      <c r="F314" s="95"/>
      <c r="G314" s="95"/>
      <c r="H314" s="95"/>
      <c r="I314" s="95"/>
      <c r="J314" s="95"/>
      <c r="K314" s="95"/>
      <c r="L314" s="95"/>
    </row>
    <row r="315" spans="1:25" hidden="1" outlineLevel="1">
      <c r="A315" s="95"/>
      <c r="B315" s="22">
        <f>Assumptions!F18</f>
        <v>0.73499999999999999</v>
      </c>
      <c r="C315" s="125" t="s">
        <v>68</v>
      </c>
      <c r="D315" s="106">
        <f>(D317-D313-D314)*$B315</f>
        <v>7730110.9636147097</v>
      </c>
      <c r="E315" s="107">
        <f>D315/D317</f>
        <v>0.42438941776279543</v>
      </c>
      <c r="F315" s="95"/>
      <c r="G315" s="95"/>
      <c r="H315" s="95"/>
      <c r="I315" s="95"/>
      <c r="J315" s="95"/>
      <c r="K315" s="95"/>
      <c r="L315" s="95"/>
    </row>
    <row r="316" spans="1:25" hidden="1" outlineLevel="1">
      <c r="A316" s="95"/>
      <c r="B316" s="22">
        <f>1-B315</f>
        <v>0.26500000000000001</v>
      </c>
      <c r="C316" s="125" t="s">
        <v>69</v>
      </c>
      <c r="D316" s="106">
        <f>(D317-D313-D314)*$B316</f>
        <v>2787046.8100107461</v>
      </c>
      <c r="E316" s="107">
        <f>D316/D317</f>
        <v>0.1530111506219603</v>
      </c>
      <c r="F316" s="95"/>
      <c r="G316" s="95"/>
      <c r="H316" s="95"/>
      <c r="I316" s="95"/>
      <c r="J316" s="95"/>
      <c r="K316" s="95"/>
      <c r="L316" s="95"/>
    </row>
    <row r="317" spans="1:25" hidden="1" outlineLevel="1">
      <c r="A317" s="95"/>
      <c r="C317" s="125" t="s">
        <v>70</v>
      </c>
      <c r="D317" s="106">
        <f>-D297</f>
        <v>18214664.73967386</v>
      </c>
      <c r="E317" s="108"/>
      <c r="F317" s="95"/>
      <c r="G317" s="95"/>
      <c r="H317" s="95"/>
      <c r="I317" s="95"/>
      <c r="J317" s="95"/>
      <c r="K317" s="95"/>
      <c r="L317" s="95"/>
    </row>
    <row r="318" spans="1:25" ht="15.75" hidden="1" outlineLevel="1" thickBot="1">
      <c r="A318" s="95"/>
      <c r="C318" s="127" t="s">
        <v>71</v>
      </c>
      <c r="D318" s="109">
        <f>SUM(D313:D316)-D317</f>
        <v>0</v>
      </c>
      <c r="E318" s="110"/>
      <c r="F318" s="95"/>
      <c r="G318" s="95"/>
      <c r="H318" s="95"/>
      <c r="I318" s="95"/>
      <c r="J318" s="95"/>
      <c r="K318" s="95"/>
      <c r="L318" s="95"/>
    </row>
    <row r="319" spans="1:25" hidden="1" outlineLevel="1">
      <c r="A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</row>
    <row r="320" spans="1:25" ht="15.75" collapsed="1" thickBot="1">
      <c r="A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</row>
    <row r="321" spans="1:25" ht="18.75" thickBot="1">
      <c r="A321" s="95"/>
      <c r="B321" s="82"/>
      <c r="C321" s="484" t="s">
        <v>138</v>
      </c>
      <c r="D321" s="485"/>
      <c r="E321" s="485"/>
      <c r="F321" s="485"/>
      <c r="G321" s="485"/>
      <c r="H321" s="486"/>
      <c r="Y321" s="261"/>
    </row>
    <row r="322" spans="1:25" hidden="1" outlineLevel="1">
      <c r="A322" s="95"/>
      <c r="C322" s="124" t="s">
        <v>44</v>
      </c>
      <c r="D322" s="98"/>
      <c r="E322" s="98">
        <f>'Resource Options'!$E$19*INDEX('DATA (Nominal)'!$B$19:$BX$19,1,MATCH($B$1,'DATA (Nominal)'!$B$1:$BX$1,0))*8760</f>
        <v>240695.09517976042</v>
      </c>
      <c r="F322" s="98">
        <f>E322</f>
        <v>240695.09517976042</v>
      </c>
      <c r="G322" s="98">
        <f t="shared" ref="G322:X322" si="802">F322</f>
        <v>240695.09517976042</v>
      </c>
      <c r="H322" s="98">
        <f t="shared" si="802"/>
        <v>240695.09517976042</v>
      </c>
      <c r="I322" s="98">
        <f t="shared" si="802"/>
        <v>240695.09517976042</v>
      </c>
      <c r="J322" s="98">
        <f t="shared" si="802"/>
        <v>240695.09517976042</v>
      </c>
      <c r="K322" s="98">
        <f t="shared" si="802"/>
        <v>240695.09517976042</v>
      </c>
      <c r="L322" s="98">
        <f t="shared" si="802"/>
        <v>240695.09517976042</v>
      </c>
      <c r="M322" s="142">
        <f t="shared" si="802"/>
        <v>240695.09517976042</v>
      </c>
      <c r="N322" s="142">
        <f t="shared" si="802"/>
        <v>240695.09517976042</v>
      </c>
      <c r="O322" s="142">
        <f t="shared" si="802"/>
        <v>240695.09517976042</v>
      </c>
      <c r="P322" s="142">
        <f t="shared" si="802"/>
        <v>240695.09517976042</v>
      </c>
      <c r="Q322" s="142">
        <f t="shared" si="802"/>
        <v>240695.09517976042</v>
      </c>
      <c r="R322" s="142">
        <f t="shared" si="802"/>
        <v>240695.09517976042</v>
      </c>
      <c r="S322" s="142">
        <f t="shared" si="802"/>
        <v>240695.09517976042</v>
      </c>
      <c r="T322" s="142">
        <f t="shared" si="802"/>
        <v>240695.09517976042</v>
      </c>
      <c r="U322" s="142">
        <f t="shared" si="802"/>
        <v>240695.09517976042</v>
      </c>
      <c r="V322" s="142">
        <f t="shared" si="802"/>
        <v>240695.09517976042</v>
      </c>
      <c r="W322" s="142">
        <f t="shared" si="802"/>
        <v>240695.09517976042</v>
      </c>
      <c r="X322" s="454">
        <f t="shared" si="802"/>
        <v>240695.09517976042</v>
      </c>
      <c r="Y322" s="261"/>
    </row>
    <row r="323" spans="1:25" hidden="1" outlineLevel="1">
      <c r="A323" s="95"/>
      <c r="C323" s="125" t="s">
        <v>45</v>
      </c>
      <c r="D323" s="114"/>
      <c r="E323" s="117">
        <f>INDEX('PPA Summary'!$3:$34,MATCH($C321,'PPA Summary'!$D$3:$D$34,0),MATCH(B$1,'PPA Summary'!$2:$2,0))</f>
        <v>41.835669438877432</v>
      </c>
      <c r="F323" s="112">
        <f>E323</f>
        <v>41.835669438877432</v>
      </c>
      <c r="G323" s="112">
        <f t="shared" ref="G323:X323" si="803">F323</f>
        <v>41.835669438877432</v>
      </c>
      <c r="H323" s="112">
        <f t="shared" si="803"/>
        <v>41.835669438877432</v>
      </c>
      <c r="I323" s="112">
        <f t="shared" si="803"/>
        <v>41.835669438877432</v>
      </c>
      <c r="J323" s="112">
        <f t="shared" si="803"/>
        <v>41.835669438877432</v>
      </c>
      <c r="K323" s="112">
        <f t="shared" si="803"/>
        <v>41.835669438877432</v>
      </c>
      <c r="L323" s="112">
        <f t="shared" si="803"/>
        <v>41.835669438877432</v>
      </c>
      <c r="M323" s="117">
        <f t="shared" si="803"/>
        <v>41.835669438877432</v>
      </c>
      <c r="N323" s="117">
        <f t="shared" si="803"/>
        <v>41.835669438877432</v>
      </c>
      <c r="O323" s="117">
        <f t="shared" si="803"/>
        <v>41.835669438877432</v>
      </c>
      <c r="P323" s="117">
        <f t="shared" si="803"/>
        <v>41.835669438877432</v>
      </c>
      <c r="Q323" s="117">
        <f t="shared" si="803"/>
        <v>41.835669438877432</v>
      </c>
      <c r="R323" s="117">
        <f t="shared" si="803"/>
        <v>41.835669438877432</v>
      </c>
      <c r="S323" s="117">
        <f t="shared" si="803"/>
        <v>41.835669438877432</v>
      </c>
      <c r="T323" s="117">
        <f t="shared" si="803"/>
        <v>41.835669438877432</v>
      </c>
      <c r="U323" s="117">
        <f t="shared" si="803"/>
        <v>41.835669438877432</v>
      </c>
      <c r="V323" s="117">
        <f t="shared" si="803"/>
        <v>41.835669438877432</v>
      </c>
      <c r="W323" s="117">
        <f t="shared" si="803"/>
        <v>41.835669438877432</v>
      </c>
      <c r="X323" s="161">
        <f t="shared" si="803"/>
        <v>41.835669438877432</v>
      </c>
      <c r="Y323" s="261"/>
    </row>
    <row r="324" spans="1:25" hidden="1" outlineLevel="1">
      <c r="A324" s="95"/>
      <c r="C324" s="126" t="s">
        <v>46</v>
      </c>
      <c r="D324" s="114"/>
      <c r="E324" s="114">
        <f>E323*E322</f>
        <v>10069640.437499598</v>
      </c>
      <c r="F324" s="114">
        <f t="shared" ref="F324" si="804">F323*F322</f>
        <v>10069640.437499598</v>
      </c>
      <c r="G324" s="114">
        <f t="shared" ref="G324" si="805">G323*G322</f>
        <v>10069640.437499598</v>
      </c>
      <c r="H324" s="114">
        <f t="shared" ref="H324" si="806">H323*H322</f>
        <v>10069640.437499598</v>
      </c>
      <c r="I324" s="114">
        <f t="shared" ref="I324" si="807">I323*I322</f>
        <v>10069640.437499598</v>
      </c>
      <c r="J324" s="114">
        <f t="shared" ref="J324" si="808">J323*J322</f>
        <v>10069640.437499598</v>
      </c>
      <c r="K324" s="114">
        <f t="shared" ref="K324" si="809">K323*K322</f>
        <v>10069640.437499598</v>
      </c>
      <c r="L324" s="114">
        <f t="shared" ref="L324" si="810">L323*L322</f>
        <v>10069640.437499598</v>
      </c>
      <c r="M324" s="93">
        <f t="shared" ref="M324" si="811">M323*M322</f>
        <v>10069640.437499598</v>
      </c>
      <c r="N324" s="93">
        <f t="shared" ref="N324" si="812">N323*N322</f>
        <v>10069640.437499598</v>
      </c>
      <c r="O324" s="93">
        <f t="shared" ref="O324" si="813">O323*O322</f>
        <v>10069640.437499598</v>
      </c>
      <c r="P324" s="93">
        <f t="shared" ref="P324" si="814">P323*P322</f>
        <v>10069640.437499598</v>
      </c>
      <c r="Q324" s="93">
        <f t="shared" ref="Q324" si="815">Q323*Q322</f>
        <v>10069640.437499598</v>
      </c>
      <c r="R324" s="93">
        <f t="shared" ref="R324" si="816">R323*R322</f>
        <v>10069640.437499598</v>
      </c>
      <c r="S324" s="93">
        <f t="shared" ref="S324" si="817">S323*S322</f>
        <v>10069640.437499598</v>
      </c>
      <c r="T324" s="93">
        <f t="shared" ref="T324" si="818">T323*T322</f>
        <v>10069640.437499598</v>
      </c>
      <c r="U324" s="93">
        <f t="shared" ref="U324" si="819">U323*U322</f>
        <v>10069640.437499598</v>
      </c>
      <c r="V324" s="93">
        <f t="shared" ref="V324" si="820">V323*V322</f>
        <v>10069640.437499598</v>
      </c>
      <c r="W324" s="93">
        <f t="shared" ref="W324" si="821">W323*W322</f>
        <v>10069640.437499598</v>
      </c>
      <c r="X324" s="161">
        <f t="shared" ref="X324" si="822">X323*X322</f>
        <v>10069640.437499598</v>
      </c>
      <c r="Y324" s="261"/>
    </row>
    <row r="325" spans="1:25" hidden="1" outlineLevel="1">
      <c r="A325" s="95"/>
      <c r="C325" s="33"/>
      <c r="D325" s="19"/>
      <c r="E325" s="19"/>
      <c r="F325" s="19"/>
      <c r="G325" s="19"/>
      <c r="H325" s="19"/>
      <c r="I325" s="19"/>
      <c r="J325" s="19"/>
      <c r="K325" s="19"/>
      <c r="L325" s="19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161"/>
      <c r="Y325" s="261"/>
    </row>
    <row r="326" spans="1:25" hidden="1" outlineLevel="1">
      <c r="A326" s="95"/>
      <c r="B326" s="92"/>
      <c r="C326" s="32" t="s">
        <v>47</v>
      </c>
      <c r="D326" s="19"/>
      <c r="E326" s="19">
        <f>'Resource Options'!$E$19*INDEX('DATA (Nominal)'!$B$189:$BX$189,1,MATCH(E$1,'DATA (Nominal)'!$B$1:$BX$1,0))*1000</f>
        <v>2154658.4270197633</v>
      </c>
      <c r="F326" s="19">
        <f>'Resource Options'!$E$19*INDEX('DATA (Nominal)'!$B$189:$BX$189,1,MATCH(F$1,'DATA (Nominal)'!$B$1:$BX$1,0))*1000</f>
        <v>2131000.5546657792</v>
      </c>
      <c r="G326" s="19">
        <f>'Resource Options'!$E$19*INDEX('DATA (Nominal)'!$B$189:$BX$189,1,MATCH(G$1,'DATA (Nominal)'!$B$1:$BX$1,0))*1000</f>
        <v>2105415.6572862766</v>
      </c>
      <c r="H326" s="19">
        <f>'Resource Options'!$E$19*INDEX('DATA (Nominal)'!$B$189:$BX$189,1,MATCH(H$1,'DATA (Nominal)'!$B$1:$BX$1,0))*1000</f>
        <v>2077148.2868507428</v>
      </c>
      <c r="I326" s="19">
        <f>'Resource Options'!$E$19*INDEX('DATA (Nominal)'!$B$189:$BX$189,1,MATCH(I$1,'DATA (Nominal)'!$B$1:$BX$1,0))*1000</f>
        <v>2046815.1716835233</v>
      </c>
      <c r="J326" s="19">
        <f>'Resource Options'!$E$19*INDEX('DATA (Nominal)'!$B$189:$BX$189,1,MATCH(J$1,'DATA (Nominal)'!$B$1:$BX$1,0))*1000</f>
        <v>2014335.6786287213</v>
      </c>
      <c r="K326" s="19">
        <f>'Resource Options'!$E$19*INDEX('DATA (Nominal)'!$B$189:$BX$189,1,MATCH(K$1,'DATA (Nominal)'!$B$1:$BX$1,0))*1000</f>
        <v>2045031.5088256907</v>
      </c>
      <c r="L326" s="19">
        <f>'Resource Options'!$E$19*INDEX('DATA (Nominal)'!$B$189:$BX$189,1,MATCH(L$1,'DATA (Nominal)'!$B$1:$BX$1,0))*1000</f>
        <v>2076138.8343853145</v>
      </c>
      <c r="M326" s="93">
        <f>'Resource Options'!$E$19*INDEX('DATA (Nominal)'!$B$189:$BX$189,1,MATCH(M$1,'DATA (Nominal)'!$B$1:$BX$1,0))*1000</f>
        <v>2107661.0922157797</v>
      </c>
      <c r="N326" s="93">
        <f>'Resource Options'!$E$19*INDEX('DATA (Nominal)'!$B$189:$BX$189,1,MATCH(N$1,'DATA (Nominal)'!$B$1:$BX$1,0))*1000</f>
        <v>2139601.6755496007</v>
      </c>
      <c r="O326" s="93">
        <f>'Resource Options'!$E$19*INDEX('DATA (Nominal)'!$B$189:$BX$189,1,MATCH(O$1,'DATA (Nominal)'!$B$1:$BX$1,0))*1000</f>
        <v>2171963.9303801572</v>
      </c>
      <c r="P326" s="93">
        <f>'Resource Options'!$E$19*INDEX('DATA (Nominal)'!$B$189:$BX$189,1,MATCH(P$1,'DATA (Nominal)'!$B$1:$BX$1,0))*1000</f>
        <v>2204751.1517638615</v>
      </c>
      <c r="Q326" s="93">
        <f>'Resource Options'!$E$19*INDEX('DATA (Nominal)'!$B$189:$BX$189,1,MATCH(Q$1,'DATA (Nominal)'!$B$1:$BX$1,0))*1000</f>
        <v>2237966.5799837573</v>
      </c>
      <c r="R326" s="93">
        <f>'Resource Options'!$E$19*INDEX('DATA (Nominal)'!$B$189:$BX$189,1,MATCH(R$1,'DATA (Nominal)'!$B$1:$BX$1,0))*1000</f>
        <v>2271613.3965702332</v>
      </c>
      <c r="S326" s="93">
        <f>'Resource Options'!$E$19*INDEX('DATA (Nominal)'!$B$189:$BX$189,1,MATCH(S$1,'DATA (Nominal)'!$B$1:$BX$1,0))*1000</f>
        <v>2305694.7201744146</v>
      </c>
      <c r="T326" s="93">
        <f>'Resource Options'!$E$19*INDEX('DATA (Nominal)'!$B$189:$BX$189,1,MATCH(T$1,'DATA (Nominal)'!$B$1:$BX$1,0))*1000</f>
        <v>2340213.602289665</v>
      </c>
      <c r="U326" s="93">
        <f>'Resource Options'!$E$19*INDEX('DATA (Nominal)'!$B$189:$BX$189,1,MATCH(U$1,'DATA (Nominal)'!$B$1:$BX$1,0))*1000</f>
        <v>2375173.0228165169</v>
      </c>
      <c r="V326" s="93">
        <f>'Resource Options'!$E$19*INDEX('DATA (Nominal)'!$B$189:$BX$189,1,MATCH(V$1,'DATA (Nominal)'!$B$1:$BX$1,0))*1000</f>
        <v>2410575.8854661905</v>
      </c>
      <c r="W326" s="93">
        <f>'Resource Options'!$E$19*INDEX('DATA (Nominal)'!$B$189:$BX$189,1,MATCH(W$1,'DATA (Nominal)'!$B$1:$BX$1,0))*1000</f>
        <v>2446425.0129977553</v>
      </c>
      <c r="X326" s="161">
        <f>'Resource Options'!$E$19*INDEX('DATA (Nominal)'!$B$189:$BX$189,1,MATCH(X$1,'DATA (Nominal)'!$B$1:$BX$1,0))*1000</f>
        <v>2482723.1422838285</v>
      </c>
      <c r="Y326" s="261"/>
    </row>
    <row r="327" spans="1:25" hidden="1" outlineLevel="1">
      <c r="A327" s="95"/>
      <c r="C327" s="32" t="s">
        <v>48</v>
      </c>
      <c r="D327" s="19"/>
      <c r="E327" s="19">
        <f>E322*INDEX('DATA (Nominal)'!$B$114:$BX$114,1,MATCH(E$1,'DATA (Nominal)'!$B$1:$BX$1,0))</f>
        <v>0</v>
      </c>
      <c r="F327" s="19">
        <f>F322*INDEX('DATA (Nominal)'!$B$114:$BX$114,1,MATCH(F$1,'DATA (Nominal)'!$B$1:$BX$1,0))</f>
        <v>0</v>
      </c>
      <c r="G327" s="19">
        <f>G322*INDEX('DATA (Nominal)'!$B$114:$BX$114,1,MATCH(G$1,'DATA (Nominal)'!$B$1:$BX$1,0))</f>
        <v>0</v>
      </c>
      <c r="H327" s="19">
        <f>H322*INDEX('DATA (Nominal)'!$B$114:$BX$114,1,MATCH(H$1,'DATA (Nominal)'!$B$1:$BX$1,0))</f>
        <v>0</v>
      </c>
      <c r="I327" s="19">
        <f>I322*INDEX('DATA (Nominal)'!$B$114:$BX$114,1,MATCH(I$1,'DATA (Nominal)'!$B$1:$BX$1,0))</f>
        <v>0</v>
      </c>
      <c r="J327" s="19">
        <f>J322*INDEX('DATA (Nominal)'!$B$114:$BX$114,1,MATCH(J$1,'DATA (Nominal)'!$B$1:$BX$1,0))</f>
        <v>0</v>
      </c>
      <c r="K327" s="19">
        <f>K322*INDEX('DATA (Nominal)'!$B$114:$BX$114,1,MATCH(K$1,'DATA (Nominal)'!$B$1:$BX$1,0))</f>
        <v>0</v>
      </c>
      <c r="L327" s="19">
        <f>L322*INDEX('DATA (Nominal)'!$B$114:$BX$114,1,MATCH(L$1,'DATA (Nominal)'!$B$1:$BX$1,0))</f>
        <v>0</v>
      </c>
      <c r="M327" s="93">
        <f>M322*INDEX('DATA (Nominal)'!$B$114:$BX$114,1,MATCH(M$1,'DATA (Nominal)'!$B$1:$BX$1,0))</f>
        <v>0</v>
      </c>
      <c r="N327" s="93">
        <f>N322*INDEX('DATA (Nominal)'!$B$114:$BX$114,1,MATCH(N$1,'DATA (Nominal)'!$B$1:$BX$1,0))</f>
        <v>0</v>
      </c>
      <c r="O327" s="93">
        <f>O322*INDEX('DATA (Nominal)'!$B$114:$BX$114,1,MATCH(O$1,'DATA (Nominal)'!$B$1:$BX$1,0))</f>
        <v>0</v>
      </c>
      <c r="P327" s="93">
        <f>P322*INDEX('DATA (Nominal)'!$B$114:$BX$114,1,MATCH(P$1,'DATA (Nominal)'!$B$1:$BX$1,0))</f>
        <v>0</v>
      </c>
      <c r="Q327" s="93">
        <f>Q322*INDEX('DATA (Nominal)'!$B$114:$BX$114,1,MATCH(Q$1,'DATA (Nominal)'!$B$1:$BX$1,0))</f>
        <v>0</v>
      </c>
      <c r="R327" s="93">
        <f>R322*INDEX('DATA (Nominal)'!$B$114:$BX$114,1,MATCH(R$1,'DATA (Nominal)'!$B$1:$BX$1,0))</f>
        <v>0</v>
      </c>
      <c r="S327" s="93">
        <f>S322*INDEX('DATA (Nominal)'!$B$114:$BX$114,1,MATCH(S$1,'DATA (Nominal)'!$B$1:$BX$1,0))</f>
        <v>0</v>
      </c>
      <c r="T327" s="93">
        <f>T322*INDEX('DATA (Nominal)'!$B$114:$BX$114,1,MATCH(T$1,'DATA (Nominal)'!$B$1:$BX$1,0))</f>
        <v>0</v>
      </c>
      <c r="U327" s="93">
        <f>U322*INDEX('DATA (Nominal)'!$B$114:$BX$114,1,MATCH(U$1,'DATA (Nominal)'!$B$1:$BX$1,0))</f>
        <v>0</v>
      </c>
      <c r="V327" s="93">
        <f>V322*INDEX('DATA (Nominal)'!$B$114:$BX$114,1,MATCH(V$1,'DATA (Nominal)'!$B$1:$BX$1,0))</f>
        <v>0</v>
      </c>
      <c r="W327" s="93">
        <f>W322*INDEX('DATA (Nominal)'!$B$114:$BX$114,1,MATCH(W$1,'DATA (Nominal)'!$B$1:$BX$1,0))</f>
        <v>0</v>
      </c>
      <c r="X327" s="161">
        <f>X322*INDEX('DATA (Nominal)'!$B$114:$BX$114,1,MATCH(X$1,'DATA (Nominal)'!$B$1:$BX$1,0))</f>
        <v>0</v>
      </c>
      <c r="Y327" s="261"/>
    </row>
    <row r="328" spans="1:25" hidden="1" outlineLevel="1">
      <c r="A328" s="95"/>
      <c r="C328" s="32" t="s">
        <v>127</v>
      </c>
      <c r="D328" s="19"/>
      <c r="E328" s="93">
        <f>E324*INDEX('DATA (Nominal)'!$B$334:$BX$334,1,MATCH(E$1,'DATA (Nominal)'!$B$1:$BX$1,0))</f>
        <v>27691.511203123893</v>
      </c>
      <c r="F328" s="19">
        <f>F324*INDEX('DATA (Nominal)'!$B$334:$BX$334,1,MATCH(F$1,'DATA (Nominal)'!$B$1:$BX$1,0))</f>
        <v>27691.511203123893</v>
      </c>
      <c r="G328" s="19">
        <f>G324*INDEX('DATA (Nominal)'!$B$334:$BX$334,1,MATCH(G$1,'DATA (Nominal)'!$B$1:$BX$1,0))</f>
        <v>27691.511203123893</v>
      </c>
      <c r="H328" s="19">
        <f>H324*INDEX('DATA (Nominal)'!$B$334:$BX$334,1,MATCH(H$1,'DATA (Nominal)'!$B$1:$BX$1,0))</f>
        <v>27691.511203123893</v>
      </c>
      <c r="I328" s="19">
        <f>I324*INDEX('DATA (Nominal)'!$B$334:$BX$334,1,MATCH(I$1,'DATA (Nominal)'!$B$1:$BX$1,0))</f>
        <v>27691.511203123893</v>
      </c>
      <c r="J328" s="19">
        <f>J324*INDEX('DATA (Nominal)'!$B$334:$BX$334,1,MATCH(J$1,'DATA (Nominal)'!$B$1:$BX$1,0))</f>
        <v>27691.511203123893</v>
      </c>
      <c r="K328" s="19">
        <f>K324*INDEX('DATA (Nominal)'!$B$334:$BX$334,1,MATCH(K$1,'DATA (Nominal)'!$B$1:$BX$1,0))</f>
        <v>27691.511203123893</v>
      </c>
      <c r="L328" s="19">
        <f>L324*INDEX('DATA (Nominal)'!$B$334:$BX$334,1,MATCH(L$1,'DATA (Nominal)'!$B$1:$BX$1,0))</f>
        <v>27691.511203123893</v>
      </c>
      <c r="M328" s="93">
        <f>M324*INDEX('DATA (Nominal)'!$B$334:$BX$334,1,MATCH(M$1,'DATA (Nominal)'!$B$1:$BX$1,0))</f>
        <v>27691.511203123893</v>
      </c>
      <c r="N328" s="93">
        <f>N324*INDEX('DATA (Nominal)'!$B$334:$BX$334,1,MATCH(N$1,'DATA (Nominal)'!$B$1:$BX$1,0))</f>
        <v>27691.511203123893</v>
      </c>
      <c r="O328" s="93">
        <f>O324*INDEX('DATA (Nominal)'!$B$334:$BX$334,1,MATCH(O$1,'DATA (Nominal)'!$B$1:$BX$1,0))</f>
        <v>27691.511203123893</v>
      </c>
      <c r="P328" s="93">
        <f>P324*INDEX('DATA (Nominal)'!$B$334:$BX$334,1,MATCH(P$1,'DATA (Nominal)'!$B$1:$BX$1,0))</f>
        <v>27691.511203123893</v>
      </c>
      <c r="Q328" s="93">
        <f>Q324*INDEX('DATA (Nominal)'!$B$334:$BX$334,1,MATCH(Q$1,'DATA (Nominal)'!$B$1:$BX$1,0))</f>
        <v>27691.511203123893</v>
      </c>
      <c r="R328" s="93">
        <f>R324*INDEX('DATA (Nominal)'!$B$334:$BX$334,1,MATCH(R$1,'DATA (Nominal)'!$B$1:$BX$1,0))</f>
        <v>27691.511203123893</v>
      </c>
      <c r="S328" s="93">
        <f>S324*INDEX('DATA (Nominal)'!$B$334:$BX$334,1,MATCH(S$1,'DATA (Nominal)'!$B$1:$BX$1,0))</f>
        <v>27691.511203123893</v>
      </c>
      <c r="T328" s="93">
        <f>T324*INDEX('DATA (Nominal)'!$B$334:$BX$334,1,MATCH(T$1,'DATA (Nominal)'!$B$1:$BX$1,0))</f>
        <v>27691.511203123893</v>
      </c>
      <c r="U328" s="93">
        <f>U324*INDEX('DATA (Nominal)'!$B$334:$BX$334,1,MATCH(U$1,'DATA (Nominal)'!$B$1:$BX$1,0))</f>
        <v>27691.511203123893</v>
      </c>
      <c r="V328" s="93">
        <f>V324*INDEX('DATA (Nominal)'!$B$334:$BX$334,1,MATCH(V$1,'DATA (Nominal)'!$B$1:$BX$1,0))</f>
        <v>27691.511203123893</v>
      </c>
      <c r="W328" s="93">
        <f>W324*INDEX('DATA (Nominal)'!$B$334:$BX$334,1,MATCH(W$1,'DATA (Nominal)'!$B$1:$BX$1,0))</f>
        <v>27691.511203123893</v>
      </c>
      <c r="X328" s="161">
        <f>X324*INDEX('DATA (Nominal)'!$B$334:$BX$334,1,MATCH(X$1,'DATA (Nominal)'!$B$1:$BX$1,0))</f>
        <v>27691.511203123893</v>
      </c>
      <c r="Y328" s="261"/>
    </row>
    <row r="329" spans="1:25" hidden="1" outlineLevel="1">
      <c r="A329" s="95"/>
      <c r="C329" s="33" t="s">
        <v>49</v>
      </c>
      <c r="D329" s="19"/>
      <c r="E329" s="19">
        <f>D348*Property_Tax_Rate</f>
        <v>1200771.7513890117</v>
      </c>
      <c r="F329" s="19">
        <f>E348*Property_Tax_Rate</f>
        <v>1133865.3257973834</v>
      </c>
      <c r="G329" s="19">
        <f t="shared" ref="G329:X329" si="823">F348*Property_Tax_Rate</f>
        <v>1070686.894123225</v>
      </c>
      <c r="H329" s="19">
        <f t="shared" si="823"/>
        <v>1011028.7343349709</v>
      </c>
      <c r="I329" s="19">
        <f t="shared" si="823"/>
        <v>954694.69857294334</v>
      </c>
      <c r="J329" s="19">
        <f t="shared" si="823"/>
        <v>901499.56824205071</v>
      </c>
      <c r="K329" s="19">
        <f t="shared" si="823"/>
        <v>851268.44503841083</v>
      </c>
      <c r="L329" s="19">
        <f t="shared" si="823"/>
        <v>803836.17590767925</v>
      </c>
      <c r="M329" s="93">
        <f t="shared" si="823"/>
        <v>759046.81004442228</v>
      </c>
      <c r="N329" s="93">
        <f t="shared" si="823"/>
        <v>716753.08614722569</v>
      </c>
      <c r="O329" s="93">
        <f t="shared" si="823"/>
        <v>676815.94824370136</v>
      </c>
      <c r="P329" s="93">
        <f t="shared" si="823"/>
        <v>639104.0884934928</v>
      </c>
      <c r="Q329" s="93">
        <f t="shared" si="823"/>
        <v>603493.51546607784</v>
      </c>
      <c r="R329" s="93">
        <f t="shared" si="823"/>
        <v>569867.14647392428</v>
      </c>
      <c r="S329" s="93">
        <f t="shared" si="823"/>
        <v>538114.42262064724</v>
      </c>
      <c r="T329" s="93">
        <f t="shared" si="823"/>
        <v>508130.94529849745</v>
      </c>
      <c r="U329" s="93">
        <f t="shared" si="823"/>
        <v>479818.13294003642</v>
      </c>
      <c r="V329" s="93">
        <f t="shared" si="823"/>
        <v>453082.89689544169</v>
      </c>
      <c r="W329" s="93">
        <f t="shared" si="823"/>
        <v>427837.33536977461</v>
      </c>
      <c r="X329" s="161">
        <f t="shared" si="823"/>
        <v>403998.44441391574</v>
      </c>
      <c r="Y329" s="261"/>
    </row>
    <row r="330" spans="1:25" hidden="1" outlineLevel="1">
      <c r="A330" s="95"/>
      <c r="C330" s="33" t="s">
        <v>50</v>
      </c>
      <c r="D330" s="19"/>
      <c r="E330" s="19">
        <f>SUM(E326:E329)</f>
        <v>3383121.6896118987</v>
      </c>
      <c r="F330" s="19">
        <f t="shared" ref="F330" si="824">SUM(F326:F329)</f>
        <v>3292557.3916662866</v>
      </c>
      <c r="G330" s="19">
        <f t="shared" ref="G330" si="825">SUM(G326:G329)</f>
        <v>3203794.0626126253</v>
      </c>
      <c r="H330" s="19">
        <f t="shared" ref="H330" si="826">SUM(H326:H329)</f>
        <v>3115868.5323888375</v>
      </c>
      <c r="I330" s="19">
        <f t="shared" ref="I330" si="827">SUM(I326:I329)</f>
        <v>3029201.3814595905</v>
      </c>
      <c r="J330" s="19">
        <f t="shared" ref="J330" si="828">SUM(J326:J329)</f>
        <v>2943526.7580738962</v>
      </c>
      <c r="K330" s="19">
        <f t="shared" ref="K330" si="829">SUM(K326:K329)</f>
        <v>2923991.4650672255</v>
      </c>
      <c r="L330" s="19">
        <f t="shared" ref="L330" si="830">SUM(L326:L329)</f>
        <v>2907666.5214961176</v>
      </c>
      <c r="M330" s="93">
        <f t="shared" ref="M330" si="831">SUM(M326:M329)</f>
        <v>2894399.4134633257</v>
      </c>
      <c r="N330" s="93">
        <f t="shared" ref="N330" si="832">SUM(N326:N329)</f>
        <v>2884046.2728999499</v>
      </c>
      <c r="O330" s="93">
        <f t="shared" ref="O330" si="833">SUM(O326:O329)</f>
        <v>2876471.3898269823</v>
      </c>
      <c r="P330" s="93">
        <f t="shared" ref="P330" si="834">SUM(P326:P329)</f>
        <v>2871546.7514604782</v>
      </c>
      <c r="Q330" s="93">
        <f t="shared" ref="Q330" si="835">SUM(Q326:Q329)</f>
        <v>2869151.6066529588</v>
      </c>
      <c r="R330" s="93">
        <f t="shared" ref="R330" si="836">SUM(R326:R329)</f>
        <v>2869172.054247281</v>
      </c>
      <c r="S330" s="93">
        <f t="shared" ref="S330" si="837">SUM(S326:S329)</f>
        <v>2871500.6539981854</v>
      </c>
      <c r="T330" s="93">
        <f t="shared" ref="T330" si="838">SUM(T326:T329)</f>
        <v>2876036.0587912863</v>
      </c>
      <c r="U330" s="93">
        <f t="shared" ref="U330" si="839">SUM(U326:U329)</f>
        <v>2882682.6669596769</v>
      </c>
      <c r="V330" s="93">
        <f t="shared" ref="V330" si="840">SUM(V326:V329)</f>
        <v>2891350.2935647559</v>
      </c>
      <c r="W330" s="93">
        <f t="shared" ref="W330" si="841">SUM(W326:W329)</f>
        <v>2901953.8595706536</v>
      </c>
      <c r="X330" s="161">
        <f t="shared" ref="X330" si="842">SUM(X326:X329)</f>
        <v>2914413.0979008679</v>
      </c>
      <c r="Y330" s="261"/>
    </row>
    <row r="331" spans="1:25" hidden="1" outlineLevel="1">
      <c r="A331" s="95"/>
      <c r="C331" s="33"/>
      <c r="D331" s="19"/>
      <c r="E331" s="19"/>
      <c r="F331" s="19"/>
      <c r="G331" s="19"/>
      <c r="H331" s="19"/>
      <c r="I331" s="19"/>
      <c r="J331" s="19"/>
      <c r="K331" s="19"/>
      <c r="L331" s="19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161"/>
      <c r="Y331" s="261"/>
    </row>
    <row r="332" spans="1:25" hidden="1" outlineLevel="1">
      <c r="A332" s="95"/>
      <c r="C332" s="32" t="s">
        <v>51</v>
      </c>
      <c r="D332" s="19"/>
      <c r="E332" s="19">
        <f>E324-E330</f>
        <v>6686518.7478876989</v>
      </c>
      <c r="F332" s="19">
        <f>F324-F330</f>
        <v>6777083.045833311</v>
      </c>
      <c r="G332" s="19">
        <f t="shared" ref="G332:X332" si="843">G324-G330</f>
        <v>6865846.3748869728</v>
      </c>
      <c r="H332" s="19">
        <f t="shared" si="843"/>
        <v>6953771.9051107597</v>
      </c>
      <c r="I332" s="19">
        <f t="shared" si="843"/>
        <v>7040439.0560400076</v>
      </c>
      <c r="J332" s="19">
        <f t="shared" si="843"/>
        <v>7126113.6794257015</v>
      </c>
      <c r="K332" s="19">
        <f t="shared" si="843"/>
        <v>7145648.9724323722</v>
      </c>
      <c r="L332" s="19">
        <f t="shared" si="843"/>
        <v>7161973.9160034806</v>
      </c>
      <c r="M332" s="93">
        <f t="shared" si="843"/>
        <v>7175241.0240362715</v>
      </c>
      <c r="N332" s="93">
        <f t="shared" si="843"/>
        <v>7185594.1645996477</v>
      </c>
      <c r="O332" s="93">
        <f t="shared" si="843"/>
        <v>7193169.0476726154</v>
      </c>
      <c r="P332" s="93">
        <f t="shared" si="843"/>
        <v>7198093.68603912</v>
      </c>
      <c r="Q332" s="93">
        <f t="shared" si="843"/>
        <v>7200488.8308466394</v>
      </c>
      <c r="R332" s="93">
        <f t="shared" si="843"/>
        <v>7200468.3832523171</v>
      </c>
      <c r="S332" s="93">
        <f t="shared" si="843"/>
        <v>7198139.7835014127</v>
      </c>
      <c r="T332" s="93">
        <f t="shared" si="843"/>
        <v>7193604.3787083114</v>
      </c>
      <c r="U332" s="93">
        <f t="shared" si="843"/>
        <v>7186957.7705399208</v>
      </c>
      <c r="V332" s="93">
        <f t="shared" si="843"/>
        <v>7178290.1439348422</v>
      </c>
      <c r="W332" s="93">
        <f t="shared" si="843"/>
        <v>7167686.5779289436</v>
      </c>
      <c r="X332" s="161">
        <f t="shared" si="843"/>
        <v>7155227.3395987302</v>
      </c>
      <c r="Y332" s="261"/>
    </row>
    <row r="333" spans="1:25" hidden="1" outlineLevel="1">
      <c r="A333" s="95"/>
      <c r="C333" s="32" t="s">
        <v>52</v>
      </c>
      <c r="D333" s="19"/>
      <c r="E333" s="93">
        <f>E332-E349-E340</f>
        <v>-16529372.560134472</v>
      </c>
      <c r="F333" s="19">
        <f>F332-F349-F340</f>
        <v>-28606298.516508944</v>
      </c>
      <c r="G333" s="19">
        <f t="shared" ref="G333" si="844">G332-G349-G340</f>
        <v>-15368335.933953378</v>
      </c>
      <c r="H333" s="19">
        <f t="shared" ref="H333" si="845">H332-H349-H340</f>
        <v>-7352305.6693612393</v>
      </c>
      <c r="I333" s="19">
        <f t="shared" ref="I333" si="846">I332-I349-I340</f>
        <v>-7171251.106359561</v>
      </c>
      <c r="J333" s="19">
        <f t="shared" ref="J333" si="847">J332-J349-J340</f>
        <v>-1107019.2684368514</v>
      </c>
      <c r="K333" s="19">
        <f t="shared" ref="K333" si="848">K332-K349-K340</f>
        <v>4896550.0686923377</v>
      </c>
      <c r="L333" s="19">
        <f t="shared" ref="L333" si="849">L332-L349-L340</f>
        <v>5023708.6167980684</v>
      </c>
      <c r="M333" s="93">
        <f t="shared" ref="M333" si="850">M332-M349-M340</f>
        <v>5153905.1776148863</v>
      </c>
      <c r="N333" s="93">
        <f t="shared" ref="N333" si="851">N332-N349-N340</f>
        <v>5287618.8908654107</v>
      </c>
      <c r="O333" s="93">
        <f t="shared" ref="O333" si="852">O332-O349-O340</f>
        <v>5425339.1781233195</v>
      </c>
      <c r="P333" s="93">
        <f t="shared" ref="P333" si="853">P332-P349-P340</f>
        <v>5567567.2179049375</v>
      </c>
      <c r="Q333" s="93">
        <f t="shared" ref="Q333" si="854">Q332-Q349-Q340</f>
        <v>5714817.4512054008</v>
      </c>
      <c r="R333" s="93">
        <f t="shared" ref="R333" si="855">R332-R349-R340</f>
        <v>5867619.121971136</v>
      </c>
      <c r="S333" s="93">
        <f t="shared" ref="S333" si="856">S332-S349-S340</f>
        <v>6026517.8570900904</v>
      </c>
      <c r="T333" s="93">
        <f t="shared" ref="T333" si="857">T332-T349-T340</f>
        <v>6192077.2905846909</v>
      </c>
      <c r="U333" s="93">
        <f t="shared" ref="U333" si="858">U332-U349-U340</f>
        <v>6364880.7368098255</v>
      </c>
      <c r="V333" s="93">
        <f t="shared" ref="V333" si="859">V332-V349-V340</f>
        <v>6545532.9175899168</v>
      </c>
      <c r="W333" s="93">
        <f t="shared" ref="W333" si="860">W332-W349-W340</f>
        <v>6734661.7483753711</v>
      </c>
      <c r="X333" s="161">
        <f t="shared" ref="X333" si="861">X332-X349-X340</f>
        <v>6932920.1886600358</v>
      </c>
      <c r="Y333" s="261"/>
    </row>
    <row r="334" spans="1:25" hidden="1" outlineLevel="1">
      <c r="A334" s="95"/>
      <c r="C334" s="32" t="s">
        <v>128</v>
      </c>
      <c r="D334" s="19"/>
      <c r="E334" s="19">
        <f>-$D337*INDEX('DATA (Nominal)'!$B$247:$BX$247,1,MATCH($B$1,'DATA (Nominal)'!$B$1:$BX$1,0))</f>
        <v>36023152.541670352</v>
      </c>
      <c r="F334" s="19"/>
      <c r="G334" s="19"/>
      <c r="H334" s="19"/>
      <c r="I334" s="19"/>
      <c r="J334" s="19"/>
      <c r="K334" s="19"/>
      <c r="L334" s="19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161"/>
      <c r="Y334" s="261"/>
    </row>
    <row r="335" spans="1:25" hidden="1" outlineLevel="1">
      <c r="A335" s="95"/>
      <c r="C335" s="33" t="s">
        <v>54</v>
      </c>
      <c r="D335" s="19"/>
      <c r="E335" s="19">
        <f t="shared" ref="E335:X335" si="862">E333*Federal_Tax_Rate-E334</f>
        <v>-39494320.779298589</v>
      </c>
      <c r="F335" s="19">
        <f t="shared" si="862"/>
        <v>-6007322.6884668777</v>
      </c>
      <c r="G335" s="19">
        <f t="shared" si="862"/>
        <v>-3227350.5461302092</v>
      </c>
      <c r="H335" s="19">
        <f t="shared" si="862"/>
        <v>-1543984.1905658601</v>
      </c>
      <c r="I335" s="19">
        <f t="shared" si="862"/>
        <v>-1505962.7323355076</v>
      </c>
      <c r="J335" s="19">
        <f t="shared" si="862"/>
        <v>-232474.0463717388</v>
      </c>
      <c r="K335" s="19">
        <f t="shared" si="862"/>
        <v>1028275.5144253909</v>
      </c>
      <c r="L335" s="19">
        <f t="shared" si="862"/>
        <v>1054978.8095275944</v>
      </c>
      <c r="M335" s="93">
        <f t="shared" si="862"/>
        <v>1082320.0872991262</v>
      </c>
      <c r="N335" s="93">
        <f t="shared" si="862"/>
        <v>1110399.9670817363</v>
      </c>
      <c r="O335" s="93">
        <f t="shared" si="862"/>
        <v>1139321.2274058971</v>
      </c>
      <c r="P335" s="93">
        <f t="shared" si="862"/>
        <v>1169189.1157600367</v>
      </c>
      <c r="Q335" s="93">
        <f t="shared" si="862"/>
        <v>1200111.6647531341</v>
      </c>
      <c r="R335" s="93">
        <f t="shared" si="862"/>
        <v>1232200.0156139384</v>
      </c>
      <c r="S335" s="93">
        <f t="shared" si="862"/>
        <v>1265568.7499889189</v>
      </c>
      <c r="T335" s="93">
        <f t="shared" si="862"/>
        <v>1300336.231022785</v>
      </c>
      <c r="U335" s="93">
        <f t="shared" si="862"/>
        <v>1336624.9547300632</v>
      </c>
      <c r="V335" s="93">
        <f t="shared" si="862"/>
        <v>1374561.9126938826</v>
      </c>
      <c r="W335" s="93">
        <f t="shared" si="862"/>
        <v>1414278.9671588279</v>
      </c>
      <c r="X335" s="161">
        <f t="shared" si="862"/>
        <v>1455913.2396186076</v>
      </c>
      <c r="Y335" s="261"/>
    </row>
    <row r="336" spans="1:25" hidden="1" outlineLevel="1">
      <c r="A336" s="95"/>
      <c r="C336" s="33"/>
      <c r="D336" s="19"/>
      <c r="E336" s="19"/>
      <c r="F336" s="19"/>
      <c r="G336" s="19"/>
      <c r="H336" s="19"/>
      <c r="I336" s="19"/>
      <c r="J336" s="19"/>
      <c r="K336" s="19"/>
      <c r="L336" s="19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161"/>
      <c r="Y336" s="261"/>
    </row>
    <row r="337" spans="1:25" hidden="1" outlineLevel="1">
      <c r="A337" s="95"/>
      <c r="B337" s="37">
        <f>IRR(D337:Y337,0.1)</f>
        <v>7.5000000648125953E-2</v>
      </c>
      <c r="C337" s="32" t="s">
        <v>55</v>
      </c>
      <c r="D337" s="4">
        <f>-(1+AFUDC!$C$19)*INDEX('DATA (Nominal)'!$B$70:$BX$70,1,MATCH($B$1,'DATA (Nominal)'!$B$1:$BX$1,0))*1000000*'Resource Options'!$E$19/1000</f>
        <v>-120077175.13890117</v>
      </c>
      <c r="E337" s="3">
        <f t="shared" ref="E337:X337" si="863">E332-E335</f>
        <v>46180839.527186289</v>
      </c>
      <c r="F337" s="19">
        <f t="shared" si="863"/>
        <v>12784405.734300189</v>
      </c>
      <c r="G337" s="19">
        <f t="shared" si="863"/>
        <v>10093196.921017181</v>
      </c>
      <c r="H337" s="19">
        <f t="shared" si="863"/>
        <v>8497756.0956766196</v>
      </c>
      <c r="I337" s="19">
        <f t="shared" si="863"/>
        <v>8546401.7883755155</v>
      </c>
      <c r="J337" s="19">
        <f t="shared" si="863"/>
        <v>7358587.7257974399</v>
      </c>
      <c r="K337" s="19">
        <f t="shared" si="863"/>
        <v>6117373.4580069818</v>
      </c>
      <c r="L337" s="19">
        <f t="shared" si="863"/>
        <v>6106995.106475886</v>
      </c>
      <c r="M337" s="93">
        <f t="shared" si="863"/>
        <v>6092920.9367371453</v>
      </c>
      <c r="N337" s="93">
        <f t="shared" si="863"/>
        <v>6075194.197517911</v>
      </c>
      <c r="O337" s="93">
        <f t="shared" si="863"/>
        <v>6053847.820266718</v>
      </c>
      <c r="P337" s="93">
        <f t="shared" si="863"/>
        <v>6028904.5702790832</v>
      </c>
      <c r="Q337" s="93">
        <f t="shared" si="863"/>
        <v>6000377.166093505</v>
      </c>
      <c r="R337" s="93">
        <f t="shared" si="863"/>
        <v>5968268.3676383784</v>
      </c>
      <c r="S337" s="93">
        <f t="shared" si="863"/>
        <v>5932571.0335124936</v>
      </c>
      <c r="T337" s="93">
        <f t="shared" si="863"/>
        <v>5893268.1476855259</v>
      </c>
      <c r="U337" s="93">
        <f t="shared" si="863"/>
        <v>5850332.8158098571</v>
      </c>
      <c r="V337" s="93">
        <f t="shared" si="863"/>
        <v>5803728.2312409598</v>
      </c>
      <c r="W337" s="93">
        <f t="shared" si="863"/>
        <v>5753407.6107701156</v>
      </c>
      <c r="X337" s="161">
        <f t="shared" si="863"/>
        <v>5699314.0999801224</v>
      </c>
      <c r="Y337" s="261">
        <f>D337*-0.3</f>
        <v>36023152.541670352</v>
      </c>
    </row>
    <row r="338" spans="1:25" hidden="1" outlineLevel="1">
      <c r="A338" s="95"/>
      <c r="B338" s="37">
        <f>IRR(D338:Y338,0.1)</f>
        <v>0.10667765466904489</v>
      </c>
      <c r="C338" s="32" t="s">
        <v>56</v>
      </c>
      <c r="D338" s="6">
        <f>-D354</f>
        <v>-18373146.731437914</v>
      </c>
      <c r="E338" s="3">
        <f t="shared" ref="E338:X338" si="864">E337-E340-E342-E350-E334</f>
        <v>1606676.4832330868</v>
      </c>
      <c r="F338" s="19">
        <f t="shared" si="864"/>
        <v>1661342.1405420722</v>
      </c>
      <c r="G338" s="19">
        <f t="shared" si="864"/>
        <v>1713656.6248326781</v>
      </c>
      <c r="H338" s="19">
        <f t="shared" si="864"/>
        <v>1764329.7780362871</v>
      </c>
      <c r="I338" s="19">
        <f t="shared" si="864"/>
        <v>1812975.4707351821</v>
      </c>
      <c r="J338" s="19">
        <f t="shared" si="864"/>
        <v>1859746.8920652322</v>
      </c>
      <c r="K338" s="19">
        <f t="shared" si="864"/>
        <v>1853118.1081829006</v>
      </c>
      <c r="L338" s="19">
        <f t="shared" si="864"/>
        <v>1842739.7566518048</v>
      </c>
      <c r="M338" s="93">
        <f t="shared" si="864"/>
        <v>1828665.5869130641</v>
      </c>
      <c r="N338" s="93">
        <f t="shared" si="864"/>
        <v>1810938.8476938298</v>
      </c>
      <c r="O338" s="93">
        <f t="shared" si="864"/>
        <v>1789592.4704426369</v>
      </c>
      <c r="P338" s="93">
        <f t="shared" si="864"/>
        <v>1764649.220455002</v>
      </c>
      <c r="Q338" s="93">
        <f t="shared" si="864"/>
        <v>1736121.8162694243</v>
      </c>
      <c r="R338" s="93">
        <f t="shared" si="864"/>
        <v>1704013.0178142968</v>
      </c>
      <c r="S338" s="93">
        <f t="shared" si="864"/>
        <v>1668315.6836884124</v>
      </c>
      <c r="T338" s="93">
        <f t="shared" si="864"/>
        <v>1629012.7978614448</v>
      </c>
      <c r="U338" s="93">
        <f t="shared" si="864"/>
        <v>1586077.4659857759</v>
      </c>
      <c r="V338" s="93">
        <f t="shared" si="864"/>
        <v>1539472.8814168791</v>
      </c>
      <c r="W338" s="93">
        <f t="shared" si="864"/>
        <v>1489152.260946034</v>
      </c>
      <c r="X338" s="161">
        <f t="shared" si="864"/>
        <v>1435058.7501560412</v>
      </c>
      <c r="Y338" s="261">
        <f>Y337</f>
        <v>36023152.541670352</v>
      </c>
    </row>
    <row r="339" spans="1:25" hidden="1" outlineLevel="1">
      <c r="A339" s="95"/>
      <c r="B339" s="21"/>
      <c r="C339" s="32"/>
      <c r="D339" s="6"/>
      <c r="E339" s="19"/>
      <c r="F339" s="19"/>
      <c r="G339" s="19"/>
      <c r="H339" s="19"/>
      <c r="I339" s="19"/>
      <c r="J339" s="19"/>
      <c r="K339" s="19"/>
      <c r="L339" s="19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161"/>
      <c r="Y339" s="261"/>
    </row>
    <row r="340" spans="1:25" hidden="1" outlineLevel="1">
      <c r="A340" s="95"/>
      <c r="B340" s="15"/>
      <c r="C340" s="33" t="s">
        <v>57</v>
      </c>
      <c r="D340" s="19"/>
      <c r="E340" s="19">
        <f t="shared" ref="E340:X340" si="865">D343*Debt_Rate</f>
        <v>2802771.5344089717</v>
      </c>
      <c r="F340" s="19">
        <f t="shared" si="865"/>
        <v>2722389.9245611411</v>
      </c>
      <c r="G340" s="19">
        <f t="shared" si="865"/>
        <v>2637587.326171679</v>
      </c>
      <c r="H340" s="19">
        <f t="shared" si="865"/>
        <v>2548120.5848707971</v>
      </c>
      <c r="I340" s="19">
        <f t="shared" si="865"/>
        <v>2453733.1727983663</v>
      </c>
      <c r="J340" s="19">
        <f t="shared" si="865"/>
        <v>2354154.4530619518</v>
      </c>
      <c r="K340" s="19">
        <f t="shared" si="865"/>
        <v>2249098.9037400349</v>
      </c>
      <c r="L340" s="19">
        <f t="shared" si="865"/>
        <v>2138265.2992054122</v>
      </c>
      <c r="M340" s="93">
        <f t="shared" si="865"/>
        <v>2021335.8464213854</v>
      </c>
      <c r="N340" s="93">
        <f t="shared" si="865"/>
        <v>1897975.2737342371</v>
      </c>
      <c r="O340" s="93">
        <f t="shared" si="865"/>
        <v>1767829.8695492956</v>
      </c>
      <c r="P340" s="93">
        <f t="shared" si="865"/>
        <v>1630526.4681341825</v>
      </c>
      <c r="Q340" s="93">
        <f t="shared" si="865"/>
        <v>1485671.3796412381</v>
      </c>
      <c r="R340" s="93">
        <f t="shared" si="865"/>
        <v>1332849.2612811816</v>
      </c>
      <c r="S340" s="93">
        <f t="shared" si="865"/>
        <v>1171621.9264113221</v>
      </c>
      <c r="T340" s="93">
        <f t="shared" si="865"/>
        <v>1001527.0881236204</v>
      </c>
      <c r="U340" s="93">
        <f t="shared" si="865"/>
        <v>822077.03373009502</v>
      </c>
      <c r="V340" s="93">
        <f t="shared" si="865"/>
        <v>632757.2263449257</v>
      </c>
      <c r="W340" s="93">
        <f t="shared" si="865"/>
        <v>433024.82955357217</v>
      </c>
      <c r="X340" s="161">
        <f t="shared" si="865"/>
        <v>222307.15093869416</v>
      </c>
      <c r="Y340" s="261"/>
    </row>
    <row r="341" spans="1:25" hidden="1" outlineLevel="1">
      <c r="A341" s="95"/>
      <c r="B341" s="15"/>
      <c r="C341" s="33" t="s">
        <v>58</v>
      </c>
      <c r="D341" s="19"/>
      <c r="E341" s="19">
        <f t="shared" ref="E341:X341" si="866">-PMT(Debt_Rate,20,$D353)</f>
        <v>4264255.3498240812</v>
      </c>
      <c r="F341" s="19">
        <f t="shared" si="866"/>
        <v>4264255.3498240812</v>
      </c>
      <c r="G341" s="19">
        <f t="shared" si="866"/>
        <v>4264255.3498240812</v>
      </c>
      <c r="H341" s="19">
        <f t="shared" si="866"/>
        <v>4264255.3498240812</v>
      </c>
      <c r="I341" s="19">
        <f t="shared" si="866"/>
        <v>4264255.3498240812</v>
      </c>
      <c r="J341" s="19">
        <f t="shared" si="866"/>
        <v>4264255.3498240812</v>
      </c>
      <c r="K341" s="19">
        <f t="shared" si="866"/>
        <v>4264255.3498240812</v>
      </c>
      <c r="L341" s="19">
        <f t="shared" si="866"/>
        <v>4264255.3498240812</v>
      </c>
      <c r="M341" s="93">
        <f t="shared" si="866"/>
        <v>4264255.3498240812</v>
      </c>
      <c r="N341" s="93">
        <f t="shared" si="866"/>
        <v>4264255.3498240812</v>
      </c>
      <c r="O341" s="93">
        <f t="shared" si="866"/>
        <v>4264255.3498240812</v>
      </c>
      <c r="P341" s="93">
        <f t="shared" si="866"/>
        <v>4264255.3498240812</v>
      </c>
      <c r="Q341" s="93">
        <f t="shared" si="866"/>
        <v>4264255.3498240812</v>
      </c>
      <c r="R341" s="93">
        <f t="shared" si="866"/>
        <v>4264255.3498240812</v>
      </c>
      <c r="S341" s="93">
        <f t="shared" si="866"/>
        <v>4264255.3498240812</v>
      </c>
      <c r="T341" s="93">
        <f t="shared" si="866"/>
        <v>4264255.3498240812</v>
      </c>
      <c r="U341" s="93">
        <f t="shared" si="866"/>
        <v>4264255.3498240812</v>
      </c>
      <c r="V341" s="93">
        <f t="shared" si="866"/>
        <v>4264255.3498240812</v>
      </c>
      <c r="W341" s="93">
        <f t="shared" si="866"/>
        <v>4264255.3498240812</v>
      </c>
      <c r="X341" s="161">
        <f t="shared" si="866"/>
        <v>4264255.3498240812</v>
      </c>
      <c r="Y341" s="261"/>
    </row>
    <row r="342" spans="1:25" hidden="1" outlineLevel="1">
      <c r="A342" s="95"/>
      <c r="B342" s="15"/>
      <c r="C342" s="33" t="s">
        <v>59</v>
      </c>
      <c r="D342" s="19"/>
      <c r="E342" s="3">
        <f>E341-E340</f>
        <v>1461483.8154151095</v>
      </c>
      <c r="F342" s="19">
        <f t="shared" ref="F342" si="867">F341-F340</f>
        <v>1541865.4252629401</v>
      </c>
      <c r="G342" s="19">
        <f t="shared" ref="G342" si="868">G341-G340</f>
        <v>1626668.0236524022</v>
      </c>
      <c r="H342" s="19">
        <f t="shared" ref="H342" si="869">H341-H340</f>
        <v>1716134.7649532841</v>
      </c>
      <c r="I342" s="19">
        <f t="shared" ref="I342" si="870">I341-I340</f>
        <v>1810522.1770257149</v>
      </c>
      <c r="J342" s="19">
        <f t="shared" ref="J342" si="871">J341-J340</f>
        <v>1910100.8967621294</v>
      </c>
      <c r="K342" s="19">
        <f t="shared" ref="K342" si="872">K341-K340</f>
        <v>2015156.4460840463</v>
      </c>
      <c r="L342" s="19">
        <f t="shared" ref="L342" si="873">L341-L340</f>
        <v>2125990.050618669</v>
      </c>
      <c r="M342" s="93">
        <f t="shared" ref="M342" si="874">M341-M340</f>
        <v>2242919.503402696</v>
      </c>
      <c r="N342" s="93">
        <f t="shared" ref="N342" si="875">N341-N340</f>
        <v>2366280.0760898441</v>
      </c>
      <c r="O342" s="93">
        <f t="shared" ref="O342" si="876">O341-O340</f>
        <v>2496425.4802747853</v>
      </c>
      <c r="P342" s="93">
        <f t="shared" ref="P342" si="877">P341-P340</f>
        <v>2633728.8816898987</v>
      </c>
      <c r="Q342" s="93">
        <f t="shared" ref="Q342" si="878">Q341-Q340</f>
        <v>2778583.970182843</v>
      </c>
      <c r="R342" s="93">
        <f t="shared" ref="R342" si="879">R341-R340</f>
        <v>2931406.0885428996</v>
      </c>
      <c r="S342" s="93">
        <f t="shared" ref="S342" si="880">S341-S340</f>
        <v>3092633.4234127589</v>
      </c>
      <c r="T342" s="93">
        <f t="shared" ref="T342" si="881">T341-T340</f>
        <v>3262728.2617004607</v>
      </c>
      <c r="U342" s="93">
        <f t="shared" ref="U342" si="882">U341-U340</f>
        <v>3442178.3160939859</v>
      </c>
      <c r="V342" s="93">
        <f t="shared" ref="V342" si="883">V341-V340</f>
        <v>3631498.1234791554</v>
      </c>
      <c r="W342" s="93">
        <f t="shared" ref="W342" si="884">W341-W340</f>
        <v>3831230.5202705092</v>
      </c>
      <c r="X342" s="161">
        <f t="shared" ref="X342" si="885">X341-X340</f>
        <v>4041948.1988853868</v>
      </c>
      <c r="Y342" s="261"/>
    </row>
    <row r="343" spans="1:25" hidden="1" outlineLevel="1">
      <c r="A343" s="95"/>
      <c r="B343" s="15"/>
      <c r="C343" s="33" t="s">
        <v>60</v>
      </c>
      <c r="D343" s="19">
        <f>D353</f>
        <v>50959482.443799488</v>
      </c>
      <c r="E343" s="19">
        <f>D343-E342</f>
        <v>49497998.628384382</v>
      </c>
      <c r="F343" s="19">
        <f>E343-F342</f>
        <v>47956133.203121439</v>
      </c>
      <c r="G343" s="19">
        <f t="shared" ref="G343" si="886">F343-G342</f>
        <v>46329465.179469034</v>
      </c>
      <c r="H343" s="19">
        <f t="shared" ref="H343" si="887">G343-H342</f>
        <v>44613330.414515749</v>
      </c>
      <c r="I343" s="19">
        <f t="shared" ref="I343" si="888">H343-I342</f>
        <v>42802808.237490036</v>
      </c>
      <c r="J343" s="19">
        <f t="shared" ref="J343" si="889">I343-J342</f>
        <v>40892707.340727903</v>
      </c>
      <c r="K343" s="19">
        <f t="shared" ref="K343" si="890">J343-K342</f>
        <v>38877550.894643858</v>
      </c>
      <c r="L343" s="19">
        <f t="shared" ref="L343" si="891">K343-L342</f>
        <v>36751560.844025187</v>
      </c>
      <c r="M343" s="93">
        <f t="shared" ref="M343" si="892">L343-M342</f>
        <v>34508641.340622492</v>
      </c>
      <c r="N343" s="93">
        <f t="shared" ref="N343" si="893">M343-N342</f>
        <v>32142361.264532648</v>
      </c>
      <c r="O343" s="93">
        <f t="shared" ref="O343" si="894">N343-O342</f>
        <v>29645935.784257863</v>
      </c>
      <c r="P343" s="93">
        <f t="shared" ref="P343" si="895">O343-P342</f>
        <v>27012206.902567964</v>
      </c>
      <c r="Q343" s="93">
        <f t="shared" ref="Q343" si="896">P343-Q342</f>
        <v>24233622.932385121</v>
      </c>
      <c r="R343" s="93">
        <f t="shared" ref="R343" si="897">Q343-R342</f>
        <v>21302216.84384222</v>
      </c>
      <c r="S343" s="93">
        <f t="shared" ref="S343" si="898">R343-S342</f>
        <v>18209583.420429461</v>
      </c>
      <c r="T343" s="93">
        <f t="shared" ref="T343" si="899">S343-T342</f>
        <v>14946855.158729</v>
      </c>
      <c r="U343" s="93">
        <f t="shared" ref="U343" si="900">T343-U342</f>
        <v>11504676.842635013</v>
      </c>
      <c r="V343" s="93">
        <f t="shared" ref="V343" si="901">U343-V342</f>
        <v>7873178.7191558573</v>
      </c>
      <c r="W343" s="93">
        <f t="shared" ref="W343" si="902">V343-W342</f>
        <v>4041948.1988853482</v>
      </c>
      <c r="X343" s="161">
        <f t="shared" ref="X343" si="903">W343-X342</f>
        <v>-3.8649886846542358E-8</v>
      </c>
      <c r="Y343" s="261"/>
    </row>
    <row r="344" spans="1:25" hidden="1" outlineLevel="1">
      <c r="A344" s="95"/>
      <c r="B344" s="15"/>
      <c r="C344" s="32"/>
      <c r="D344" s="19"/>
      <c r="E344" s="19"/>
      <c r="F344" s="19"/>
      <c r="G344" s="19"/>
      <c r="H344" s="19"/>
      <c r="I344" s="19"/>
      <c r="J344" s="19"/>
      <c r="K344" s="19"/>
      <c r="L344" s="19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161"/>
      <c r="Y344" s="261"/>
    </row>
    <row r="345" spans="1:25" hidden="1" outlineLevel="1">
      <c r="A345" s="95"/>
      <c r="B345" s="15"/>
      <c r="C345" s="33" t="s">
        <v>61</v>
      </c>
      <c r="D345" s="19"/>
      <c r="E345" s="19">
        <f t="shared" ref="E345:X345" si="904">-$D337/25</f>
        <v>4803087.005556047</v>
      </c>
      <c r="F345" s="19">
        <f t="shared" si="904"/>
        <v>4803087.005556047</v>
      </c>
      <c r="G345" s="19">
        <f t="shared" si="904"/>
        <v>4803087.005556047</v>
      </c>
      <c r="H345" s="19">
        <f t="shared" si="904"/>
        <v>4803087.005556047</v>
      </c>
      <c r="I345" s="19">
        <f t="shared" si="904"/>
        <v>4803087.005556047</v>
      </c>
      <c r="J345" s="19">
        <f t="shared" si="904"/>
        <v>4803087.005556047</v>
      </c>
      <c r="K345" s="19">
        <f t="shared" si="904"/>
        <v>4803087.005556047</v>
      </c>
      <c r="L345" s="19">
        <f t="shared" si="904"/>
        <v>4803087.005556047</v>
      </c>
      <c r="M345" s="93">
        <f t="shared" si="904"/>
        <v>4803087.005556047</v>
      </c>
      <c r="N345" s="93">
        <f t="shared" si="904"/>
        <v>4803087.005556047</v>
      </c>
      <c r="O345" s="93">
        <f t="shared" si="904"/>
        <v>4803087.005556047</v>
      </c>
      <c r="P345" s="93">
        <f t="shared" si="904"/>
        <v>4803087.005556047</v>
      </c>
      <c r="Q345" s="93">
        <f t="shared" si="904"/>
        <v>4803087.005556047</v>
      </c>
      <c r="R345" s="93">
        <f t="shared" si="904"/>
        <v>4803087.005556047</v>
      </c>
      <c r="S345" s="93">
        <f t="shared" si="904"/>
        <v>4803087.005556047</v>
      </c>
      <c r="T345" s="93">
        <f t="shared" si="904"/>
        <v>4803087.005556047</v>
      </c>
      <c r="U345" s="93">
        <f t="shared" si="904"/>
        <v>4803087.005556047</v>
      </c>
      <c r="V345" s="93">
        <f t="shared" si="904"/>
        <v>4803087.005556047</v>
      </c>
      <c r="W345" s="93">
        <f t="shared" si="904"/>
        <v>4803087.005556047</v>
      </c>
      <c r="X345" s="161">
        <f t="shared" si="904"/>
        <v>4803087.005556047</v>
      </c>
      <c r="Y345" s="261"/>
    </row>
    <row r="346" spans="1:25" hidden="1" outlineLevel="1">
      <c r="A346" s="95"/>
      <c r="B346" s="15"/>
      <c r="C346" s="32" t="s">
        <v>62</v>
      </c>
      <c r="D346" s="19"/>
      <c r="E346" s="19">
        <f>SUM($E345:E345)</f>
        <v>4803087.005556047</v>
      </c>
      <c r="F346" s="19">
        <f>SUM($E345:F345)</f>
        <v>9606174.0111120939</v>
      </c>
      <c r="G346" s="19">
        <f>SUM($E345:G345)</f>
        <v>14409261.016668141</v>
      </c>
      <c r="H346" s="19">
        <f>SUM($E345:H345)</f>
        <v>19212348.022224188</v>
      </c>
      <c r="I346" s="19">
        <f>SUM($E345:I345)</f>
        <v>24015435.027780235</v>
      </c>
      <c r="J346" s="19">
        <f>SUM($E345:J345)</f>
        <v>28818522.033336282</v>
      </c>
      <c r="K346" s="19">
        <f>SUM($E345:K345)</f>
        <v>33621609.038892329</v>
      </c>
      <c r="L346" s="19">
        <f>SUM($E345:L345)</f>
        <v>38424696.044448376</v>
      </c>
      <c r="M346" s="93">
        <f>SUM($E345:M345)</f>
        <v>43227783.050004423</v>
      </c>
      <c r="N346" s="93">
        <f>SUM($E345:N345)</f>
        <v>48030870.05556047</v>
      </c>
      <c r="O346" s="93">
        <f>SUM($E345:O345)</f>
        <v>52833957.061116517</v>
      </c>
      <c r="P346" s="93">
        <f>SUM($E345:P345)</f>
        <v>57637044.066672564</v>
      </c>
      <c r="Q346" s="93">
        <f>SUM($E345:Q345)</f>
        <v>62440131.072228611</v>
      </c>
      <c r="R346" s="93">
        <f>SUM($E345:R345)</f>
        <v>67243218.077784657</v>
      </c>
      <c r="S346" s="93">
        <f>SUM($E345:S345)</f>
        <v>72046305.083340704</v>
      </c>
      <c r="T346" s="93">
        <f>SUM($E345:T345)</f>
        <v>76849392.088896751</v>
      </c>
      <c r="U346" s="93">
        <f>SUM($E345:U345)</f>
        <v>81652479.094452798</v>
      </c>
      <c r="V346" s="93">
        <f>SUM($E345:V345)</f>
        <v>86455566.100008845</v>
      </c>
      <c r="W346" s="93">
        <f>SUM($E345:W345)</f>
        <v>91258653.105564892</v>
      </c>
      <c r="X346" s="161">
        <f>SUM($E345:X345)</f>
        <v>96061740.111120939</v>
      </c>
      <c r="Y346" s="261"/>
    </row>
    <row r="347" spans="1:25" hidden="1" outlineLevel="1">
      <c r="A347" s="95"/>
      <c r="B347" s="15"/>
      <c r="C347" s="32" t="s">
        <v>63</v>
      </c>
      <c r="D347" s="19"/>
      <c r="E347" s="19">
        <f t="shared" ref="E347" si="905">-$D337-E346</f>
        <v>115274088.13334513</v>
      </c>
      <c r="F347" s="19">
        <f t="shared" ref="F347" si="906">-$D337-F346</f>
        <v>110471001.12778908</v>
      </c>
      <c r="G347" s="19">
        <f t="shared" ref="G347" si="907">-$D337-G346</f>
        <v>105667914.12223303</v>
      </c>
      <c r="H347" s="3">
        <f>-$D337-H346</f>
        <v>100864827.11667699</v>
      </c>
      <c r="I347" s="19">
        <f t="shared" ref="I347" si="908">-$D337-I346</f>
        <v>96061740.111120939</v>
      </c>
      <c r="J347" s="19">
        <f t="shared" ref="J347" si="909">-$D337-J346</f>
        <v>91258653.105564892</v>
      </c>
      <c r="K347" s="19">
        <f t="shared" ref="K347" si="910">-$D337-K346</f>
        <v>86455566.100008845</v>
      </c>
      <c r="L347" s="19">
        <f t="shared" ref="L347" si="911">-$D337-L346</f>
        <v>81652479.094452798</v>
      </c>
      <c r="M347" s="93">
        <f t="shared" ref="M347" si="912">-$D337-M346</f>
        <v>76849392.088896751</v>
      </c>
      <c r="N347" s="93">
        <f t="shared" ref="N347" si="913">-$D337-N346</f>
        <v>72046305.083340704</v>
      </c>
      <c r="O347" s="93">
        <f t="shared" ref="O347" si="914">-$D337-O346</f>
        <v>67243218.077784657</v>
      </c>
      <c r="P347" s="93">
        <f t="shared" ref="P347" si="915">-$D337-P346</f>
        <v>62440131.072228611</v>
      </c>
      <c r="Q347" s="93">
        <f t="shared" ref="Q347" si="916">-$D337-Q346</f>
        <v>57637044.066672564</v>
      </c>
      <c r="R347" s="93">
        <f t="shared" ref="R347" si="917">-$D337-R346</f>
        <v>52833957.061116517</v>
      </c>
      <c r="S347" s="93">
        <f t="shared" ref="S347" si="918">-$D337-S346</f>
        <v>48030870.05556047</v>
      </c>
      <c r="T347" s="93">
        <f t="shared" ref="T347" si="919">-$D337-T346</f>
        <v>43227783.050004423</v>
      </c>
      <c r="U347" s="93">
        <f t="shared" ref="U347" si="920">-$D337-U346</f>
        <v>38424696.044448376</v>
      </c>
      <c r="V347" s="93">
        <f t="shared" ref="V347" si="921">-$D337-V346</f>
        <v>33621609.038892329</v>
      </c>
      <c r="W347" s="93">
        <f t="shared" ref="W347" si="922">-$D337-W346</f>
        <v>28818522.033336282</v>
      </c>
      <c r="X347" s="161">
        <f t="shared" ref="X347" si="923">-$D337-X346</f>
        <v>24015435.027780235</v>
      </c>
      <c r="Y347" s="261"/>
    </row>
    <row r="348" spans="1:25" hidden="1" outlineLevel="1">
      <c r="A348" s="95"/>
      <c r="B348" s="15"/>
      <c r="C348" s="32" t="s">
        <v>64</v>
      </c>
      <c r="D348" s="19">
        <f>-D337</f>
        <v>120077175.13890117</v>
      </c>
      <c r="E348" s="19">
        <f>D348/(($D348/$Y348)^(1/21))</f>
        <v>113386532.57973833</v>
      </c>
      <c r="F348" s="19">
        <f t="shared" ref="F348:J348" si="924">E348/(($D348/$Y348)^(1/21))</f>
        <v>107068689.41232249</v>
      </c>
      <c r="G348" s="19">
        <f t="shared" si="924"/>
        <v>101102873.43349709</v>
      </c>
      <c r="H348" s="19">
        <f t="shared" si="924"/>
        <v>95469469.857294336</v>
      </c>
      <c r="I348" s="19">
        <f t="shared" si="924"/>
        <v>90149956.824205071</v>
      </c>
      <c r="J348" s="3">
        <f t="shared" si="924"/>
        <v>85126844.503841087</v>
      </c>
      <c r="K348" s="3">
        <f>J348/(($D348/$Y348)^(1/21))</f>
        <v>80383617.59076792</v>
      </c>
      <c r="L348" s="19">
        <f t="shared" ref="L348:V348" si="925">K348/(($D348/$Y348)^(1/21))</f>
        <v>75904681.00444223</v>
      </c>
      <c r="M348" s="93">
        <f t="shared" si="925"/>
        <v>71675308.614722565</v>
      </c>
      <c r="N348" s="93">
        <f t="shared" si="925"/>
        <v>67681594.824370131</v>
      </c>
      <c r="O348" s="93">
        <f t="shared" si="925"/>
        <v>63910408.849349283</v>
      </c>
      <c r="P348" s="93">
        <f t="shared" si="925"/>
        <v>60349351.546607785</v>
      </c>
      <c r="Q348" s="93">
        <f t="shared" si="925"/>
        <v>56986714.647392429</v>
      </c>
      <c r="R348" s="93">
        <f t="shared" si="925"/>
        <v>53811442.262064718</v>
      </c>
      <c r="S348" s="93">
        <f t="shared" si="925"/>
        <v>50813094.529849745</v>
      </c>
      <c r="T348" s="93">
        <f t="shared" si="925"/>
        <v>47981813.294003643</v>
      </c>
      <c r="U348" s="93">
        <f t="shared" si="925"/>
        <v>45308289.689544171</v>
      </c>
      <c r="V348" s="93">
        <f t="shared" si="925"/>
        <v>42783733.536977462</v>
      </c>
      <c r="W348" s="93">
        <f>V348/(($D348/$Y348)^(1/21))</f>
        <v>40399844.441391572</v>
      </c>
      <c r="X348" s="161">
        <f t="shared" ref="X348" si="926">W348/(($D348/$Y348)^(1/21))</f>
        <v>38148784.501894675</v>
      </c>
      <c r="Y348" s="261">
        <f>Y337</f>
        <v>36023152.541670352</v>
      </c>
    </row>
    <row r="349" spans="1:25" hidden="1" outlineLevel="1">
      <c r="A349" s="95"/>
      <c r="B349" s="15"/>
      <c r="C349" s="33" t="s">
        <v>65</v>
      </c>
      <c r="D349" s="19"/>
      <c r="E349" s="19">
        <f>-$D337*Assumptions!J$19*INDEX('DATA (Nominal)'!$B$349:$BX$349,1,MATCH($B$1,'DATA (Nominal)'!$B$1:$BX$1,0))</f>
        <v>20413119.7736132</v>
      </c>
      <c r="F349" s="19">
        <f>-$D337*Assumptions!K$19*INDEX('DATA (Nominal)'!$B$349:$BX$349,1,MATCH($B$1,'DATA (Nominal)'!$B$1:$BX$1,0))</f>
        <v>32660991.637781117</v>
      </c>
      <c r="G349" s="19">
        <f>-$D337*Assumptions!L$19*INDEX('DATA (Nominal)'!$B$349:$BX$349,1,MATCH($B$1,'DATA (Nominal)'!$B$1:$BX$1,0))</f>
        <v>19596594.982668672</v>
      </c>
      <c r="H349" s="19">
        <f>-$D337*Assumptions!M$19*INDEX('DATA (Nominal)'!$B$349:$BX$349,1,MATCH($B$1,'DATA (Nominal)'!$B$1:$BX$1,0))</f>
        <v>11757956.989601202</v>
      </c>
      <c r="I349" s="19">
        <f>-$D337*Assumptions!N$19*INDEX('DATA (Nominal)'!$B$349:$BX$349,1,MATCH($B$1,'DATA (Nominal)'!$B$1:$BX$1,0))</f>
        <v>11757956.989601202</v>
      </c>
      <c r="J349" s="19">
        <f>-$D337*Assumptions!O$19*INDEX('DATA (Nominal)'!$B$349:$BX$349,1,MATCH($B$1,'DATA (Nominal)'!$B$1:$BX$1,0))</f>
        <v>5878978.4948006012</v>
      </c>
      <c r="K349" s="19">
        <f>-$D337*Assumptions!P$19*INDEX('DATA (Nominal)'!$B$349:$BX$349,1,MATCH($B$1,'DATA (Nominal)'!$B$1:$BX$1,0))</f>
        <v>0</v>
      </c>
      <c r="L349" s="19">
        <f>-$D337*Assumptions!Q$19*INDEX('DATA (Nominal)'!$B$349:$BX$349,1,MATCH($B$1,'DATA (Nominal)'!$B$1:$BX$1,0))</f>
        <v>0</v>
      </c>
      <c r="M349" s="93">
        <f>-$D337*Assumptions!R$19*INDEX('DATA (Nominal)'!$B$349:$BX$349,1,MATCH($B$1,'DATA (Nominal)'!$B$1:$BX$1,0))</f>
        <v>0</v>
      </c>
      <c r="N349" s="93">
        <f>-$D337*Assumptions!S$19*INDEX('DATA (Nominal)'!$B$349:$BX$349,1,MATCH($B$1,'DATA (Nominal)'!$B$1:$BX$1,0))</f>
        <v>0</v>
      </c>
      <c r="O349" s="93">
        <f>-$D337*Assumptions!T$19*INDEX('DATA (Nominal)'!$B$349:$BX$349,1,MATCH($B$1,'DATA (Nominal)'!$B$1:$BX$1,0))</f>
        <v>0</v>
      </c>
      <c r="P349" s="93">
        <f>-$D337*Assumptions!U$19*INDEX('DATA (Nominal)'!$B$349:$BX$349,1,MATCH($B$1,'DATA (Nominal)'!$B$1:$BX$1,0))</f>
        <v>0</v>
      </c>
      <c r="Q349" s="93">
        <f>-$D337*Assumptions!V$19*INDEX('DATA (Nominal)'!$B$349:$BX$349,1,MATCH($B$1,'DATA (Nominal)'!$B$1:$BX$1,0))</f>
        <v>0</v>
      </c>
      <c r="R349" s="93">
        <f>-$D337*Assumptions!W$19*INDEX('DATA (Nominal)'!$B$349:$BX$349,1,MATCH($B$1,'DATA (Nominal)'!$B$1:$BX$1,0))</f>
        <v>0</v>
      </c>
      <c r="S349" s="93">
        <f>-$D337*Assumptions!X$19*INDEX('DATA (Nominal)'!$B$349:$BX$349,1,MATCH($B$1,'DATA (Nominal)'!$B$1:$BX$1,0))</f>
        <v>0</v>
      </c>
      <c r="T349" s="93">
        <f>-$D337*Assumptions!Y$19*INDEX('DATA (Nominal)'!$B$349:$BX$349,1,MATCH($B$1,'DATA (Nominal)'!$B$1:$BX$1,0))</f>
        <v>0</v>
      </c>
      <c r="U349" s="93">
        <f>-$D337*Assumptions!Z$19*INDEX('DATA (Nominal)'!$B$349:$BX$349,1,MATCH($B$1,'DATA (Nominal)'!$B$1:$BX$1,0))</f>
        <v>0</v>
      </c>
      <c r="V349" s="93">
        <f>-$D337*Assumptions!AA$19*INDEX('DATA (Nominal)'!$B$349:$BX$349,1,MATCH($B$1,'DATA (Nominal)'!$B$1:$BX$1,0))</f>
        <v>0</v>
      </c>
      <c r="W349" s="93">
        <f>-$D337*Assumptions!AB$19*INDEX('DATA (Nominal)'!$B$349:$BX$349,1,MATCH($B$1,'DATA (Nominal)'!$B$1:$BX$1,0))</f>
        <v>0</v>
      </c>
      <c r="X349" s="455">
        <f>-$D337*Assumptions!AC$19*INDEX('DATA (Nominal)'!$B$349:$BX$349,1,MATCH($B$1,'DATA (Nominal)'!$B$1:$BX$1,0))</f>
        <v>0</v>
      </c>
      <c r="Y349" s="261"/>
    </row>
    <row r="350" spans="1:25" ht="15.75" hidden="1" outlineLevel="1" thickBot="1">
      <c r="A350" s="95"/>
      <c r="B350" s="15"/>
      <c r="C350" s="34" t="s">
        <v>66</v>
      </c>
      <c r="D350" s="7"/>
      <c r="E350" s="7">
        <f t="shared" ref="E350:X350" si="927">E349*Federal_Tax_Rate</f>
        <v>4286755.1524587721</v>
      </c>
      <c r="F350" s="7">
        <f t="shared" si="927"/>
        <v>6858808.2439340344</v>
      </c>
      <c r="G350" s="7">
        <f t="shared" si="927"/>
        <v>4115284.9463604209</v>
      </c>
      <c r="H350" s="7">
        <f t="shared" si="927"/>
        <v>2469170.9678162523</v>
      </c>
      <c r="I350" s="7">
        <f t="shared" si="927"/>
        <v>2469170.9678162523</v>
      </c>
      <c r="J350" s="7">
        <f t="shared" si="927"/>
        <v>1234585.4839081261</v>
      </c>
      <c r="K350" s="7">
        <f t="shared" si="927"/>
        <v>0</v>
      </c>
      <c r="L350" s="7">
        <f t="shared" si="927"/>
        <v>0</v>
      </c>
      <c r="M350" s="456">
        <f t="shared" si="927"/>
        <v>0</v>
      </c>
      <c r="N350" s="456">
        <f t="shared" si="927"/>
        <v>0</v>
      </c>
      <c r="O350" s="456">
        <f t="shared" si="927"/>
        <v>0</v>
      </c>
      <c r="P350" s="456">
        <f t="shared" si="927"/>
        <v>0</v>
      </c>
      <c r="Q350" s="456">
        <f t="shared" si="927"/>
        <v>0</v>
      </c>
      <c r="R350" s="456">
        <f t="shared" si="927"/>
        <v>0</v>
      </c>
      <c r="S350" s="456">
        <f t="shared" si="927"/>
        <v>0</v>
      </c>
      <c r="T350" s="456">
        <f t="shared" si="927"/>
        <v>0</v>
      </c>
      <c r="U350" s="456">
        <f t="shared" si="927"/>
        <v>0</v>
      </c>
      <c r="V350" s="456">
        <f t="shared" si="927"/>
        <v>0</v>
      </c>
      <c r="W350" s="456">
        <f t="shared" si="927"/>
        <v>0</v>
      </c>
      <c r="X350" s="457">
        <f t="shared" si="927"/>
        <v>0</v>
      </c>
      <c r="Y350" s="261"/>
    </row>
    <row r="351" spans="1:25" hidden="1" outlineLevel="1">
      <c r="A351" s="95"/>
      <c r="B351" s="15"/>
      <c r="C351" s="35" t="s">
        <v>67</v>
      </c>
      <c r="D351" s="8">
        <f>NPV(Tax_Equity_Rate,E350:X350)</f>
        <v>17389775.091746785</v>
      </c>
      <c r="E351" s="9">
        <f>D351/D355</f>
        <v>0.14482165383746651</v>
      </c>
      <c r="F351" s="3"/>
      <c r="G351" s="3"/>
      <c r="H351" s="3"/>
      <c r="I351" s="3"/>
      <c r="J351" s="3"/>
      <c r="K351" s="3"/>
      <c r="L351" s="3"/>
      <c r="M351" s="261"/>
      <c r="N351" s="261"/>
      <c r="O351" s="261"/>
      <c r="P351" s="261"/>
      <c r="Q351" s="261"/>
      <c r="R351" s="261"/>
      <c r="S351" s="261"/>
      <c r="T351" s="261"/>
      <c r="U351" s="261"/>
      <c r="V351" s="261"/>
      <c r="W351" s="261"/>
      <c r="X351" s="261"/>
      <c r="Y351" s="261"/>
    </row>
    <row r="352" spans="1:25" hidden="1" outlineLevel="1">
      <c r="A352" s="95"/>
      <c r="B352" s="15"/>
      <c r="C352" s="32" t="s">
        <v>129</v>
      </c>
      <c r="D352" s="10">
        <f>NPV(Tax_Equity_Rate,E334:X334)</f>
        <v>33354770.871916991</v>
      </c>
      <c r="E352" s="11">
        <f>D352/D355</f>
        <v>0.27777777777777773</v>
      </c>
    </row>
    <row r="353" spans="1:25" hidden="1" outlineLevel="1">
      <c r="A353" s="95"/>
      <c r="B353" s="22">
        <f>Assumptions!F19</f>
        <v>0.73499999999999999</v>
      </c>
      <c r="C353" s="32" t="s">
        <v>68</v>
      </c>
      <c r="D353" s="10">
        <f>(D355-D351-D352)*$B353</f>
        <v>50959482.443799488</v>
      </c>
      <c r="E353" s="11">
        <f>D353/D355</f>
        <v>0.42438941776279548</v>
      </c>
    </row>
    <row r="354" spans="1:25" hidden="1" outlineLevel="1">
      <c r="A354" s="95"/>
      <c r="B354" s="22">
        <f>1-B353</f>
        <v>0.26500000000000001</v>
      </c>
      <c r="C354" s="32" t="s">
        <v>69</v>
      </c>
      <c r="D354" s="10">
        <f>(D355-D351-D352)*$B354</f>
        <v>18373146.731437914</v>
      </c>
      <c r="E354" s="11">
        <f>D354/D355</f>
        <v>0.1530111506219603</v>
      </c>
    </row>
    <row r="355" spans="1:25" hidden="1" outlineLevel="1">
      <c r="A355" s="95"/>
      <c r="C355" s="32" t="s">
        <v>70</v>
      </c>
      <c r="D355" s="10">
        <f>-D337</f>
        <v>120077175.13890117</v>
      </c>
      <c r="E355" s="12"/>
    </row>
    <row r="356" spans="1:25" ht="15.75" hidden="1" outlineLevel="1" thickBot="1">
      <c r="A356" s="95"/>
      <c r="C356" s="34" t="s">
        <v>71</v>
      </c>
      <c r="D356" s="13">
        <f>SUM(D351:D354)-D355</f>
        <v>0</v>
      </c>
      <c r="E356" s="14"/>
    </row>
    <row r="357" spans="1:25" hidden="1" outlineLevel="1">
      <c r="A357" s="95"/>
    </row>
    <row r="358" spans="1:25" ht="15.75" collapsed="1" thickBot="1">
      <c r="A358" s="95"/>
    </row>
    <row r="359" spans="1:25" ht="18.75" thickBot="1">
      <c r="A359" s="95"/>
      <c r="B359" s="82"/>
      <c r="C359" s="484" t="s">
        <v>10</v>
      </c>
      <c r="D359" s="485"/>
      <c r="E359" s="485"/>
      <c r="F359" s="485"/>
      <c r="G359" s="485"/>
      <c r="H359" s="486"/>
      <c r="Y359" s="261"/>
    </row>
    <row r="360" spans="1:25" hidden="1" outlineLevel="1">
      <c r="A360" s="95"/>
      <c r="C360" s="124" t="s">
        <v>44</v>
      </c>
      <c r="D360" s="98"/>
      <c r="E360" s="98">
        <f>'Resource Options'!$E$20*INDEX('DATA (Nominal)'!$B$20:$BX$20,1,MATCH($B$1,'DATA (Nominal)'!$B$1:$BX$1,0))*8760</f>
        <v>254687.81526133773</v>
      </c>
      <c r="F360" s="98">
        <f>E360</f>
        <v>254687.81526133773</v>
      </c>
      <c r="G360" s="98">
        <f t="shared" ref="G360:X360" si="928">F360</f>
        <v>254687.81526133773</v>
      </c>
      <c r="H360" s="98">
        <f t="shared" si="928"/>
        <v>254687.81526133773</v>
      </c>
      <c r="I360" s="98">
        <f t="shared" si="928"/>
        <v>254687.81526133773</v>
      </c>
      <c r="J360" s="98">
        <f t="shared" si="928"/>
        <v>254687.81526133773</v>
      </c>
      <c r="K360" s="98">
        <f t="shared" si="928"/>
        <v>254687.81526133773</v>
      </c>
      <c r="L360" s="98">
        <f t="shared" si="928"/>
        <v>254687.81526133773</v>
      </c>
      <c r="M360" s="142">
        <f t="shared" si="928"/>
        <v>254687.81526133773</v>
      </c>
      <c r="N360" s="142">
        <f t="shared" si="928"/>
        <v>254687.81526133773</v>
      </c>
      <c r="O360" s="142">
        <f t="shared" si="928"/>
        <v>254687.81526133773</v>
      </c>
      <c r="P360" s="142">
        <f t="shared" si="928"/>
        <v>254687.81526133773</v>
      </c>
      <c r="Q360" s="142">
        <f t="shared" si="928"/>
        <v>254687.81526133773</v>
      </c>
      <c r="R360" s="142">
        <f t="shared" si="928"/>
        <v>254687.81526133773</v>
      </c>
      <c r="S360" s="142">
        <f t="shared" si="928"/>
        <v>254687.81526133773</v>
      </c>
      <c r="T360" s="142">
        <f t="shared" si="928"/>
        <v>254687.81526133773</v>
      </c>
      <c r="U360" s="142">
        <f t="shared" si="928"/>
        <v>254687.81526133773</v>
      </c>
      <c r="V360" s="142">
        <f t="shared" si="928"/>
        <v>254687.81526133773</v>
      </c>
      <c r="W360" s="142">
        <f t="shared" si="928"/>
        <v>254687.81526133773</v>
      </c>
      <c r="X360" s="454">
        <f t="shared" si="928"/>
        <v>254687.81526133773</v>
      </c>
      <c r="Y360" s="261"/>
    </row>
    <row r="361" spans="1:25" hidden="1" outlineLevel="1">
      <c r="A361" s="95"/>
      <c r="C361" s="125" t="s">
        <v>45</v>
      </c>
      <c r="D361" s="114"/>
      <c r="E361" s="117">
        <f>INDEX('PPA Summary'!$3:$34,MATCH($C359,'PPA Summary'!$D$3:$D$34,0),MATCH(B$1,'PPA Summary'!$2:$2,0))</f>
        <v>44.266646635575555</v>
      </c>
      <c r="F361" s="112">
        <f>E361</f>
        <v>44.266646635575555</v>
      </c>
      <c r="G361" s="112">
        <f t="shared" ref="G361:X361" si="929">F361</f>
        <v>44.266646635575555</v>
      </c>
      <c r="H361" s="112">
        <f t="shared" si="929"/>
        <v>44.266646635575555</v>
      </c>
      <c r="I361" s="112">
        <f t="shared" si="929"/>
        <v>44.266646635575555</v>
      </c>
      <c r="J361" s="112">
        <f t="shared" si="929"/>
        <v>44.266646635575555</v>
      </c>
      <c r="K361" s="112">
        <f t="shared" si="929"/>
        <v>44.266646635575555</v>
      </c>
      <c r="L361" s="112">
        <f t="shared" si="929"/>
        <v>44.266646635575555</v>
      </c>
      <c r="M361" s="117">
        <f t="shared" si="929"/>
        <v>44.266646635575555</v>
      </c>
      <c r="N361" s="117">
        <f t="shared" si="929"/>
        <v>44.266646635575555</v>
      </c>
      <c r="O361" s="117">
        <f t="shared" si="929"/>
        <v>44.266646635575555</v>
      </c>
      <c r="P361" s="117">
        <f t="shared" si="929"/>
        <v>44.266646635575555</v>
      </c>
      <c r="Q361" s="117">
        <f t="shared" si="929"/>
        <v>44.266646635575555</v>
      </c>
      <c r="R361" s="117">
        <f t="shared" si="929"/>
        <v>44.266646635575555</v>
      </c>
      <c r="S361" s="117">
        <f t="shared" si="929"/>
        <v>44.266646635575555</v>
      </c>
      <c r="T361" s="117">
        <f t="shared" si="929"/>
        <v>44.266646635575555</v>
      </c>
      <c r="U361" s="117">
        <f t="shared" si="929"/>
        <v>44.266646635575555</v>
      </c>
      <c r="V361" s="117">
        <f t="shared" si="929"/>
        <v>44.266646635575555</v>
      </c>
      <c r="W361" s="117">
        <f t="shared" si="929"/>
        <v>44.266646635575555</v>
      </c>
      <c r="X361" s="161">
        <f t="shared" si="929"/>
        <v>44.266646635575555</v>
      </c>
      <c r="Y361" s="261"/>
    </row>
    <row r="362" spans="1:25" hidden="1" outlineLevel="1">
      <c r="A362" s="95"/>
      <c r="C362" s="126" t="s">
        <v>46</v>
      </c>
      <c r="D362" s="114"/>
      <c r="E362" s="114">
        <f>E361*E360</f>
        <v>11274175.520560384</v>
      </c>
      <c r="F362" s="114">
        <f t="shared" ref="F362" si="930">F361*F360</f>
        <v>11274175.520560384</v>
      </c>
      <c r="G362" s="114">
        <f t="shared" ref="G362" si="931">G361*G360</f>
        <v>11274175.520560384</v>
      </c>
      <c r="H362" s="114">
        <f t="shared" ref="H362" si="932">H361*H360</f>
        <v>11274175.520560384</v>
      </c>
      <c r="I362" s="114">
        <f t="shared" ref="I362" si="933">I361*I360</f>
        <v>11274175.520560384</v>
      </c>
      <c r="J362" s="114">
        <f t="shared" ref="J362" si="934">J361*J360</f>
        <v>11274175.520560384</v>
      </c>
      <c r="K362" s="114">
        <f t="shared" ref="K362" si="935">K361*K360</f>
        <v>11274175.520560384</v>
      </c>
      <c r="L362" s="114">
        <f t="shared" ref="L362" si="936">L361*L360</f>
        <v>11274175.520560384</v>
      </c>
      <c r="M362" s="93">
        <f t="shared" ref="M362" si="937">M361*M360</f>
        <v>11274175.520560384</v>
      </c>
      <c r="N362" s="93">
        <f t="shared" ref="N362" si="938">N361*N360</f>
        <v>11274175.520560384</v>
      </c>
      <c r="O362" s="93">
        <f t="shared" ref="O362" si="939">O361*O360</f>
        <v>11274175.520560384</v>
      </c>
      <c r="P362" s="93">
        <f t="shared" ref="P362" si="940">P361*P360</f>
        <v>11274175.520560384</v>
      </c>
      <c r="Q362" s="93">
        <f t="shared" ref="Q362" si="941">Q361*Q360</f>
        <v>11274175.520560384</v>
      </c>
      <c r="R362" s="93">
        <f t="shared" ref="R362" si="942">R361*R360</f>
        <v>11274175.520560384</v>
      </c>
      <c r="S362" s="93">
        <f t="shared" ref="S362" si="943">S361*S360</f>
        <v>11274175.520560384</v>
      </c>
      <c r="T362" s="93">
        <f t="shared" ref="T362" si="944">T361*T360</f>
        <v>11274175.520560384</v>
      </c>
      <c r="U362" s="93">
        <f t="shared" ref="U362" si="945">U361*U360</f>
        <v>11274175.520560384</v>
      </c>
      <c r="V362" s="93">
        <f t="shared" ref="V362" si="946">V361*V360</f>
        <v>11274175.520560384</v>
      </c>
      <c r="W362" s="93">
        <f t="shared" ref="W362" si="947">W361*W360</f>
        <v>11274175.520560384</v>
      </c>
      <c r="X362" s="161">
        <f t="shared" ref="X362" si="948">X361*X360</f>
        <v>11274175.520560384</v>
      </c>
      <c r="Y362" s="261"/>
    </row>
    <row r="363" spans="1:25" hidden="1" outlineLevel="1">
      <c r="A363" s="95"/>
      <c r="C363" s="33"/>
      <c r="D363" s="19"/>
      <c r="E363" s="19"/>
      <c r="F363" s="19"/>
      <c r="G363" s="19"/>
      <c r="H363" s="19"/>
      <c r="I363" s="19"/>
      <c r="J363" s="19"/>
      <c r="K363" s="19"/>
      <c r="L363" s="19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161"/>
      <c r="Y363" s="261"/>
    </row>
    <row r="364" spans="1:25" hidden="1" outlineLevel="1">
      <c r="A364" s="95"/>
      <c r="B364" s="92"/>
      <c r="C364" s="32" t="s">
        <v>47</v>
      </c>
      <c r="D364" s="19"/>
      <c r="E364" s="19">
        <f>'Resource Options'!$E$20*INDEX('DATA (Nominal)'!$B$190:$BX$190,1,MATCH(E$1,'DATA (Nominal)'!$B$1:$BX$1,0))*1000</f>
        <v>2154658.4270197633</v>
      </c>
      <c r="F364" s="19">
        <f>'Resource Options'!$E$20*INDEX('DATA (Nominal)'!$B$190:$BX$190,1,MATCH(F$1,'DATA (Nominal)'!$B$1:$BX$1,0))*1000</f>
        <v>2131000.5546657792</v>
      </c>
      <c r="G364" s="19">
        <f>'Resource Options'!$E$20*INDEX('DATA (Nominal)'!$B$190:$BX$190,1,MATCH(G$1,'DATA (Nominal)'!$B$1:$BX$1,0))*1000</f>
        <v>2105415.6572862766</v>
      </c>
      <c r="H364" s="19">
        <f>'Resource Options'!$E$20*INDEX('DATA (Nominal)'!$B$190:$BX$190,1,MATCH(H$1,'DATA (Nominal)'!$B$1:$BX$1,0))*1000</f>
        <v>2077148.2868507428</v>
      </c>
      <c r="I364" s="19">
        <f>'Resource Options'!$E$20*INDEX('DATA (Nominal)'!$B$190:$BX$190,1,MATCH(I$1,'DATA (Nominal)'!$B$1:$BX$1,0))*1000</f>
        <v>2046815.1716835233</v>
      </c>
      <c r="J364" s="19">
        <f>'Resource Options'!$E$20*INDEX('DATA (Nominal)'!$B$190:$BX$190,1,MATCH(J$1,'DATA (Nominal)'!$B$1:$BX$1,0))*1000</f>
        <v>2014335.6786287213</v>
      </c>
      <c r="K364" s="19">
        <f>'Resource Options'!$E$20*INDEX('DATA (Nominal)'!$B$190:$BX$190,1,MATCH(K$1,'DATA (Nominal)'!$B$1:$BX$1,0))*1000</f>
        <v>2045031.5088256907</v>
      </c>
      <c r="L364" s="19">
        <f>'Resource Options'!$E$20*INDEX('DATA (Nominal)'!$B$190:$BX$190,1,MATCH(L$1,'DATA (Nominal)'!$B$1:$BX$1,0))*1000</f>
        <v>2076138.8343853145</v>
      </c>
      <c r="M364" s="93">
        <f>'Resource Options'!$E$20*INDEX('DATA (Nominal)'!$B$190:$BX$190,1,MATCH(M$1,'DATA (Nominal)'!$B$1:$BX$1,0))*1000</f>
        <v>2107661.0922157797</v>
      </c>
      <c r="N364" s="93">
        <f>'Resource Options'!$E$20*INDEX('DATA (Nominal)'!$B$190:$BX$190,1,MATCH(N$1,'DATA (Nominal)'!$B$1:$BX$1,0))*1000</f>
        <v>2139601.6755496007</v>
      </c>
      <c r="O364" s="93">
        <f>'Resource Options'!$E$20*INDEX('DATA (Nominal)'!$B$190:$BX$190,1,MATCH(O$1,'DATA (Nominal)'!$B$1:$BX$1,0))*1000</f>
        <v>2171963.9303801572</v>
      </c>
      <c r="P364" s="93">
        <f>'Resource Options'!$E$20*INDEX('DATA (Nominal)'!$B$190:$BX$190,1,MATCH(P$1,'DATA (Nominal)'!$B$1:$BX$1,0))*1000</f>
        <v>2204751.1517638615</v>
      </c>
      <c r="Q364" s="93">
        <f>'Resource Options'!$E$20*INDEX('DATA (Nominal)'!$B$190:$BX$190,1,MATCH(Q$1,'DATA (Nominal)'!$B$1:$BX$1,0))*1000</f>
        <v>2237966.5799837573</v>
      </c>
      <c r="R364" s="93">
        <f>'Resource Options'!$E$20*INDEX('DATA (Nominal)'!$B$190:$BX$190,1,MATCH(R$1,'DATA (Nominal)'!$B$1:$BX$1,0))*1000</f>
        <v>2271613.3965702332</v>
      </c>
      <c r="S364" s="93">
        <f>'Resource Options'!$E$20*INDEX('DATA (Nominal)'!$B$190:$BX$190,1,MATCH(S$1,'DATA (Nominal)'!$B$1:$BX$1,0))*1000</f>
        <v>2305694.7201744146</v>
      </c>
      <c r="T364" s="93">
        <f>'Resource Options'!$E$20*INDEX('DATA (Nominal)'!$B$190:$BX$190,1,MATCH(T$1,'DATA (Nominal)'!$B$1:$BX$1,0))*1000</f>
        <v>2340213.602289665</v>
      </c>
      <c r="U364" s="93">
        <f>'Resource Options'!$E$20*INDEX('DATA (Nominal)'!$B$190:$BX$190,1,MATCH(U$1,'DATA (Nominal)'!$B$1:$BX$1,0))*1000</f>
        <v>2375173.0228165169</v>
      </c>
      <c r="V364" s="93">
        <f>'Resource Options'!$E$20*INDEX('DATA (Nominal)'!$B$190:$BX$190,1,MATCH(V$1,'DATA (Nominal)'!$B$1:$BX$1,0))*1000</f>
        <v>2410575.8854661905</v>
      </c>
      <c r="W364" s="93">
        <f>'Resource Options'!$E$20*INDEX('DATA (Nominal)'!$B$190:$BX$190,1,MATCH(W$1,'DATA (Nominal)'!$B$1:$BX$1,0))*1000</f>
        <v>2446425.0129977553</v>
      </c>
      <c r="X364" s="161">
        <f>'Resource Options'!$E$20*INDEX('DATA (Nominal)'!$B$190:$BX$190,1,MATCH(X$1,'DATA (Nominal)'!$B$1:$BX$1,0))*1000</f>
        <v>2482723.1422838285</v>
      </c>
      <c r="Y364" s="261"/>
    </row>
    <row r="365" spans="1:25" hidden="1" outlineLevel="1">
      <c r="A365" s="95"/>
      <c r="C365" s="32" t="s">
        <v>48</v>
      </c>
      <c r="D365" s="19"/>
      <c r="E365" s="19">
        <f>E360*INDEX('DATA (Nominal)'!$B$115:$BX$115,1,MATCH(E$1,'DATA (Nominal)'!$B$1:$BX$1,0))</f>
        <v>0</v>
      </c>
      <c r="F365" s="19">
        <f>F360*INDEX('DATA (Nominal)'!$B$115:$BX$115,1,MATCH(F$1,'DATA (Nominal)'!$B$1:$BX$1,0))</f>
        <v>0</v>
      </c>
      <c r="G365" s="19">
        <f>G360*INDEX('DATA (Nominal)'!$B$115:$BX$115,1,MATCH(G$1,'DATA (Nominal)'!$B$1:$BX$1,0))</f>
        <v>0</v>
      </c>
      <c r="H365" s="19">
        <f>H360*INDEX('DATA (Nominal)'!$B$115:$BX$115,1,MATCH(H$1,'DATA (Nominal)'!$B$1:$BX$1,0))</f>
        <v>0</v>
      </c>
      <c r="I365" s="19">
        <f>I360*INDEX('DATA (Nominal)'!$B$115:$BX$115,1,MATCH(I$1,'DATA (Nominal)'!$B$1:$BX$1,0))</f>
        <v>0</v>
      </c>
      <c r="J365" s="19">
        <f>J360*INDEX('DATA (Nominal)'!$B$115:$BX$115,1,MATCH(J$1,'DATA (Nominal)'!$B$1:$BX$1,0))</f>
        <v>0</v>
      </c>
      <c r="K365" s="19">
        <f>K360*INDEX('DATA (Nominal)'!$B$115:$BX$115,1,MATCH(K$1,'DATA (Nominal)'!$B$1:$BX$1,0))</f>
        <v>0</v>
      </c>
      <c r="L365" s="19">
        <f>L360*INDEX('DATA (Nominal)'!$B$115:$BX$115,1,MATCH(L$1,'DATA (Nominal)'!$B$1:$BX$1,0))</f>
        <v>0</v>
      </c>
      <c r="M365" s="93">
        <f>M360*INDEX('DATA (Nominal)'!$B$115:$BX$115,1,MATCH(M$1,'DATA (Nominal)'!$B$1:$BX$1,0))</f>
        <v>0</v>
      </c>
      <c r="N365" s="93">
        <f>N360*INDEX('DATA (Nominal)'!$B$115:$BX$115,1,MATCH(N$1,'DATA (Nominal)'!$B$1:$BX$1,0))</f>
        <v>0</v>
      </c>
      <c r="O365" s="93">
        <f>O360*INDEX('DATA (Nominal)'!$B$115:$BX$115,1,MATCH(O$1,'DATA (Nominal)'!$B$1:$BX$1,0))</f>
        <v>0</v>
      </c>
      <c r="P365" s="93">
        <f>P360*INDEX('DATA (Nominal)'!$B$115:$BX$115,1,MATCH(P$1,'DATA (Nominal)'!$B$1:$BX$1,0))</f>
        <v>0</v>
      </c>
      <c r="Q365" s="93">
        <f>Q360*INDEX('DATA (Nominal)'!$B$115:$BX$115,1,MATCH(Q$1,'DATA (Nominal)'!$B$1:$BX$1,0))</f>
        <v>0</v>
      </c>
      <c r="R365" s="93">
        <f>R360*INDEX('DATA (Nominal)'!$B$115:$BX$115,1,MATCH(R$1,'DATA (Nominal)'!$B$1:$BX$1,0))</f>
        <v>0</v>
      </c>
      <c r="S365" s="93">
        <f>S360*INDEX('DATA (Nominal)'!$B$115:$BX$115,1,MATCH(S$1,'DATA (Nominal)'!$B$1:$BX$1,0))</f>
        <v>0</v>
      </c>
      <c r="T365" s="93">
        <f>T360*INDEX('DATA (Nominal)'!$B$115:$BX$115,1,MATCH(T$1,'DATA (Nominal)'!$B$1:$BX$1,0))</f>
        <v>0</v>
      </c>
      <c r="U365" s="93">
        <f>U360*INDEX('DATA (Nominal)'!$B$115:$BX$115,1,MATCH(U$1,'DATA (Nominal)'!$B$1:$BX$1,0))</f>
        <v>0</v>
      </c>
      <c r="V365" s="93">
        <f>V360*INDEX('DATA (Nominal)'!$B$115:$BX$115,1,MATCH(V$1,'DATA (Nominal)'!$B$1:$BX$1,0))</f>
        <v>0</v>
      </c>
      <c r="W365" s="93">
        <f>W360*INDEX('DATA (Nominal)'!$B$115:$BX$115,1,MATCH(W$1,'DATA (Nominal)'!$B$1:$BX$1,0))</f>
        <v>0</v>
      </c>
      <c r="X365" s="161">
        <f>X360*INDEX('DATA (Nominal)'!$B$115:$BX$115,1,MATCH(X$1,'DATA (Nominal)'!$B$1:$BX$1,0))</f>
        <v>0</v>
      </c>
      <c r="Y365" s="261"/>
    </row>
    <row r="366" spans="1:25" hidden="1" outlineLevel="1">
      <c r="A366" s="95"/>
      <c r="C366" s="32" t="s">
        <v>127</v>
      </c>
      <c r="D366" s="19"/>
      <c r="E366" s="93">
        <f>E362*INDEX('DATA (Nominal)'!$B$335:$BX$335,1,MATCH(E$1,'DATA (Nominal)'!$B$1:$BX$1,0))</f>
        <v>0</v>
      </c>
      <c r="F366" s="19">
        <f>F362*INDEX('DATA (Nominal)'!$B$335:$BX$335,1,MATCH(F$1,'DATA (Nominal)'!$B$1:$BX$1,0))</f>
        <v>0</v>
      </c>
      <c r="G366" s="19">
        <f>G362*INDEX('DATA (Nominal)'!$B$335:$BX$335,1,MATCH(G$1,'DATA (Nominal)'!$B$1:$BX$1,0))</f>
        <v>0</v>
      </c>
      <c r="H366" s="19">
        <f>H362*INDEX('DATA (Nominal)'!$B$335:$BX$335,1,MATCH(H$1,'DATA (Nominal)'!$B$1:$BX$1,0))</f>
        <v>0</v>
      </c>
      <c r="I366" s="19">
        <f>I362*INDEX('DATA (Nominal)'!$B$335:$BX$335,1,MATCH(I$1,'DATA (Nominal)'!$B$1:$BX$1,0))</f>
        <v>0</v>
      </c>
      <c r="J366" s="19">
        <f>J362*INDEX('DATA (Nominal)'!$B$335:$BX$335,1,MATCH(J$1,'DATA (Nominal)'!$B$1:$BX$1,0))</f>
        <v>0</v>
      </c>
      <c r="K366" s="19">
        <f>K362*INDEX('DATA (Nominal)'!$B$335:$BX$335,1,MATCH(K$1,'DATA (Nominal)'!$B$1:$BX$1,0))</f>
        <v>0</v>
      </c>
      <c r="L366" s="19">
        <f>L362*INDEX('DATA (Nominal)'!$B$335:$BX$335,1,MATCH(L$1,'DATA (Nominal)'!$B$1:$BX$1,0))</f>
        <v>0</v>
      </c>
      <c r="M366" s="93">
        <f>M362*INDEX('DATA (Nominal)'!$B$335:$BX$335,1,MATCH(M$1,'DATA (Nominal)'!$B$1:$BX$1,0))</f>
        <v>0</v>
      </c>
      <c r="N366" s="93">
        <f>N362*INDEX('DATA (Nominal)'!$B$335:$BX$335,1,MATCH(N$1,'DATA (Nominal)'!$B$1:$BX$1,0))</f>
        <v>0</v>
      </c>
      <c r="O366" s="93">
        <f>O362*INDEX('DATA (Nominal)'!$B$335:$BX$335,1,MATCH(O$1,'DATA (Nominal)'!$B$1:$BX$1,0))</f>
        <v>0</v>
      </c>
      <c r="P366" s="93">
        <f>P362*INDEX('DATA (Nominal)'!$B$335:$BX$335,1,MATCH(P$1,'DATA (Nominal)'!$B$1:$BX$1,0))</f>
        <v>0</v>
      </c>
      <c r="Q366" s="93">
        <f>Q362*INDEX('DATA (Nominal)'!$B$335:$BX$335,1,MATCH(Q$1,'DATA (Nominal)'!$B$1:$BX$1,0))</f>
        <v>0</v>
      </c>
      <c r="R366" s="93">
        <f>R362*INDEX('DATA (Nominal)'!$B$335:$BX$335,1,MATCH(R$1,'DATA (Nominal)'!$B$1:$BX$1,0))</f>
        <v>0</v>
      </c>
      <c r="S366" s="93">
        <f>S362*INDEX('DATA (Nominal)'!$B$335:$BX$335,1,MATCH(S$1,'DATA (Nominal)'!$B$1:$BX$1,0))</f>
        <v>0</v>
      </c>
      <c r="T366" s="93">
        <f>T362*INDEX('DATA (Nominal)'!$B$335:$BX$335,1,MATCH(T$1,'DATA (Nominal)'!$B$1:$BX$1,0))</f>
        <v>0</v>
      </c>
      <c r="U366" s="93">
        <f>U362*INDEX('DATA (Nominal)'!$B$335:$BX$335,1,MATCH(U$1,'DATA (Nominal)'!$B$1:$BX$1,0))</f>
        <v>0</v>
      </c>
      <c r="V366" s="93">
        <f>V362*INDEX('DATA (Nominal)'!$B$335:$BX$335,1,MATCH(V$1,'DATA (Nominal)'!$B$1:$BX$1,0))</f>
        <v>0</v>
      </c>
      <c r="W366" s="93">
        <f>W362*INDEX('DATA (Nominal)'!$B$335:$BX$335,1,MATCH(W$1,'DATA (Nominal)'!$B$1:$BX$1,0))</f>
        <v>0</v>
      </c>
      <c r="X366" s="161">
        <f>X362*INDEX('DATA (Nominal)'!$B$335:$BX$335,1,MATCH(X$1,'DATA (Nominal)'!$B$1:$BX$1,0))</f>
        <v>0</v>
      </c>
      <c r="Y366" s="261"/>
    </row>
    <row r="367" spans="1:25" hidden="1" outlineLevel="1">
      <c r="A367" s="95"/>
      <c r="C367" s="33" t="s">
        <v>49</v>
      </c>
      <c r="D367" s="19"/>
      <c r="E367" s="19">
        <f t="shared" ref="E367:X367" si="949">D386*Property_Tax_Rate</f>
        <v>1388537.4326960582</v>
      </c>
      <c r="F367" s="19">
        <f t="shared" si="949"/>
        <v>1311168.7934734887</v>
      </c>
      <c r="G367" s="19">
        <f t="shared" si="949"/>
        <v>1238111.0976898219</v>
      </c>
      <c r="H367" s="19">
        <f t="shared" si="949"/>
        <v>1169124.1416459861</v>
      </c>
      <c r="I367" s="19">
        <f t="shared" si="949"/>
        <v>1103981.1056777188</v>
      </c>
      <c r="J367" s="19">
        <f t="shared" si="949"/>
        <v>1042467.8084035722</v>
      </c>
      <c r="K367" s="19">
        <f t="shared" si="949"/>
        <v>984382.00252586079</v>
      </c>
      <c r="L367" s="19">
        <f t="shared" si="949"/>
        <v>929532.70986924367</v>
      </c>
      <c r="M367" s="93">
        <f t="shared" si="949"/>
        <v>877739.59347063582</v>
      </c>
      <c r="N367" s="93">
        <f t="shared" si="949"/>
        <v>828832.36465597025</v>
      </c>
      <c r="O367" s="93">
        <f t="shared" si="949"/>
        <v>782650.22315435635</v>
      </c>
      <c r="P367" s="93">
        <f t="shared" si="949"/>
        <v>739041.32840881031</v>
      </c>
      <c r="Q367" s="93">
        <f t="shared" si="949"/>
        <v>697862.30034529686</v>
      </c>
      <c r="R367" s="93">
        <f t="shared" si="949"/>
        <v>658977.74795868038</v>
      </c>
      <c r="S367" s="93">
        <f t="shared" si="949"/>
        <v>622259.82416564098</v>
      </c>
      <c r="T367" s="93">
        <f t="shared" si="949"/>
        <v>587587.80546097166</v>
      </c>
      <c r="U367" s="93">
        <f t="shared" si="949"/>
        <v>554847.69499522634</v>
      </c>
      <c r="V367" s="93">
        <f t="shared" si="949"/>
        <v>523931.84776868875</v>
      </c>
      <c r="W367" s="93">
        <f t="shared" si="949"/>
        <v>494738.61670935503</v>
      </c>
      <c r="X367" s="161">
        <f t="shared" si="949"/>
        <v>467172.01847128081</v>
      </c>
      <c r="Y367" s="261"/>
    </row>
    <row r="368" spans="1:25" hidden="1" outlineLevel="1">
      <c r="A368" s="95"/>
      <c r="C368" s="33" t="s">
        <v>50</v>
      </c>
      <c r="D368" s="19"/>
      <c r="E368" s="19">
        <f>SUM(E364:E367)</f>
        <v>3543195.8597158212</v>
      </c>
      <c r="F368" s="19">
        <f t="shared" ref="F368" si="950">SUM(F364:F367)</f>
        <v>3442169.3481392679</v>
      </c>
      <c r="G368" s="19">
        <f t="shared" ref="G368" si="951">SUM(G364:G367)</f>
        <v>3343526.7549760984</v>
      </c>
      <c r="H368" s="19">
        <f t="shared" ref="H368" si="952">SUM(H364:H367)</f>
        <v>3246272.4284967287</v>
      </c>
      <c r="I368" s="19">
        <f t="shared" ref="I368" si="953">SUM(I364:I367)</f>
        <v>3150796.2773612421</v>
      </c>
      <c r="J368" s="19">
        <f t="shared" ref="J368" si="954">SUM(J364:J367)</f>
        <v>3056803.4870322933</v>
      </c>
      <c r="K368" s="19">
        <f t="shared" ref="K368" si="955">SUM(K364:K367)</f>
        <v>3029413.5113515514</v>
      </c>
      <c r="L368" s="19">
        <f t="shared" ref="L368" si="956">SUM(L364:L367)</f>
        <v>3005671.5442545582</v>
      </c>
      <c r="M368" s="93">
        <f t="shared" ref="M368" si="957">SUM(M364:M367)</f>
        <v>2985400.6856864155</v>
      </c>
      <c r="N368" s="93">
        <f t="shared" ref="N368" si="958">SUM(N364:N367)</f>
        <v>2968434.0402055709</v>
      </c>
      <c r="O368" s="93">
        <f t="shared" ref="O368" si="959">SUM(O364:O367)</f>
        <v>2954614.1535345134</v>
      </c>
      <c r="P368" s="93">
        <f t="shared" ref="P368" si="960">SUM(P364:P367)</f>
        <v>2943792.4801726718</v>
      </c>
      <c r="Q368" s="93">
        <f t="shared" ref="Q368" si="961">SUM(Q364:Q367)</f>
        <v>2935828.8803290543</v>
      </c>
      <c r="R368" s="93">
        <f t="shared" ref="R368" si="962">SUM(R364:R367)</f>
        <v>2930591.1445289133</v>
      </c>
      <c r="S368" s="93">
        <f t="shared" ref="S368" si="963">SUM(S364:S367)</f>
        <v>2927954.5443400554</v>
      </c>
      <c r="T368" s="93">
        <f t="shared" ref="T368" si="964">SUM(T364:T367)</f>
        <v>2927801.4077506368</v>
      </c>
      <c r="U368" s="93">
        <f t="shared" ref="U368" si="965">SUM(U364:U367)</f>
        <v>2930020.7178117433</v>
      </c>
      <c r="V368" s="93">
        <f t="shared" ref="V368" si="966">SUM(V364:V367)</f>
        <v>2934507.7332348791</v>
      </c>
      <c r="W368" s="93">
        <f t="shared" ref="W368" si="967">SUM(W364:W367)</f>
        <v>2941163.6297071101</v>
      </c>
      <c r="X368" s="161">
        <f t="shared" ref="X368" si="968">SUM(X364:X367)</f>
        <v>2949895.160755109</v>
      </c>
      <c r="Y368" s="261"/>
    </row>
    <row r="369" spans="1:25" hidden="1" outlineLevel="1">
      <c r="A369" s="95"/>
      <c r="C369" s="33"/>
      <c r="D369" s="19"/>
      <c r="E369" s="19"/>
      <c r="F369" s="19"/>
      <c r="G369" s="19"/>
      <c r="H369" s="19"/>
      <c r="I369" s="19"/>
      <c r="J369" s="19"/>
      <c r="K369" s="19"/>
      <c r="L369" s="19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161"/>
      <c r="Y369" s="261"/>
    </row>
    <row r="370" spans="1:25" hidden="1" outlineLevel="1">
      <c r="A370" s="95"/>
      <c r="C370" s="32" t="s">
        <v>51</v>
      </c>
      <c r="D370" s="19"/>
      <c r="E370" s="19">
        <f>E362-E368</f>
        <v>7730979.6608445626</v>
      </c>
      <c r="F370" s="19">
        <f t="shared" ref="F370:X370" si="969">F362-F368</f>
        <v>7832006.1724211164</v>
      </c>
      <c r="G370" s="19">
        <f t="shared" si="969"/>
        <v>7930648.7655842854</v>
      </c>
      <c r="H370" s="19">
        <f t="shared" si="969"/>
        <v>8027903.0920636551</v>
      </c>
      <c r="I370" s="19">
        <f t="shared" si="969"/>
        <v>8123379.2431991417</v>
      </c>
      <c r="J370" s="19">
        <f t="shared" si="969"/>
        <v>8217372.0335280905</v>
      </c>
      <c r="K370" s="19">
        <f t="shared" si="969"/>
        <v>8244762.0092088319</v>
      </c>
      <c r="L370" s="19">
        <f t="shared" si="969"/>
        <v>8268503.9763058256</v>
      </c>
      <c r="M370" s="93">
        <f t="shared" si="969"/>
        <v>8288774.8348739687</v>
      </c>
      <c r="N370" s="93">
        <f t="shared" si="969"/>
        <v>8305741.4803548129</v>
      </c>
      <c r="O370" s="93">
        <f t="shared" si="969"/>
        <v>8319561.3670258708</v>
      </c>
      <c r="P370" s="93">
        <f t="shared" si="969"/>
        <v>8330383.0403877124</v>
      </c>
      <c r="Q370" s="93">
        <f t="shared" si="969"/>
        <v>8338346.6402313299</v>
      </c>
      <c r="R370" s="93">
        <f t="shared" si="969"/>
        <v>8343584.3760314705</v>
      </c>
      <c r="S370" s="93">
        <f t="shared" si="969"/>
        <v>8346220.9762203284</v>
      </c>
      <c r="T370" s="93">
        <f t="shared" si="969"/>
        <v>8346374.1128097475</v>
      </c>
      <c r="U370" s="93">
        <f t="shared" si="969"/>
        <v>8344154.802748641</v>
      </c>
      <c r="V370" s="93">
        <f t="shared" si="969"/>
        <v>8339667.7873255052</v>
      </c>
      <c r="W370" s="93">
        <f t="shared" si="969"/>
        <v>8333011.8908532737</v>
      </c>
      <c r="X370" s="161">
        <f t="shared" si="969"/>
        <v>8324280.3598052748</v>
      </c>
      <c r="Y370" s="261"/>
    </row>
    <row r="371" spans="1:25" hidden="1" outlineLevel="1">
      <c r="A371" s="95"/>
      <c r="C371" s="32" t="s">
        <v>52</v>
      </c>
      <c r="D371" s="19"/>
      <c r="E371" s="93">
        <f>E370-E387-E378</f>
        <v>-19115199.954308927</v>
      </c>
      <c r="F371" s="19">
        <f t="shared" ref="F371" si="970">F370-F387-F378</f>
        <v>-33084304.306940615</v>
      </c>
      <c r="G371" s="19">
        <f t="shared" ref="G371" si="971">G370-G387-G378</f>
        <v>-17780311.194541749</v>
      </c>
      <c r="H371" s="19">
        <f t="shared" ref="H371" si="972">H370-H387-H378</f>
        <v>-8515227.777087288</v>
      </c>
      <c r="I371" s="19">
        <f t="shared" ref="I371" si="973">I370-I387-I378</f>
        <v>-8310604.7754481379</v>
      </c>
      <c r="J371" s="19">
        <f t="shared" ref="J371" si="974">J370-J387-J378</f>
        <v>-1303182.787357925</v>
      </c>
      <c r="K371" s="19">
        <f t="shared" ref="K371" si="975">K370-K387-K378</f>
        <v>5643969.6320845569</v>
      </c>
      <c r="L371" s="19">
        <f t="shared" ref="L371" si="976">L370-L387-L378</f>
        <v>5795876.3469938915</v>
      </c>
      <c r="M371" s="93">
        <f t="shared" ref="M371" si="977">M370-M387-M378</f>
        <v>5951361.0145040527</v>
      </c>
      <c r="N371" s="93">
        <f t="shared" ref="N371" si="978">N370-N387-N378</f>
        <v>6110978.2284187274</v>
      </c>
      <c r="O371" s="93">
        <f t="shared" ref="O371" si="979">O370-O387-O378</f>
        <v>6275294.4647874758</v>
      </c>
      <c r="P371" s="93">
        <f t="shared" ref="P371" si="980">P370-P387-P378</f>
        <v>6444889.787080382</v>
      </c>
      <c r="Q371" s="93">
        <f t="shared" ref="Q371" si="981">Q370-Q387-Q378</f>
        <v>6620359.586546272</v>
      </c>
      <c r="R371" s="93">
        <f t="shared" ref="R371" si="982">R370-R387-R378</f>
        <v>6802316.3629479092</v>
      </c>
      <c r="S371" s="93">
        <f t="shared" ref="S371" si="983">S370-S387-S378</f>
        <v>6991391.5509713478</v>
      </c>
      <c r="T371" s="93">
        <f t="shared" ref="T371" si="984">T370-T387-T378</f>
        <v>7188237.397726248</v>
      </c>
      <c r="U371" s="93">
        <f t="shared" ref="U371" si="985">U370-U387-U378</f>
        <v>7393528.8968897248</v>
      </c>
      <c r="V371" s="93">
        <f t="shared" ref="V371" si="986">V370-V387-V378</f>
        <v>7607965.7851985237</v>
      </c>
      <c r="W371" s="93">
        <f t="shared" ref="W371" si="987">W370-W387-W378</f>
        <v>7832274.6071634842</v>
      </c>
      <c r="X371" s="161">
        <f t="shared" ref="X371" si="988">X370-X387-X378</f>
        <v>8067210.8540667221</v>
      </c>
      <c r="Y371" s="261"/>
    </row>
    <row r="372" spans="1:25" hidden="1" outlineLevel="1">
      <c r="A372" s="95"/>
      <c r="C372" s="32" t="s">
        <v>128</v>
      </c>
      <c r="D372" s="19"/>
      <c r="E372" s="19">
        <f>-$D375*INDEX('DATA (Nominal)'!$B$248:$BX$248,1,MATCH($B$1,'DATA (Nominal)'!$B$1:$BX$1,0))</f>
        <v>41656122.980881743</v>
      </c>
      <c r="F372" s="19"/>
      <c r="G372" s="19"/>
      <c r="H372" s="19"/>
      <c r="I372" s="19"/>
      <c r="J372" s="19"/>
      <c r="K372" s="19"/>
      <c r="L372" s="19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161"/>
      <c r="Y372" s="261"/>
    </row>
    <row r="373" spans="1:25" hidden="1" outlineLevel="1">
      <c r="A373" s="95"/>
      <c r="C373" s="33" t="s">
        <v>54</v>
      </c>
      <c r="D373" s="19"/>
      <c r="E373" s="19">
        <f t="shared" ref="E373:X373" si="989">E371*Federal_Tax_Rate-E372</f>
        <v>-45670314.971286617</v>
      </c>
      <c r="F373" s="19">
        <f t="shared" si="989"/>
        <v>-6947703.9044575291</v>
      </c>
      <c r="G373" s="19">
        <f t="shared" si="989"/>
        <v>-3733865.3508537672</v>
      </c>
      <c r="H373" s="19">
        <f t="shared" si="989"/>
        <v>-1788197.8331883305</v>
      </c>
      <c r="I373" s="19">
        <f t="shared" si="989"/>
        <v>-1745227.002844109</v>
      </c>
      <c r="J373" s="19">
        <f t="shared" si="989"/>
        <v>-273668.38534516422</v>
      </c>
      <c r="K373" s="19">
        <f t="shared" si="989"/>
        <v>1185233.6227377569</v>
      </c>
      <c r="L373" s="19">
        <f t="shared" si="989"/>
        <v>1217134.0328687171</v>
      </c>
      <c r="M373" s="93">
        <f t="shared" si="989"/>
        <v>1249785.813045851</v>
      </c>
      <c r="N373" s="93">
        <f t="shared" si="989"/>
        <v>1283305.4279679328</v>
      </c>
      <c r="O373" s="93">
        <f t="shared" si="989"/>
        <v>1317811.83760537</v>
      </c>
      <c r="P373" s="93">
        <f t="shared" si="989"/>
        <v>1353426.8552868802</v>
      </c>
      <c r="Q373" s="93">
        <f t="shared" si="989"/>
        <v>1390275.5131747171</v>
      </c>
      <c r="R373" s="93">
        <f t="shared" si="989"/>
        <v>1428486.4362190608</v>
      </c>
      <c r="S373" s="93">
        <f t="shared" si="989"/>
        <v>1468192.2257039831</v>
      </c>
      <c r="T373" s="93">
        <f t="shared" si="989"/>
        <v>1509529.8535225121</v>
      </c>
      <c r="U373" s="93">
        <f t="shared" si="989"/>
        <v>1552641.0683468422</v>
      </c>
      <c r="V373" s="93">
        <f t="shared" si="989"/>
        <v>1597672.8148916899</v>
      </c>
      <c r="W373" s="93">
        <f t="shared" si="989"/>
        <v>1644777.6675043316</v>
      </c>
      <c r="X373" s="161">
        <f t="shared" si="989"/>
        <v>1694114.2793540116</v>
      </c>
      <c r="Y373" s="261"/>
    </row>
    <row r="374" spans="1:25" hidden="1" outlineLevel="1">
      <c r="A374" s="95"/>
      <c r="C374" s="33"/>
      <c r="D374" s="19"/>
      <c r="E374" s="19"/>
      <c r="F374" s="19"/>
      <c r="G374" s="19"/>
      <c r="H374" s="19"/>
      <c r="I374" s="19"/>
      <c r="J374" s="19"/>
      <c r="K374" s="19"/>
      <c r="L374" s="19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161"/>
      <c r="Y374" s="261"/>
    </row>
    <row r="375" spans="1:25" hidden="1" outlineLevel="1">
      <c r="A375" s="95"/>
      <c r="B375" s="37">
        <f>IRR(D375:Y375,0.1)</f>
        <v>7.4999936607789364E-2</v>
      </c>
      <c r="C375" s="32" t="s">
        <v>55</v>
      </c>
      <c r="D375" s="4">
        <f>-(1+AFUDC!$C$20)*INDEX('DATA (Nominal)'!$B$71:$BX$71,1,MATCH($B$1,'DATA (Nominal)'!$B$1:$BX$1,0))*1000000*'Resource Options'!$E$20/1000</f>
        <v>-138853743.26960582</v>
      </c>
      <c r="E375" s="3">
        <f t="shared" ref="E375:X375" si="990">E370-E373</f>
        <v>53401294.632131182</v>
      </c>
      <c r="F375" s="19">
        <f t="shared" si="990"/>
        <v>14779710.076878645</v>
      </c>
      <c r="G375" s="19">
        <f t="shared" si="990"/>
        <v>11664514.116438054</v>
      </c>
      <c r="H375" s="19">
        <f t="shared" si="990"/>
        <v>9816100.925251985</v>
      </c>
      <c r="I375" s="19">
        <f t="shared" si="990"/>
        <v>9868606.24604325</v>
      </c>
      <c r="J375" s="19">
        <f t="shared" si="990"/>
        <v>8491040.4188732542</v>
      </c>
      <c r="K375" s="19">
        <f t="shared" si="990"/>
        <v>7059528.386471075</v>
      </c>
      <c r="L375" s="19">
        <f t="shared" si="990"/>
        <v>7051369.9434371088</v>
      </c>
      <c r="M375" s="93">
        <f t="shared" si="990"/>
        <v>7038989.0218281178</v>
      </c>
      <c r="N375" s="93">
        <f t="shared" si="990"/>
        <v>7022436.0523868799</v>
      </c>
      <c r="O375" s="93">
        <f t="shared" si="990"/>
        <v>7001749.5294205006</v>
      </c>
      <c r="P375" s="93">
        <f t="shared" si="990"/>
        <v>6976956.185100832</v>
      </c>
      <c r="Q375" s="93">
        <f t="shared" si="990"/>
        <v>6948071.1270566126</v>
      </c>
      <c r="R375" s="93">
        <f t="shared" si="990"/>
        <v>6915097.9398124097</v>
      </c>
      <c r="S375" s="93">
        <f t="shared" si="990"/>
        <v>6878028.7505163457</v>
      </c>
      <c r="T375" s="93">
        <f t="shared" si="990"/>
        <v>6836844.2592872353</v>
      </c>
      <c r="U375" s="93">
        <f t="shared" si="990"/>
        <v>6791513.7344017988</v>
      </c>
      <c r="V375" s="93">
        <f t="shared" si="990"/>
        <v>6741994.9724338148</v>
      </c>
      <c r="W375" s="93">
        <f t="shared" si="990"/>
        <v>6688234.2233489417</v>
      </c>
      <c r="X375" s="161">
        <f t="shared" si="990"/>
        <v>6630166.0804512631</v>
      </c>
      <c r="Y375" s="261">
        <f>D375*-0.3</f>
        <v>41656122.980881743</v>
      </c>
    </row>
    <row r="376" spans="1:25" hidden="1" outlineLevel="1">
      <c r="A376" s="95"/>
      <c r="B376" s="37">
        <f>IRR(D376:Y376,0.1)</f>
        <v>0.10660861937647637</v>
      </c>
      <c r="C376" s="32" t="s">
        <v>56</v>
      </c>
      <c r="D376" s="6">
        <f>-D392</f>
        <v>-21246171.025848661</v>
      </c>
      <c r="E376" s="3">
        <f t="shared" ref="E376:X376" si="991">E375-E378-E380-E388-E372</f>
        <v>1857032.4973576814</v>
      </c>
      <c r="F376" s="19">
        <f t="shared" si="991"/>
        <v>1917323.7421519337</v>
      </c>
      <c r="G376" s="19">
        <f t="shared" si="991"/>
        <v>1974658.1079352954</v>
      </c>
      <c r="H376" s="19">
        <f t="shared" si="991"/>
        <v>2029763.1124835988</v>
      </c>
      <c r="I376" s="19">
        <f t="shared" si="991"/>
        <v>2082268.4332748647</v>
      </c>
      <c r="J376" s="19">
        <f t="shared" si="991"/>
        <v>2132341.2529056463</v>
      </c>
      <c r="K376" s="19">
        <f t="shared" si="991"/>
        <v>2128467.8673042469</v>
      </c>
      <c r="L376" s="19">
        <f t="shared" si="991"/>
        <v>2120309.4242702811</v>
      </c>
      <c r="M376" s="93">
        <f t="shared" si="991"/>
        <v>2107928.5026612901</v>
      </c>
      <c r="N376" s="93">
        <f t="shared" si="991"/>
        <v>2091375.5332200518</v>
      </c>
      <c r="O376" s="93">
        <f t="shared" si="991"/>
        <v>2070689.010253672</v>
      </c>
      <c r="P376" s="93">
        <f t="shared" si="991"/>
        <v>2045895.6659340039</v>
      </c>
      <c r="Q376" s="93">
        <f t="shared" si="991"/>
        <v>2017010.6078897845</v>
      </c>
      <c r="R376" s="93">
        <f t="shared" si="991"/>
        <v>1984037.4206455811</v>
      </c>
      <c r="S376" s="93">
        <f t="shared" si="991"/>
        <v>1946968.2313495181</v>
      </c>
      <c r="T376" s="93">
        <f t="shared" si="991"/>
        <v>1905783.7401204072</v>
      </c>
      <c r="U376" s="93">
        <f t="shared" si="991"/>
        <v>1860453.2152349707</v>
      </c>
      <c r="V376" s="93">
        <f t="shared" si="991"/>
        <v>1810934.4532669866</v>
      </c>
      <c r="W376" s="93">
        <f t="shared" si="991"/>
        <v>1757173.7041821135</v>
      </c>
      <c r="X376" s="161">
        <f t="shared" si="991"/>
        <v>1699105.561284435</v>
      </c>
      <c r="Y376" s="261">
        <f>Y375</f>
        <v>41656122.980881743</v>
      </c>
    </row>
    <row r="377" spans="1:25" hidden="1" outlineLevel="1">
      <c r="A377" s="95"/>
      <c r="B377" s="21"/>
      <c r="C377" s="32"/>
      <c r="D377" s="6"/>
      <c r="E377" s="19"/>
      <c r="F377" s="19"/>
      <c r="G377" s="19"/>
      <c r="H377" s="19"/>
      <c r="I377" s="19"/>
      <c r="J377" s="19"/>
      <c r="K377" s="19"/>
      <c r="L377" s="19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161"/>
      <c r="Y377" s="261"/>
    </row>
    <row r="378" spans="1:25" hidden="1" outlineLevel="1">
      <c r="A378" s="95"/>
      <c r="B378" s="15"/>
      <c r="C378" s="33" t="s">
        <v>57</v>
      </c>
      <c r="D378" s="19"/>
      <c r="E378" s="19">
        <f t="shared" ref="E378:X378" si="992">D381*Debt_Rate</f>
        <v>3241043.2593204984</v>
      </c>
      <c r="F378" s="19">
        <f t="shared" si="992"/>
        <v>3148092.3100289502</v>
      </c>
      <c r="G378" s="19">
        <f t="shared" si="992"/>
        <v>3050029.0585263669</v>
      </c>
      <c r="H378" s="19">
        <f t="shared" si="992"/>
        <v>2946572.3281911416</v>
      </c>
      <c r="I378" s="19">
        <f t="shared" si="992"/>
        <v>2837425.4776874785</v>
      </c>
      <c r="J378" s="19">
        <f t="shared" si="992"/>
        <v>2722275.5504061147</v>
      </c>
      <c r="K378" s="19">
        <f t="shared" si="992"/>
        <v>2600792.3771242751</v>
      </c>
      <c r="L378" s="19">
        <f t="shared" si="992"/>
        <v>2472627.6293119346</v>
      </c>
      <c r="M378" s="93">
        <f t="shared" si="992"/>
        <v>2337413.8203699156</v>
      </c>
      <c r="N378" s="93">
        <f t="shared" si="992"/>
        <v>2194763.2519360855</v>
      </c>
      <c r="O378" s="93">
        <f t="shared" si="992"/>
        <v>2044266.9022383946</v>
      </c>
      <c r="P378" s="93">
        <f t="shared" si="992"/>
        <v>1885493.2533073307</v>
      </c>
      <c r="Q378" s="93">
        <f t="shared" si="992"/>
        <v>1717987.0536850581</v>
      </c>
      <c r="R378" s="93">
        <f t="shared" si="992"/>
        <v>1541268.0130835609</v>
      </c>
      <c r="S378" s="93">
        <f t="shared" si="992"/>
        <v>1354829.425248981</v>
      </c>
      <c r="T378" s="93">
        <f t="shared" si="992"/>
        <v>1158136.7150834994</v>
      </c>
      <c r="U378" s="93">
        <f t="shared" si="992"/>
        <v>950625.90585891646</v>
      </c>
      <c r="V378" s="93">
        <f t="shared" si="992"/>
        <v>731702.00212698127</v>
      </c>
      <c r="W378" s="93">
        <f t="shared" si="992"/>
        <v>500737.28368978971</v>
      </c>
      <c r="X378" s="161">
        <f t="shared" si="992"/>
        <v>257069.5057385526</v>
      </c>
      <c r="Y378" s="261"/>
    </row>
    <row r="379" spans="1:25" hidden="1" outlineLevel="1">
      <c r="A379" s="95"/>
      <c r="B379" s="15"/>
      <c r="C379" s="33" t="s">
        <v>58</v>
      </c>
      <c r="D379" s="19"/>
      <c r="E379" s="19">
        <f t="shared" ref="E379:X379" si="993">-PMT(Debt_Rate,20,$D391)</f>
        <v>4931060.5191668281</v>
      </c>
      <c r="F379" s="19">
        <f t="shared" si="993"/>
        <v>4931060.5191668281</v>
      </c>
      <c r="G379" s="19">
        <f t="shared" si="993"/>
        <v>4931060.5191668281</v>
      </c>
      <c r="H379" s="19">
        <f t="shared" si="993"/>
        <v>4931060.5191668281</v>
      </c>
      <c r="I379" s="19">
        <f t="shared" si="993"/>
        <v>4931060.5191668281</v>
      </c>
      <c r="J379" s="19">
        <f t="shared" si="993"/>
        <v>4931060.5191668281</v>
      </c>
      <c r="K379" s="19">
        <f t="shared" si="993"/>
        <v>4931060.5191668281</v>
      </c>
      <c r="L379" s="19">
        <f t="shared" si="993"/>
        <v>4931060.5191668281</v>
      </c>
      <c r="M379" s="93">
        <f t="shared" si="993"/>
        <v>4931060.5191668281</v>
      </c>
      <c r="N379" s="93">
        <f t="shared" si="993"/>
        <v>4931060.5191668281</v>
      </c>
      <c r="O379" s="93">
        <f t="shared" si="993"/>
        <v>4931060.5191668281</v>
      </c>
      <c r="P379" s="93">
        <f t="shared" si="993"/>
        <v>4931060.5191668281</v>
      </c>
      <c r="Q379" s="93">
        <f t="shared" si="993"/>
        <v>4931060.5191668281</v>
      </c>
      <c r="R379" s="93">
        <f t="shared" si="993"/>
        <v>4931060.5191668281</v>
      </c>
      <c r="S379" s="93">
        <f t="shared" si="993"/>
        <v>4931060.5191668281</v>
      </c>
      <c r="T379" s="93">
        <f t="shared" si="993"/>
        <v>4931060.5191668281</v>
      </c>
      <c r="U379" s="93">
        <f t="shared" si="993"/>
        <v>4931060.5191668281</v>
      </c>
      <c r="V379" s="93">
        <f t="shared" si="993"/>
        <v>4931060.5191668281</v>
      </c>
      <c r="W379" s="93">
        <f t="shared" si="993"/>
        <v>4931060.5191668281</v>
      </c>
      <c r="X379" s="161">
        <f t="shared" si="993"/>
        <v>4931060.5191668281</v>
      </c>
      <c r="Y379" s="261"/>
    </row>
    <row r="380" spans="1:25" hidden="1" outlineLevel="1">
      <c r="A380" s="95"/>
      <c r="B380" s="15"/>
      <c r="C380" s="33" t="s">
        <v>59</v>
      </c>
      <c r="D380" s="19"/>
      <c r="E380" s="3">
        <f>E379-E378</f>
        <v>1690017.2598463297</v>
      </c>
      <c r="F380" s="19">
        <f t="shared" ref="F380" si="994">F379-F378</f>
        <v>1782968.2091378779</v>
      </c>
      <c r="G380" s="19">
        <f t="shared" ref="G380" si="995">G379-G378</f>
        <v>1881031.4606404612</v>
      </c>
      <c r="H380" s="19">
        <f t="shared" ref="H380" si="996">H379-H378</f>
        <v>1984488.1909756865</v>
      </c>
      <c r="I380" s="19">
        <f t="shared" ref="I380" si="997">I379-I378</f>
        <v>2093635.0414793496</v>
      </c>
      <c r="J380" s="19">
        <f t="shared" ref="J380" si="998">J379-J378</f>
        <v>2208784.9687607135</v>
      </c>
      <c r="K380" s="19">
        <f t="shared" ref="K380" si="999">K379-K378</f>
        <v>2330268.1420425531</v>
      </c>
      <c r="L380" s="19">
        <f t="shared" ref="L380" si="1000">L379-L378</f>
        <v>2458432.8898548936</v>
      </c>
      <c r="M380" s="93">
        <f t="shared" ref="M380" si="1001">M379-M378</f>
        <v>2593646.6987969126</v>
      </c>
      <c r="N380" s="93">
        <f t="shared" ref="N380" si="1002">N379-N378</f>
        <v>2736297.2672307426</v>
      </c>
      <c r="O380" s="93">
        <f t="shared" ref="O380" si="1003">O379-O378</f>
        <v>2886793.6169284335</v>
      </c>
      <c r="P380" s="93">
        <f t="shared" ref="P380" si="1004">P379-P378</f>
        <v>3045567.2658594977</v>
      </c>
      <c r="Q380" s="93">
        <f t="shared" ref="Q380" si="1005">Q379-Q378</f>
        <v>3213073.4654817702</v>
      </c>
      <c r="R380" s="93">
        <f t="shared" ref="R380" si="1006">R379-R378</f>
        <v>3389792.5060832673</v>
      </c>
      <c r="S380" s="93">
        <f t="shared" ref="S380" si="1007">S379-S378</f>
        <v>3576231.0939178471</v>
      </c>
      <c r="T380" s="93">
        <f t="shared" ref="T380" si="1008">T379-T378</f>
        <v>3772923.8040833287</v>
      </c>
      <c r="U380" s="93">
        <f t="shared" ref="U380" si="1009">U379-U378</f>
        <v>3980434.6133079119</v>
      </c>
      <c r="V380" s="93">
        <f t="shared" ref="V380" si="1010">V379-V378</f>
        <v>4199358.5170398466</v>
      </c>
      <c r="W380" s="93">
        <f t="shared" ref="W380" si="1011">W379-W378</f>
        <v>4430323.2354770387</v>
      </c>
      <c r="X380" s="161">
        <f t="shared" ref="X380" si="1012">X379-X378</f>
        <v>4673991.0134282755</v>
      </c>
      <c r="Y380" s="261"/>
    </row>
    <row r="381" spans="1:25" hidden="1" outlineLevel="1">
      <c r="A381" s="95"/>
      <c r="B381" s="15"/>
      <c r="C381" s="33" t="s">
        <v>60</v>
      </c>
      <c r="D381" s="19">
        <f>D391</f>
        <v>58928059.260372698</v>
      </c>
      <c r="E381" s="19">
        <f>D381-E380</f>
        <v>57238042.000526369</v>
      </c>
      <c r="F381" s="19">
        <f>E381-F380</f>
        <v>55455073.791388489</v>
      </c>
      <c r="G381" s="19">
        <f t="shared" ref="G381" si="1013">F381-G380</f>
        <v>53574042.330748029</v>
      </c>
      <c r="H381" s="19">
        <f t="shared" ref="H381" si="1014">G381-H380</f>
        <v>51589554.139772341</v>
      </c>
      <c r="I381" s="19">
        <f t="shared" ref="I381" si="1015">H381-I380</f>
        <v>49495919.098292992</v>
      </c>
      <c r="J381" s="19">
        <f t="shared" ref="J381" si="1016">I381-J380</f>
        <v>47287134.129532278</v>
      </c>
      <c r="K381" s="19">
        <f t="shared" ref="K381" si="1017">J381-K380</f>
        <v>44956865.987489723</v>
      </c>
      <c r="L381" s="19">
        <f t="shared" ref="L381" si="1018">K381-L380</f>
        <v>42498433.09763483</v>
      </c>
      <c r="M381" s="93">
        <f t="shared" ref="M381" si="1019">L381-M380</f>
        <v>39904786.398837917</v>
      </c>
      <c r="N381" s="93">
        <f t="shared" ref="N381" si="1020">M381-N380</f>
        <v>37168489.131607175</v>
      </c>
      <c r="O381" s="93">
        <f t="shared" ref="O381" si="1021">N381-O380</f>
        <v>34281695.514678739</v>
      </c>
      <c r="P381" s="93">
        <f t="shared" ref="P381" si="1022">O381-P380</f>
        <v>31236128.248819239</v>
      </c>
      <c r="Q381" s="93">
        <f t="shared" ref="Q381" si="1023">P381-Q380</f>
        <v>28023054.78333747</v>
      </c>
      <c r="R381" s="93">
        <f t="shared" ref="R381" si="1024">Q381-R380</f>
        <v>24633262.277254201</v>
      </c>
      <c r="S381" s="93">
        <f t="shared" ref="S381" si="1025">R381-S380</f>
        <v>21057031.183336355</v>
      </c>
      <c r="T381" s="93">
        <f t="shared" ref="T381" si="1026">S381-T380</f>
        <v>17284107.379253026</v>
      </c>
      <c r="U381" s="93">
        <f t="shared" ref="U381" si="1027">T381-U380</f>
        <v>13303672.765945114</v>
      </c>
      <c r="V381" s="93">
        <f t="shared" ref="V381" si="1028">U381-V380</f>
        <v>9104314.2489052676</v>
      </c>
      <c r="W381" s="93">
        <f t="shared" ref="W381" si="1029">V381-W380</f>
        <v>4673991.0134282289</v>
      </c>
      <c r="X381" s="161">
        <f t="shared" ref="X381" si="1030">W381-X380</f>
        <v>-4.6566128730773926E-8</v>
      </c>
      <c r="Y381" s="261"/>
    </row>
    <row r="382" spans="1:25" hidden="1" outlineLevel="1">
      <c r="A382" s="95"/>
      <c r="B382" s="15"/>
      <c r="C382" s="32"/>
      <c r="D382" s="19"/>
      <c r="E382" s="19"/>
      <c r="F382" s="19"/>
      <c r="G382" s="19"/>
      <c r="H382" s="19"/>
      <c r="I382" s="19"/>
      <c r="J382" s="19"/>
      <c r="K382" s="19"/>
      <c r="L382" s="19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161"/>
      <c r="Y382" s="261"/>
    </row>
    <row r="383" spans="1:25" hidden="1" outlineLevel="1">
      <c r="A383" s="95"/>
      <c r="B383" s="15"/>
      <c r="C383" s="33" t="s">
        <v>61</v>
      </c>
      <c r="D383" s="19"/>
      <c r="E383" s="19">
        <f t="shared" ref="E383:X383" si="1031">-$D375/25</f>
        <v>5554149.7307842327</v>
      </c>
      <c r="F383" s="19">
        <f t="shared" si="1031"/>
        <v>5554149.7307842327</v>
      </c>
      <c r="G383" s="19">
        <f t="shared" si="1031"/>
        <v>5554149.7307842327</v>
      </c>
      <c r="H383" s="19">
        <f t="shared" si="1031"/>
        <v>5554149.7307842327</v>
      </c>
      <c r="I383" s="19">
        <f t="shared" si="1031"/>
        <v>5554149.7307842327</v>
      </c>
      <c r="J383" s="19">
        <f t="shared" si="1031"/>
        <v>5554149.7307842327</v>
      </c>
      <c r="K383" s="19">
        <f t="shared" si="1031"/>
        <v>5554149.7307842327</v>
      </c>
      <c r="L383" s="19">
        <f t="shared" si="1031"/>
        <v>5554149.7307842327</v>
      </c>
      <c r="M383" s="93">
        <f t="shared" si="1031"/>
        <v>5554149.7307842327</v>
      </c>
      <c r="N383" s="93">
        <f t="shared" si="1031"/>
        <v>5554149.7307842327</v>
      </c>
      <c r="O383" s="93">
        <f t="shared" si="1031"/>
        <v>5554149.7307842327</v>
      </c>
      <c r="P383" s="93">
        <f t="shared" si="1031"/>
        <v>5554149.7307842327</v>
      </c>
      <c r="Q383" s="93">
        <f t="shared" si="1031"/>
        <v>5554149.7307842327</v>
      </c>
      <c r="R383" s="93">
        <f t="shared" si="1031"/>
        <v>5554149.7307842327</v>
      </c>
      <c r="S383" s="93">
        <f t="shared" si="1031"/>
        <v>5554149.7307842327</v>
      </c>
      <c r="T383" s="93">
        <f t="shared" si="1031"/>
        <v>5554149.7307842327</v>
      </c>
      <c r="U383" s="93">
        <f t="shared" si="1031"/>
        <v>5554149.7307842327</v>
      </c>
      <c r="V383" s="93">
        <f t="shared" si="1031"/>
        <v>5554149.7307842327</v>
      </c>
      <c r="W383" s="93">
        <f t="shared" si="1031"/>
        <v>5554149.7307842327</v>
      </c>
      <c r="X383" s="161">
        <f t="shared" si="1031"/>
        <v>5554149.7307842327</v>
      </c>
      <c r="Y383" s="261"/>
    </row>
    <row r="384" spans="1:25" hidden="1" outlineLevel="1">
      <c r="A384" s="95"/>
      <c r="B384" s="15"/>
      <c r="C384" s="32" t="s">
        <v>62</v>
      </c>
      <c r="D384" s="19"/>
      <c r="E384" s="19">
        <f>SUM($E383:E383)</f>
        <v>5554149.7307842327</v>
      </c>
      <c r="F384" s="19">
        <f>SUM($E383:F383)</f>
        <v>11108299.461568465</v>
      </c>
      <c r="G384" s="19">
        <f>SUM($E383:G383)</f>
        <v>16662449.192352697</v>
      </c>
      <c r="H384" s="19">
        <f>SUM($E383:H383)</f>
        <v>22216598.923136931</v>
      </c>
      <c r="I384" s="19">
        <f>SUM($E383:I383)</f>
        <v>27770748.653921165</v>
      </c>
      <c r="J384" s="19">
        <f>SUM($E383:J383)</f>
        <v>33324898.384705398</v>
      </c>
      <c r="K384" s="19">
        <f>SUM($E383:K383)</f>
        <v>38879048.115489632</v>
      </c>
      <c r="L384" s="19">
        <f>SUM($E383:L383)</f>
        <v>44433197.846273862</v>
      </c>
      <c r="M384" s="93">
        <f>SUM($E383:M383)</f>
        <v>49987347.577058092</v>
      </c>
      <c r="N384" s="93">
        <f>SUM($E383:N383)</f>
        <v>55541497.307842322</v>
      </c>
      <c r="O384" s="93">
        <f>SUM($E383:O383)</f>
        <v>61095647.038626552</v>
      </c>
      <c r="P384" s="93">
        <f>SUM($E383:P383)</f>
        <v>66649796.769410782</v>
      </c>
      <c r="Q384" s="93">
        <f>SUM($E383:Q383)</f>
        <v>72203946.500195011</v>
      </c>
      <c r="R384" s="93">
        <f>SUM($E383:R383)</f>
        <v>77758096.230979249</v>
      </c>
      <c r="S384" s="93">
        <f>SUM($E383:S383)</f>
        <v>83312245.961763486</v>
      </c>
      <c r="T384" s="93">
        <f>SUM($E383:T383)</f>
        <v>88866395.692547724</v>
      </c>
      <c r="U384" s="93">
        <f>SUM($E383:U383)</f>
        <v>94420545.423331961</v>
      </c>
      <c r="V384" s="93">
        <f>SUM($E383:V383)</f>
        <v>99974695.154116198</v>
      </c>
      <c r="W384" s="93">
        <f>SUM($E383:W383)</f>
        <v>105528844.88490044</v>
      </c>
      <c r="X384" s="161">
        <f>SUM($E383:X383)</f>
        <v>111082994.61568467</v>
      </c>
      <c r="Y384" s="261"/>
    </row>
    <row r="385" spans="1:25" hidden="1" outlineLevel="1">
      <c r="A385" s="95"/>
      <c r="B385" s="15"/>
      <c r="C385" s="32" t="s">
        <v>63</v>
      </c>
      <c r="D385" s="19"/>
      <c r="E385" s="19">
        <f t="shared" ref="E385" si="1032">-$D375-E384</f>
        <v>133299593.53882158</v>
      </c>
      <c r="F385" s="19">
        <f t="shared" ref="F385" si="1033">-$D375-F384</f>
        <v>127745443.80803736</v>
      </c>
      <c r="G385" s="19">
        <f t="shared" ref="G385" si="1034">-$D375-G384</f>
        <v>122191294.07725312</v>
      </c>
      <c r="H385" s="3">
        <f>-$D375-H384</f>
        <v>116637144.34646888</v>
      </c>
      <c r="I385" s="19">
        <f t="shared" ref="I385" si="1035">-$D375-I384</f>
        <v>111082994.61568466</v>
      </c>
      <c r="J385" s="19">
        <f t="shared" ref="J385" si="1036">-$D375-J384</f>
        <v>105528844.88490042</v>
      </c>
      <c r="K385" s="19">
        <f t="shared" ref="K385" si="1037">-$D375-K384</f>
        <v>99974695.154116184</v>
      </c>
      <c r="L385" s="19">
        <f t="shared" ref="L385" si="1038">-$D375-L384</f>
        <v>94420545.423331946</v>
      </c>
      <c r="M385" s="93">
        <f t="shared" ref="M385" si="1039">-$D375-M384</f>
        <v>88866395.692547724</v>
      </c>
      <c r="N385" s="93">
        <f t="shared" ref="N385" si="1040">-$D375-N384</f>
        <v>83312245.961763501</v>
      </c>
      <c r="O385" s="93">
        <f t="shared" ref="O385" si="1041">-$D375-O384</f>
        <v>77758096.230979264</v>
      </c>
      <c r="P385" s="93">
        <f t="shared" ref="P385" si="1042">-$D375-P384</f>
        <v>72203946.500195026</v>
      </c>
      <c r="Q385" s="93">
        <f t="shared" ref="Q385" si="1043">-$D375-Q384</f>
        <v>66649796.769410804</v>
      </c>
      <c r="R385" s="93">
        <f t="shared" ref="R385" si="1044">-$D375-R384</f>
        <v>61095647.038626567</v>
      </c>
      <c r="S385" s="93">
        <f t="shared" ref="S385" si="1045">-$D375-S384</f>
        <v>55541497.307842329</v>
      </c>
      <c r="T385" s="93">
        <f t="shared" ref="T385" si="1046">-$D375-T384</f>
        <v>49987347.577058092</v>
      </c>
      <c r="U385" s="93">
        <f t="shared" ref="U385" si="1047">-$D375-U384</f>
        <v>44433197.846273854</v>
      </c>
      <c r="V385" s="93">
        <f t="shared" ref="V385" si="1048">-$D375-V384</f>
        <v>38879048.115489617</v>
      </c>
      <c r="W385" s="93">
        <f t="shared" ref="W385" si="1049">-$D375-W384</f>
        <v>33324898.38470538</v>
      </c>
      <c r="X385" s="161">
        <f t="shared" ref="X385" si="1050">-$D375-X384</f>
        <v>27770748.653921142</v>
      </c>
      <c r="Y385" s="261"/>
    </row>
    <row r="386" spans="1:25" hidden="1" outlineLevel="1">
      <c r="A386" s="95"/>
      <c r="B386" s="15"/>
      <c r="C386" s="32" t="s">
        <v>64</v>
      </c>
      <c r="D386" s="19">
        <f>-D375</f>
        <v>138853743.26960582</v>
      </c>
      <c r="E386" s="19">
        <f>D386/(($D386/$Y386)^(1/21))</f>
        <v>131116879.34734885</v>
      </c>
      <c r="F386" s="19">
        <f t="shared" ref="F386:J386" si="1051">E386/(($D386/$Y386)^(1/21))</f>
        <v>123811109.76898217</v>
      </c>
      <c r="G386" s="19">
        <f t="shared" si="1051"/>
        <v>116912414.1645986</v>
      </c>
      <c r="H386" s="19">
        <f t="shared" si="1051"/>
        <v>110398110.56777188</v>
      </c>
      <c r="I386" s="19">
        <f t="shared" si="1051"/>
        <v>104246780.84035721</v>
      </c>
      <c r="J386" s="3">
        <f t="shared" si="1051"/>
        <v>98438200.252586082</v>
      </c>
      <c r="K386" s="3">
        <f>J386/(($D386/$Y386)^(1/21))</f>
        <v>92953270.986924365</v>
      </c>
      <c r="L386" s="19">
        <f t="shared" ref="L386:V386" si="1052">K386/(($D386/$Y386)^(1/21))</f>
        <v>87773959.347063586</v>
      </c>
      <c r="M386" s="93">
        <f t="shared" si="1052"/>
        <v>82883236.465597019</v>
      </c>
      <c r="N386" s="93">
        <f t="shared" si="1052"/>
        <v>78265022.315435633</v>
      </c>
      <c r="O386" s="93">
        <f t="shared" si="1052"/>
        <v>73904132.840881035</v>
      </c>
      <c r="P386" s="93">
        <f t="shared" si="1052"/>
        <v>69786230.034529686</v>
      </c>
      <c r="Q386" s="93">
        <f t="shared" si="1052"/>
        <v>65897774.795868039</v>
      </c>
      <c r="R386" s="93">
        <f t="shared" si="1052"/>
        <v>62225982.416564092</v>
      </c>
      <c r="S386" s="93">
        <f t="shared" si="1052"/>
        <v>58758780.546097167</v>
      </c>
      <c r="T386" s="93">
        <f t="shared" si="1052"/>
        <v>55484769.499522634</v>
      </c>
      <c r="U386" s="93">
        <f t="shared" si="1052"/>
        <v>52393184.776868872</v>
      </c>
      <c r="V386" s="93">
        <f t="shared" si="1052"/>
        <v>49473861.670935504</v>
      </c>
      <c r="W386" s="93">
        <f>V386/(($D386/$Y386)^(1/21))</f>
        <v>46717201.847128078</v>
      </c>
      <c r="X386" s="161">
        <f t="shared" ref="X386" si="1053">W386/(($D386/$Y386)^(1/21))</f>
        <v>44114141.78544835</v>
      </c>
      <c r="Y386" s="261">
        <f>Y375</f>
        <v>41656122.980881743</v>
      </c>
    </row>
    <row r="387" spans="1:25" hidden="1" outlineLevel="1">
      <c r="A387" s="95"/>
      <c r="B387" s="15"/>
      <c r="C387" s="33" t="s">
        <v>65</v>
      </c>
      <c r="D387" s="19"/>
      <c r="E387" s="19">
        <f>-$D375*Assumptions!J$20*INDEX('DATA (Nominal)'!$B$350:$BX$350,1,MATCH($B$1,'DATA (Nominal)'!$B$1:$BX$1,0))</f>
        <v>23605136.35583299</v>
      </c>
      <c r="F387" s="19">
        <f>-$D375*Assumptions!K$20*INDEX('DATA (Nominal)'!$B$350:$BX$350,1,MATCH($B$1,'DATA (Nominal)'!$B$1:$BX$1,0))</f>
        <v>37768218.16933278</v>
      </c>
      <c r="G387" s="19">
        <f>-$D375*Assumptions!L$20*INDEX('DATA (Nominal)'!$B$350:$BX$350,1,MATCH($B$1,'DATA (Nominal)'!$B$1:$BX$1,0))</f>
        <v>22660930.901599668</v>
      </c>
      <c r="H387" s="19">
        <f>-$D375*Assumptions!M$20*INDEX('DATA (Nominal)'!$B$350:$BX$350,1,MATCH($B$1,'DATA (Nominal)'!$B$1:$BX$1,0))</f>
        <v>13596558.540959802</v>
      </c>
      <c r="I387" s="19">
        <f>-$D375*Assumptions!N$20*INDEX('DATA (Nominal)'!$B$350:$BX$350,1,MATCH($B$1,'DATA (Nominal)'!$B$1:$BX$1,0))</f>
        <v>13596558.540959802</v>
      </c>
      <c r="J387" s="19">
        <f>-$D375*Assumptions!O$20*INDEX('DATA (Nominal)'!$B$350:$BX$350,1,MATCH($B$1,'DATA (Nominal)'!$B$1:$BX$1,0))</f>
        <v>6798279.2704799008</v>
      </c>
      <c r="K387" s="19">
        <f>-$D375*Assumptions!P$20*INDEX('DATA (Nominal)'!$B$350:$BX$350,1,MATCH($B$1,'DATA (Nominal)'!$B$1:$BX$1,0))</f>
        <v>0</v>
      </c>
      <c r="L387" s="19">
        <f>-$D375*Assumptions!Q$20*INDEX('DATA (Nominal)'!$B$350:$BX$350,1,MATCH($B$1,'DATA (Nominal)'!$B$1:$BX$1,0))</f>
        <v>0</v>
      </c>
      <c r="M387" s="93">
        <f>-$D375*Assumptions!R$20*INDEX('DATA (Nominal)'!$B$350:$BX$350,1,MATCH($B$1,'DATA (Nominal)'!$B$1:$BX$1,0))</f>
        <v>0</v>
      </c>
      <c r="N387" s="93">
        <f>-$D375*Assumptions!S$20*INDEX('DATA (Nominal)'!$B$350:$BX$350,1,MATCH($B$1,'DATA (Nominal)'!$B$1:$BX$1,0))</f>
        <v>0</v>
      </c>
      <c r="O387" s="93">
        <f>-$D375*Assumptions!T$20*INDEX('DATA (Nominal)'!$B$350:$BX$350,1,MATCH($B$1,'DATA (Nominal)'!$B$1:$BX$1,0))</f>
        <v>0</v>
      </c>
      <c r="P387" s="93">
        <f>-$D375*Assumptions!U$20*INDEX('DATA (Nominal)'!$B$350:$BX$350,1,MATCH($B$1,'DATA (Nominal)'!$B$1:$BX$1,0))</f>
        <v>0</v>
      </c>
      <c r="Q387" s="93">
        <f>-$D375*Assumptions!V$20*INDEX('DATA (Nominal)'!$B$350:$BX$350,1,MATCH($B$1,'DATA (Nominal)'!$B$1:$BX$1,0))</f>
        <v>0</v>
      </c>
      <c r="R387" s="93">
        <f>-$D375*Assumptions!W$20*INDEX('DATA (Nominal)'!$B$350:$BX$350,1,MATCH($B$1,'DATA (Nominal)'!$B$1:$BX$1,0))</f>
        <v>0</v>
      </c>
      <c r="S387" s="93">
        <f>-$D375*Assumptions!X$20*INDEX('DATA (Nominal)'!$B$350:$BX$350,1,MATCH($B$1,'DATA (Nominal)'!$B$1:$BX$1,0))</f>
        <v>0</v>
      </c>
      <c r="T387" s="93">
        <f>-$D375*Assumptions!Y$20*INDEX('DATA (Nominal)'!$B$350:$BX$350,1,MATCH($B$1,'DATA (Nominal)'!$B$1:$BX$1,0))</f>
        <v>0</v>
      </c>
      <c r="U387" s="93">
        <f>-$D375*Assumptions!Z$20*INDEX('DATA (Nominal)'!$B$350:$BX$350,1,MATCH($B$1,'DATA (Nominal)'!$B$1:$BX$1,0))</f>
        <v>0</v>
      </c>
      <c r="V387" s="93">
        <f>-$D375*Assumptions!AA$20*INDEX('DATA (Nominal)'!$B$350:$BX$350,1,MATCH($B$1,'DATA (Nominal)'!$B$1:$BX$1,0))</f>
        <v>0</v>
      </c>
      <c r="W387" s="93">
        <f>-$D375*Assumptions!AB$20*INDEX('DATA (Nominal)'!$B$350:$BX$350,1,MATCH($B$1,'DATA (Nominal)'!$B$1:$BX$1,0))</f>
        <v>0</v>
      </c>
      <c r="X387" s="455">
        <f>-$D375*Assumptions!AC$20*INDEX('DATA (Nominal)'!$B$350:$BX$350,1,MATCH($B$1,'DATA (Nominal)'!$B$1:$BX$1,0))</f>
        <v>0</v>
      </c>
      <c r="Y387" s="261"/>
    </row>
    <row r="388" spans="1:25" ht="15.75" hidden="1" outlineLevel="1" thickBot="1">
      <c r="A388" s="95"/>
      <c r="B388" s="15"/>
      <c r="C388" s="34" t="s">
        <v>66</v>
      </c>
      <c r="D388" s="7"/>
      <c r="E388" s="7">
        <f t="shared" ref="E388:X388" si="1054">E387*Federal_Tax_Rate</f>
        <v>4957078.6347249281</v>
      </c>
      <c r="F388" s="7">
        <f t="shared" si="1054"/>
        <v>7931325.8155598836</v>
      </c>
      <c r="G388" s="7">
        <f t="shared" si="1054"/>
        <v>4758795.48933593</v>
      </c>
      <c r="H388" s="7">
        <f t="shared" si="1054"/>
        <v>2855277.2936015581</v>
      </c>
      <c r="I388" s="7">
        <f t="shared" si="1054"/>
        <v>2855277.2936015581</v>
      </c>
      <c r="J388" s="7">
        <f t="shared" si="1054"/>
        <v>1427638.646800779</v>
      </c>
      <c r="K388" s="7">
        <f t="shared" si="1054"/>
        <v>0</v>
      </c>
      <c r="L388" s="7">
        <f t="shared" si="1054"/>
        <v>0</v>
      </c>
      <c r="M388" s="456">
        <f t="shared" si="1054"/>
        <v>0</v>
      </c>
      <c r="N388" s="456">
        <f t="shared" si="1054"/>
        <v>0</v>
      </c>
      <c r="O388" s="456">
        <f t="shared" si="1054"/>
        <v>0</v>
      </c>
      <c r="P388" s="456">
        <f t="shared" si="1054"/>
        <v>0</v>
      </c>
      <c r="Q388" s="456">
        <f t="shared" si="1054"/>
        <v>0</v>
      </c>
      <c r="R388" s="456">
        <f t="shared" si="1054"/>
        <v>0</v>
      </c>
      <c r="S388" s="456">
        <f t="shared" si="1054"/>
        <v>0</v>
      </c>
      <c r="T388" s="456">
        <f t="shared" si="1054"/>
        <v>0</v>
      </c>
      <c r="U388" s="456">
        <f t="shared" si="1054"/>
        <v>0</v>
      </c>
      <c r="V388" s="456">
        <f t="shared" si="1054"/>
        <v>0</v>
      </c>
      <c r="W388" s="456">
        <f t="shared" si="1054"/>
        <v>0</v>
      </c>
      <c r="X388" s="457">
        <f t="shared" si="1054"/>
        <v>0</v>
      </c>
      <c r="Y388" s="261"/>
    </row>
    <row r="389" spans="1:25" hidden="1" outlineLevel="1">
      <c r="A389" s="95"/>
      <c r="B389" s="15"/>
      <c r="C389" s="35" t="s">
        <v>67</v>
      </c>
      <c r="D389" s="8">
        <f>NPV(Tax_Equity_Rate,E388:X388)</f>
        <v>20109028.741827291</v>
      </c>
      <c r="E389" s="9">
        <f>D389/D393</f>
        <v>0.14482165383746645</v>
      </c>
      <c r="F389" s="3"/>
      <c r="G389" s="3"/>
      <c r="H389" s="3"/>
      <c r="I389" s="3"/>
      <c r="J389" s="3"/>
      <c r="K389" s="3"/>
      <c r="L389" s="3"/>
      <c r="M389" s="261"/>
      <c r="N389" s="261"/>
      <c r="O389" s="261"/>
      <c r="P389" s="261"/>
      <c r="Q389" s="261"/>
      <c r="R389" s="261"/>
      <c r="S389" s="261"/>
      <c r="T389" s="261"/>
      <c r="U389" s="261"/>
      <c r="V389" s="261"/>
      <c r="W389" s="261"/>
      <c r="X389" s="261"/>
      <c r="Y389" s="261"/>
    </row>
    <row r="390" spans="1:25" hidden="1" outlineLevel="1">
      <c r="A390" s="95"/>
      <c r="B390" s="15"/>
      <c r="C390" s="32" t="s">
        <v>129</v>
      </c>
      <c r="D390" s="10">
        <f>NPV(Tax_Equity_Rate,E372:X372)</f>
        <v>38570484.241557166</v>
      </c>
      <c r="E390" s="11">
        <f>D390/D393</f>
        <v>0.27777777777777773</v>
      </c>
    </row>
    <row r="391" spans="1:25" hidden="1" outlineLevel="1">
      <c r="A391" s="95"/>
      <c r="B391" s="22">
        <f>Assumptions!F20</f>
        <v>0.73499999999999999</v>
      </c>
      <c r="C391" s="32" t="s">
        <v>68</v>
      </c>
      <c r="D391" s="10">
        <f>(D393-D389-D390)*$B391</f>
        <v>58928059.260372698</v>
      </c>
      <c r="E391" s="11">
        <f>D391/D393</f>
        <v>0.42438941776279554</v>
      </c>
    </row>
    <row r="392" spans="1:25" hidden="1" outlineLevel="1">
      <c r="A392" s="95"/>
      <c r="B392" s="22">
        <f>1-B391</f>
        <v>0.26500000000000001</v>
      </c>
      <c r="C392" s="32" t="s">
        <v>69</v>
      </c>
      <c r="D392" s="10">
        <f>(D393-D389-D390)*$B392</f>
        <v>21246171.025848661</v>
      </c>
      <c r="E392" s="11">
        <f>D392/D393</f>
        <v>0.1530111506219603</v>
      </c>
    </row>
    <row r="393" spans="1:25" hidden="1" outlineLevel="1">
      <c r="A393" s="95"/>
      <c r="C393" s="32" t="s">
        <v>70</v>
      </c>
      <c r="D393" s="10">
        <f>-D375</f>
        <v>138853743.26960582</v>
      </c>
      <c r="E393" s="12"/>
    </row>
    <row r="394" spans="1:25" ht="15.75" hidden="1" outlineLevel="1" thickBot="1">
      <c r="A394" s="95"/>
      <c r="C394" s="34" t="s">
        <v>71</v>
      </c>
      <c r="D394" s="13">
        <f>SUM(D389:D392)-D393</f>
        <v>0</v>
      </c>
      <c r="E394" s="14"/>
    </row>
    <row r="395" spans="1:25" hidden="1" outlineLevel="1">
      <c r="A395" s="95"/>
    </row>
    <row r="396" spans="1:25" ht="15.75" collapsed="1" thickBot="1">
      <c r="A396" s="95"/>
    </row>
    <row r="397" spans="1:25" ht="18.75" thickBot="1">
      <c r="A397" s="86"/>
      <c r="B397" s="82"/>
      <c r="C397" s="484" t="s">
        <v>135</v>
      </c>
      <c r="D397" s="485"/>
      <c r="E397" s="485"/>
      <c r="F397" s="485"/>
      <c r="G397" s="485"/>
      <c r="H397" s="486"/>
      <c r="I397" s="95"/>
      <c r="J397" s="95"/>
      <c r="K397" s="95"/>
      <c r="L397" s="95"/>
      <c r="Y397" s="261"/>
    </row>
    <row r="398" spans="1:25" hidden="1" outlineLevel="1">
      <c r="A398" s="95"/>
      <c r="C398" s="124" t="s">
        <v>44</v>
      </c>
      <c r="D398" s="153"/>
      <c r="E398" s="153">
        <f>'Resource Options'!$E$21*INDEX('DATA (Nominal)'!$B$21:$BX$21,1,MATCH($B$1,'DATA (Nominal)'!$B$1:$BX$1,0))*8760</f>
        <v>240695.09517976042</v>
      </c>
      <c r="F398" s="153">
        <f>'Resource Options'!$E$21*INDEX('DATA (Nominal)'!$B$21:$BX$21,1,MATCH($B$1,'DATA (Nominal)'!$B$1:$BX$1,0))*8760</f>
        <v>240695.09517976042</v>
      </c>
      <c r="G398" s="153">
        <f>'Resource Options'!$E$21*INDEX('DATA (Nominal)'!$B$21:$BX$21,1,MATCH($B$1,'DATA (Nominal)'!$B$1:$BX$1,0))*8760</f>
        <v>240695.09517976042</v>
      </c>
      <c r="H398" s="153">
        <f>'Resource Options'!$E$21*INDEX('DATA (Nominal)'!$B$21:$BX$21,1,MATCH($B$1,'DATA (Nominal)'!$B$1:$BX$1,0))*8760</f>
        <v>240695.09517976042</v>
      </c>
      <c r="I398" s="153">
        <f>'Resource Options'!$E$21*INDEX('DATA (Nominal)'!$B$21:$BX$21,1,MATCH($B$1,'DATA (Nominal)'!$B$1:$BX$1,0))*8760</f>
        <v>240695.09517976042</v>
      </c>
      <c r="J398" s="153">
        <f>'Resource Options'!$E$21*INDEX('DATA (Nominal)'!$B$21:$BX$21,1,MATCH($B$1,'DATA (Nominal)'!$B$1:$BX$1,0))*8760</f>
        <v>240695.09517976042</v>
      </c>
      <c r="K398" s="153">
        <f>'Resource Options'!$E$21*INDEX('DATA (Nominal)'!$B$21:$BX$21,1,MATCH($B$1,'DATA (Nominal)'!$B$1:$BX$1,0))*8760</f>
        <v>240695.09517976042</v>
      </c>
      <c r="L398" s="153">
        <f>'Resource Options'!$E$21*INDEX('DATA (Nominal)'!$B$21:$BX$21,1,MATCH($B$1,'DATA (Nominal)'!$B$1:$BX$1,0))*8760</f>
        <v>240695.09517976042</v>
      </c>
      <c r="M398" s="153">
        <f>'Resource Options'!$E$21*INDEX('DATA (Nominal)'!$B$21:$BX$21,1,MATCH($B$1,'DATA (Nominal)'!$B$1:$BX$1,0))*8760</f>
        <v>240695.09517976042</v>
      </c>
      <c r="N398" s="153">
        <f>'Resource Options'!$E$21*INDEX('DATA (Nominal)'!$B$21:$BX$21,1,MATCH($B$1,'DATA (Nominal)'!$B$1:$BX$1,0))*8760</f>
        <v>240695.09517976042</v>
      </c>
      <c r="O398" s="153">
        <f>'Resource Options'!$E$21*INDEX('DATA (Nominal)'!$B$21:$BX$21,1,MATCH($B$1,'DATA (Nominal)'!$B$1:$BX$1,0))*8760</f>
        <v>240695.09517976042</v>
      </c>
      <c r="P398" s="153">
        <f>'Resource Options'!$E$21*INDEX('DATA (Nominal)'!$B$21:$BX$21,1,MATCH($B$1,'DATA (Nominal)'!$B$1:$BX$1,0))*8760</f>
        <v>240695.09517976042</v>
      </c>
      <c r="Q398" s="153">
        <f>'Resource Options'!$E$21*INDEX('DATA (Nominal)'!$B$21:$BX$21,1,MATCH($B$1,'DATA (Nominal)'!$B$1:$BX$1,0))*8760</f>
        <v>240695.09517976042</v>
      </c>
      <c r="R398" s="153">
        <f>'Resource Options'!$E$21*INDEX('DATA (Nominal)'!$B$21:$BX$21,1,MATCH($B$1,'DATA (Nominal)'!$B$1:$BX$1,0))*8760</f>
        <v>240695.09517976042</v>
      </c>
      <c r="S398" s="153">
        <f>'Resource Options'!$E$21*INDEX('DATA (Nominal)'!$B$21:$BX$21,1,MATCH($B$1,'DATA (Nominal)'!$B$1:$BX$1,0))*8760</f>
        <v>240695.09517976042</v>
      </c>
      <c r="T398" s="153">
        <f>'Resource Options'!$E$21*INDEX('DATA (Nominal)'!$B$21:$BX$21,1,MATCH($B$1,'DATA (Nominal)'!$B$1:$BX$1,0))*8760</f>
        <v>240695.09517976042</v>
      </c>
      <c r="U398" s="153">
        <f>'Resource Options'!$E$21*INDEX('DATA (Nominal)'!$B$21:$BX$21,1,MATCH($B$1,'DATA (Nominal)'!$B$1:$BX$1,0))*8760</f>
        <v>240695.09517976042</v>
      </c>
      <c r="V398" s="153">
        <f>'Resource Options'!$E$21*INDEX('DATA (Nominal)'!$B$21:$BX$21,1,MATCH($B$1,'DATA (Nominal)'!$B$1:$BX$1,0))*8760</f>
        <v>240695.09517976042</v>
      </c>
      <c r="W398" s="153">
        <f>'Resource Options'!$E$21*INDEX('DATA (Nominal)'!$B$21:$BX$21,1,MATCH($B$1,'DATA (Nominal)'!$B$1:$BX$1,0))*8760</f>
        <v>240695.09517976042</v>
      </c>
      <c r="X398" s="159">
        <f>'Resource Options'!$E$21*INDEX('DATA (Nominal)'!$B$21:$BX$21,1,MATCH($B$1,'DATA (Nominal)'!$B$1:$BX$1,0))*8760</f>
        <v>240695.09517976042</v>
      </c>
      <c r="Y398" s="156"/>
    </row>
    <row r="399" spans="1:25" hidden="1" outlineLevel="1">
      <c r="A399" s="95"/>
      <c r="C399" s="125" t="s">
        <v>45</v>
      </c>
      <c r="D399" s="151"/>
      <c r="E399" s="154">
        <f>PPA_SOLAR_PV_Single_Axis_Tracking</f>
        <v>41.835669438877432</v>
      </c>
      <c r="F399" s="154">
        <f>E399</f>
        <v>41.835669438877432</v>
      </c>
      <c r="G399" s="154">
        <f t="shared" ref="G399:G400" si="1055">F399</f>
        <v>41.835669438877432</v>
      </c>
      <c r="H399" s="154">
        <f t="shared" ref="H399:H400" si="1056">G399</f>
        <v>41.835669438877432</v>
      </c>
      <c r="I399" s="154">
        <f t="shared" ref="I399:I400" si="1057">H399</f>
        <v>41.835669438877432</v>
      </c>
      <c r="J399" s="154">
        <f t="shared" ref="J399:J400" si="1058">I399</f>
        <v>41.835669438877432</v>
      </c>
      <c r="K399" s="154">
        <f t="shared" ref="K399:K400" si="1059">J399</f>
        <v>41.835669438877432</v>
      </c>
      <c r="L399" s="154">
        <f t="shared" ref="L399:L400" si="1060">K399</f>
        <v>41.835669438877432</v>
      </c>
      <c r="M399" s="154">
        <f t="shared" ref="M399:M400" si="1061">L399</f>
        <v>41.835669438877432</v>
      </c>
      <c r="N399" s="154">
        <f t="shared" ref="N399:N400" si="1062">M399</f>
        <v>41.835669438877432</v>
      </c>
      <c r="O399" s="154">
        <f t="shared" ref="O399:O400" si="1063">N399</f>
        <v>41.835669438877432</v>
      </c>
      <c r="P399" s="154">
        <f t="shared" ref="P399:P400" si="1064">O399</f>
        <v>41.835669438877432</v>
      </c>
      <c r="Q399" s="154">
        <f t="shared" ref="Q399:Q400" si="1065">P399</f>
        <v>41.835669438877432</v>
      </c>
      <c r="R399" s="154">
        <f t="shared" ref="R399:R400" si="1066">Q399</f>
        <v>41.835669438877432</v>
      </c>
      <c r="S399" s="154">
        <f t="shared" ref="S399:S400" si="1067">R399</f>
        <v>41.835669438877432</v>
      </c>
      <c r="T399" s="154">
        <f t="shared" ref="T399:T400" si="1068">S399</f>
        <v>41.835669438877432</v>
      </c>
      <c r="U399" s="154">
        <f t="shared" ref="U399:U400" si="1069">T399</f>
        <v>41.835669438877432</v>
      </c>
      <c r="V399" s="154">
        <f t="shared" ref="V399:V400" si="1070">U399</f>
        <v>41.835669438877432</v>
      </c>
      <c r="W399" s="154">
        <f t="shared" ref="W399:W400" si="1071">V399</f>
        <v>41.835669438877432</v>
      </c>
      <c r="X399" s="152">
        <f t="shared" ref="X399:X400" si="1072">W399</f>
        <v>41.835669438877432</v>
      </c>
      <c r="Y399" s="156"/>
    </row>
    <row r="400" spans="1:25" s="95" customFormat="1" hidden="1" outlineLevel="1">
      <c r="C400" s="125" t="s">
        <v>111</v>
      </c>
      <c r="D400" s="151"/>
      <c r="E400" s="154">
        <f>INDEX('PPA Summary'!$75:$106,MATCH($C397,'PPA Summary'!$D$75:$D$106,0),MATCH($B$1,'PPA Summary'!$74:$74,0))</f>
        <v>11.759880548441799</v>
      </c>
      <c r="F400" s="154">
        <f>E400</f>
        <v>11.759880548441799</v>
      </c>
      <c r="G400" s="154">
        <f t="shared" si="1055"/>
        <v>11.759880548441799</v>
      </c>
      <c r="H400" s="154">
        <f t="shared" si="1056"/>
        <v>11.759880548441799</v>
      </c>
      <c r="I400" s="154">
        <f t="shared" si="1057"/>
        <v>11.759880548441799</v>
      </c>
      <c r="J400" s="154">
        <f t="shared" si="1058"/>
        <v>11.759880548441799</v>
      </c>
      <c r="K400" s="154">
        <f t="shared" si="1059"/>
        <v>11.759880548441799</v>
      </c>
      <c r="L400" s="154">
        <f t="shared" si="1060"/>
        <v>11.759880548441799</v>
      </c>
      <c r="M400" s="154">
        <f t="shared" si="1061"/>
        <v>11.759880548441799</v>
      </c>
      <c r="N400" s="154">
        <f t="shared" si="1062"/>
        <v>11.759880548441799</v>
      </c>
      <c r="O400" s="154">
        <f t="shared" si="1063"/>
        <v>11.759880548441799</v>
      </c>
      <c r="P400" s="154">
        <f t="shared" si="1064"/>
        <v>11.759880548441799</v>
      </c>
      <c r="Q400" s="154">
        <f t="shared" si="1065"/>
        <v>11.759880548441799</v>
      </c>
      <c r="R400" s="154">
        <f t="shared" si="1066"/>
        <v>11.759880548441799</v>
      </c>
      <c r="S400" s="154">
        <f t="shared" si="1067"/>
        <v>11.759880548441799</v>
      </c>
      <c r="T400" s="154">
        <f t="shared" si="1068"/>
        <v>11.759880548441799</v>
      </c>
      <c r="U400" s="154">
        <f t="shared" si="1069"/>
        <v>11.759880548441799</v>
      </c>
      <c r="V400" s="154">
        <f t="shared" si="1070"/>
        <v>11.759880548441799</v>
      </c>
      <c r="W400" s="154">
        <f t="shared" si="1071"/>
        <v>11.759880548441799</v>
      </c>
      <c r="X400" s="152">
        <f t="shared" si="1072"/>
        <v>11.759880548441799</v>
      </c>
      <c r="Y400" s="156"/>
    </row>
    <row r="401" spans="1:25" hidden="1" outlineLevel="1">
      <c r="A401" s="95"/>
      <c r="C401" s="126" t="s">
        <v>46</v>
      </c>
      <c r="D401" s="151"/>
      <c r="E401" s="151">
        <f>E399*E398+E400*12*'Resource Options'!$E$21*1000</f>
        <v>24181497.095629759</v>
      </c>
      <c r="F401" s="151">
        <f>F399*F398+F400*12*'Resource Options'!$E$21*1000</f>
        <v>24181497.095629759</v>
      </c>
      <c r="G401" s="151">
        <f>G399*G398+G400*12*'Resource Options'!$E$21*1000</f>
        <v>24181497.095629759</v>
      </c>
      <c r="H401" s="151">
        <f>H399*H398+H400*12*'Resource Options'!$E$21*1000</f>
        <v>24181497.095629759</v>
      </c>
      <c r="I401" s="151">
        <f>I399*I398+I400*12*'Resource Options'!$E$21*1000</f>
        <v>24181497.095629759</v>
      </c>
      <c r="J401" s="151">
        <f>J399*J398+J400*12*'Resource Options'!$E$21*1000</f>
        <v>24181497.095629759</v>
      </c>
      <c r="K401" s="151">
        <f>K399*K398+K400*12*'Resource Options'!$E$21*1000</f>
        <v>24181497.095629759</v>
      </c>
      <c r="L401" s="151">
        <f>L399*L398+L400*12*'Resource Options'!$E$21*1000</f>
        <v>24181497.095629759</v>
      </c>
      <c r="M401" s="151">
        <f>M399*M398+M400*12*'Resource Options'!$E$21*1000</f>
        <v>24181497.095629759</v>
      </c>
      <c r="N401" s="151">
        <f>N399*N398+N400*12*'Resource Options'!$E$21*1000</f>
        <v>24181497.095629759</v>
      </c>
      <c r="O401" s="151">
        <f>O399*O398+O400*12*'Resource Options'!$E$21*1000</f>
        <v>24181497.095629759</v>
      </c>
      <c r="P401" s="151">
        <f>P399*P398+P400*12*'Resource Options'!$E$21*1000</f>
        <v>24181497.095629759</v>
      </c>
      <c r="Q401" s="151">
        <f>Q399*Q398+Q400*12*'Resource Options'!$E$21*1000</f>
        <v>24181497.095629759</v>
      </c>
      <c r="R401" s="151">
        <f>R399*R398+R400*12*'Resource Options'!$E$21*1000</f>
        <v>24181497.095629759</v>
      </c>
      <c r="S401" s="151">
        <f>S399*S398+S400*12*'Resource Options'!$E$21*1000</f>
        <v>24181497.095629759</v>
      </c>
      <c r="T401" s="151">
        <f>T399*T398+T400*12*'Resource Options'!$E$21*1000</f>
        <v>24181497.095629759</v>
      </c>
      <c r="U401" s="151">
        <f>U399*U398+U400*12*'Resource Options'!$E$21*1000</f>
        <v>24181497.095629759</v>
      </c>
      <c r="V401" s="151">
        <f>V399*V398+V400*12*'Resource Options'!$E$21*1000</f>
        <v>24181497.095629759</v>
      </c>
      <c r="W401" s="151">
        <f>W399*W398+W400*12*'Resource Options'!$E$21*1000</f>
        <v>24181497.095629759</v>
      </c>
      <c r="X401" s="152">
        <f>X399*X398+X400*12*'Resource Options'!$E$21*1000</f>
        <v>24181497.095629759</v>
      </c>
      <c r="Y401" s="156"/>
    </row>
    <row r="402" spans="1:25" hidden="1" outlineLevel="1">
      <c r="A402" s="95"/>
      <c r="C402" s="126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2"/>
      <c r="Y402" s="156"/>
    </row>
    <row r="403" spans="1:25" hidden="1" outlineLevel="1">
      <c r="A403" s="95"/>
      <c r="B403" s="92"/>
      <c r="C403" s="125" t="s">
        <v>158</v>
      </c>
      <c r="D403" s="151"/>
      <c r="E403" s="151">
        <f>'Resource Options'!$E$21*INDEX('DATA (Nominal)'!$B$191:$BX$191,1,MATCH(E$1,'DATA (Nominal)'!$B$1:$BX$1,0))*1000*0.8</f>
        <v>1723726.7416158107</v>
      </c>
      <c r="F403" s="151">
        <f>'Resource Options'!$E$21*INDEX('DATA (Nominal)'!$B$191:$BX$191,1,MATCH(F$1,'DATA (Nominal)'!$B$1:$BX$1,0))*1000*0.8</f>
        <v>1704800.4437326235</v>
      </c>
      <c r="G403" s="151">
        <f>'Resource Options'!$E$21*INDEX('DATA (Nominal)'!$B$191:$BX$191,1,MATCH(G$1,'DATA (Nominal)'!$B$1:$BX$1,0))*1000*0.8</f>
        <v>1684332.5258290214</v>
      </c>
      <c r="H403" s="151">
        <f>'Resource Options'!$E$21*INDEX('DATA (Nominal)'!$B$191:$BX$191,1,MATCH(H$1,'DATA (Nominal)'!$B$1:$BX$1,0))*1000*0.8</f>
        <v>1661718.6294805943</v>
      </c>
      <c r="I403" s="151">
        <f>'Resource Options'!$E$21*INDEX('DATA (Nominal)'!$B$191:$BX$191,1,MATCH(I$1,'DATA (Nominal)'!$B$1:$BX$1,0))*1000*0.8</f>
        <v>1637452.1373468188</v>
      </c>
      <c r="J403" s="151">
        <f>'Resource Options'!$E$21*INDEX('DATA (Nominal)'!$B$191:$BX$191,1,MATCH(J$1,'DATA (Nominal)'!$B$1:$BX$1,0))*1000*0.8</f>
        <v>1611468.5429029772</v>
      </c>
      <c r="K403" s="151">
        <f>'Resource Options'!$E$21*INDEX('DATA (Nominal)'!$B$191:$BX$191,1,MATCH(K$1,'DATA (Nominal)'!$B$1:$BX$1,0))*1000*0.8</f>
        <v>1636025.2070605527</v>
      </c>
      <c r="L403" s="151">
        <f>'Resource Options'!$E$21*INDEX('DATA (Nominal)'!$B$191:$BX$191,1,MATCH(L$1,'DATA (Nominal)'!$B$1:$BX$1,0))*1000*0.8</f>
        <v>1660911.0675082516</v>
      </c>
      <c r="M403" s="151">
        <f>'Resource Options'!$E$21*INDEX('DATA (Nominal)'!$B$191:$BX$191,1,MATCH(M$1,'DATA (Nominal)'!$B$1:$BX$1,0))*1000*0.8</f>
        <v>1686128.8737726239</v>
      </c>
      <c r="N403" s="151">
        <f>'Resource Options'!$E$21*INDEX('DATA (Nominal)'!$B$191:$BX$191,1,MATCH(N$1,'DATA (Nominal)'!$B$1:$BX$1,0))*1000*0.8</f>
        <v>1711681.3404396807</v>
      </c>
      <c r="O403" s="151">
        <f>'Resource Options'!$E$21*INDEX('DATA (Nominal)'!$B$191:$BX$191,1,MATCH(O$1,'DATA (Nominal)'!$B$1:$BX$1,0))*1000*0.8</f>
        <v>1737571.1443041258</v>
      </c>
      <c r="P403" s="151">
        <f>'Resource Options'!$E$21*INDEX('DATA (Nominal)'!$B$191:$BX$191,1,MATCH(P$1,'DATA (Nominal)'!$B$1:$BX$1,0))*1000*0.8</f>
        <v>1763800.9214110894</v>
      </c>
      <c r="Q403" s="151">
        <f>'Resource Options'!$E$21*INDEX('DATA (Nominal)'!$B$191:$BX$191,1,MATCH(Q$1,'DATA (Nominal)'!$B$1:$BX$1,0))*1000*0.8</f>
        <v>1790373.2639870059</v>
      </c>
      <c r="R403" s="151">
        <f>'Resource Options'!$E$21*INDEX('DATA (Nominal)'!$B$191:$BX$191,1,MATCH(R$1,'DATA (Nominal)'!$B$1:$BX$1,0))*1000*0.8</f>
        <v>1817290.7172561865</v>
      </c>
      <c r="S403" s="151">
        <f>'Resource Options'!$E$21*INDEX('DATA (Nominal)'!$B$191:$BX$191,1,MATCH(S$1,'DATA (Nominal)'!$B$1:$BX$1,0))*1000*0.8</f>
        <v>1844555.7761395318</v>
      </c>
      <c r="T403" s="151">
        <f>'Resource Options'!$E$21*INDEX('DATA (Nominal)'!$B$191:$BX$191,1,MATCH(T$1,'DATA (Nominal)'!$B$1:$BX$1,0))*1000*0.8</f>
        <v>1872170.8818317321</v>
      </c>
      <c r="U403" s="151">
        <f>'Resource Options'!$E$21*INDEX('DATA (Nominal)'!$B$191:$BX$191,1,MATCH(U$1,'DATA (Nominal)'!$B$1:$BX$1,0))*1000*0.8</f>
        <v>1900138.4182532136</v>
      </c>
      <c r="V403" s="151">
        <f>'Resource Options'!$E$21*INDEX('DATA (Nominal)'!$B$191:$BX$191,1,MATCH(V$1,'DATA (Nominal)'!$B$1:$BX$1,0))*1000*0.8</f>
        <v>1928460.7083729524</v>
      </c>
      <c r="W403" s="151">
        <f>'Resource Options'!$E$21*INDEX('DATA (Nominal)'!$B$191:$BX$191,1,MATCH(W$1,'DATA (Nominal)'!$B$1:$BX$1,0))*1000*0.8</f>
        <v>1957140.0103982044</v>
      </c>
      <c r="X403" s="152">
        <f>'Resource Options'!$E$21*INDEX('DATA (Nominal)'!$B$191:$BX$191,1,MATCH(X$1,'DATA (Nominal)'!$B$1:$BX$1,0))*1000*0.8</f>
        <v>1986178.5138270629</v>
      </c>
      <c r="Y403" s="156"/>
    </row>
    <row r="404" spans="1:25" s="95" customFormat="1" hidden="1" outlineLevel="1">
      <c r="B404" s="92"/>
      <c r="C404" s="125" t="s">
        <v>159</v>
      </c>
      <c r="D404" s="151"/>
      <c r="E404" s="151">
        <f>'Resource Options'!$E$21*INDEX('DATA (Nominal)'!$B$192:$BX$192,1,MATCH(E$1,'DATA (Nominal)'!$B$1:$BX$1,0))*1000*0.8</f>
        <v>2618934.0846368256</v>
      </c>
      <c r="F404" s="151">
        <f>'Resource Options'!$E$21*INDEX('DATA (Nominal)'!$B$192:$BX$192,1,MATCH(F$1,'DATA (Nominal)'!$B$1:$BX$1,0))*1000*0.8</f>
        <v>2563220.7096230499</v>
      </c>
      <c r="G404" s="151">
        <f>'Resource Options'!$E$21*INDEX('DATA (Nominal)'!$B$192:$BX$192,1,MATCH(G$1,'DATA (Nominal)'!$B$1:$BX$1,0))*1000*0.8</f>
        <v>2516685.1415582434</v>
      </c>
      <c r="H404" s="151">
        <f>'Resource Options'!$E$21*INDEX('DATA (Nominal)'!$B$192:$BX$192,1,MATCH(H$1,'DATA (Nominal)'!$B$1:$BX$1,0))*1000*0.8</f>
        <v>2452730.2047134908</v>
      </c>
      <c r="I404" s="151">
        <f>'Resource Options'!$E$21*INDEX('DATA (Nominal)'!$B$192:$BX$192,1,MATCH(I$1,'DATA (Nominal)'!$B$1:$BX$1,0))*1000*0.8</f>
        <v>2411842.5293008611</v>
      </c>
      <c r="J404" s="151">
        <f>'Resource Options'!$E$21*INDEX('DATA (Nominal)'!$B$192:$BX$192,1,MATCH(J$1,'DATA (Nominal)'!$B$1:$BX$1,0))*1000*0.8</f>
        <v>2367968.6747509949</v>
      </c>
      <c r="K404" s="151">
        <f>'Resource Options'!$E$21*INDEX('DATA (Nominal)'!$B$192:$BX$192,1,MATCH(K$1,'DATA (Nominal)'!$B$1:$BX$1,0))*1000*0.8</f>
        <v>2391016.1415578877</v>
      </c>
      <c r="L404" s="151">
        <f>'Resource Options'!$E$21*INDEX('DATA (Nominal)'!$B$192:$BX$192,1,MATCH(L$1,'DATA (Nominal)'!$B$1:$BX$1,0))*1000*0.8</f>
        <v>2412702.1792561747</v>
      </c>
      <c r="M404" s="151">
        <f>'Resource Options'!$E$21*INDEX('DATA (Nominal)'!$B$192:$BX$192,1,MATCH(M$1,'DATA (Nominal)'!$B$1:$BX$1,0))*1000*0.8</f>
        <v>2434185.1508006803</v>
      </c>
      <c r="N404" s="151">
        <f>'Resource Options'!$E$21*INDEX('DATA (Nominal)'!$B$192:$BX$192,1,MATCH(N$1,'DATA (Nominal)'!$B$1:$BX$1,0))*1000*0.8</f>
        <v>2455445.6252383837</v>
      </c>
      <c r="O404" s="151">
        <f>'Resource Options'!$E$21*INDEX('DATA (Nominal)'!$B$192:$BX$192,1,MATCH(O$1,'DATA (Nominal)'!$B$1:$BX$1,0))*1000*0.8</f>
        <v>2476463.4149383502</v>
      </c>
      <c r="P404" s="151">
        <f>'Resource Options'!$E$21*INDEX('DATA (Nominal)'!$B$192:$BX$192,1,MATCH(P$1,'DATA (Nominal)'!$B$1:$BX$1,0))*1000*0.8</f>
        <v>2497217.551702505</v>
      </c>
      <c r="Q404" s="151">
        <f>'Resource Options'!$E$21*INDEX('DATA (Nominal)'!$B$192:$BX$192,1,MATCH(Q$1,'DATA (Nominal)'!$B$1:$BX$1,0))*1000*0.8</f>
        <v>2517686.262191447</v>
      </c>
      <c r="R404" s="151">
        <f>'Resource Options'!$E$21*INDEX('DATA (Nominal)'!$B$192:$BX$192,1,MATCH(R$1,'DATA (Nominal)'!$B$1:$BX$1,0))*1000*0.8</f>
        <v>2537846.9426468881</v>
      </c>
      <c r="S404" s="151">
        <f>'Resource Options'!$E$21*INDEX('DATA (Nominal)'!$B$192:$BX$192,1,MATCH(S$1,'DATA (Nominal)'!$B$1:$BX$1,0))*1000*0.8</f>
        <v>2557676.1328914678</v>
      </c>
      <c r="T404" s="151">
        <f>'Resource Options'!$E$21*INDEX('DATA (Nominal)'!$B$192:$BX$192,1,MATCH(T$1,'DATA (Nominal)'!$B$1:$BX$1,0))*1000*0.8</f>
        <v>2577149.4895865582</v>
      </c>
      <c r="U404" s="151">
        <f>'Resource Options'!$E$21*INDEX('DATA (Nominal)'!$B$192:$BX$192,1,MATCH(U$1,'DATA (Nominal)'!$B$1:$BX$1,0))*1000*0.8</f>
        <v>2596241.7587279193</v>
      </c>
      <c r="V404" s="151">
        <f>'Resource Options'!$E$21*INDEX('DATA (Nominal)'!$B$192:$BX$192,1,MATCH(V$1,'DATA (Nominal)'!$B$1:$BX$1,0))*1000*0.8</f>
        <v>2614926.747358534</v>
      </c>
      <c r="W404" s="151">
        <f>'Resource Options'!$E$21*INDEX('DATA (Nominal)'!$B$192:$BX$192,1,MATCH(W$1,'DATA (Nominal)'!$B$1:$BX$1,0))*1000*0.8</f>
        <v>2633177.2944776812</v>
      </c>
      <c r="X404" s="152">
        <f>'Resource Options'!$E$21*INDEX('DATA (Nominal)'!$B$192:$BX$192,1,MATCH(X$1,'DATA (Nominal)'!$B$1:$BX$1,0))*1000*0.8</f>
        <v>2650965.2411243496</v>
      </c>
      <c r="Y404" s="156"/>
    </row>
    <row r="405" spans="1:25" hidden="1" outlineLevel="1">
      <c r="A405" s="95"/>
      <c r="C405" s="125" t="s">
        <v>160</v>
      </c>
      <c r="D405" s="151"/>
      <c r="E405" s="151">
        <f>E398*INDEX('DATA (Nominal)'!$B$116:$BX$116,1,MATCH(E$1,'DATA (Nominal)'!$B$1:$BX$1,0))</f>
        <v>0</v>
      </c>
      <c r="F405" s="151">
        <f>F398*INDEX('DATA (Nominal)'!$B$116:$BX$116,1,MATCH(F$1,'DATA (Nominal)'!$B$1:$BX$1,0))</f>
        <v>0</v>
      </c>
      <c r="G405" s="151">
        <f>G398*INDEX('DATA (Nominal)'!$B$116:$BX$116,1,MATCH(G$1,'DATA (Nominal)'!$B$1:$BX$1,0))</f>
        <v>0</v>
      </c>
      <c r="H405" s="151">
        <f>H398*INDEX('DATA (Nominal)'!$B$116:$BX$116,1,MATCH(H$1,'DATA (Nominal)'!$B$1:$BX$1,0))</f>
        <v>0</v>
      </c>
      <c r="I405" s="151">
        <f>I398*INDEX('DATA (Nominal)'!$B$116:$BX$116,1,MATCH(I$1,'DATA (Nominal)'!$B$1:$BX$1,0))</f>
        <v>0</v>
      </c>
      <c r="J405" s="151">
        <f>J398*INDEX('DATA (Nominal)'!$B$116:$BX$116,1,MATCH(J$1,'DATA (Nominal)'!$B$1:$BX$1,0))</f>
        <v>0</v>
      </c>
      <c r="K405" s="151">
        <f>K398*INDEX('DATA (Nominal)'!$B$116:$BX$116,1,MATCH(K$1,'DATA (Nominal)'!$B$1:$BX$1,0))</f>
        <v>0</v>
      </c>
      <c r="L405" s="151">
        <f>L398*INDEX('DATA (Nominal)'!$B$116:$BX$116,1,MATCH(L$1,'DATA (Nominal)'!$B$1:$BX$1,0))</f>
        <v>0</v>
      </c>
      <c r="M405" s="151">
        <f>M398*INDEX('DATA (Nominal)'!$B$116:$BX$116,1,MATCH(M$1,'DATA (Nominal)'!$B$1:$BX$1,0))</f>
        <v>0</v>
      </c>
      <c r="N405" s="151">
        <f>N398*INDEX('DATA (Nominal)'!$B$116:$BX$116,1,MATCH(N$1,'DATA (Nominal)'!$B$1:$BX$1,0))</f>
        <v>0</v>
      </c>
      <c r="O405" s="151">
        <f>O398*INDEX('DATA (Nominal)'!$B$116:$BX$116,1,MATCH(O$1,'DATA (Nominal)'!$B$1:$BX$1,0))</f>
        <v>0</v>
      </c>
      <c r="P405" s="151">
        <f>P398*INDEX('DATA (Nominal)'!$B$116:$BX$116,1,MATCH(P$1,'DATA (Nominal)'!$B$1:$BX$1,0))</f>
        <v>0</v>
      </c>
      <c r="Q405" s="151">
        <f>Q398*INDEX('DATA (Nominal)'!$B$116:$BX$116,1,MATCH(Q$1,'DATA (Nominal)'!$B$1:$BX$1,0))</f>
        <v>0</v>
      </c>
      <c r="R405" s="151">
        <f>R398*INDEX('DATA (Nominal)'!$B$116:$BX$116,1,MATCH(R$1,'DATA (Nominal)'!$B$1:$BX$1,0))</f>
        <v>0</v>
      </c>
      <c r="S405" s="151">
        <f>S398*INDEX('DATA (Nominal)'!$B$116:$BX$116,1,MATCH(S$1,'DATA (Nominal)'!$B$1:$BX$1,0))</f>
        <v>0</v>
      </c>
      <c r="T405" s="151">
        <f>T398*INDEX('DATA (Nominal)'!$B$116:$BX$116,1,MATCH(T$1,'DATA (Nominal)'!$B$1:$BX$1,0))</f>
        <v>0</v>
      </c>
      <c r="U405" s="151">
        <f>U398*INDEX('DATA (Nominal)'!$B$116:$BX$116,1,MATCH(U$1,'DATA (Nominal)'!$B$1:$BX$1,0))</f>
        <v>0</v>
      </c>
      <c r="V405" s="151">
        <f>V398*INDEX('DATA (Nominal)'!$B$116:$BX$116,1,MATCH(V$1,'DATA (Nominal)'!$B$1:$BX$1,0))</f>
        <v>0</v>
      </c>
      <c r="W405" s="151">
        <f>W398*INDEX('DATA (Nominal)'!$B$116:$BX$116,1,MATCH(W$1,'DATA (Nominal)'!$B$1:$BX$1,0))</f>
        <v>0</v>
      </c>
      <c r="X405" s="152">
        <f>X398*INDEX('DATA (Nominal)'!$B$116:$BX$116,1,MATCH(X$1,'DATA (Nominal)'!$B$1:$BX$1,0))</f>
        <v>0</v>
      </c>
      <c r="Y405" s="156"/>
    </row>
    <row r="406" spans="1:25" hidden="1" outlineLevel="1">
      <c r="A406" s="95"/>
      <c r="C406" s="125" t="s">
        <v>127</v>
      </c>
      <c r="D406" s="151"/>
      <c r="E406" s="151">
        <f>E398*E399*INDEX('DATA (Nominal)'!$B$336:$BX$336,1,MATCH(E$1,'DATA (Nominal)'!$B$1:$BX$1,0))</f>
        <v>27691.511203123893</v>
      </c>
      <c r="F406" s="151">
        <f>F398*F399*INDEX('DATA (Nominal)'!$B$336:$BX$336,1,MATCH(F$1,'DATA (Nominal)'!$B$1:$BX$1,0))</f>
        <v>27691.511203123893</v>
      </c>
      <c r="G406" s="151">
        <f>G398*G399*INDEX('DATA (Nominal)'!$B$336:$BX$336,1,MATCH(G$1,'DATA (Nominal)'!$B$1:$BX$1,0))</f>
        <v>27691.511203123893</v>
      </c>
      <c r="H406" s="151">
        <f>H398*H399*INDEX('DATA (Nominal)'!$B$336:$BX$336,1,MATCH(H$1,'DATA (Nominal)'!$B$1:$BX$1,0))</f>
        <v>27691.511203123893</v>
      </c>
      <c r="I406" s="151">
        <f>I398*I399*INDEX('DATA (Nominal)'!$B$336:$BX$336,1,MATCH(I$1,'DATA (Nominal)'!$B$1:$BX$1,0))</f>
        <v>27691.511203123893</v>
      </c>
      <c r="J406" s="151">
        <f>J398*J399*INDEX('DATA (Nominal)'!$B$336:$BX$336,1,MATCH(J$1,'DATA (Nominal)'!$B$1:$BX$1,0))</f>
        <v>27691.511203123893</v>
      </c>
      <c r="K406" s="151">
        <f>K398*K399*INDEX('DATA (Nominal)'!$B$336:$BX$336,1,MATCH(K$1,'DATA (Nominal)'!$B$1:$BX$1,0))</f>
        <v>27691.511203123893</v>
      </c>
      <c r="L406" s="151">
        <f>L398*L399*INDEX('DATA (Nominal)'!$B$336:$BX$336,1,MATCH(L$1,'DATA (Nominal)'!$B$1:$BX$1,0))</f>
        <v>27691.511203123893</v>
      </c>
      <c r="M406" s="151">
        <f>M398*M399*INDEX('DATA (Nominal)'!$B$336:$BX$336,1,MATCH(M$1,'DATA (Nominal)'!$B$1:$BX$1,0))</f>
        <v>27691.511203123893</v>
      </c>
      <c r="N406" s="151">
        <f>N398*N399*INDEX('DATA (Nominal)'!$B$336:$BX$336,1,MATCH(N$1,'DATA (Nominal)'!$B$1:$BX$1,0))</f>
        <v>27691.511203123893</v>
      </c>
      <c r="O406" s="151">
        <f>O398*O399*INDEX('DATA (Nominal)'!$B$336:$BX$336,1,MATCH(O$1,'DATA (Nominal)'!$B$1:$BX$1,0))</f>
        <v>27691.511203123893</v>
      </c>
      <c r="P406" s="151">
        <f>P398*P399*INDEX('DATA (Nominal)'!$B$336:$BX$336,1,MATCH(P$1,'DATA (Nominal)'!$B$1:$BX$1,0))</f>
        <v>27691.511203123893</v>
      </c>
      <c r="Q406" s="151">
        <f>Q398*Q399*INDEX('DATA (Nominal)'!$B$336:$BX$336,1,MATCH(Q$1,'DATA (Nominal)'!$B$1:$BX$1,0))</f>
        <v>27691.511203123893</v>
      </c>
      <c r="R406" s="151">
        <f>R398*R399*INDEX('DATA (Nominal)'!$B$336:$BX$336,1,MATCH(R$1,'DATA (Nominal)'!$B$1:$BX$1,0))</f>
        <v>27691.511203123893</v>
      </c>
      <c r="S406" s="151">
        <f>S398*S399*INDEX('DATA (Nominal)'!$B$336:$BX$336,1,MATCH(S$1,'DATA (Nominal)'!$B$1:$BX$1,0))</f>
        <v>27691.511203123893</v>
      </c>
      <c r="T406" s="151">
        <f>T398*T399*INDEX('DATA (Nominal)'!$B$336:$BX$336,1,MATCH(T$1,'DATA (Nominal)'!$B$1:$BX$1,0))</f>
        <v>27691.511203123893</v>
      </c>
      <c r="U406" s="151">
        <f>U398*U399*INDEX('DATA (Nominal)'!$B$336:$BX$336,1,MATCH(U$1,'DATA (Nominal)'!$B$1:$BX$1,0))</f>
        <v>27691.511203123893</v>
      </c>
      <c r="V406" s="151">
        <f>V398*V399*INDEX('DATA (Nominal)'!$B$336:$BX$336,1,MATCH(V$1,'DATA (Nominal)'!$B$1:$BX$1,0))</f>
        <v>27691.511203123893</v>
      </c>
      <c r="W406" s="151">
        <f>W398*W399*INDEX('DATA (Nominal)'!$B$336:$BX$336,1,MATCH(W$1,'DATA (Nominal)'!$B$1:$BX$1,0))</f>
        <v>27691.511203123893</v>
      </c>
      <c r="X406" s="152">
        <f>X398*X399*INDEX('DATA (Nominal)'!$B$336:$BX$336,1,MATCH(X$1,'DATA (Nominal)'!$B$1:$BX$1,0))</f>
        <v>27691.511203123893</v>
      </c>
      <c r="Y406" s="156"/>
    </row>
    <row r="407" spans="1:25" hidden="1" outlineLevel="1">
      <c r="A407" s="95"/>
      <c r="C407" s="126" t="s">
        <v>49</v>
      </c>
      <c r="D407" s="151"/>
      <c r="E407" s="151">
        <f>D429*Property_Tax_Rate</f>
        <v>2582698.1524941134</v>
      </c>
      <c r="F407" s="151">
        <f t="shared" ref="F407:M407" si="1073">E429*Property_Tax_Rate</f>
        <v>2438791.4511867287</v>
      </c>
      <c r="G407" s="151">
        <f t="shared" si="1073"/>
        <v>2302903.1621979396</v>
      </c>
      <c r="H407" s="151">
        <f t="shared" si="1073"/>
        <v>2174586.503442361</v>
      </c>
      <c r="I407" s="151">
        <f t="shared" si="1073"/>
        <v>2053419.5873179405</v>
      </c>
      <c r="J407" s="151">
        <f t="shared" si="1073"/>
        <v>1939004.0335972977</v>
      </c>
      <c r="K407" s="151">
        <f t="shared" si="1073"/>
        <v>1830963.6596080901</v>
      </c>
      <c r="L407" s="151">
        <f t="shared" si="1073"/>
        <v>1728943.2433959024</v>
      </c>
      <c r="M407" s="151">
        <f t="shared" si="1073"/>
        <v>1632607.3558031064</v>
      </c>
      <c r="N407" s="151">
        <f>M429*Property_Tax_Rate</f>
        <v>1541639.2576237232</v>
      </c>
      <c r="O407" s="151">
        <f>N429*Property_Tax_Rate</f>
        <v>1455739.8582082891</v>
      </c>
      <c r="P407" s="151">
        <f t="shared" ref="P407:X407" si="1074">O429*Property_Tax_Rate</f>
        <v>2050445.713329751</v>
      </c>
      <c r="Q407" s="151">
        <f t="shared" si="1074"/>
        <v>1876831.3192997673</v>
      </c>
      <c r="R407" s="151">
        <f t="shared" si="1074"/>
        <v>1717917.1231918493</v>
      </c>
      <c r="S407" s="151">
        <f t="shared" si="1074"/>
        <v>1572458.4366254325</v>
      </c>
      <c r="T407" s="151">
        <f t="shared" si="1074"/>
        <v>1439315.9609006164</v>
      </c>
      <c r="U407" s="151">
        <f t="shared" si="1074"/>
        <v>1317446.8634917168</v>
      </c>
      <c r="V407" s="151">
        <f t="shared" si="1074"/>
        <v>1205896.6101078405</v>
      </c>
      <c r="W407" s="151">
        <f t="shared" si="1074"/>
        <v>1103791.4883454605</v>
      </c>
      <c r="X407" s="152">
        <f t="shared" si="1074"/>
        <v>1010331.7643748352</v>
      </c>
      <c r="Y407" s="156"/>
    </row>
    <row r="408" spans="1:25" hidden="1" outlineLevel="1">
      <c r="A408" s="95"/>
      <c r="C408" s="126" t="s">
        <v>50</v>
      </c>
      <c r="D408" s="151"/>
      <c r="E408" s="151">
        <f>SUM(E403:E407)</f>
        <v>6953050.4899498746</v>
      </c>
      <c r="F408" s="151">
        <f>SUM(F403:F407)</f>
        <v>6734504.1157455258</v>
      </c>
      <c r="G408" s="151">
        <f t="shared" ref="G408:N408" si="1075">SUM(G403:G407)</f>
        <v>6531612.340788329</v>
      </c>
      <c r="H408" s="151">
        <f t="shared" si="1075"/>
        <v>6316726.8488395698</v>
      </c>
      <c r="I408" s="151">
        <f t="shared" si="1075"/>
        <v>6130405.7651687441</v>
      </c>
      <c r="J408" s="151">
        <f t="shared" si="1075"/>
        <v>5946132.7624543933</v>
      </c>
      <c r="K408" s="151">
        <f t="shared" si="1075"/>
        <v>5885696.5194296539</v>
      </c>
      <c r="L408" s="151">
        <f t="shared" si="1075"/>
        <v>5830248.0013634525</v>
      </c>
      <c r="M408" s="151">
        <f t="shared" si="1075"/>
        <v>5780612.8915795349</v>
      </c>
      <c r="N408" s="151">
        <f t="shared" si="1075"/>
        <v>5736457.734504912</v>
      </c>
      <c r="O408" s="151">
        <f>SUM(O403:O407)</f>
        <v>5697465.9286538893</v>
      </c>
      <c r="P408" s="151">
        <f t="shared" ref="P408:X408" si="1076">SUM(P403:P407)</f>
        <v>6339155.6976464698</v>
      </c>
      <c r="Q408" s="151">
        <f t="shared" si="1076"/>
        <v>6212582.356681345</v>
      </c>
      <c r="R408" s="151">
        <f t="shared" si="1076"/>
        <v>6100746.2942980481</v>
      </c>
      <c r="S408" s="151">
        <f t="shared" si="1076"/>
        <v>6002381.8568595564</v>
      </c>
      <c r="T408" s="151">
        <f t="shared" si="1076"/>
        <v>5916327.8435220309</v>
      </c>
      <c r="U408" s="151">
        <f t="shared" si="1076"/>
        <v>5841518.5516759735</v>
      </c>
      <c r="V408" s="151">
        <f t="shared" si="1076"/>
        <v>5776975.5770424511</v>
      </c>
      <c r="W408" s="151">
        <f t="shared" si="1076"/>
        <v>5721800.3044244703</v>
      </c>
      <c r="X408" s="152">
        <f t="shared" si="1076"/>
        <v>5675167.0305293724</v>
      </c>
      <c r="Y408" s="156"/>
    </row>
    <row r="409" spans="1:25" s="95" customFormat="1" hidden="1" outlineLevel="1">
      <c r="C409" s="126" t="s">
        <v>179</v>
      </c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>
        <f>INDEX('DATA (Nominal)'!$B$73:$BX$73,1,MATCH($O$1,'DATA (Nominal)'!$B$1:$BX$1,0))*1000000*(1+AFUDC!$D$21)*0.5*'Resource Options'!$D$21/1000</f>
        <v>65337462.950099073</v>
      </c>
      <c r="P409" s="151"/>
      <c r="Q409" s="151"/>
      <c r="R409" s="151"/>
      <c r="S409" s="151"/>
      <c r="T409" s="151"/>
      <c r="U409" s="151"/>
      <c r="V409" s="151"/>
      <c r="W409" s="151"/>
      <c r="X409" s="152"/>
      <c r="Y409" s="156"/>
    </row>
    <row r="410" spans="1:25" hidden="1" outlineLevel="1">
      <c r="A410" s="95"/>
      <c r="C410" s="126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2"/>
      <c r="Y410" s="156"/>
    </row>
    <row r="411" spans="1:25" hidden="1" outlineLevel="1">
      <c r="A411" s="95"/>
      <c r="C411" s="125" t="s">
        <v>51</v>
      </c>
      <c r="D411" s="151"/>
      <c r="E411" s="151">
        <f>E401-E408</f>
        <v>17228446.605679885</v>
      </c>
      <c r="F411" s="151">
        <f t="shared" ref="F411:N411" si="1077">F401-F408</f>
        <v>17446992.979884233</v>
      </c>
      <c r="G411" s="151">
        <f t="shared" si="1077"/>
        <v>17649884.754841432</v>
      </c>
      <c r="H411" s="151">
        <f t="shared" si="1077"/>
        <v>17864770.246790189</v>
      </c>
      <c r="I411" s="151">
        <f t="shared" si="1077"/>
        <v>18051091.330461014</v>
      </c>
      <c r="J411" s="151">
        <f t="shared" si="1077"/>
        <v>18235364.333175365</v>
      </c>
      <c r="K411" s="151">
        <f t="shared" si="1077"/>
        <v>18295800.576200105</v>
      </c>
      <c r="L411" s="151">
        <f t="shared" si="1077"/>
        <v>18351249.094266307</v>
      </c>
      <c r="M411" s="151">
        <f t="shared" si="1077"/>
        <v>18400884.204050224</v>
      </c>
      <c r="N411" s="151">
        <f t="shared" si="1077"/>
        <v>18445039.361124847</v>
      </c>
      <c r="O411" s="151">
        <f>O401-O408</f>
        <v>18484031.166975871</v>
      </c>
      <c r="P411" s="151">
        <f>P401-P408</f>
        <v>17842341.39798329</v>
      </c>
      <c r="Q411" s="151">
        <f t="shared" ref="Q411:X411" si="1078">Q401-Q408</f>
        <v>17968914.738948412</v>
      </c>
      <c r="R411" s="151">
        <f t="shared" si="1078"/>
        <v>18080750.80133171</v>
      </c>
      <c r="S411" s="151">
        <f t="shared" si="1078"/>
        <v>18179115.238770202</v>
      </c>
      <c r="T411" s="151">
        <f t="shared" si="1078"/>
        <v>18265169.252107728</v>
      </c>
      <c r="U411" s="151">
        <f t="shared" si="1078"/>
        <v>18339978.543953784</v>
      </c>
      <c r="V411" s="151">
        <f t="shared" si="1078"/>
        <v>18404521.518587306</v>
      </c>
      <c r="W411" s="151">
        <f t="shared" si="1078"/>
        <v>18459696.791205287</v>
      </c>
      <c r="X411" s="152">
        <f t="shared" si="1078"/>
        <v>18506330.065100387</v>
      </c>
      <c r="Y411" s="156"/>
    </row>
    <row r="412" spans="1:25" hidden="1" outlineLevel="1">
      <c r="A412" s="95"/>
      <c r="C412" s="125" t="s">
        <v>52</v>
      </c>
      <c r="D412" s="151"/>
      <c r="E412" s="151">
        <f>E411-E430-E419</f>
        <v>-32705805.695287175</v>
      </c>
      <c r="F412" s="151">
        <f t="shared" ref="F412:M412" si="1079">F411-F430-F419</f>
        <v>-58657890.470567569</v>
      </c>
      <c r="G412" s="151">
        <f t="shared" si="1079"/>
        <v>-30172843.84019167</v>
      </c>
      <c r="H412" s="151">
        <f t="shared" si="1079"/>
        <v>-12905673.909883041</v>
      </c>
      <c r="I412" s="151">
        <f t="shared" si="1079"/>
        <v>-12516338.227895612</v>
      </c>
      <c r="J412" s="151">
        <f t="shared" si="1079"/>
        <v>527005.33065393567</v>
      </c>
      <c r="K412" s="151">
        <f t="shared" si="1079"/>
        <v>13458292.051581193</v>
      </c>
      <c r="L412" s="151">
        <f t="shared" si="1079"/>
        <v>13752128.710719759</v>
      </c>
      <c r="M412" s="151">
        <f t="shared" si="1079"/>
        <v>14053263.309335019</v>
      </c>
      <c r="N412" s="151">
        <f>N411-N430-N419</f>
        <v>14362750.427126709</v>
      </c>
      <c r="O412" s="151">
        <f>O411-O430-O419</f>
        <v>2623638.6640934572</v>
      </c>
      <c r="P412" s="151">
        <f>P411-P430-P419</f>
        <v>-4189169.2629738357</v>
      </c>
      <c r="Q412" s="151">
        <f t="shared" ref="Q412:W412" si="1080">Q411-Q430-Q419</f>
        <v>1032258.3328375537</v>
      </c>
      <c r="R412" s="151">
        <f t="shared" si="1080"/>
        <v>4961628.3241671706</v>
      </c>
      <c r="S412" s="151">
        <f t="shared" si="1080"/>
        <v>7974865.9338130848</v>
      </c>
      <c r="T412" s="151">
        <f t="shared" si="1080"/>
        <v>8675273.6080083866</v>
      </c>
      <c r="U412" s="151">
        <f t="shared" si="1080"/>
        <v>9398226.0120593943</v>
      </c>
      <c r="V412" s="151">
        <f t="shared" si="1080"/>
        <v>13063224.316161565</v>
      </c>
      <c r="W412" s="151">
        <f t="shared" si="1080"/>
        <v>16754503.298445385</v>
      </c>
      <c r="X412" s="152">
        <f>X411-X430-X419</f>
        <v>17562213.031612806</v>
      </c>
      <c r="Y412" s="156"/>
    </row>
    <row r="413" spans="1:25" hidden="1" outlineLevel="1">
      <c r="A413" s="95"/>
      <c r="C413" s="125" t="s">
        <v>128</v>
      </c>
      <c r="D413" s="151"/>
      <c r="E413" s="151">
        <f>-$D416*INDEX('DATA (Nominal)'!$B$249:$BX$249,1,MATCH($B$1,'DATA (Nominal)'!$B$1:$BX$1,0))</f>
        <v>77480944.574823394</v>
      </c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2"/>
      <c r="Y413" s="156"/>
    </row>
    <row r="414" spans="1:25" hidden="1" outlineLevel="1">
      <c r="A414" s="95"/>
      <c r="C414" s="126" t="s">
        <v>54</v>
      </c>
      <c r="D414" s="151"/>
      <c r="E414" s="151">
        <f>E412*Federal_Tax_Rate-E413</f>
        <v>-84349163.770833701</v>
      </c>
      <c r="F414" s="151">
        <f>F412*Federal_Tax_Rate-F413</f>
        <v>-12318156.998819189</v>
      </c>
      <c r="G414" s="151">
        <f t="shared" ref="G414" si="1081">G412*Federal_Tax_Rate-G413</f>
        <v>-6336297.2064402504</v>
      </c>
      <c r="H414" s="151">
        <f t="shared" ref="H414" si="1082">H412*Federal_Tax_Rate-H413</f>
        <v>-2710191.5210754387</v>
      </c>
      <c r="I414" s="151">
        <f t="shared" ref="I414" si="1083">I412*Federal_Tax_Rate-I413</f>
        <v>-2628431.0278580785</v>
      </c>
      <c r="J414" s="151">
        <f t="shared" ref="J414" si="1084">J412*Federal_Tax_Rate-J413</f>
        <v>110671.11943732649</v>
      </c>
      <c r="K414" s="151">
        <f t="shared" ref="K414" si="1085">K412*Federal_Tax_Rate-K413</f>
        <v>2826241.3308320502</v>
      </c>
      <c r="L414" s="151">
        <f t="shared" ref="L414" si="1086">L412*Federal_Tax_Rate-L413</f>
        <v>2887947.0292511494</v>
      </c>
      <c r="M414" s="151">
        <f t="shared" ref="M414" si="1087">M412*Federal_Tax_Rate-M413</f>
        <v>2951185.294960354</v>
      </c>
      <c r="N414" s="151">
        <f t="shared" ref="N414" si="1088">N412*Federal_Tax_Rate-N413</f>
        <v>3016177.5896966089</v>
      </c>
      <c r="O414" s="151">
        <f>O412*Federal_Tax_Rate-O413</f>
        <v>550964.11945962603</v>
      </c>
      <c r="P414" s="151">
        <f t="shared" ref="P414" si="1089">P412*Federal_Tax_Rate-P413</f>
        <v>-879725.54522450548</v>
      </c>
      <c r="Q414" s="151">
        <f t="shared" ref="Q414" si="1090">Q412*Federal_Tax_Rate-Q413</f>
        <v>216774.24989588626</v>
      </c>
      <c r="R414" s="151">
        <f t="shared" ref="R414" si="1091">R412*Federal_Tax_Rate-R413</f>
        <v>1041941.9480751058</v>
      </c>
      <c r="S414" s="151">
        <f t="shared" ref="S414" si="1092">S412*Federal_Tax_Rate-S413</f>
        <v>1674721.8461007478</v>
      </c>
      <c r="T414" s="151">
        <f t="shared" ref="T414" si="1093">T412*Federal_Tax_Rate-T413</f>
        <v>1821807.4576817611</v>
      </c>
      <c r="U414" s="151">
        <f t="shared" ref="U414" si="1094">U412*Federal_Tax_Rate-U413</f>
        <v>1973627.4625324728</v>
      </c>
      <c r="V414" s="151">
        <f t="shared" ref="V414" si="1095">V412*Federal_Tax_Rate-V413</f>
        <v>2743277.1063939286</v>
      </c>
      <c r="W414" s="151">
        <f t="shared" ref="W414" si="1096">W412*Federal_Tax_Rate-W413</f>
        <v>3518445.6926735309</v>
      </c>
      <c r="X414" s="152">
        <f t="shared" ref="X414" si="1097">X412*Federal_Tax_Rate-X413</f>
        <v>3688064.7366386889</v>
      </c>
      <c r="Y414" s="156"/>
    </row>
    <row r="415" spans="1:25" hidden="1" outlineLevel="1">
      <c r="A415" s="95"/>
      <c r="C415" s="126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2"/>
      <c r="Y415" s="156"/>
    </row>
    <row r="416" spans="1:25" hidden="1" outlineLevel="1">
      <c r="A416" s="95"/>
      <c r="B416" s="37">
        <f>IRR(D416:Y416,0.1)</f>
        <v>7.4999986263254215E-2</v>
      </c>
      <c r="C416" s="125" t="s">
        <v>55</v>
      </c>
      <c r="D416" s="155">
        <f>SUM(D425:D426)</f>
        <v>-258269815.24941134</v>
      </c>
      <c r="E416" s="156">
        <f t="shared" ref="E416:K416" si="1098">E411-E414</f>
        <v>101577610.37651359</v>
      </c>
      <c r="F416" s="151">
        <f t="shared" si="1098"/>
        <v>29765149.978703424</v>
      </c>
      <c r="G416" s="151">
        <f t="shared" si="1098"/>
        <v>23986181.961281683</v>
      </c>
      <c r="H416" s="151">
        <f t="shared" si="1098"/>
        <v>20574961.767865628</v>
      </c>
      <c r="I416" s="151">
        <f t="shared" si="1098"/>
        <v>20679522.358319093</v>
      </c>
      <c r="J416" s="151">
        <f t="shared" si="1098"/>
        <v>18124693.213738039</v>
      </c>
      <c r="K416" s="151">
        <f t="shared" si="1098"/>
        <v>15469559.245368056</v>
      </c>
      <c r="L416" s="151">
        <f>L411-L414</f>
        <v>15463302.065015158</v>
      </c>
      <c r="M416" s="151">
        <f t="shared" ref="M416:N416" si="1099">M411-M414</f>
        <v>15449698.909089871</v>
      </c>
      <c r="N416" s="151">
        <f t="shared" si="1099"/>
        <v>15428861.771428239</v>
      </c>
      <c r="O416" s="151">
        <f>O411-O414-O409</f>
        <v>-47404395.902582824</v>
      </c>
      <c r="P416" s="151">
        <f>P411-P414</f>
        <v>18722066.943207797</v>
      </c>
      <c r="Q416" s="151">
        <f t="shared" ref="Q416:X416" si="1100">Q411-Q414</f>
        <v>17752140.489052527</v>
      </c>
      <c r="R416" s="151">
        <f t="shared" si="1100"/>
        <v>17038808.853256606</v>
      </c>
      <c r="S416" s="151">
        <f t="shared" si="1100"/>
        <v>16504393.392669454</v>
      </c>
      <c r="T416" s="151">
        <f t="shared" si="1100"/>
        <v>16443361.794425968</v>
      </c>
      <c r="U416" s="151">
        <f t="shared" si="1100"/>
        <v>16366351.081421312</v>
      </c>
      <c r="V416" s="151">
        <f t="shared" si="1100"/>
        <v>15661244.412193377</v>
      </c>
      <c r="W416" s="151">
        <f t="shared" si="1100"/>
        <v>14941251.098531757</v>
      </c>
      <c r="X416" s="152">
        <f t="shared" si="1100"/>
        <v>14818265.328461697</v>
      </c>
      <c r="Y416" s="156">
        <f>D416*-0.3</f>
        <v>77480944.574823394</v>
      </c>
    </row>
    <row r="417" spans="1:25" hidden="1" outlineLevel="1">
      <c r="A417" s="95"/>
      <c r="B417" s="37">
        <f>IRR(D417:Y417,0.1)</f>
        <v>0.12578988700738347</v>
      </c>
      <c r="C417" s="125" t="s">
        <v>56</v>
      </c>
      <c r="D417" s="155">
        <f>-D435</f>
        <v>-39518161.602233537</v>
      </c>
      <c r="E417" s="156">
        <f t="shared" ref="E417:M417" si="1101">E416-E419-E422-E431-E413</f>
        <v>5704595.0349879563</v>
      </c>
      <c r="F417" s="151">
        <f t="shared" si="1101"/>
        <v>5840939.7693587989</v>
      </c>
      <c r="G417" s="151">
        <f t="shared" si="1101"/>
        <v>5962920.4907556083</v>
      </c>
      <c r="H417" s="151">
        <f t="shared" si="1101"/>
        <v>6092269.5406306833</v>
      </c>
      <c r="I417" s="151">
        <f t="shared" si="1101"/>
        <v>6196830.1310841478</v>
      </c>
      <c r="J417" s="151">
        <f t="shared" si="1101"/>
        <v>6297427.9189714417</v>
      </c>
      <c r="K417" s="151">
        <f t="shared" si="1101"/>
        <v>6297720.8830698049</v>
      </c>
      <c r="L417" s="151">
        <f t="shared" si="1101"/>
        <v>6291463.7027169075</v>
      </c>
      <c r="M417" s="151">
        <f t="shared" si="1101"/>
        <v>6277860.5467916196</v>
      </c>
      <c r="N417" s="151">
        <f>N416-N419-N422-N431-N413</f>
        <v>6257023.4091299875</v>
      </c>
      <c r="O417" s="151">
        <f>O416-O419-O422-O431-O413+O409</f>
        <v>429956.6588242799</v>
      </c>
      <c r="P417" s="151">
        <f>P416-P419-P422-P431-P413</f>
        <v>-181120.7365640793</v>
      </c>
      <c r="Q417" s="151">
        <f>Q416-Q419-Q422-Q431-Q413</f>
        <v>-190998.11136947898</v>
      </c>
      <c r="R417" s="151">
        <f t="shared" ref="R417:X417" si="1102">R416-R419-R422-R431-R413</f>
        <v>-218560.80353374989</v>
      </c>
      <c r="S417" s="151">
        <f t="shared" si="1102"/>
        <v>-263141.30438400852</v>
      </c>
      <c r="T417" s="151">
        <f t="shared" si="1102"/>
        <v>-324172.90262749465</v>
      </c>
      <c r="U417" s="151">
        <f t="shared" si="1102"/>
        <v>-401183.61563215079</v>
      </c>
      <c r="V417" s="151">
        <f t="shared" si="1102"/>
        <v>-493790.77218067739</v>
      </c>
      <c r="W417" s="151">
        <f t="shared" si="1102"/>
        <v>-601696.19917947426</v>
      </c>
      <c r="X417" s="152">
        <f t="shared" si="1102"/>
        <v>-724681.96924953349</v>
      </c>
      <c r="Y417" s="156">
        <f>Y416</f>
        <v>77480944.574823394</v>
      </c>
    </row>
    <row r="418" spans="1:25" hidden="1" outlineLevel="1">
      <c r="A418" s="95"/>
      <c r="B418" s="21"/>
      <c r="C418" s="125"/>
      <c r="D418" s="155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2"/>
      <c r="Y418" s="156"/>
    </row>
    <row r="419" spans="1:25" hidden="1" outlineLevel="1">
      <c r="A419" s="95"/>
      <c r="B419" s="15"/>
      <c r="C419" s="126" t="s">
        <v>57</v>
      </c>
      <c r="D419" s="151"/>
      <c r="E419" s="151">
        <f t="shared" ref="E419:W419" si="1103">D423*Debt_Rate</f>
        <v>6028383.7085671341</v>
      </c>
      <c r="F419" s="151">
        <f t="shared" si="1103"/>
        <v>5855493.7026119223</v>
      </c>
      <c r="G419" s="151">
        <f t="shared" si="1103"/>
        <v>5673094.7463291744</v>
      </c>
      <c r="H419" s="151">
        <f t="shared" si="1103"/>
        <v>5480663.8474508757</v>
      </c>
      <c r="I419" s="151">
        <f t="shared" si="1103"/>
        <v>5277649.2491342705</v>
      </c>
      <c r="J419" s="151">
        <f t="shared" si="1103"/>
        <v>5063468.8479102515</v>
      </c>
      <c r="K419" s="151">
        <f t="shared" si="1103"/>
        <v>4837508.5246189116</v>
      </c>
      <c r="L419" s="151">
        <f t="shared" si="1103"/>
        <v>4599120.383546548</v>
      </c>
      <c r="M419" s="151">
        <f t="shared" si="1103"/>
        <v>4347620.8947152039</v>
      </c>
      <c r="N419" s="151">
        <f t="shared" si="1103"/>
        <v>4082288.9339981368</v>
      </c>
      <c r="O419" s="151">
        <f t="shared" si="1103"/>
        <v>6526282.5458312612</v>
      </c>
      <c r="P419" s="151">
        <f t="shared" si="1103"/>
        <v>6030365.9844778627</v>
      </c>
      <c r="Q419" s="151">
        <f t="shared" si="1103"/>
        <v>5507174.0122500267</v>
      </c>
      <c r="R419" s="151">
        <f t="shared" si="1103"/>
        <v>4955206.4815496607</v>
      </c>
      <c r="S419" s="151">
        <f t="shared" si="1103"/>
        <v>4372880.7366607739</v>
      </c>
      <c r="T419" s="151">
        <f t="shared" si="1103"/>
        <v>3758527.0758029986</v>
      </c>
      <c r="U419" s="151">
        <f t="shared" si="1103"/>
        <v>3110383.963598046</v>
      </c>
      <c r="V419" s="151">
        <f t="shared" si="1103"/>
        <v>2426592.9802218205</v>
      </c>
      <c r="W419" s="151">
        <f t="shared" si="1103"/>
        <v>1705193.492759903</v>
      </c>
      <c r="X419" s="152">
        <f>W423*Debt_Rate</f>
        <v>944117.0334875799</v>
      </c>
      <c r="Y419" s="156"/>
    </row>
    <row r="420" spans="1:25" hidden="1" outlineLevel="1">
      <c r="A420" s="95"/>
      <c r="B420" s="15"/>
      <c r="C420" s="126" t="s">
        <v>113</v>
      </c>
      <c r="D420" s="151"/>
      <c r="E420" s="151">
        <f t="shared" ref="E420:X420" si="1104">-PMT(Debt_Rate,20,$D434)</f>
        <v>9171838.3622982502</v>
      </c>
      <c r="F420" s="151">
        <f t="shared" si="1104"/>
        <v>9171838.3622982502</v>
      </c>
      <c r="G420" s="151">
        <f t="shared" si="1104"/>
        <v>9171838.3622982502</v>
      </c>
      <c r="H420" s="151">
        <f t="shared" si="1104"/>
        <v>9171838.3622982502</v>
      </c>
      <c r="I420" s="151">
        <f t="shared" si="1104"/>
        <v>9171838.3622982502</v>
      </c>
      <c r="J420" s="151">
        <f t="shared" si="1104"/>
        <v>9171838.3622982502</v>
      </c>
      <c r="K420" s="151">
        <f t="shared" si="1104"/>
        <v>9171838.3622982502</v>
      </c>
      <c r="L420" s="151">
        <f t="shared" si="1104"/>
        <v>9171838.3622982502</v>
      </c>
      <c r="M420" s="151">
        <f t="shared" si="1104"/>
        <v>9171838.3622982502</v>
      </c>
      <c r="N420" s="151">
        <f t="shared" si="1104"/>
        <v>9171838.3622982502</v>
      </c>
      <c r="O420" s="151">
        <f t="shared" si="1104"/>
        <v>9171838.3622982502</v>
      </c>
      <c r="P420" s="151">
        <f t="shared" si="1104"/>
        <v>9171838.3622982502</v>
      </c>
      <c r="Q420" s="151">
        <f t="shared" si="1104"/>
        <v>9171838.3622982502</v>
      </c>
      <c r="R420" s="151">
        <f t="shared" si="1104"/>
        <v>9171838.3622982502</v>
      </c>
      <c r="S420" s="151">
        <f t="shared" si="1104"/>
        <v>9171838.3622982502</v>
      </c>
      <c r="T420" s="151">
        <f t="shared" si="1104"/>
        <v>9171838.3622982502</v>
      </c>
      <c r="U420" s="151">
        <f t="shared" si="1104"/>
        <v>9171838.3622982502</v>
      </c>
      <c r="V420" s="151">
        <f t="shared" si="1104"/>
        <v>9171838.3622982502</v>
      </c>
      <c r="W420" s="151">
        <f t="shared" si="1104"/>
        <v>9171838.3622982502</v>
      </c>
      <c r="X420" s="152">
        <f t="shared" si="1104"/>
        <v>9171838.3622982502</v>
      </c>
      <c r="Y420" s="156"/>
    </row>
    <row r="421" spans="1:25" s="95" customFormat="1" hidden="1" outlineLevel="1">
      <c r="B421" s="52"/>
      <c r="C421" s="126" t="s">
        <v>161</v>
      </c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>
        <f>-PMT(Debt_Rate,10,$O409)*$B434</f>
        <v>6371108.9354129797</v>
      </c>
      <c r="P421" s="151">
        <f t="shared" ref="P421:X421" si="1105">-PMT(Debt_Rate,10,$O409)*$B434</f>
        <v>6371108.9354129797</v>
      </c>
      <c r="Q421" s="151">
        <f t="shared" si="1105"/>
        <v>6371108.9354129797</v>
      </c>
      <c r="R421" s="151">
        <f t="shared" si="1105"/>
        <v>6371108.9354129797</v>
      </c>
      <c r="S421" s="151">
        <f t="shared" si="1105"/>
        <v>6371108.9354129797</v>
      </c>
      <c r="T421" s="151">
        <f t="shared" si="1105"/>
        <v>6371108.9354129797</v>
      </c>
      <c r="U421" s="151">
        <f t="shared" si="1105"/>
        <v>6371108.9354129797</v>
      </c>
      <c r="V421" s="151">
        <f t="shared" si="1105"/>
        <v>6371108.9354129797</v>
      </c>
      <c r="W421" s="151">
        <f t="shared" si="1105"/>
        <v>6371108.9354129797</v>
      </c>
      <c r="X421" s="152">
        <f t="shared" si="1105"/>
        <v>6371108.9354129797</v>
      </c>
      <c r="Y421" s="156"/>
    </row>
    <row r="422" spans="1:25" hidden="1" outlineLevel="1">
      <c r="A422" s="95"/>
      <c r="B422" s="15"/>
      <c r="C422" s="126" t="s">
        <v>59</v>
      </c>
      <c r="D422" s="151"/>
      <c r="E422" s="156">
        <f>E421+E420-E419</f>
        <v>3143454.6537311161</v>
      </c>
      <c r="F422" s="151">
        <f t="shared" ref="F422" si="1106">F421+F420-F419</f>
        <v>3316344.6596863279</v>
      </c>
      <c r="G422" s="151">
        <f t="shared" ref="G422" si="1107">G421+G420-G419</f>
        <v>3498743.6159690758</v>
      </c>
      <c r="H422" s="151">
        <f t="shared" ref="H422" si="1108">H421+H420-H419</f>
        <v>3691174.5148473745</v>
      </c>
      <c r="I422" s="151">
        <f t="shared" ref="I422" si="1109">I421+I420-I419</f>
        <v>3894189.1131639797</v>
      </c>
      <c r="J422" s="151">
        <f t="shared" ref="J422" si="1110">J421+J420-J419</f>
        <v>4108369.5143879987</v>
      </c>
      <c r="K422" s="151">
        <f t="shared" ref="K422" si="1111">K421+K420-K419</f>
        <v>4334329.8376793386</v>
      </c>
      <c r="L422" s="151">
        <f t="shared" ref="L422" si="1112">L421+L420-L419</f>
        <v>4572717.9787517022</v>
      </c>
      <c r="M422" s="151">
        <f>M421+M420-M419</f>
        <v>4824217.4675830463</v>
      </c>
      <c r="N422" s="151">
        <f>N421+N420-N419</f>
        <v>5089549.4283001134</v>
      </c>
      <c r="O422" s="151">
        <f>O421+O420-O419</f>
        <v>9016664.7518799696</v>
      </c>
      <c r="P422" s="151">
        <f>P421+P420-P419</f>
        <v>9512581.3132333681</v>
      </c>
      <c r="Q422" s="151">
        <f t="shared" ref="Q422" si="1113">Q421+Q420-Q419</f>
        <v>10035773.285461204</v>
      </c>
      <c r="R422" s="151">
        <f t="shared" ref="R422" si="1114">R421+R420-R419</f>
        <v>10587740.816161569</v>
      </c>
      <c r="S422" s="151">
        <f t="shared" ref="S422" si="1115">S421+S420-S419</f>
        <v>11170066.561050456</v>
      </c>
      <c r="T422" s="151">
        <f t="shared" ref="T422" si="1116">T421+T420-T419</f>
        <v>11784420.221908232</v>
      </c>
      <c r="U422" s="151">
        <f t="shared" ref="U422" si="1117">U421+U420-U419</f>
        <v>12432563.334113184</v>
      </c>
      <c r="V422" s="151">
        <f t="shared" ref="V422" si="1118">V421+V420-V419</f>
        <v>13116354.31748941</v>
      </c>
      <c r="W422" s="151">
        <f t="shared" ref="W422" si="1119">W421+W420-W419</f>
        <v>13837753.804951329</v>
      </c>
      <c r="X422" s="152">
        <f t="shared" ref="X422" si="1120">X421+X420-X419</f>
        <v>14598830.26422365</v>
      </c>
      <c r="Y422" s="156"/>
    </row>
    <row r="423" spans="1:25" hidden="1" outlineLevel="1">
      <c r="A423" s="95"/>
      <c r="B423" s="15"/>
      <c r="C423" s="126" t="s">
        <v>60</v>
      </c>
      <c r="D423" s="151">
        <f>D434</f>
        <v>109606976.51940244</v>
      </c>
      <c r="E423" s="151">
        <f>D423-E422+(F409*$B$76)</f>
        <v>106463521.86567132</v>
      </c>
      <c r="F423" s="151">
        <f t="shared" ref="F423" si="1121">E423-F422+(G409*$B$76)</f>
        <v>103147177.20598499</v>
      </c>
      <c r="G423" s="151">
        <f t="shared" ref="G423" si="1122">F423-G422+(H409*$B$76)</f>
        <v>99648433.590015918</v>
      </c>
      <c r="H423" s="151">
        <f t="shared" ref="H423" si="1123">G423-H422+(I409*$B$76)</f>
        <v>95957259.07516855</v>
      </c>
      <c r="I423" s="151">
        <f t="shared" ref="I423" si="1124">H423-I422+(J409*$B$76)</f>
        <v>92063069.962004572</v>
      </c>
      <c r="J423" s="151">
        <f t="shared" ref="J423" si="1125">I423-J422+(K409*$B$76)</f>
        <v>87954700.447616577</v>
      </c>
      <c r="K423" s="151">
        <f t="shared" ref="K423" si="1126">J423-K422+(L409*$B$76)</f>
        <v>83620370.609937236</v>
      </c>
      <c r="L423" s="151">
        <f t="shared" ref="L423" si="1127">K423-L422+(M409*$B$76)</f>
        <v>79047652.631185532</v>
      </c>
      <c r="M423" s="151">
        <f>L423-M422+(N409*$B$76)</f>
        <v>74223435.163602486</v>
      </c>
      <c r="N423" s="151">
        <f>M423-N422+(O409*$B$76)</f>
        <v>118659682.65147747</v>
      </c>
      <c r="O423" s="151">
        <f t="shared" ref="O423" si="1128">N423-O422+(P409*$B$76)</f>
        <v>109643017.8995975</v>
      </c>
      <c r="P423" s="151">
        <f t="shared" ref="P423" si="1129">O423-P422+(Q409*$B$76)</f>
        <v>100130436.58636412</v>
      </c>
      <c r="Q423" s="151">
        <f t="shared" ref="Q423" si="1130">P423-Q422+(R409*$B$76)</f>
        <v>90094663.300902918</v>
      </c>
      <c r="R423" s="151">
        <f t="shared" ref="R423" si="1131">Q423-R422+(S409*$B$76)</f>
        <v>79506922.484741345</v>
      </c>
      <c r="S423" s="151">
        <f t="shared" ref="S423" si="1132">R423-S422+(T409*$B$76)</f>
        <v>68336855.923690885</v>
      </c>
      <c r="T423" s="151">
        <f t="shared" ref="T423" si="1133">S423-T422+(U409*$B$76)</f>
        <v>56552435.701782651</v>
      </c>
      <c r="U423" s="151">
        <f t="shared" ref="U423" si="1134">T423-U422+(V409*$B$76)</f>
        <v>44119872.367669463</v>
      </c>
      <c r="V423" s="151">
        <f t="shared" ref="V423" si="1135">U423-V422+(W409*$B$76)</f>
        <v>31003518.050180055</v>
      </c>
      <c r="W423" s="151">
        <f t="shared" ref="W423" si="1136">V423-W422+(X409*$B$76)</f>
        <v>17165764.245228726</v>
      </c>
      <c r="X423" s="152">
        <f t="shared" ref="X423" si="1137">W423-X422+(Y409*$B$76)</f>
        <v>2566933.9810050763</v>
      </c>
      <c r="Y423" s="156"/>
    </row>
    <row r="424" spans="1:25" hidden="1" outlineLevel="1">
      <c r="A424" s="95"/>
      <c r="B424" s="15"/>
      <c r="C424" s="125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2"/>
      <c r="Y424" s="156"/>
    </row>
    <row r="425" spans="1:25" hidden="1" outlineLevel="1">
      <c r="A425" s="95"/>
      <c r="B425" s="15"/>
      <c r="C425" s="126" t="s">
        <v>162</v>
      </c>
      <c r="D425" s="151">
        <f>-INDEX('DATA (Nominal)'!$B$72:$BX$72,1,MATCH($B$1,'DATA (Nominal)'!$B$1:$BX$1,0))*1000000*(1+AFUDC!$C$21)*'Resource Options'!$E$21/1000</f>
        <v>-120077175.13890114</v>
      </c>
      <c r="E425" s="151">
        <f t="shared" ref="E425:X425" si="1138">-$D425/20</f>
        <v>6003858.7569450568</v>
      </c>
      <c r="F425" s="151">
        <f t="shared" si="1138"/>
        <v>6003858.7569450568</v>
      </c>
      <c r="G425" s="151">
        <f t="shared" si="1138"/>
        <v>6003858.7569450568</v>
      </c>
      <c r="H425" s="151">
        <f t="shared" si="1138"/>
        <v>6003858.7569450568</v>
      </c>
      <c r="I425" s="151">
        <f t="shared" si="1138"/>
        <v>6003858.7569450568</v>
      </c>
      <c r="J425" s="151">
        <f t="shared" si="1138"/>
        <v>6003858.7569450568</v>
      </c>
      <c r="K425" s="151">
        <f t="shared" si="1138"/>
        <v>6003858.7569450568</v>
      </c>
      <c r="L425" s="151">
        <f t="shared" si="1138"/>
        <v>6003858.7569450568</v>
      </c>
      <c r="M425" s="151">
        <f t="shared" si="1138"/>
        <v>6003858.7569450568</v>
      </c>
      <c r="N425" s="151">
        <f t="shared" si="1138"/>
        <v>6003858.7569450568</v>
      </c>
      <c r="O425" s="151">
        <f t="shared" si="1138"/>
        <v>6003858.7569450568</v>
      </c>
      <c r="P425" s="151">
        <f t="shared" si="1138"/>
        <v>6003858.7569450568</v>
      </c>
      <c r="Q425" s="151">
        <f t="shared" si="1138"/>
        <v>6003858.7569450568</v>
      </c>
      <c r="R425" s="151">
        <f t="shared" si="1138"/>
        <v>6003858.7569450568</v>
      </c>
      <c r="S425" s="151">
        <f t="shared" si="1138"/>
        <v>6003858.7569450568</v>
      </c>
      <c r="T425" s="151">
        <f t="shared" si="1138"/>
        <v>6003858.7569450568</v>
      </c>
      <c r="U425" s="151">
        <f t="shared" si="1138"/>
        <v>6003858.7569450568</v>
      </c>
      <c r="V425" s="151">
        <f t="shared" si="1138"/>
        <v>6003858.7569450568</v>
      </c>
      <c r="W425" s="151">
        <f t="shared" si="1138"/>
        <v>6003858.7569450568</v>
      </c>
      <c r="X425" s="152">
        <f t="shared" si="1138"/>
        <v>6003858.7569450568</v>
      </c>
      <c r="Y425" s="156"/>
    </row>
    <row r="426" spans="1:25" s="95" customFormat="1" hidden="1" outlineLevel="1">
      <c r="B426" s="52"/>
      <c r="C426" s="126" t="s">
        <v>163</v>
      </c>
      <c r="D426" s="151">
        <f>-INDEX('DATA (Nominal)'!$B$73:$BX$73,1,MATCH($B$1,'DATA (Nominal)'!$B$1:$BX$1,0))*1000000*(1+AFUDC!$D$21)*'Resource Options'!$D$21/1000</f>
        <v>-138192640.1105102</v>
      </c>
      <c r="E426" s="151">
        <f t="shared" ref="E426:N426" si="1139">-$D426/10</f>
        <v>13819264.01105102</v>
      </c>
      <c r="F426" s="151">
        <f t="shared" si="1139"/>
        <v>13819264.01105102</v>
      </c>
      <c r="G426" s="151">
        <f t="shared" si="1139"/>
        <v>13819264.01105102</v>
      </c>
      <c r="H426" s="151">
        <f t="shared" si="1139"/>
        <v>13819264.01105102</v>
      </c>
      <c r="I426" s="151">
        <f t="shared" si="1139"/>
        <v>13819264.01105102</v>
      </c>
      <c r="J426" s="151">
        <f t="shared" si="1139"/>
        <v>13819264.01105102</v>
      </c>
      <c r="K426" s="151">
        <f t="shared" si="1139"/>
        <v>13819264.01105102</v>
      </c>
      <c r="L426" s="151">
        <f t="shared" si="1139"/>
        <v>13819264.01105102</v>
      </c>
      <c r="M426" s="151">
        <f t="shared" si="1139"/>
        <v>13819264.01105102</v>
      </c>
      <c r="N426" s="151">
        <f t="shared" si="1139"/>
        <v>13819264.01105102</v>
      </c>
      <c r="O426" s="151">
        <f t="shared" ref="O426:X426" si="1140">$O409/10</f>
        <v>6533746.2950099073</v>
      </c>
      <c r="P426" s="151">
        <f t="shared" si="1140"/>
        <v>6533746.2950099073</v>
      </c>
      <c r="Q426" s="151">
        <f t="shared" si="1140"/>
        <v>6533746.2950099073</v>
      </c>
      <c r="R426" s="151">
        <f t="shared" si="1140"/>
        <v>6533746.2950099073</v>
      </c>
      <c r="S426" s="151">
        <f t="shared" si="1140"/>
        <v>6533746.2950099073</v>
      </c>
      <c r="T426" s="151">
        <f t="shared" si="1140"/>
        <v>6533746.2950099073</v>
      </c>
      <c r="U426" s="151">
        <f t="shared" si="1140"/>
        <v>6533746.2950099073</v>
      </c>
      <c r="V426" s="151">
        <f t="shared" si="1140"/>
        <v>6533746.2950099073</v>
      </c>
      <c r="W426" s="151">
        <f t="shared" si="1140"/>
        <v>6533746.2950099073</v>
      </c>
      <c r="X426" s="152">
        <f t="shared" si="1140"/>
        <v>6533746.2950099073</v>
      </c>
      <c r="Y426" s="156"/>
    </row>
    <row r="427" spans="1:25" hidden="1" outlineLevel="1">
      <c r="A427" s="95"/>
      <c r="B427" s="15"/>
      <c r="C427" s="125" t="s">
        <v>62</v>
      </c>
      <c r="D427" s="151"/>
      <c r="E427" s="151">
        <f>SUM($E425:E426)</f>
        <v>19823122.767996076</v>
      </c>
      <c r="F427" s="151">
        <f>SUM($E425:F426)</f>
        <v>39646245.535992153</v>
      </c>
      <c r="G427" s="151">
        <f>SUM($E425:G426)</f>
        <v>59469368.303988233</v>
      </c>
      <c r="H427" s="151">
        <f>SUM($E425:H426)</f>
        <v>79292491.071984306</v>
      </c>
      <c r="I427" s="151">
        <f>SUM($E425:I426)</f>
        <v>99115613.839980379</v>
      </c>
      <c r="J427" s="151">
        <f>SUM($E425:J426)</f>
        <v>118938736.60797645</v>
      </c>
      <c r="K427" s="151">
        <f>SUM($E425:K426)</f>
        <v>138761859.37597251</v>
      </c>
      <c r="L427" s="151">
        <f>SUM($E425:L426)</f>
        <v>158584982.14396861</v>
      </c>
      <c r="M427" s="151">
        <f>SUM($E425:M426)</f>
        <v>178408104.91196471</v>
      </c>
      <c r="N427" s="151">
        <f>SUM($E425:N426)</f>
        <v>198231227.67996079</v>
      </c>
      <c r="O427" s="151">
        <f>SUM($E425:O426)</f>
        <v>210768832.73191577</v>
      </c>
      <c r="P427" s="151">
        <f>SUM($E425:P426)</f>
        <v>223306437.78387073</v>
      </c>
      <c r="Q427" s="151">
        <f>SUM($E425:Q426)</f>
        <v>235844042.83582571</v>
      </c>
      <c r="R427" s="151">
        <f>SUM($E425:R426)</f>
        <v>248381647.8877807</v>
      </c>
      <c r="S427" s="151">
        <f>SUM($E425:S426)</f>
        <v>260919252.93973565</v>
      </c>
      <c r="T427" s="151">
        <f>SUM($E425:T426)</f>
        <v>273456857.99169064</v>
      </c>
      <c r="U427" s="151">
        <f>SUM($E425:U426)</f>
        <v>285994463.04364562</v>
      </c>
      <c r="V427" s="151">
        <f>SUM($E425:V426)</f>
        <v>298532068.09560061</v>
      </c>
      <c r="W427" s="151">
        <f>SUM($E425:W426)</f>
        <v>311069673.14755553</v>
      </c>
      <c r="X427" s="152">
        <f>SUM($E425:X426)</f>
        <v>323607278.19951051</v>
      </c>
      <c r="Y427" s="156"/>
    </row>
    <row r="428" spans="1:25" hidden="1" outlineLevel="1">
      <c r="A428" s="95"/>
      <c r="B428" s="15"/>
      <c r="C428" s="125" t="s">
        <v>63</v>
      </c>
      <c r="D428" s="151"/>
      <c r="E428" s="151">
        <f>-$D416-E427</f>
        <v>238446692.48141527</v>
      </c>
      <c r="F428" s="151">
        <f t="shared" ref="F428:G428" si="1141">-$D416-F427</f>
        <v>218623569.7134192</v>
      </c>
      <c r="G428" s="151">
        <f t="shared" si="1141"/>
        <v>198800446.94542313</v>
      </c>
      <c r="H428" s="156">
        <f>-$D416-H427</f>
        <v>178977324.17742705</v>
      </c>
      <c r="I428" s="151">
        <f t="shared" ref="I428:L428" si="1142">-$D416-I427</f>
        <v>159154201.40943098</v>
      </c>
      <c r="J428" s="151">
        <f t="shared" si="1142"/>
        <v>139331078.64143491</v>
      </c>
      <c r="K428" s="151">
        <f t="shared" si="1142"/>
        <v>119507955.87343884</v>
      </c>
      <c r="L428" s="151">
        <f t="shared" si="1142"/>
        <v>99684833.105442733</v>
      </c>
      <c r="M428" s="151">
        <f>-$D416-M427</f>
        <v>79861710.33744663</v>
      </c>
      <c r="N428" s="151">
        <f>-$D416-N427</f>
        <v>60038587.569450557</v>
      </c>
      <c r="O428" s="151">
        <f>-$D416-O427+$O409</f>
        <v>112838445.46759465</v>
      </c>
      <c r="P428" s="151">
        <f t="shared" ref="P428" si="1143">-$D416-P427+$O409</f>
        <v>100300840.4156397</v>
      </c>
      <c r="Q428" s="151">
        <f t="shared" ref="Q428" si="1144">-$D416-Q427+$O409</f>
        <v>87763235.363684714</v>
      </c>
      <c r="R428" s="151">
        <f t="shared" ref="R428" si="1145">-$D416-R427+$O409</f>
        <v>75225630.311729729</v>
      </c>
      <c r="S428" s="151">
        <f t="shared" ref="S428" si="1146">-$D416-S427+$O409</f>
        <v>62688025.259774767</v>
      </c>
      <c r="T428" s="151">
        <f t="shared" ref="T428" si="1147">-$D416-T427+$O409</f>
        <v>50150420.207819782</v>
      </c>
      <c r="U428" s="151">
        <f t="shared" ref="U428" si="1148">-$D416-U427+$O409</f>
        <v>37612815.155864798</v>
      </c>
      <c r="V428" s="151">
        <f t="shared" ref="V428" si="1149">-$D416-V427+$O409</f>
        <v>25075210.103909813</v>
      </c>
      <c r="W428" s="151">
        <f t="shared" ref="W428" si="1150">-$D416-W427+$O409</f>
        <v>12537605.051954888</v>
      </c>
      <c r="X428" s="152">
        <f t="shared" ref="X428" si="1151">-$D416-X427+$O409</f>
        <v>-9.6857547760009766E-8</v>
      </c>
      <c r="Y428" s="156"/>
    </row>
    <row r="429" spans="1:25" hidden="1" outlineLevel="1">
      <c r="A429" s="95"/>
      <c r="B429" s="15"/>
      <c r="C429" s="125" t="s">
        <v>64</v>
      </c>
      <c r="D429" s="151">
        <f>-D416</f>
        <v>258269815.24941134</v>
      </c>
      <c r="E429" s="151">
        <f>D429/(($D429/$Y429)^(1/21))</f>
        <v>243879145.11867288</v>
      </c>
      <c r="F429" s="151">
        <f t="shared" ref="F429" si="1152">E429/(($D429/$Y429)^(1/21))</f>
        <v>230290316.21979398</v>
      </c>
      <c r="G429" s="151">
        <f t="shared" ref="G429" si="1153">F429/(($D429/$Y429)^(1/21))</f>
        <v>217458650.34423611</v>
      </c>
      <c r="H429" s="151">
        <f t="shared" ref="H429" si="1154">G429/(($D429/$Y429)^(1/21))</f>
        <v>205341958.73179406</v>
      </c>
      <c r="I429" s="151">
        <f t="shared" ref="I429" si="1155">H429/(($D429/$Y429)^(1/21))</f>
        <v>193900403.35972977</v>
      </c>
      <c r="J429" s="156">
        <f t="shared" ref="J429" si="1156">I429/(($D429/$Y429)^(1/21))</f>
        <v>183096365.96080899</v>
      </c>
      <c r="K429" s="156">
        <f>J429/(($D429/$Y429)^(1/21))</f>
        <v>172894324.33959025</v>
      </c>
      <c r="L429" s="151">
        <f t="shared" ref="L429" si="1157">K429/(($D429/$Y429)^(1/21))</f>
        <v>163260735.58031064</v>
      </c>
      <c r="M429" s="151">
        <f t="shared" ref="M429" si="1158">L429/(($D429/$Y429)^(1/21))</f>
        <v>154163925.76237231</v>
      </c>
      <c r="N429" s="151">
        <f>M429/(($D429/$Y429)^(1/21))</f>
        <v>145573985.82082891</v>
      </c>
      <c r="O429" s="151">
        <f>(N429+O409)/(($D429/($Y429+O409))^(1/21))</f>
        <v>205044571.33297509</v>
      </c>
      <c r="P429" s="151">
        <f>O429/(($O429/$Y429)^(1/11))</f>
        <v>187683131.92997673</v>
      </c>
      <c r="Q429" s="151">
        <f>P429/(($O429/$Y429)^(1/11))</f>
        <v>171791712.31918493</v>
      </c>
      <c r="R429" s="151">
        <f t="shared" ref="R429:X429" si="1159">Q429/(($O429/$Y429)^(1/11))</f>
        <v>157245843.66254324</v>
      </c>
      <c r="S429" s="151">
        <f t="shared" si="1159"/>
        <v>143931596.09006163</v>
      </c>
      <c r="T429" s="151">
        <f t="shared" si="1159"/>
        <v>131744686.34917168</v>
      </c>
      <c r="U429" s="151">
        <f t="shared" si="1159"/>
        <v>120589661.01078404</v>
      </c>
      <c r="V429" s="151">
        <f t="shared" si="1159"/>
        <v>110379148.83454606</v>
      </c>
      <c r="W429" s="151">
        <f t="shared" si="1159"/>
        <v>101033176.43748352</v>
      </c>
      <c r="X429" s="152">
        <f t="shared" si="1159"/>
        <v>92478541.906031668</v>
      </c>
      <c r="Y429" s="156">
        <f>Y416</f>
        <v>77480944.574823394</v>
      </c>
    </row>
    <row r="430" spans="1:25" hidden="1" outlineLevel="1">
      <c r="A430" s="95"/>
      <c r="B430" s="15"/>
      <c r="C430" s="126" t="s">
        <v>65</v>
      </c>
      <c r="D430" s="151"/>
      <c r="E430" s="151">
        <f>-$D416*Assumptions!J$21*INDEX('DATA (Nominal)'!$B$351:$BX$351,1,MATCH($B$1,'DATA (Nominal)'!$B$1:$BX$1,0))</f>
        <v>43905868.592399925</v>
      </c>
      <c r="F430" s="151">
        <f>-$D416*Assumptions!K$21*INDEX('DATA (Nominal)'!$B$351:$BX$351,1,MATCH($B$1,'DATA (Nominal)'!$B$1:$BX$1,0))</f>
        <v>70249389.747839883</v>
      </c>
      <c r="G430" s="151">
        <f>-$D416*Assumptions!L$21*INDEX('DATA (Nominal)'!$B$351:$BX$351,1,MATCH($B$1,'DATA (Nominal)'!$B$1:$BX$1,0))</f>
        <v>42149633.848703928</v>
      </c>
      <c r="H430" s="151">
        <f>-$D416*Assumptions!M$21*INDEX('DATA (Nominal)'!$B$351:$BX$351,1,MATCH($B$1,'DATA (Nominal)'!$B$1:$BX$1,0))</f>
        <v>25289780.309222355</v>
      </c>
      <c r="I430" s="151">
        <f>-$D416*Assumptions!N$21*INDEX('DATA (Nominal)'!$B$351:$BX$351,1,MATCH($B$1,'DATA (Nominal)'!$B$1:$BX$1,0))</f>
        <v>25289780.309222355</v>
      </c>
      <c r="J430" s="151">
        <f>-$D416*Assumptions!O$21*INDEX('DATA (Nominal)'!$B$351:$BX$351,1,MATCH($B$1,'DATA (Nominal)'!$B$1:$BX$1,0))</f>
        <v>12644890.154611178</v>
      </c>
      <c r="K430" s="151">
        <f>-$D416*Assumptions!P$21*INDEX('DATA (Nominal)'!$B$351:$BX$351,1,MATCH($B$1,'DATA (Nominal)'!$B$1:$BX$1,0))</f>
        <v>0</v>
      </c>
      <c r="L430" s="151">
        <f>-$D416*Assumptions!Q$21*INDEX('DATA (Nominal)'!$B$351:$BX$351,1,MATCH($B$1,'DATA (Nominal)'!$B$1:$BX$1,0))</f>
        <v>0</v>
      </c>
      <c r="M430" s="151">
        <f>-$D416*Assumptions!R$21*INDEX('DATA (Nominal)'!$B$351:$BX$351,1,MATCH($B$1,'DATA (Nominal)'!$B$1:$BX$1,0))</f>
        <v>0</v>
      </c>
      <c r="N430" s="151">
        <f>-$D416*Assumptions!S$21*INDEX('DATA (Nominal)'!$B$351:$BX$351,1,MATCH($B$1,'DATA (Nominal)'!$B$1:$BX$1,0))</f>
        <v>0</v>
      </c>
      <c r="O430" s="151">
        <f>$O409*Assumptions!T$21</f>
        <v>9334109.9570511524</v>
      </c>
      <c r="P430" s="151">
        <f>$O409*Assumptions!U$21</f>
        <v>16001144.676479263</v>
      </c>
      <c r="Q430" s="151">
        <f>$O409*Assumptions!V$21</f>
        <v>11429482.393860832</v>
      </c>
      <c r="R430" s="151">
        <f>$O409*Assumptions!W$21</f>
        <v>8163915.9956148798</v>
      </c>
      <c r="S430" s="151">
        <f>$O409*Assumptions!X$21</f>
        <v>5831368.5682963422</v>
      </c>
      <c r="T430" s="151">
        <f>$O409*Assumptions!Y$21</f>
        <v>5831368.5682963422</v>
      </c>
      <c r="U430" s="151">
        <f>$O409*Assumptions!Z$21</f>
        <v>5831368.5682963422</v>
      </c>
      <c r="V430" s="151">
        <f>$O409*Assumptions!AA$21</f>
        <v>2914704.2222039197</v>
      </c>
      <c r="W430" s="151">
        <f>$O409*Assumptions!AB$21</f>
        <v>0</v>
      </c>
      <c r="X430" s="160">
        <f>$O409*Assumptions!AC$21</f>
        <v>0</v>
      </c>
      <c r="Y430" s="156"/>
    </row>
    <row r="431" spans="1:25" ht="15.75" hidden="1" outlineLevel="1" thickBot="1">
      <c r="A431" s="95"/>
      <c r="B431" s="15"/>
      <c r="C431" s="127" t="s">
        <v>66</v>
      </c>
      <c r="D431" s="157"/>
      <c r="E431" s="157">
        <f>E430*Federal_Tax_Rate</f>
        <v>9220232.4044039845</v>
      </c>
      <c r="F431" s="157">
        <f>F430*Federal_Tax_Rate</f>
        <v>14752371.847046375</v>
      </c>
      <c r="G431" s="157">
        <f t="shared" ref="G431" si="1160">G430*Federal_Tax_Rate</f>
        <v>8851423.1082278248</v>
      </c>
      <c r="H431" s="157">
        <f t="shared" ref="H431" si="1161">H430*Federal_Tax_Rate</f>
        <v>5310853.8649366945</v>
      </c>
      <c r="I431" s="157">
        <f t="shared" ref="I431" si="1162">I430*Federal_Tax_Rate</f>
        <v>5310853.8649366945</v>
      </c>
      <c r="J431" s="157">
        <f t="shared" ref="J431" si="1163">J430*Federal_Tax_Rate</f>
        <v>2655426.9324683473</v>
      </c>
      <c r="K431" s="157">
        <f t="shared" ref="K431" si="1164">K430*Federal_Tax_Rate</f>
        <v>0</v>
      </c>
      <c r="L431" s="157">
        <f t="shared" ref="L431" si="1165">L430*Federal_Tax_Rate</f>
        <v>0</v>
      </c>
      <c r="M431" s="157">
        <f t="shared" ref="M431" si="1166">M430*Federal_Tax_Rate</f>
        <v>0</v>
      </c>
      <c r="N431" s="157">
        <f>N430*Federal_Tax_Rate</f>
        <v>0</v>
      </c>
      <c r="O431" s="157">
        <f>O430*Federal_Tax_Rate</f>
        <v>1960163.0909807419</v>
      </c>
      <c r="P431" s="157">
        <f t="shared" ref="P431" si="1167">P430*Federal_Tax_Rate</f>
        <v>3360240.3820606451</v>
      </c>
      <c r="Q431" s="157">
        <f t="shared" ref="Q431" si="1168">Q430*Federal_Tax_Rate</f>
        <v>2400191.3027107748</v>
      </c>
      <c r="R431" s="157">
        <f t="shared" ref="R431" si="1169">R430*Federal_Tax_Rate</f>
        <v>1714422.3590791246</v>
      </c>
      <c r="S431" s="157">
        <f t="shared" ref="S431" si="1170">S430*Federal_Tax_Rate</f>
        <v>1224587.3993422319</v>
      </c>
      <c r="T431" s="157">
        <f t="shared" ref="T431" si="1171">T430*Federal_Tax_Rate</f>
        <v>1224587.3993422319</v>
      </c>
      <c r="U431" s="157">
        <f t="shared" ref="U431" si="1172">U430*Federal_Tax_Rate</f>
        <v>1224587.3993422319</v>
      </c>
      <c r="V431" s="157">
        <f t="shared" ref="V431" si="1173">V430*Federal_Tax_Rate</f>
        <v>612087.88666282315</v>
      </c>
      <c r="W431" s="157">
        <f t="shared" ref="W431" si="1174">W430*Federal_Tax_Rate</f>
        <v>0</v>
      </c>
      <c r="X431" s="158">
        <f t="shared" ref="X431" si="1175">X430*Federal_Tax_Rate</f>
        <v>0</v>
      </c>
      <c r="Y431" s="156"/>
    </row>
    <row r="432" spans="1:25" hidden="1" outlineLevel="1">
      <c r="A432" s="95"/>
      <c r="B432" s="15"/>
      <c r="C432" s="128" t="s">
        <v>67</v>
      </c>
      <c r="D432" s="104">
        <f>NPV(Tax_Equity_Rate,E431:N431)</f>
        <v>37403061.780716673</v>
      </c>
      <c r="E432" s="105">
        <f>D432/D436</f>
        <v>0.14482165383746648</v>
      </c>
      <c r="F432" s="99"/>
      <c r="G432" s="99"/>
      <c r="H432" s="99"/>
      <c r="I432" s="99"/>
      <c r="J432" s="99"/>
      <c r="K432" s="99"/>
      <c r="L432" s="99"/>
      <c r="M432" s="261"/>
      <c r="N432" s="261"/>
      <c r="O432" s="261"/>
      <c r="P432" s="261"/>
      <c r="Q432" s="261"/>
      <c r="R432" s="261"/>
      <c r="S432" s="261"/>
      <c r="T432" s="261"/>
      <c r="U432" s="261"/>
      <c r="V432" s="261"/>
      <c r="W432" s="261"/>
      <c r="X432" s="261"/>
      <c r="Y432" s="261"/>
    </row>
    <row r="433" spans="1:25" hidden="1" outlineLevel="1">
      <c r="A433" s="95"/>
      <c r="B433" s="15"/>
      <c r="C433" s="125" t="s">
        <v>129</v>
      </c>
      <c r="D433" s="106">
        <f>NPV(Tax_Equity_Rate,E413:X413)</f>
        <v>71741615.347058699</v>
      </c>
      <c r="E433" s="107">
        <f>D433/D436</f>
        <v>0.27777777777777773</v>
      </c>
      <c r="F433" s="95"/>
      <c r="G433" s="95"/>
      <c r="H433" s="95"/>
      <c r="I433" s="95"/>
      <c r="J433" s="95"/>
      <c r="K433" s="95"/>
      <c r="L433" s="95"/>
    </row>
    <row r="434" spans="1:25" hidden="1" outlineLevel="1">
      <c r="A434" s="95"/>
      <c r="B434" s="22">
        <f>Assumptions!F21</f>
        <v>0.73499999999999999</v>
      </c>
      <c r="C434" s="125" t="s">
        <v>68</v>
      </c>
      <c r="D434" s="106">
        <f>(D436-D432-D433)*$B434</f>
        <v>109606976.51940244</v>
      </c>
      <c r="E434" s="107">
        <f>D434/D436</f>
        <v>0.42438941776279548</v>
      </c>
      <c r="F434" s="95"/>
      <c r="G434" s="95"/>
      <c r="H434" s="95"/>
      <c r="I434" s="95"/>
      <c r="J434" s="95"/>
      <c r="K434" s="95"/>
      <c r="L434" s="95"/>
    </row>
    <row r="435" spans="1:25" hidden="1" outlineLevel="1">
      <c r="A435" s="95"/>
      <c r="B435" s="22">
        <f>1-B434</f>
        <v>0.26500000000000001</v>
      </c>
      <c r="C435" s="125" t="s">
        <v>69</v>
      </c>
      <c r="D435" s="106">
        <f>(D436-D432-D433)*$B435</f>
        <v>39518161.602233537</v>
      </c>
      <c r="E435" s="107">
        <f>D435/D436</f>
        <v>0.1530111506219603</v>
      </c>
      <c r="F435" s="95"/>
      <c r="G435" s="95"/>
      <c r="H435" s="95"/>
      <c r="I435" s="95"/>
      <c r="J435" s="95"/>
      <c r="K435" s="95"/>
      <c r="L435" s="95"/>
    </row>
    <row r="436" spans="1:25" hidden="1" outlineLevel="1">
      <c r="A436" s="95"/>
      <c r="C436" s="125" t="s">
        <v>70</v>
      </c>
      <c r="D436" s="106">
        <f>-D416</f>
        <v>258269815.24941134</v>
      </c>
      <c r="E436" s="108"/>
      <c r="F436" s="95"/>
      <c r="G436" s="95"/>
      <c r="H436" s="95"/>
      <c r="I436" s="95"/>
      <c r="J436" s="95"/>
      <c r="K436" s="95"/>
      <c r="L436" s="95"/>
    </row>
    <row r="437" spans="1:25" ht="15.75" hidden="1" outlineLevel="1" thickBot="1">
      <c r="A437" s="95"/>
      <c r="C437" s="127" t="s">
        <v>71</v>
      </c>
      <c r="D437" s="109">
        <f>SUM(D432:D435)-D436</f>
        <v>0</v>
      </c>
      <c r="E437" s="110"/>
      <c r="F437" s="95"/>
      <c r="G437" s="95"/>
      <c r="H437" s="95"/>
      <c r="I437" s="95"/>
      <c r="J437" s="95"/>
      <c r="K437" s="95"/>
      <c r="L437" s="95"/>
    </row>
    <row r="438" spans="1:25" hidden="1" outlineLevel="1">
      <c r="A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</row>
    <row r="439" spans="1:25" ht="15.75" collapsed="1" thickBot="1">
      <c r="A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</row>
    <row r="440" spans="1:25" ht="18.75" thickBot="1">
      <c r="A440" s="86"/>
      <c r="B440" s="82"/>
      <c r="C440" s="484" t="s">
        <v>136</v>
      </c>
      <c r="D440" s="485"/>
      <c r="E440" s="485"/>
      <c r="F440" s="485"/>
      <c r="G440" s="485"/>
      <c r="H440" s="486"/>
      <c r="I440" s="95"/>
      <c r="J440" s="95"/>
      <c r="K440" s="95"/>
      <c r="L440" s="95"/>
      <c r="Y440" s="261"/>
    </row>
    <row r="441" spans="1:25" hidden="1" outlineLevel="1">
      <c r="A441" s="95"/>
      <c r="C441" s="124" t="s">
        <v>44</v>
      </c>
      <c r="D441" s="153"/>
      <c r="E441" s="153">
        <f>'Resource Options'!$E$22*INDEX('DATA (Nominal)'!$B$22:$BX$22,1,MATCH($B$1,'DATA (Nominal)'!$B$1:$BX$1,0))*8760</f>
        <v>240695.09517976042</v>
      </c>
      <c r="F441" s="153">
        <f>'Resource Options'!$E$22*INDEX('DATA (Nominal)'!$B$22:$BX$22,1,MATCH($B$1,'DATA (Nominal)'!$B$1:$BX$1,0))*8760</f>
        <v>240695.09517976042</v>
      </c>
      <c r="G441" s="153">
        <f>'Resource Options'!$E$22*INDEX('DATA (Nominal)'!$B$22:$BX$22,1,MATCH($B$1,'DATA (Nominal)'!$B$1:$BX$1,0))*8760</f>
        <v>240695.09517976042</v>
      </c>
      <c r="H441" s="153">
        <f>'Resource Options'!$E$22*INDEX('DATA (Nominal)'!$B$22:$BX$22,1,MATCH($B$1,'DATA (Nominal)'!$B$1:$BX$1,0))*8760</f>
        <v>240695.09517976042</v>
      </c>
      <c r="I441" s="153">
        <f>'Resource Options'!$E$22*INDEX('DATA (Nominal)'!$B$22:$BX$22,1,MATCH($B$1,'DATA (Nominal)'!$B$1:$BX$1,0))*8760</f>
        <v>240695.09517976042</v>
      </c>
      <c r="J441" s="153">
        <f>'Resource Options'!$E$22*INDEX('DATA (Nominal)'!$B$22:$BX$22,1,MATCH($B$1,'DATA (Nominal)'!$B$1:$BX$1,0))*8760</f>
        <v>240695.09517976042</v>
      </c>
      <c r="K441" s="153">
        <f>'Resource Options'!$E$22*INDEX('DATA (Nominal)'!$B$22:$BX$22,1,MATCH($B$1,'DATA (Nominal)'!$B$1:$BX$1,0))*8760</f>
        <v>240695.09517976042</v>
      </c>
      <c r="L441" s="153">
        <f>'Resource Options'!$E$22*INDEX('DATA (Nominal)'!$B$22:$BX$22,1,MATCH($B$1,'DATA (Nominal)'!$B$1:$BX$1,0))*8760</f>
        <v>240695.09517976042</v>
      </c>
      <c r="M441" s="153">
        <f>'Resource Options'!$E$22*INDEX('DATA (Nominal)'!$B$22:$BX$22,1,MATCH($B$1,'DATA (Nominal)'!$B$1:$BX$1,0))*8760</f>
        <v>240695.09517976042</v>
      </c>
      <c r="N441" s="153">
        <f>'Resource Options'!$E$22*INDEX('DATA (Nominal)'!$B$22:$BX$22,1,MATCH($B$1,'DATA (Nominal)'!$B$1:$BX$1,0))*8760</f>
        <v>240695.09517976042</v>
      </c>
      <c r="O441" s="153">
        <f>'Resource Options'!$E$22*INDEX('DATA (Nominal)'!$B$22:$BX$22,1,MATCH($B$1,'DATA (Nominal)'!$B$1:$BX$1,0))*8760</f>
        <v>240695.09517976042</v>
      </c>
      <c r="P441" s="153">
        <f>'Resource Options'!$E$22*INDEX('DATA (Nominal)'!$B$22:$BX$22,1,MATCH($B$1,'DATA (Nominal)'!$B$1:$BX$1,0))*8760</f>
        <v>240695.09517976042</v>
      </c>
      <c r="Q441" s="153">
        <f>'Resource Options'!$E$22*INDEX('DATA (Nominal)'!$B$22:$BX$22,1,MATCH($B$1,'DATA (Nominal)'!$B$1:$BX$1,0))*8760</f>
        <v>240695.09517976042</v>
      </c>
      <c r="R441" s="153">
        <f>'Resource Options'!$E$22*INDEX('DATA (Nominal)'!$B$22:$BX$22,1,MATCH($B$1,'DATA (Nominal)'!$B$1:$BX$1,0))*8760</f>
        <v>240695.09517976042</v>
      </c>
      <c r="S441" s="153">
        <f>'Resource Options'!$E$22*INDEX('DATA (Nominal)'!$B$22:$BX$22,1,MATCH($B$1,'DATA (Nominal)'!$B$1:$BX$1,0))*8760</f>
        <v>240695.09517976042</v>
      </c>
      <c r="T441" s="153">
        <f>'Resource Options'!$E$22*INDEX('DATA (Nominal)'!$B$22:$BX$22,1,MATCH($B$1,'DATA (Nominal)'!$B$1:$BX$1,0))*8760</f>
        <v>240695.09517976042</v>
      </c>
      <c r="U441" s="153">
        <f>'Resource Options'!$E$22*INDEX('DATA (Nominal)'!$B$22:$BX$22,1,MATCH($B$1,'DATA (Nominal)'!$B$1:$BX$1,0))*8760</f>
        <v>240695.09517976042</v>
      </c>
      <c r="V441" s="153">
        <f>'Resource Options'!$E$22*INDEX('DATA (Nominal)'!$B$22:$BX$22,1,MATCH($B$1,'DATA (Nominal)'!$B$1:$BX$1,0))*8760</f>
        <v>240695.09517976042</v>
      </c>
      <c r="W441" s="153">
        <f>'Resource Options'!$E$22*INDEX('DATA (Nominal)'!$B$22:$BX$22,1,MATCH($B$1,'DATA (Nominal)'!$B$1:$BX$1,0))*8760</f>
        <v>240695.09517976042</v>
      </c>
      <c r="X441" s="159">
        <f>'Resource Options'!$E$22*INDEX('DATA (Nominal)'!$B$22:$BX$22,1,MATCH($B$1,'DATA (Nominal)'!$B$1:$BX$1,0))*8760</f>
        <v>240695.09517976042</v>
      </c>
      <c r="Y441" s="156"/>
    </row>
    <row r="442" spans="1:25" hidden="1" outlineLevel="1">
      <c r="A442" s="95"/>
      <c r="C442" s="125" t="s">
        <v>45</v>
      </c>
      <c r="D442" s="151"/>
      <c r="E442" s="154">
        <f>PPA_SOLAR_PV_Single_Axis_Tracking</f>
        <v>41.835669438877432</v>
      </c>
      <c r="F442" s="154">
        <f>E442</f>
        <v>41.835669438877432</v>
      </c>
      <c r="G442" s="154">
        <f t="shared" ref="G442:G443" si="1176">F442</f>
        <v>41.835669438877432</v>
      </c>
      <c r="H442" s="154">
        <f t="shared" ref="H442:H443" si="1177">G442</f>
        <v>41.835669438877432</v>
      </c>
      <c r="I442" s="154">
        <f t="shared" ref="I442:I443" si="1178">H442</f>
        <v>41.835669438877432</v>
      </c>
      <c r="J442" s="154">
        <f t="shared" ref="J442:J443" si="1179">I442</f>
        <v>41.835669438877432</v>
      </c>
      <c r="K442" s="154">
        <f t="shared" ref="K442:K443" si="1180">J442</f>
        <v>41.835669438877432</v>
      </c>
      <c r="L442" s="154">
        <f t="shared" ref="L442:L443" si="1181">K442</f>
        <v>41.835669438877432</v>
      </c>
      <c r="M442" s="154">
        <f t="shared" ref="M442:M443" si="1182">L442</f>
        <v>41.835669438877432</v>
      </c>
      <c r="N442" s="154">
        <f t="shared" ref="N442:N443" si="1183">M442</f>
        <v>41.835669438877432</v>
      </c>
      <c r="O442" s="154">
        <f t="shared" ref="O442:O443" si="1184">N442</f>
        <v>41.835669438877432</v>
      </c>
      <c r="P442" s="154">
        <f t="shared" ref="P442:P443" si="1185">O442</f>
        <v>41.835669438877432</v>
      </c>
      <c r="Q442" s="154">
        <f t="shared" ref="Q442:Q443" si="1186">P442</f>
        <v>41.835669438877432</v>
      </c>
      <c r="R442" s="154">
        <f t="shared" ref="R442:R443" si="1187">Q442</f>
        <v>41.835669438877432</v>
      </c>
      <c r="S442" s="154">
        <f t="shared" ref="S442:S443" si="1188">R442</f>
        <v>41.835669438877432</v>
      </c>
      <c r="T442" s="154">
        <f t="shared" ref="T442:T443" si="1189">S442</f>
        <v>41.835669438877432</v>
      </c>
      <c r="U442" s="154">
        <f t="shared" ref="U442:U443" si="1190">T442</f>
        <v>41.835669438877432</v>
      </c>
      <c r="V442" s="154">
        <f t="shared" ref="V442:V443" si="1191">U442</f>
        <v>41.835669438877432</v>
      </c>
      <c r="W442" s="154">
        <f t="shared" ref="W442:W443" si="1192">V442</f>
        <v>41.835669438877432</v>
      </c>
      <c r="X442" s="152">
        <f t="shared" ref="X442:X443" si="1193">W442</f>
        <v>41.835669438877432</v>
      </c>
      <c r="Y442" s="156"/>
    </row>
    <row r="443" spans="1:25" s="95" customFormat="1" hidden="1" outlineLevel="1">
      <c r="C443" s="125" t="s">
        <v>111</v>
      </c>
      <c r="D443" s="151"/>
      <c r="E443" s="154">
        <f>INDEX('PPA Summary'!$75:$106,MATCH($C440,'PPA Summary'!$D$75:$D$106,0),MATCH($B$1,'PPA Summary'!$74:$74,0))</f>
        <v>7.1768364471151234</v>
      </c>
      <c r="F443" s="154">
        <f>E443</f>
        <v>7.1768364471151234</v>
      </c>
      <c r="G443" s="154">
        <f t="shared" si="1176"/>
        <v>7.1768364471151234</v>
      </c>
      <c r="H443" s="154">
        <f t="shared" si="1177"/>
        <v>7.1768364471151234</v>
      </c>
      <c r="I443" s="154">
        <f t="shared" si="1178"/>
        <v>7.1768364471151234</v>
      </c>
      <c r="J443" s="154">
        <f t="shared" si="1179"/>
        <v>7.1768364471151234</v>
      </c>
      <c r="K443" s="154">
        <f t="shared" si="1180"/>
        <v>7.1768364471151234</v>
      </c>
      <c r="L443" s="154">
        <f t="shared" si="1181"/>
        <v>7.1768364471151234</v>
      </c>
      <c r="M443" s="154">
        <f t="shared" si="1182"/>
        <v>7.1768364471151234</v>
      </c>
      <c r="N443" s="154">
        <f t="shared" si="1183"/>
        <v>7.1768364471151234</v>
      </c>
      <c r="O443" s="154">
        <f t="shared" si="1184"/>
        <v>7.1768364471151234</v>
      </c>
      <c r="P443" s="154">
        <f t="shared" si="1185"/>
        <v>7.1768364471151234</v>
      </c>
      <c r="Q443" s="154">
        <f t="shared" si="1186"/>
        <v>7.1768364471151234</v>
      </c>
      <c r="R443" s="154">
        <f t="shared" si="1187"/>
        <v>7.1768364471151234</v>
      </c>
      <c r="S443" s="154">
        <f t="shared" si="1188"/>
        <v>7.1768364471151234</v>
      </c>
      <c r="T443" s="154">
        <f t="shared" si="1189"/>
        <v>7.1768364471151234</v>
      </c>
      <c r="U443" s="154">
        <f t="shared" si="1190"/>
        <v>7.1768364471151234</v>
      </c>
      <c r="V443" s="154">
        <f t="shared" si="1191"/>
        <v>7.1768364471151234</v>
      </c>
      <c r="W443" s="154">
        <f t="shared" si="1192"/>
        <v>7.1768364471151234</v>
      </c>
      <c r="X443" s="152">
        <f t="shared" si="1193"/>
        <v>7.1768364471151234</v>
      </c>
      <c r="Y443" s="156"/>
    </row>
    <row r="444" spans="1:25" hidden="1" outlineLevel="1">
      <c r="A444" s="95"/>
      <c r="C444" s="126" t="s">
        <v>46</v>
      </c>
      <c r="D444" s="151"/>
      <c r="E444" s="151">
        <f>E442*E441+E443*12*'Resource Options'!$E$22*1000</f>
        <v>18681844.174037747</v>
      </c>
      <c r="F444" s="151">
        <f>F442*F441+F443*12*'Resource Options'!$E$22*1000</f>
        <v>18681844.174037747</v>
      </c>
      <c r="G444" s="151">
        <f>G442*G441+G443*12*'Resource Options'!$E$22*1000</f>
        <v>18681844.174037747</v>
      </c>
      <c r="H444" s="151">
        <f>H442*H441+H443*12*'Resource Options'!$E$22*1000</f>
        <v>18681844.174037747</v>
      </c>
      <c r="I444" s="151">
        <f>I442*I441+I443*12*'Resource Options'!$E$22*1000</f>
        <v>18681844.174037747</v>
      </c>
      <c r="J444" s="151">
        <f>J442*J441+J443*12*'Resource Options'!$E$22*1000</f>
        <v>18681844.174037747</v>
      </c>
      <c r="K444" s="151">
        <f>K442*K441+K443*12*'Resource Options'!$E$22*1000</f>
        <v>18681844.174037747</v>
      </c>
      <c r="L444" s="151">
        <f>L442*L441+L443*12*'Resource Options'!$E$22*1000</f>
        <v>18681844.174037747</v>
      </c>
      <c r="M444" s="151">
        <f>M442*M441+M443*12*'Resource Options'!$E$22*1000</f>
        <v>18681844.174037747</v>
      </c>
      <c r="N444" s="151">
        <f>N442*N441+N443*12*'Resource Options'!$E$22*1000</f>
        <v>18681844.174037747</v>
      </c>
      <c r="O444" s="151">
        <f>O442*O441+O443*12*'Resource Options'!$E$22*1000</f>
        <v>18681844.174037747</v>
      </c>
      <c r="P444" s="151">
        <f>P442*P441+P443*12*'Resource Options'!$E$22*1000</f>
        <v>18681844.174037747</v>
      </c>
      <c r="Q444" s="151">
        <f>Q442*Q441+Q443*12*'Resource Options'!$E$22*1000</f>
        <v>18681844.174037747</v>
      </c>
      <c r="R444" s="151">
        <f>R442*R441+R443*12*'Resource Options'!$E$22*1000</f>
        <v>18681844.174037747</v>
      </c>
      <c r="S444" s="151">
        <f>S442*S441+S443*12*'Resource Options'!$E$22*1000</f>
        <v>18681844.174037747</v>
      </c>
      <c r="T444" s="151">
        <f>T442*T441+T443*12*'Resource Options'!$E$22*1000</f>
        <v>18681844.174037747</v>
      </c>
      <c r="U444" s="151">
        <f>U442*U441+U443*12*'Resource Options'!$E$22*1000</f>
        <v>18681844.174037747</v>
      </c>
      <c r="V444" s="151">
        <f>V442*V441+V443*12*'Resource Options'!$E$22*1000</f>
        <v>18681844.174037747</v>
      </c>
      <c r="W444" s="151">
        <f>W442*W441+W443*12*'Resource Options'!$E$22*1000</f>
        <v>18681844.174037747</v>
      </c>
      <c r="X444" s="152">
        <f>X442*X441+X443*12*'Resource Options'!$E$22*1000</f>
        <v>18681844.174037747</v>
      </c>
      <c r="Y444" s="156"/>
    </row>
    <row r="445" spans="1:25" hidden="1" outlineLevel="1">
      <c r="A445" s="95"/>
      <c r="C445" s="126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2"/>
      <c r="Y445" s="156"/>
    </row>
    <row r="446" spans="1:25" hidden="1" outlineLevel="1">
      <c r="A446" s="95"/>
      <c r="B446" s="92"/>
      <c r="C446" s="125" t="s">
        <v>158</v>
      </c>
      <c r="D446" s="151"/>
      <c r="E446" s="151">
        <f>'Resource Options'!$E$22*INDEX('DATA (Nominal)'!$B$193:$BX$193,1,MATCH(E$1,'DATA (Nominal)'!$B$1:$BX$1,0))*1000*0.8</f>
        <v>1723726.7416158107</v>
      </c>
      <c r="F446" s="151">
        <f>'Resource Options'!$E$22*INDEX('DATA (Nominal)'!$B$193:$BX$193,1,MATCH(F$1,'DATA (Nominal)'!$B$1:$BX$1,0))*1000*0.8</f>
        <v>1704800.4437326235</v>
      </c>
      <c r="G446" s="151">
        <f>'Resource Options'!$E$22*INDEX('DATA (Nominal)'!$B$193:$BX$193,1,MATCH(G$1,'DATA (Nominal)'!$B$1:$BX$1,0))*1000*0.8</f>
        <v>1684332.5258290214</v>
      </c>
      <c r="H446" s="151">
        <f>'Resource Options'!$E$22*INDEX('DATA (Nominal)'!$B$193:$BX$193,1,MATCH(H$1,'DATA (Nominal)'!$B$1:$BX$1,0))*1000*0.8</f>
        <v>1661718.6294805943</v>
      </c>
      <c r="I446" s="151">
        <f>'Resource Options'!$E$22*INDEX('DATA (Nominal)'!$B$193:$BX$193,1,MATCH(I$1,'DATA (Nominal)'!$B$1:$BX$1,0))*1000*0.8</f>
        <v>1637452.1373468188</v>
      </c>
      <c r="J446" s="151">
        <f>'Resource Options'!$E$22*INDEX('DATA (Nominal)'!$B$193:$BX$193,1,MATCH(J$1,'DATA (Nominal)'!$B$1:$BX$1,0))*1000*0.8</f>
        <v>1611468.5429029772</v>
      </c>
      <c r="K446" s="151">
        <f>'Resource Options'!$E$22*INDEX('DATA (Nominal)'!$B$193:$BX$193,1,MATCH(K$1,'DATA (Nominal)'!$B$1:$BX$1,0))*1000*0.8</f>
        <v>1636025.2070605527</v>
      </c>
      <c r="L446" s="151">
        <f>'Resource Options'!$E$22*INDEX('DATA (Nominal)'!$B$193:$BX$193,1,MATCH(L$1,'DATA (Nominal)'!$B$1:$BX$1,0))*1000*0.8</f>
        <v>1660911.0675082516</v>
      </c>
      <c r="M446" s="151">
        <f>'Resource Options'!$E$22*INDEX('DATA (Nominal)'!$B$193:$BX$193,1,MATCH(M$1,'DATA (Nominal)'!$B$1:$BX$1,0))*1000*0.8</f>
        <v>1686128.8737726239</v>
      </c>
      <c r="N446" s="151">
        <f>'Resource Options'!$E$22*INDEX('DATA (Nominal)'!$B$193:$BX$193,1,MATCH(N$1,'DATA (Nominal)'!$B$1:$BX$1,0))*1000*0.8</f>
        <v>1711681.3404396807</v>
      </c>
      <c r="O446" s="151">
        <f>'Resource Options'!$E$22*INDEX('DATA (Nominal)'!$B$193:$BX$193,1,MATCH(O$1,'DATA (Nominal)'!$B$1:$BX$1,0))*1000*0.8</f>
        <v>1737571.1443041258</v>
      </c>
      <c r="P446" s="151">
        <f>'Resource Options'!$E$22*INDEX('DATA (Nominal)'!$B$193:$BX$193,1,MATCH(P$1,'DATA (Nominal)'!$B$1:$BX$1,0))*1000*0.8</f>
        <v>1763800.9214110894</v>
      </c>
      <c r="Q446" s="151">
        <f>'Resource Options'!$E$22*INDEX('DATA (Nominal)'!$B$193:$BX$193,1,MATCH(Q$1,'DATA (Nominal)'!$B$1:$BX$1,0))*1000*0.8</f>
        <v>1790373.2639870059</v>
      </c>
      <c r="R446" s="151">
        <f>'Resource Options'!$E$22*INDEX('DATA (Nominal)'!$B$193:$BX$193,1,MATCH(R$1,'DATA (Nominal)'!$B$1:$BX$1,0))*1000*0.8</f>
        <v>1817290.7172561865</v>
      </c>
      <c r="S446" s="151">
        <f>'Resource Options'!$E$22*INDEX('DATA (Nominal)'!$B$193:$BX$193,1,MATCH(S$1,'DATA (Nominal)'!$B$1:$BX$1,0))*1000*0.8</f>
        <v>1844555.7761395318</v>
      </c>
      <c r="T446" s="151">
        <f>'Resource Options'!$E$22*INDEX('DATA (Nominal)'!$B$193:$BX$193,1,MATCH(T$1,'DATA (Nominal)'!$B$1:$BX$1,0))*1000*0.8</f>
        <v>1872170.8818317321</v>
      </c>
      <c r="U446" s="151">
        <f>'Resource Options'!$E$22*INDEX('DATA (Nominal)'!$B$193:$BX$193,1,MATCH(U$1,'DATA (Nominal)'!$B$1:$BX$1,0))*1000*0.8</f>
        <v>1900138.4182532136</v>
      </c>
      <c r="V446" s="151">
        <f>'Resource Options'!$E$22*INDEX('DATA (Nominal)'!$B$193:$BX$193,1,MATCH(V$1,'DATA (Nominal)'!$B$1:$BX$1,0))*1000*0.8</f>
        <v>1928460.7083729524</v>
      </c>
      <c r="W446" s="151">
        <f>'Resource Options'!$E$22*INDEX('DATA (Nominal)'!$B$193:$BX$193,1,MATCH(W$1,'DATA (Nominal)'!$B$1:$BX$1,0))*1000*0.8</f>
        <v>1957140.0103982044</v>
      </c>
      <c r="X446" s="152">
        <f>'Resource Options'!$E$22*INDEX('DATA (Nominal)'!$B$193:$BX$193,1,MATCH(X$1,'DATA (Nominal)'!$B$1:$BX$1,0))*1000*0.8</f>
        <v>1986178.5138270629</v>
      </c>
      <c r="Y446" s="156"/>
    </row>
    <row r="447" spans="1:25" s="95" customFormat="1" hidden="1" outlineLevel="1">
      <c r="B447" s="92"/>
      <c r="C447" s="125" t="s">
        <v>159</v>
      </c>
      <c r="D447" s="151"/>
      <c r="E447" s="151">
        <f>'Resource Options'!$E$22*INDEX('DATA (Nominal)'!$B$194:$BX$194,1,MATCH(E$1,'DATA (Nominal)'!$B$1:$BX$1,0))*1000*0.8</f>
        <v>1594446.4976514066</v>
      </c>
      <c r="F447" s="151">
        <f>'Resource Options'!$E$22*INDEX('DATA (Nominal)'!$B$194:$BX$194,1,MATCH(F$1,'DATA (Nominal)'!$B$1:$BX$1,0))*1000*0.8</f>
        <v>1581903.1220988305</v>
      </c>
      <c r="G447" s="151">
        <f>'Resource Options'!$E$22*INDEX('DATA (Nominal)'!$B$194:$BX$194,1,MATCH(G$1,'DATA (Nominal)'!$B$1:$BX$1,0))*1000*0.8</f>
        <v>1571330.3274178444</v>
      </c>
      <c r="H447" s="151">
        <f>'Resource Options'!$E$22*INDEX('DATA (Nominal)'!$B$194:$BX$194,1,MATCH(H$1,'DATA (Nominal)'!$B$1:$BX$1,0))*1000*0.8</f>
        <v>1545729.7858896446</v>
      </c>
      <c r="I447" s="151">
        <f>'Resource Options'!$E$22*INDEX('DATA (Nominal)'!$B$194:$BX$194,1,MATCH(I$1,'DATA (Nominal)'!$B$1:$BX$1,0))*1000*0.8</f>
        <v>1545341.6509175405</v>
      </c>
      <c r="J447" s="151">
        <f>'Resource Options'!$E$22*INDEX('DATA (Nominal)'!$B$194:$BX$194,1,MATCH(J$1,'DATA (Nominal)'!$B$1:$BX$1,0))*1000*0.8</f>
        <v>1533891.0501657855</v>
      </c>
      <c r="K447" s="151">
        <f>'Resource Options'!$E$22*INDEX('DATA (Nominal)'!$B$194:$BX$194,1,MATCH(K$1,'DATA (Nominal)'!$B$1:$BX$1,0))*1000*0.8</f>
        <v>1548981.0560302211</v>
      </c>
      <c r="L447" s="151">
        <f>'Resource Options'!$E$22*INDEX('DATA (Nominal)'!$B$194:$BX$194,1,MATCH(L$1,'DATA (Nominal)'!$B$1:$BX$1,0))*1000*0.8</f>
        <v>1563032.0810173675</v>
      </c>
      <c r="M447" s="151">
        <f>'Resource Options'!$E$22*INDEX('DATA (Nominal)'!$B$194:$BX$194,1,MATCH(M$1,'DATA (Nominal)'!$B$1:$BX$1,0))*1000*0.8</f>
        <v>1576951.6442728331</v>
      </c>
      <c r="N447" s="151">
        <f>'Resource Options'!$E$22*INDEX('DATA (Nominal)'!$B$194:$BX$194,1,MATCH(N$1,'DATA (Nominal)'!$B$1:$BX$1,0))*1000*0.8</f>
        <v>1590727.1607843265</v>
      </c>
      <c r="O447" s="151">
        <f>'Resource Options'!$E$22*INDEX('DATA (Nominal)'!$B$194:$BX$194,1,MATCH(O$1,'DATA (Nominal)'!$B$1:$BX$1,0))*1000*0.8</f>
        <v>1604345.5554264945</v>
      </c>
      <c r="P447" s="151">
        <f>'Resource Options'!$E$22*INDEX('DATA (Nominal)'!$B$194:$BX$194,1,MATCH(P$1,'DATA (Nominal)'!$B$1:$BX$1,0))*1000*0.8</f>
        <v>1617793.2474870987</v>
      </c>
      <c r="Q447" s="151">
        <f>'Resource Options'!$E$22*INDEX('DATA (Nominal)'!$B$194:$BX$194,1,MATCH(Q$1,'DATA (Nominal)'!$B$1:$BX$1,0))*1000*0.8</f>
        <v>1631056.134749542</v>
      </c>
      <c r="R447" s="151">
        <f>'Resource Options'!$E$22*INDEX('DATA (Nominal)'!$B$194:$BX$194,1,MATCH(R$1,'DATA (Nominal)'!$B$1:$BX$1,0))*1000*0.8</f>
        <v>1644119.5771197535</v>
      </c>
      <c r="S447" s="151">
        <f>'Resource Options'!$E$22*INDEX('DATA (Nominal)'!$B$194:$BX$194,1,MATCH(S$1,'DATA (Nominal)'!$B$1:$BX$1,0))*1000*0.8</f>
        <v>1656968.3797850355</v>
      </c>
      <c r="T447" s="151">
        <f>'Resource Options'!$E$22*INDEX('DATA (Nominal)'!$B$194:$BX$194,1,MATCH(T$1,'DATA (Nominal)'!$B$1:$BX$1,0))*1000*0.8</f>
        <v>1669586.7758922596</v>
      </c>
      <c r="U447" s="151">
        <f>'Resource Options'!$E$22*INDEX('DATA (Nominal)'!$B$194:$BX$194,1,MATCH(U$1,'DATA (Nominal)'!$B$1:$BX$1,0))*1000*0.8</f>
        <v>1681958.4087323863</v>
      </c>
      <c r="V447" s="151">
        <f>'Resource Options'!$E$22*INDEX('DATA (Nominal)'!$B$194:$BX$194,1,MATCH(V$1,'DATA (Nominal)'!$B$1:$BX$1,0))*1000*0.8</f>
        <v>1694066.3134179469</v>
      </c>
      <c r="W447" s="151">
        <f>'Resource Options'!$E$22*INDEX('DATA (Nominal)'!$B$194:$BX$194,1,MATCH(W$1,'DATA (Nominal)'!$B$1:$BX$1,0))*1000*0.8</f>
        <v>1705892.8980398488</v>
      </c>
      <c r="X447" s="152">
        <f>'Resource Options'!$E$22*INDEX('DATA (Nominal)'!$B$194:$BX$194,1,MATCH(X$1,'DATA (Nominal)'!$B$1:$BX$1,0))*1000*0.8</f>
        <v>1717419.9242894202</v>
      </c>
      <c r="Y447" s="156"/>
    </row>
    <row r="448" spans="1:25" hidden="1" outlineLevel="1">
      <c r="A448" s="95"/>
      <c r="C448" s="125" t="s">
        <v>160</v>
      </c>
      <c r="D448" s="151"/>
      <c r="E448" s="151">
        <f>E441*INDEX('DATA (Nominal)'!$B$117:$BX$117,1,MATCH(E$1,'DATA (Nominal)'!$B$1:$BX$1,0))</f>
        <v>0</v>
      </c>
      <c r="F448" s="151">
        <f>F441*INDEX('DATA (Nominal)'!$B$117:$BX$117,1,MATCH(F$1,'DATA (Nominal)'!$B$1:$BX$1,0))</f>
        <v>0</v>
      </c>
      <c r="G448" s="151">
        <f>G441*INDEX('DATA (Nominal)'!$B$117:$BX$117,1,MATCH(G$1,'DATA (Nominal)'!$B$1:$BX$1,0))</f>
        <v>0</v>
      </c>
      <c r="H448" s="151">
        <f>H441*INDEX('DATA (Nominal)'!$B$117:$BX$117,1,MATCH(H$1,'DATA (Nominal)'!$B$1:$BX$1,0))</f>
        <v>0</v>
      </c>
      <c r="I448" s="151">
        <f>I441*INDEX('DATA (Nominal)'!$B$117:$BX$117,1,MATCH(I$1,'DATA (Nominal)'!$B$1:$BX$1,0))</f>
        <v>0</v>
      </c>
      <c r="J448" s="151">
        <f>J441*INDEX('DATA (Nominal)'!$B$117:$BX$117,1,MATCH(J$1,'DATA (Nominal)'!$B$1:$BX$1,0))</f>
        <v>0</v>
      </c>
      <c r="K448" s="151">
        <f>K441*INDEX('DATA (Nominal)'!$B$117:$BX$117,1,MATCH(K$1,'DATA (Nominal)'!$B$1:$BX$1,0))</f>
        <v>0</v>
      </c>
      <c r="L448" s="151">
        <f>L441*INDEX('DATA (Nominal)'!$B$117:$BX$117,1,MATCH(L$1,'DATA (Nominal)'!$B$1:$BX$1,0))</f>
        <v>0</v>
      </c>
      <c r="M448" s="151">
        <f>M441*INDEX('DATA (Nominal)'!$B$117:$BX$117,1,MATCH(M$1,'DATA (Nominal)'!$B$1:$BX$1,0))</f>
        <v>0</v>
      </c>
      <c r="N448" s="151">
        <f>N441*INDEX('DATA (Nominal)'!$B$117:$BX$117,1,MATCH(N$1,'DATA (Nominal)'!$B$1:$BX$1,0))</f>
        <v>0</v>
      </c>
      <c r="O448" s="151">
        <f>O441*INDEX('DATA (Nominal)'!$B$117:$BX$117,1,MATCH(O$1,'DATA (Nominal)'!$B$1:$BX$1,0))</f>
        <v>0</v>
      </c>
      <c r="P448" s="151">
        <f>P441*INDEX('DATA (Nominal)'!$B$117:$BX$117,1,MATCH(P$1,'DATA (Nominal)'!$B$1:$BX$1,0))</f>
        <v>0</v>
      </c>
      <c r="Q448" s="151">
        <f>Q441*INDEX('DATA (Nominal)'!$B$117:$BX$117,1,MATCH(Q$1,'DATA (Nominal)'!$B$1:$BX$1,0))</f>
        <v>0</v>
      </c>
      <c r="R448" s="151">
        <f>R441*INDEX('DATA (Nominal)'!$B$117:$BX$117,1,MATCH(R$1,'DATA (Nominal)'!$B$1:$BX$1,0))</f>
        <v>0</v>
      </c>
      <c r="S448" s="151">
        <f>S441*INDEX('DATA (Nominal)'!$B$117:$BX$117,1,MATCH(S$1,'DATA (Nominal)'!$B$1:$BX$1,0))</f>
        <v>0</v>
      </c>
      <c r="T448" s="151">
        <f>T441*INDEX('DATA (Nominal)'!$B$117:$BX$117,1,MATCH(T$1,'DATA (Nominal)'!$B$1:$BX$1,0))</f>
        <v>0</v>
      </c>
      <c r="U448" s="151">
        <f>U441*INDEX('DATA (Nominal)'!$B$117:$BX$117,1,MATCH(U$1,'DATA (Nominal)'!$B$1:$BX$1,0))</f>
        <v>0</v>
      </c>
      <c r="V448" s="151">
        <f>V441*INDEX('DATA (Nominal)'!$B$117:$BX$117,1,MATCH(V$1,'DATA (Nominal)'!$B$1:$BX$1,0))</f>
        <v>0</v>
      </c>
      <c r="W448" s="151">
        <f>W441*INDEX('DATA (Nominal)'!$B$117:$BX$117,1,MATCH(W$1,'DATA (Nominal)'!$B$1:$BX$1,0))</f>
        <v>0</v>
      </c>
      <c r="X448" s="152">
        <f>X441*INDEX('DATA (Nominal)'!$B$117:$BX$117,1,MATCH(X$1,'DATA (Nominal)'!$B$1:$BX$1,0))</f>
        <v>0</v>
      </c>
      <c r="Y448" s="156"/>
    </row>
    <row r="449" spans="1:25" hidden="1" outlineLevel="1">
      <c r="A449" s="95"/>
      <c r="C449" s="125" t="s">
        <v>127</v>
      </c>
      <c r="D449" s="151"/>
      <c r="E449" s="151">
        <f>E441*E442*INDEX('DATA (Nominal)'!$B$337:$BX$337,1,MATCH(E$1,'DATA (Nominal)'!$B$1:$BX$1,0))</f>
        <v>27691.511203123893</v>
      </c>
      <c r="F449" s="151">
        <f>F441*F442*INDEX('DATA (Nominal)'!$B$337:$BX$337,1,MATCH(F$1,'DATA (Nominal)'!$B$1:$BX$1,0))</f>
        <v>27691.511203123893</v>
      </c>
      <c r="G449" s="151">
        <f>G441*G442*INDEX('DATA (Nominal)'!$B$337:$BX$337,1,MATCH(G$1,'DATA (Nominal)'!$B$1:$BX$1,0))</f>
        <v>27691.511203123893</v>
      </c>
      <c r="H449" s="151">
        <f>H441*H442*INDEX('DATA (Nominal)'!$B$337:$BX$337,1,MATCH(H$1,'DATA (Nominal)'!$B$1:$BX$1,0))</f>
        <v>27691.511203123893</v>
      </c>
      <c r="I449" s="151">
        <f>I441*I442*INDEX('DATA (Nominal)'!$B$337:$BX$337,1,MATCH(I$1,'DATA (Nominal)'!$B$1:$BX$1,0))</f>
        <v>27691.511203123893</v>
      </c>
      <c r="J449" s="151">
        <f>J441*J442*INDEX('DATA (Nominal)'!$B$337:$BX$337,1,MATCH(J$1,'DATA (Nominal)'!$B$1:$BX$1,0))</f>
        <v>27691.511203123893</v>
      </c>
      <c r="K449" s="151">
        <f>K441*K442*INDEX('DATA (Nominal)'!$B$337:$BX$337,1,MATCH(K$1,'DATA (Nominal)'!$B$1:$BX$1,0))</f>
        <v>27691.511203123893</v>
      </c>
      <c r="L449" s="151">
        <f>L441*L442*INDEX('DATA (Nominal)'!$B$337:$BX$337,1,MATCH(L$1,'DATA (Nominal)'!$B$1:$BX$1,0))</f>
        <v>27691.511203123893</v>
      </c>
      <c r="M449" s="151">
        <f>M441*M442*INDEX('DATA (Nominal)'!$B$337:$BX$337,1,MATCH(M$1,'DATA (Nominal)'!$B$1:$BX$1,0))</f>
        <v>27691.511203123893</v>
      </c>
      <c r="N449" s="151">
        <f>N441*N442*INDEX('DATA (Nominal)'!$B$337:$BX$337,1,MATCH(N$1,'DATA (Nominal)'!$B$1:$BX$1,0))</f>
        <v>27691.511203123893</v>
      </c>
      <c r="O449" s="151">
        <f>O441*O442*INDEX('DATA (Nominal)'!$B$337:$BX$337,1,MATCH(O$1,'DATA (Nominal)'!$B$1:$BX$1,0))</f>
        <v>27691.511203123893</v>
      </c>
      <c r="P449" s="151">
        <f>P441*P442*INDEX('DATA (Nominal)'!$B$337:$BX$337,1,MATCH(P$1,'DATA (Nominal)'!$B$1:$BX$1,0))</f>
        <v>27691.511203123893</v>
      </c>
      <c r="Q449" s="151">
        <f>Q441*Q442*INDEX('DATA (Nominal)'!$B$337:$BX$337,1,MATCH(Q$1,'DATA (Nominal)'!$B$1:$BX$1,0))</f>
        <v>27691.511203123893</v>
      </c>
      <c r="R449" s="151">
        <f>R441*R442*INDEX('DATA (Nominal)'!$B$337:$BX$337,1,MATCH(R$1,'DATA (Nominal)'!$B$1:$BX$1,0))</f>
        <v>27691.511203123893</v>
      </c>
      <c r="S449" s="151">
        <f>S441*S442*INDEX('DATA (Nominal)'!$B$337:$BX$337,1,MATCH(S$1,'DATA (Nominal)'!$B$1:$BX$1,0))</f>
        <v>27691.511203123893</v>
      </c>
      <c r="T449" s="151">
        <f>T441*T442*INDEX('DATA (Nominal)'!$B$337:$BX$337,1,MATCH(T$1,'DATA (Nominal)'!$B$1:$BX$1,0))</f>
        <v>27691.511203123893</v>
      </c>
      <c r="U449" s="151">
        <f>U441*U442*INDEX('DATA (Nominal)'!$B$337:$BX$337,1,MATCH(U$1,'DATA (Nominal)'!$B$1:$BX$1,0))</f>
        <v>27691.511203123893</v>
      </c>
      <c r="V449" s="151">
        <f>V441*V442*INDEX('DATA (Nominal)'!$B$337:$BX$337,1,MATCH(V$1,'DATA (Nominal)'!$B$1:$BX$1,0))</f>
        <v>27691.511203123893</v>
      </c>
      <c r="W449" s="151">
        <f>W441*W442*INDEX('DATA (Nominal)'!$B$337:$BX$337,1,MATCH(W$1,'DATA (Nominal)'!$B$1:$BX$1,0))</f>
        <v>27691.511203123893</v>
      </c>
      <c r="X449" s="152">
        <f>X441*X442*INDEX('DATA (Nominal)'!$B$337:$BX$337,1,MATCH(X$1,'DATA (Nominal)'!$B$1:$BX$1,0))</f>
        <v>27691.511203123893</v>
      </c>
      <c r="Y449" s="156"/>
    </row>
    <row r="450" spans="1:25" hidden="1" outlineLevel="1">
      <c r="A450" s="95"/>
      <c r="C450" s="126" t="s">
        <v>49</v>
      </c>
      <c r="D450" s="151"/>
      <c r="E450" s="151">
        <f>D472*Property_Tax_Rate</f>
        <v>2042109.3486884851</v>
      </c>
      <c r="F450" s="151">
        <f t="shared" ref="F450:M450" si="1194">E472*Property_Tax_Rate</f>
        <v>1928323.9960351223</v>
      </c>
      <c r="G450" s="151">
        <f t="shared" si="1194"/>
        <v>1820878.7086122355</v>
      </c>
      <c r="H450" s="151">
        <f t="shared" si="1194"/>
        <v>1719420.221028548</v>
      </c>
      <c r="I450" s="151">
        <f t="shared" si="1194"/>
        <v>1623614.9516708094</v>
      </c>
      <c r="J450" s="151">
        <f t="shared" si="1194"/>
        <v>1533147.905933134</v>
      </c>
      <c r="K450" s="151">
        <f t="shared" si="1194"/>
        <v>1447721.6405578719</v>
      </c>
      <c r="L450" s="151">
        <f t="shared" si="1194"/>
        <v>1367055.2856829099</v>
      </c>
      <c r="M450" s="151">
        <f t="shared" si="1194"/>
        <v>1290883.621380029</v>
      </c>
      <c r="N450" s="151">
        <f>M472*Property_Tax_Rate</f>
        <v>1218956.2056480993</v>
      </c>
      <c r="O450" s="151">
        <f>N472*Property_Tax_Rate</f>
        <v>1151036.5509940761</v>
      </c>
      <c r="P450" s="151">
        <f t="shared" ref="P450:X450" si="1195">O472*Property_Tax_Rate</f>
        <v>1524250.0583276618</v>
      </c>
      <c r="Q450" s="151">
        <f t="shared" si="1195"/>
        <v>1403037.6126613372</v>
      </c>
      <c r="R450" s="151">
        <f t="shared" si="1195"/>
        <v>1291464.3052086807</v>
      </c>
      <c r="S450" s="151">
        <f t="shared" si="1195"/>
        <v>1188763.605891106</v>
      </c>
      <c r="T450" s="151">
        <f t="shared" si="1195"/>
        <v>1094229.9411541848</v>
      </c>
      <c r="U450" s="151">
        <f t="shared" si="1195"/>
        <v>1007213.8465416398</v>
      </c>
      <c r="V450" s="151">
        <f t="shared" si="1195"/>
        <v>927117.50474963326</v>
      </c>
      <c r="W450" s="151">
        <f t="shared" si="1195"/>
        <v>853390.63850692532</v>
      </c>
      <c r="X450" s="152">
        <f t="shared" si="1195"/>
        <v>785526.73006419768</v>
      </c>
      <c r="Y450" s="156"/>
    </row>
    <row r="451" spans="1:25" hidden="1" outlineLevel="1">
      <c r="A451" s="95"/>
      <c r="C451" s="126" t="s">
        <v>50</v>
      </c>
      <c r="D451" s="151"/>
      <c r="E451" s="151">
        <f>SUM(E446:E450)</f>
        <v>5387974.0991588254</v>
      </c>
      <c r="F451" s="151">
        <f>SUM(F446:F450)</f>
        <v>5242719.0730697</v>
      </c>
      <c r="G451" s="151">
        <f t="shared" ref="G451:N451" si="1196">SUM(G446:G450)</f>
        <v>5104233.0730622252</v>
      </c>
      <c r="H451" s="151">
        <f t="shared" si="1196"/>
        <v>4954560.1476019109</v>
      </c>
      <c r="I451" s="151">
        <f t="shared" si="1196"/>
        <v>4834100.2511382923</v>
      </c>
      <c r="J451" s="151">
        <f t="shared" si="1196"/>
        <v>4706199.0102050202</v>
      </c>
      <c r="K451" s="151">
        <f t="shared" si="1196"/>
        <v>4660419.4148517689</v>
      </c>
      <c r="L451" s="151">
        <f t="shared" si="1196"/>
        <v>4618689.9454116523</v>
      </c>
      <c r="M451" s="151">
        <f t="shared" si="1196"/>
        <v>4581655.6506286096</v>
      </c>
      <c r="N451" s="151">
        <f t="shared" si="1196"/>
        <v>4549056.2180752307</v>
      </c>
      <c r="O451" s="151">
        <f>SUM(O446:O450)</f>
        <v>4520644.7619278198</v>
      </c>
      <c r="P451" s="151">
        <f t="shared" ref="P451:X451" si="1197">SUM(P446:P450)</f>
        <v>4933535.7384289736</v>
      </c>
      <c r="Q451" s="151">
        <f t="shared" si="1197"/>
        <v>4852158.5226010084</v>
      </c>
      <c r="R451" s="151">
        <f t="shared" si="1197"/>
        <v>4780566.1107877446</v>
      </c>
      <c r="S451" s="151">
        <f t="shared" si="1197"/>
        <v>4717979.2730187969</v>
      </c>
      <c r="T451" s="151">
        <f t="shared" si="1197"/>
        <v>4663679.1100813001</v>
      </c>
      <c r="U451" s="151">
        <f t="shared" si="1197"/>
        <v>4617002.1847303631</v>
      </c>
      <c r="V451" s="151">
        <f t="shared" si="1197"/>
        <v>4577336.037743656</v>
      </c>
      <c r="W451" s="151">
        <f t="shared" si="1197"/>
        <v>4544115.0581481019</v>
      </c>
      <c r="X451" s="152">
        <f t="shared" si="1197"/>
        <v>4516816.679383805</v>
      </c>
      <c r="Y451" s="156"/>
    </row>
    <row r="452" spans="1:25" s="95" customFormat="1" hidden="1" outlineLevel="1">
      <c r="C452" s="126" t="s">
        <v>179</v>
      </c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>
        <f>INDEX('DATA (Nominal)'!$B$75:$BX$75,1,MATCH($O$1,'DATA (Nominal)'!$B$1:$BX$1,0))*1000000*(1+AFUDC!$D$22)*0.5*'Resource Options'!$D$22/1000</f>
        <v>42328050.418400481</v>
      </c>
      <c r="P452" s="151"/>
      <c r="Q452" s="151"/>
      <c r="R452" s="151"/>
      <c r="S452" s="151"/>
      <c r="T452" s="151"/>
      <c r="U452" s="151"/>
      <c r="V452" s="151"/>
      <c r="W452" s="151"/>
      <c r="X452" s="152"/>
      <c r="Y452" s="156"/>
    </row>
    <row r="453" spans="1:25" hidden="1" outlineLevel="1">
      <c r="A453" s="95"/>
      <c r="C453" s="126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2"/>
      <c r="Y453" s="156"/>
    </row>
    <row r="454" spans="1:25" hidden="1" outlineLevel="1">
      <c r="A454" s="95"/>
      <c r="C454" s="125" t="s">
        <v>51</v>
      </c>
      <c r="D454" s="151"/>
      <c r="E454" s="151">
        <f>E444-E451</f>
        <v>13293870.074878922</v>
      </c>
      <c r="F454" s="151">
        <f t="shared" ref="F454:N454" si="1198">F444-F451</f>
        <v>13439125.100968048</v>
      </c>
      <c r="G454" s="151">
        <f t="shared" si="1198"/>
        <v>13577611.100975521</v>
      </c>
      <c r="H454" s="151">
        <f t="shared" si="1198"/>
        <v>13727284.026435837</v>
      </c>
      <c r="I454" s="151">
        <f t="shared" si="1198"/>
        <v>13847743.922899455</v>
      </c>
      <c r="J454" s="151">
        <f t="shared" si="1198"/>
        <v>13975645.163832728</v>
      </c>
      <c r="K454" s="151">
        <f t="shared" si="1198"/>
        <v>14021424.759185977</v>
      </c>
      <c r="L454" s="151">
        <f t="shared" si="1198"/>
        <v>14063154.228626095</v>
      </c>
      <c r="M454" s="151">
        <f t="shared" si="1198"/>
        <v>14100188.523409138</v>
      </c>
      <c r="N454" s="151">
        <f t="shared" si="1198"/>
        <v>14132787.955962516</v>
      </c>
      <c r="O454" s="151">
        <f>O444-O451</f>
        <v>14161199.412109926</v>
      </c>
      <c r="P454" s="151">
        <f t="shared" ref="P454:X454" si="1199">P444-P451</f>
        <v>13748308.435608774</v>
      </c>
      <c r="Q454" s="151">
        <f t="shared" si="1199"/>
        <v>13829685.651436739</v>
      </c>
      <c r="R454" s="151">
        <f t="shared" si="1199"/>
        <v>13901278.063250002</v>
      </c>
      <c r="S454" s="151">
        <f t="shared" si="1199"/>
        <v>13963864.901018951</v>
      </c>
      <c r="T454" s="151">
        <f t="shared" si="1199"/>
        <v>14018165.063956447</v>
      </c>
      <c r="U454" s="151">
        <f t="shared" si="1199"/>
        <v>14064841.989307385</v>
      </c>
      <c r="V454" s="151">
        <f t="shared" si="1199"/>
        <v>14104508.136294091</v>
      </c>
      <c r="W454" s="151">
        <f t="shared" si="1199"/>
        <v>14137729.115889646</v>
      </c>
      <c r="X454" s="152">
        <f t="shared" si="1199"/>
        <v>14165027.494653942</v>
      </c>
      <c r="Y454" s="156"/>
    </row>
    <row r="455" spans="1:25" hidden="1" outlineLevel="1">
      <c r="A455" s="95"/>
      <c r="C455" s="125" t="s">
        <v>52</v>
      </c>
      <c r="D455" s="151"/>
      <c r="E455" s="151">
        <f>E454-E473-E462</f>
        <v>-26188561.639063593</v>
      </c>
      <c r="F455" s="151">
        <f t="shared" ref="F455:M455" si="1200">F454-F473-F462</f>
        <v>-46736119.855524957</v>
      </c>
      <c r="G455" s="151">
        <f t="shared" si="1200"/>
        <v>-24235263.411440745</v>
      </c>
      <c r="H455" s="151">
        <f t="shared" si="1200"/>
        <v>-10602547.787226941</v>
      </c>
      <c r="I455" s="151">
        <f t="shared" si="1200"/>
        <v>-10321566.612369943</v>
      </c>
      <c r="J455" s="151">
        <f t="shared" si="1200"/>
        <v>-26148.051552833058</v>
      </c>
      <c r="K455" s="151">
        <f t="shared" si="1200"/>
        <v>10196463.11086303</v>
      </c>
      <c r="L455" s="151">
        <f t="shared" si="1200"/>
        <v>10426683.306960549</v>
      </c>
      <c r="M455" s="151">
        <f t="shared" si="1200"/>
        <v>10662575.31836715</v>
      </c>
      <c r="N455" s="151">
        <f>N454-N473-N462</f>
        <v>10904969.641958382</v>
      </c>
      <c r="O455" s="151">
        <f>O454-O473-O462</f>
        <v>3343073.0034349198</v>
      </c>
      <c r="P455" s="151">
        <f>P454-P473-P462</f>
        <v>-1025512.0458652228</v>
      </c>
      <c r="Q455" s="151">
        <f t="shared" ref="Q455:W455" si="1201">Q454-Q473-Q462</f>
        <v>2401009.3601870202</v>
      </c>
      <c r="R455" s="151">
        <f t="shared" si="1201"/>
        <v>4992698.0119954199</v>
      </c>
      <c r="S455" s="151">
        <f t="shared" si="1201"/>
        <v>6993186.2451893408</v>
      </c>
      <c r="T455" s="151">
        <f t="shared" si="1201"/>
        <v>7497749.8533667531</v>
      </c>
      <c r="U455" s="151">
        <f t="shared" si="1201"/>
        <v>8019454.7134458041</v>
      </c>
      <c r="V455" s="151">
        <f t="shared" si="1201"/>
        <v>10449799.502248067</v>
      </c>
      <c r="W455" s="151">
        <f t="shared" si="1201"/>
        <v>12899992.778059226</v>
      </c>
      <c r="X455" s="152">
        <f>X454-X473-X462</f>
        <v>13485088.612062071</v>
      </c>
      <c r="Y455" s="156"/>
    </row>
    <row r="456" spans="1:25" hidden="1" outlineLevel="1">
      <c r="A456" s="95"/>
      <c r="C456" s="125" t="s">
        <v>128</v>
      </c>
      <c r="D456" s="151"/>
      <c r="E456" s="151">
        <f>-$D459*INDEX('DATA (Nominal)'!$B$250:$BX$250,1,MATCH($B$1,'DATA (Nominal)'!$B$1:$BX$1,0))</f>
        <v>61263280.460654549</v>
      </c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2"/>
      <c r="Y456" s="156"/>
    </row>
    <row r="457" spans="1:25" hidden="1" outlineLevel="1">
      <c r="A457" s="95"/>
      <c r="C457" s="126" t="s">
        <v>54</v>
      </c>
      <c r="D457" s="151"/>
      <c r="E457" s="151">
        <f>E455*Federal_Tax_Rate-E456</f>
        <v>-66762878.404857904</v>
      </c>
      <c r="F457" s="151">
        <f>F455*Federal_Tax_Rate-F456</f>
        <v>-9814585.1696602404</v>
      </c>
      <c r="G457" s="151">
        <f t="shared" ref="G457" si="1202">G455*Federal_Tax_Rate-G456</f>
        <v>-5089405.3164025564</v>
      </c>
      <c r="H457" s="151">
        <f t="shared" ref="H457" si="1203">H455*Federal_Tax_Rate-H456</f>
        <v>-2226535.0353176575</v>
      </c>
      <c r="I457" s="151">
        <f t="shared" ref="I457" si="1204">I455*Federal_Tax_Rate-I456</f>
        <v>-2167528.9885976883</v>
      </c>
      <c r="J457" s="151">
        <f t="shared" ref="J457" si="1205">J455*Federal_Tax_Rate-J456</f>
        <v>-5491.0908260949418</v>
      </c>
      <c r="K457" s="151">
        <f t="shared" ref="K457" si="1206">K455*Federal_Tax_Rate-K456</f>
        <v>2141257.2532812362</v>
      </c>
      <c r="L457" s="151">
        <f t="shared" ref="L457" si="1207">L455*Federal_Tax_Rate-L456</f>
        <v>2189603.4944617152</v>
      </c>
      <c r="M457" s="151">
        <f t="shared" ref="M457" si="1208">M455*Federal_Tax_Rate-M456</f>
        <v>2239140.8168571014</v>
      </c>
      <c r="N457" s="151">
        <f t="shared" ref="N457" si="1209">N455*Federal_Tax_Rate-N456</f>
        <v>2290043.62481126</v>
      </c>
      <c r="O457" s="151">
        <f>O455*Federal_Tax_Rate-O456</f>
        <v>702045.33072133316</v>
      </c>
      <c r="P457" s="151">
        <f t="shared" ref="P457" si="1210">P455*Federal_Tax_Rate-P456</f>
        <v>-215357.52963169679</v>
      </c>
      <c r="Q457" s="151">
        <f t="shared" ref="Q457" si="1211">Q455*Federal_Tax_Rate-Q456</f>
        <v>504211.96563927422</v>
      </c>
      <c r="R457" s="151">
        <f t="shared" ref="R457" si="1212">R455*Federal_Tax_Rate-R456</f>
        <v>1048466.5825190381</v>
      </c>
      <c r="S457" s="151">
        <f t="shared" ref="S457" si="1213">S455*Federal_Tax_Rate-S456</f>
        <v>1468569.1114897616</v>
      </c>
      <c r="T457" s="151">
        <f t="shared" ref="T457" si="1214">T455*Federal_Tax_Rate-T456</f>
        <v>1574527.4692070181</v>
      </c>
      <c r="U457" s="151">
        <f t="shared" ref="U457" si="1215">U455*Federal_Tax_Rate-U456</f>
        <v>1684085.4898236189</v>
      </c>
      <c r="V457" s="151">
        <f t="shared" ref="V457" si="1216">V455*Federal_Tax_Rate-V456</f>
        <v>2194457.895472094</v>
      </c>
      <c r="W457" s="151">
        <f t="shared" ref="W457" si="1217">W455*Federal_Tax_Rate-W456</f>
        <v>2708998.4833924375</v>
      </c>
      <c r="X457" s="152">
        <f t="shared" ref="X457" si="1218">X455*Federal_Tax_Rate-X456</f>
        <v>2831868.6085330346</v>
      </c>
      <c r="Y457" s="156"/>
    </row>
    <row r="458" spans="1:25" hidden="1" outlineLevel="1">
      <c r="A458" s="95"/>
      <c r="C458" s="126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2"/>
      <c r="Y458" s="156"/>
    </row>
    <row r="459" spans="1:25" hidden="1" outlineLevel="1">
      <c r="A459" s="95"/>
      <c r="B459" s="37">
        <f>IRR(D459:Y459,0.1)</f>
        <v>7.499999500066945E-2</v>
      </c>
      <c r="C459" s="125" t="s">
        <v>55</v>
      </c>
      <c r="D459" s="155">
        <f>SUM(D468:D469)</f>
        <v>-204210934.8688485</v>
      </c>
      <c r="E459" s="156">
        <f t="shared" ref="E459:K459" si="1219">E454-E457</f>
        <v>80056748.47973682</v>
      </c>
      <c r="F459" s="151">
        <f t="shared" si="1219"/>
        <v>23253710.270628288</v>
      </c>
      <c r="G459" s="151">
        <f t="shared" si="1219"/>
        <v>18667016.417378075</v>
      </c>
      <c r="H459" s="151">
        <f t="shared" si="1219"/>
        <v>15953819.061753495</v>
      </c>
      <c r="I459" s="151">
        <f t="shared" si="1219"/>
        <v>16015272.911497142</v>
      </c>
      <c r="J459" s="151">
        <f t="shared" si="1219"/>
        <v>13981136.254658822</v>
      </c>
      <c r="K459" s="151">
        <f t="shared" si="1219"/>
        <v>11880167.505904742</v>
      </c>
      <c r="L459" s="151">
        <f>L454-L457</f>
        <v>11873550.73416438</v>
      </c>
      <c r="M459" s="151">
        <f t="shared" ref="M459:N459" si="1220">M454-M457</f>
        <v>11861047.706552036</v>
      </c>
      <c r="N459" s="151">
        <f t="shared" si="1220"/>
        <v>11842744.331151256</v>
      </c>
      <c r="O459" s="151">
        <f>O454-O457-O452</f>
        <v>-28868896.337011889</v>
      </c>
      <c r="P459" s="151">
        <f>P454-P457</f>
        <v>13963665.965240471</v>
      </c>
      <c r="Q459" s="151">
        <f t="shared" ref="Q459:X459" si="1221">Q454-Q457</f>
        <v>13325473.685797464</v>
      </c>
      <c r="R459" s="151">
        <f t="shared" si="1221"/>
        <v>12852811.480730964</v>
      </c>
      <c r="S459" s="151">
        <f t="shared" si="1221"/>
        <v>12495295.789529189</v>
      </c>
      <c r="T459" s="151">
        <f t="shared" si="1221"/>
        <v>12443637.594749428</v>
      </c>
      <c r="U459" s="151">
        <f t="shared" si="1221"/>
        <v>12380756.499483766</v>
      </c>
      <c r="V459" s="151">
        <f t="shared" si="1221"/>
        <v>11910050.240821997</v>
      </c>
      <c r="W459" s="151">
        <f t="shared" si="1221"/>
        <v>11428730.632497208</v>
      </c>
      <c r="X459" s="152">
        <f t="shared" si="1221"/>
        <v>11333158.886120908</v>
      </c>
      <c r="Y459" s="156">
        <f>D459*-0.3</f>
        <v>61263280.460654549</v>
      </c>
    </row>
    <row r="460" spans="1:25" hidden="1" outlineLevel="1">
      <c r="A460" s="95"/>
      <c r="B460" s="37">
        <f>IRR(D460:Y460,0.1)</f>
        <v>0.12170748876405701</v>
      </c>
      <c r="C460" s="125" t="s">
        <v>56</v>
      </c>
      <c r="D460" s="155">
        <f>-D478</f>
        <v>-31246550.113868695</v>
      </c>
      <c r="E460" s="156">
        <f t="shared" ref="E460:M460" si="1222">E459-E462-E465-E474-E456</f>
        <v>4251071.8748977706</v>
      </c>
      <c r="F460" s="151">
        <f t="shared" si="1222"/>
        <v>4337115.9015530553</v>
      </c>
      <c r="G460" s="151">
        <f t="shared" si="1222"/>
        <v>4416233.4881862933</v>
      </c>
      <c r="H460" s="151">
        <f t="shared" si="1222"/>
        <v>4502522.9964917833</v>
      </c>
      <c r="I460" s="151">
        <f t="shared" si="1222"/>
        <v>4563976.8462354327</v>
      </c>
      <c r="J460" s="151">
        <f t="shared" si="1222"/>
        <v>4629455.3373446651</v>
      </c>
      <c r="K460" s="151">
        <f t="shared" si="1222"/>
        <v>4628101.7365381354</v>
      </c>
      <c r="L460" s="151">
        <f t="shared" si="1222"/>
        <v>4621484.9647977743</v>
      </c>
      <c r="M460" s="151">
        <f t="shared" si="1222"/>
        <v>4608981.93718543</v>
      </c>
      <c r="N460" s="151">
        <f>N459-N462-N465-N474-N456</f>
        <v>4590678.5617846493</v>
      </c>
      <c r="O460" s="151">
        <f>O459-O462-O465-O474-O456+O452</f>
        <v>809778.92074773461</v>
      </c>
      <c r="P460" s="151">
        <f>P459-P462-P465-P474-P456</f>
        <v>407268.4090139633</v>
      </c>
      <c r="Q460" s="151">
        <f>Q459-Q462-Q465-Q474-Q456</f>
        <v>391031.80400380748</v>
      </c>
      <c r="R460" s="151">
        <f t="shared" ref="R460:X460" si="1223">R459-R462-R465-R474-R456</f>
        <v>362636.35051875515</v>
      </c>
      <c r="S460" s="151">
        <f t="shared" si="1223"/>
        <v>322454.05330372916</v>
      </c>
      <c r="T460" s="151">
        <f t="shared" si="1223"/>
        <v>270795.85852396803</v>
      </c>
      <c r="U460" s="151">
        <f t="shared" si="1223"/>
        <v>207914.76325830759</v>
      </c>
      <c r="V460" s="151">
        <f t="shared" si="1223"/>
        <v>134008.58043878985</v>
      </c>
      <c r="W460" s="151">
        <f t="shared" si="1223"/>
        <v>49222.381238618866</v>
      </c>
      <c r="X460" s="152">
        <f t="shared" si="1223"/>
        <v>-46349.365137681365</v>
      </c>
      <c r="Y460" s="156">
        <f>Y459</f>
        <v>61263280.460654549</v>
      </c>
    </row>
    <row r="461" spans="1:25" hidden="1" outlineLevel="1">
      <c r="A461" s="95"/>
      <c r="B461" s="21"/>
      <c r="C461" s="125"/>
      <c r="D461" s="155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2"/>
      <c r="Y461" s="156"/>
    </row>
    <row r="462" spans="1:25" hidden="1" outlineLevel="1">
      <c r="A462" s="95"/>
      <c r="B462" s="15"/>
      <c r="C462" s="126" t="s">
        <v>57</v>
      </c>
      <c r="D462" s="151"/>
      <c r="E462" s="151">
        <f t="shared" ref="E462:W462" si="1224">D466*Debt_Rate</f>
        <v>4766572.7862382708</v>
      </c>
      <c r="F462" s="151">
        <f t="shared" si="1224"/>
        <v>4629870.6721662125</v>
      </c>
      <c r="G462" s="151">
        <f t="shared" si="1224"/>
        <v>4485649.9418201912</v>
      </c>
      <c r="H462" s="151">
        <f t="shared" si="1224"/>
        <v>4333497.0713051381</v>
      </c>
      <c r="I462" s="151">
        <f t="shared" si="1224"/>
        <v>4172975.7929117572</v>
      </c>
      <c r="J462" s="151">
        <f t="shared" si="1224"/>
        <v>4003625.8442067401</v>
      </c>
      <c r="K462" s="151">
        <f t="shared" si="1224"/>
        <v>3824961.6483229473</v>
      </c>
      <c r="L462" s="151">
        <f t="shared" si="1224"/>
        <v>3636470.921665546</v>
      </c>
      <c r="M462" s="151">
        <f t="shared" si="1224"/>
        <v>3437613.2050419878</v>
      </c>
      <c r="N462" s="151">
        <f t="shared" si="1224"/>
        <v>3227818.3140041339</v>
      </c>
      <c r="O462" s="151">
        <f t="shared" si="1224"/>
        <v>4771141.1259023147</v>
      </c>
      <c r="P462" s="151">
        <f t="shared" si="1224"/>
        <v>4407680.9340077192</v>
      </c>
      <c r="Q462" s="151">
        <f t="shared" si="1224"/>
        <v>4024230.4315589219</v>
      </c>
      <c r="R462" s="151">
        <f t="shared" si="1224"/>
        <v>3619690.1514754402</v>
      </c>
      <c r="S462" s="151">
        <f t="shared" si="1224"/>
        <v>3192900.1559873675</v>
      </c>
      <c r="T462" s="151">
        <f t="shared" si="1224"/>
        <v>2742636.7107474501</v>
      </c>
      <c r="U462" s="151">
        <f t="shared" si="1224"/>
        <v>2267608.7760193376</v>
      </c>
      <c r="V462" s="151">
        <f t="shared" si="1224"/>
        <v>1766454.3048811785</v>
      </c>
      <c r="W462" s="151">
        <f t="shared" si="1224"/>
        <v>1237736.337830421</v>
      </c>
      <c r="X462" s="152">
        <f>W466*Debt_Rate</f>
        <v>679938.88259187166</v>
      </c>
      <c r="Y462" s="156"/>
    </row>
    <row r="463" spans="1:25" hidden="1" outlineLevel="1">
      <c r="A463" s="95"/>
      <c r="B463" s="15"/>
      <c r="C463" s="126" t="s">
        <v>113</v>
      </c>
      <c r="D463" s="151"/>
      <c r="E463" s="151">
        <f t="shared" ref="E463:X463" si="1225">-PMT(Debt_Rate,20,$D477)</f>
        <v>7252065.7693666061</v>
      </c>
      <c r="F463" s="151">
        <f t="shared" si="1225"/>
        <v>7252065.7693666061</v>
      </c>
      <c r="G463" s="151">
        <f t="shared" si="1225"/>
        <v>7252065.7693666061</v>
      </c>
      <c r="H463" s="151">
        <f t="shared" si="1225"/>
        <v>7252065.7693666061</v>
      </c>
      <c r="I463" s="151">
        <f t="shared" si="1225"/>
        <v>7252065.7693666061</v>
      </c>
      <c r="J463" s="151">
        <f t="shared" si="1225"/>
        <v>7252065.7693666061</v>
      </c>
      <c r="K463" s="151">
        <f t="shared" si="1225"/>
        <v>7252065.7693666061</v>
      </c>
      <c r="L463" s="151">
        <f t="shared" si="1225"/>
        <v>7252065.7693666061</v>
      </c>
      <c r="M463" s="151">
        <f t="shared" si="1225"/>
        <v>7252065.7693666061</v>
      </c>
      <c r="N463" s="151">
        <f t="shared" si="1225"/>
        <v>7252065.7693666061</v>
      </c>
      <c r="O463" s="151">
        <f t="shared" si="1225"/>
        <v>7252065.7693666061</v>
      </c>
      <c r="P463" s="151">
        <f t="shared" si="1225"/>
        <v>7252065.7693666061</v>
      </c>
      <c r="Q463" s="151">
        <f t="shared" si="1225"/>
        <v>7252065.7693666061</v>
      </c>
      <c r="R463" s="151">
        <f t="shared" si="1225"/>
        <v>7252065.7693666061</v>
      </c>
      <c r="S463" s="151">
        <f t="shared" si="1225"/>
        <v>7252065.7693666061</v>
      </c>
      <c r="T463" s="151">
        <f t="shared" si="1225"/>
        <v>7252065.7693666061</v>
      </c>
      <c r="U463" s="151">
        <f t="shared" si="1225"/>
        <v>7252065.7693666061</v>
      </c>
      <c r="V463" s="151">
        <f t="shared" si="1225"/>
        <v>7252065.7693666061</v>
      </c>
      <c r="W463" s="151">
        <f t="shared" si="1225"/>
        <v>7252065.7693666061</v>
      </c>
      <c r="X463" s="152">
        <f t="shared" si="1225"/>
        <v>7252065.7693666061</v>
      </c>
      <c r="Y463" s="156"/>
    </row>
    <row r="464" spans="1:25" s="95" customFormat="1" hidden="1" outlineLevel="1">
      <c r="B464" s="52"/>
      <c r="C464" s="126" t="s">
        <v>161</v>
      </c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>
        <f t="shared" ref="O464:X464" si="1226">-PMT(Debt_Rate,10,$O452)*$B477</f>
        <v>4127442.4818919827</v>
      </c>
      <c r="P464" s="151">
        <f t="shared" si="1226"/>
        <v>4127442.4818919827</v>
      </c>
      <c r="Q464" s="151">
        <f t="shared" si="1226"/>
        <v>4127442.4818919827</v>
      </c>
      <c r="R464" s="151">
        <f t="shared" si="1226"/>
        <v>4127442.4818919827</v>
      </c>
      <c r="S464" s="151">
        <f t="shared" si="1226"/>
        <v>4127442.4818919827</v>
      </c>
      <c r="T464" s="151">
        <f t="shared" si="1226"/>
        <v>4127442.4818919827</v>
      </c>
      <c r="U464" s="151">
        <f t="shared" si="1226"/>
        <v>4127442.4818919827</v>
      </c>
      <c r="V464" s="151">
        <f t="shared" si="1226"/>
        <v>4127442.4818919827</v>
      </c>
      <c r="W464" s="151">
        <f t="shared" si="1226"/>
        <v>4127442.4818919827</v>
      </c>
      <c r="X464" s="152">
        <f t="shared" si="1226"/>
        <v>4127442.4818919827</v>
      </c>
      <c r="Y464" s="156"/>
    </row>
    <row r="465" spans="1:25" hidden="1" outlineLevel="1">
      <c r="A465" s="95"/>
      <c r="B465" s="15"/>
      <c r="C465" s="126" t="s">
        <v>59</v>
      </c>
      <c r="D465" s="151"/>
      <c r="E465" s="156">
        <f>E464+E463-E462</f>
        <v>2485492.9831283353</v>
      </c>
      <c r="F465" s="151">
        <f t="shared" ref="F465" si="1227">F464+F463-F462</f>
        <v>2622195.0972003937</v>
      </c>
      <c r="G465" s="151">
        <f t="shared" ref="G465" si="1228">G464+G463-G462</f>
        <v>2766415.8275464149</v>
      </c>
      <c r="H465" s="151">
        <f t="shared" ref="H465" si="1229">H464+H463-H462</f>
        <v>2918568.6980614681</v>
      </c>
      <c r="I465" s="151">
        <f t="shared" ref="I465" si="1230">I464+I463-I462</f>
        <v>3079089.9764548489</v>
      </c>
      <c r="J465" s="151">
        <f t="shared" ref="J465" si="1231">J464+J463-J462</f>
        <v>3248439.925159866</v>
      </c>
      <c r="K465" s="151">
        <f t="shared" ref="K465" si="1232">K464+K463-K462</f>
        <v>3427104.1210436588</v>
      </c>
      <c r="L465" s="151">
        <f t="shared" ref="L465" si="1233">L464+L463-L462</f>
        <v>3615594.8477010601</v>
      </c>
      <c r="M465" s="151">
        <f>M464+M463-M462</f>
        <v>3814452.5643246183</v>
      </c>
      <c r="N465" s="151">
        <f>N464+N463-N462</f>
        <v>4024247.4553624722</v>
      </c>
      <c r="O465" s="151">
        <f>O464+O463-O462</f>
        <v>6608367.1253562747</v>
      </c>
      <c r="P465" s="151">
        <f>P464+P463-P462</f>
        <v>6971827.3172508702</v>
      </c>
      <c r="Q465" s="151">
        <f t="shared" ref="Q465" si="1234">Q464+Q463-Q462</f>
        <v>7355277.8196996674</v>
      </c>
      <c r="R465" s="151">
        <f t="shared" ref="R465" si="1235">R464+R463-R462</f>
        <v>7759818.0997831486</v>
      </c>
      <c r="S465" s="151">
        <f t="shared" ref="S465" si="1236">S464+S463-S462</f>
        <v>8186608.0952712223</v>
      </c>
      <c r="T465" s="151">
        <f t="shared" ref="T465" si="1237">T464+T463-T462</f>
        <v>8636871.5405111387</v>
      </c>
      <c r="U465" s="151">
        <f t="shared" ref="U465" si="1238">U464+U463-U462</f>
        <v>9111899.4752392508</v>
      </c>
      <c r="V465" s="151">
        <f t="shared" ref="V465" si="1239">V464+V463-V462</f>
        <v>9613053.9463774115</v>
      </c>
      <c r="W465" s="151">
        <f t="shared" ref="W465" si="1240">W464+W463-W462</f>
        <v>10141771.913428169</v>
      </c>
      <c r="X465" s="152">
        <f t="shared" ref="X465" si="1241">X464+X463-X462</f>
        <v>10699569.368666718</v>
      </c>
      <c r="Y465" s="156"/>
    </row>
    <row r="466" spans="1:25" hidden="1" outlineLevel="1">
      <c r="A466" s="95"/>
      <c r="B466" s="15"/>
      <c r="C466" s="126" t="s">
        <v>60</v>
      </c>
      <c r="D466" s="151">
        <f>D477</f>
        <v>86664959.749786749</v>
      </c>
      <c r="E466" s="151">
        <f>D466-E465+(F452*$B$76)</f>
        <v>84179466.76665841</v>
      </c>
      <c r="F466" s="151">
        <f t="shared" ref="F466" si="1242">E466-F465+(G452*$B$76)</f>
        <v>81557271.669458017</v>
      </c>
      <c r="G466" s="151">
        <f t="shared" ref="G466" si="1243">F466-G465+(H452*$B$76)</f>
        <v>78790855.841911599</v>
      </c>
      <c r="H466" s="151">
        <f t="shared" ref="H466" si="1244">G466-H465+(I452*$B$76)</f>
        <v>75872287.143850133</v>
      </c>
      <c r="I466" s="151">
        <f t="shared" ref="I466" si="1245">H466-I465+(J452*$B$76)</f>
        <v>72793197.167395279</v>
      </c>
      <c r="J466" s="151">
        <f t="shared" ref="J466" si="1246">I466-J465+(K452*$B$76)</f>
        <v>69544757.242235407</v>
      </c>
      <c r="K466" s="151">
        <f t="shared" ref="K466" si="1247">J466-K465+(L452*$B$76)</f>
        <v>66117653.121191747</v>
      </c>
      <c r="L466" s="151">
        <f t="shared" ref="L466" si="1248">K466-L465+(M452*$B$76)</f>
        <v>62502058.27349069</v>
      </c>
      <c r="M466" s="151">
        <f>L466-M465+(N452*$B$76)</f>
        <v>58687605.709166072</v>
      </c>
      <c r="N466" s="151">
        <f>M466-N465+(O452*$B$76)</f>
        <v>86748020.47095117</v>
      </c>
      <c r="O466" s="151">
        <f t="shared" ref="O466" si="1249">N466-O465+(P452*$B$76)</f>
        <v>80139653.345594898</v>
      </c>
      <c r="P466" s="151">
        <f t="shared" ref="P466" si="1250">O466-P465+(Q452*$B$76)</f>
        <v>73167826.028344035</v>
      </c>
      <c r="Q466" s="151">
        <f t="shared" ref="Q466" si="1251">P466-Q465+(R452*$B$76)</f>
        <v>65812548.208644368</v>
      </c>
      <c r="R466" s="151">
        <f t="shared" ref="R466" si="1252">Q466-R465+(S452*$B$76)</f>
        <v>58052730.108861223</v>
      </c>
      <c r="S466" s="151">
        <f t="shared" ref="S466" si="1253">R466-S465+(T452*$B$76)</f>
        <v>49866122.013590001</v>
      </c>
      <c r="T466" s="151">
        <f t="shared" ref="T466" si="1254">S466-T465+(U452*$B$76)</f>
        <v>41229250.473078862</v>
      </c>
      <c r="U466" s="151">
        <f t="shared" ref="U466" si="1255">T466-U465+(V452*$B$76)</f>
        <v>32117350.997839611</v>
      </c>
      <c r="V466" s="151">
        <f t="shared" ref="V466" si="1256">U466-V465+(W452*$B$76)</f>
        <v>22504297.0514622</v>
      </c>
      <c r="W466" s="151">
        <f t="shared" ref="W466" si="1257">V466-W465+(X452*$B$76)</f>
        <v>12362525.138034031</v>
      </c>
      <c r="X466" s="152">
        <f t="shared" ref="X466" si="1258">W466-X465+(Y452*$B$76)</f>
        <v>1662955.769367313</v>
      </c>
      <c r="Y466" s="156"/>
    </row>
    <row r="467" spans="1:25" hidden="1" outlineLevel="1">
      <c r="A467" s="95"/>
      <c r="B467" s="15"/>
      <c r="C467" s="125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2"/>
      <c r="Y467" s="156"/>
    </row>
    <row r="468" spans="1:25" hidden="1" outlineLevel="1">
      <c r="A468" s="95"/>
      <c r="B468" s="15"/>
      <c r="C468" s="126" t="s">
        <v>162</v>
      </c>
      <c r="D468" s="151">
        <f>-INDEX('DATA (Nominal)'!$B$74:$BX$74,1,MATCH($B$1,'DATA (Nominal)'!$B$1:$BX$1,0))*1000000*(1+AFUDC!$C$22)*'Resource Options'!$E$22/1000</f>
        <v>-120077175.13890114</v>
      </c>
      <c r="E468" s="151">
        <f t="shared" ref="E468:X468" si="1259">-$D468/20</f>
        <v>6003858.7569450568</v>
      </c>
      <c r="F468" s="151">
        <f t="shared" si="1259"/>
        <v>6003858.7569450568</v>
      </c>
      <c r="G468" s="151">
        <f t="shared" si="1259"/>
        <v>6003858.7569450568</v>
      </c>
      <c r="H468" s="151">
        <f t="shared" si="1259"/>
        <v>6003858.7569450568</v>
      </c>
      <c r="I468" s="151">
        <f t="shared" si="1259"/>
        <v>6003858.7569450568</v>
      </c>
      <c r="J468" s="151">
        <f t="shared" si="1259"/>
        <v>6003858.7569450568</v>
      </c>
      <c r="K468" s="151">
        <f t="shared" si="1259"/>
        <v>6003858.7569450568</v>
      </c>
      <c r="L468" s="151">
        <f t="shared" si="1259"/>
        <v>6003858.7569450568</v>
      </c>
      <c r="M468" s="151">
        <f t="shared" si="1259"/>
        <v>6003858.7569450568</v>
      </c>
      <c r="N468" s="151">
        <f t="shared" si="1259"/>
        <v>6003858.7569450568</v>
      </c>
      <c r="O468" s="151">
        <f t="shared" si="1259"/>
        <v>6003858.7569450568</v>
      </c>
      <c r="P468" s="151">
        <f t="shared" si="1259"/>
        <v>6003858.7569450568</v>
      </c>
      <c r="Q468" s="151">
        <f t="shared" si="1259"/>
        <v>6003858.7569450568</v>
      </c>
      <c r="R468" s="151">
        <f t="shared" si="1259"/>
        <v>6003858.7569450568</v>
      </c>
      <c r="S468" s="151">
        <f t="shared" si="1259"/>
        <v>6003858.7569450568</v>
      </c>
      <c r="T468" s="151">
        <f t="shared" si="1259"/>
        <v>6003858.7569450568</v>
      </c>
      <c r="U468" s="151">
        <f t="shared" si="1259"/>
        <v>6003858.7569450568</v>
      </c>
      <c r="V468" s="151">
        <f t="shared" si="1259"/>
        <v>6003858.7569450568</v>
      </c>
      <c r="W468" s="151">
        <f t="shared" si="1259"/>
        <v>6003858.7569450568</v>
      </c>
      <c r="X468" s="152">
        <f t="shared" si="1259"/>
        <v>6003858.7569450568</v>
      </c>
      <c r="Y468" s="156"/>
    </row>
    <row r="469" spans="1:25" s="95" customFormat="1" hidden="1" outlineLevel="1">
      <c r="B469" s="52"/>
      <c r="C469" s="126" t="s">
        <v>163</v>
      </c>
      <c r="D469" s="151">
        <f>-INDEX('DATA (Nominal)'!$B$75:$BX$75,1,MATCH($B$1,'DATA (Nominal)'!$B$1:$BX$1,0))*1000000*(1+AFUDC!$D$22)*'Resource Options'!$D$22/1000</f>
        <v>-84133759.729947343</v>
      </c>
      <c r="E469" s="151">
        <f t="shared" ref="E469:N469" si="1260">-$D469/10</f>
        <v>8413375.9729947336</v>
      </c>
      <c r="F469" s="151">
        <f t="shared" si="1260"/>
        <v>8413375.9729947336</v>
      </c>
      <c r="G469" s="151">
        <f t="shared" si="1260"/>
        <v>8413375.9729947336</v>
      </c>
      <c r="H469" s="151">
        <f t="shared" si="1260"/>
        <v>8413375.9729947336</v>
      </c>
      <c r="I469" s="151">
        <f t="shared" si="1260"/>
        <v>8413375.9729947336</v>
      </c>
      <c r="J469" s="151">
        <f t="shared" si="1260"/>
        <v>8413375.9729947336</v>
      </c>
      <c r="K469" s="151">
        <f t="shared" si="1260"/>
        <v>8413375.9729947336</v>
      </c>
      <c r="L469" s="151">
        <f t="shared" si="1260"/>
        <v>8413375.9729947336</v>
      </c>
      <c r="M469" s="151">
        <f t="shared" si="1260"/>
        <v>8413375.9729947336</v>
      </c>
      <c r="N469" s="151">
        <f t="shared" si="1260"/>
        <v>8413375.9729947336</v>
      </c>
      <c r="O469" s="151">
        <f t="shared" ref="O469:X469" si="1261">$O452/10</f>
        <v>4232805.0418400485</v>
      </c>
      <c r="P469" s="151">
        <f t="shared" si="1261"/>
        <v>4232805.0418400485</v>
      </c>
      <c r="Q469" s="151">
        <f t="shared" si="1261"/>
        <v>4232805.0418400485</v>
      </c>
      <c r="R469" s="151">
        <f t="shared" si="1261"/>
        <v>4232805.0418400485</v>
      </c>
      <c r="S469" s="151">
        <f t="shared" si="1261"/>
        <v>4232805.0418400485</v>
      </c>
      <c r="T469" s="151">
        <f t="shared" si="1261"/>
        <v>4232805.0418400485</v>
      </c>
      <c r="U469" s="151">
        <f t="shared" si="1261"/>
        <v>4232805.0418400485</v>
      </c>
      <c r="V469" s="151">
        <f t="shared" si="1261"/>
        <v>4232805.0418400485</v>
      </c>
      <c r="W469" s="151">
        <f t="shared" si="1261"/>
        <v>4232805.0418400485</v>
      </c>
      <c r="X469" s="152">
        <f t="shared" si="1261"/>
        <v>4232805.0418400485</v>
      </c>
      <c r="Y469" s="156"/>
    </row>
    <row r="470" spans="1:25" hidden="1" outlineLevel="1">
      <c r="A470" s="95"/>
      <c r="B470" s="15"/>
      <c r="C470" s="125" t="s">
        <v>62</v>
      </c>
      <c r="D470" s="151"/>
      <c r="E470" s="151">
        <f>SUM($E468:E469)</f>
        <v>14417234.72993979</v>
      </c>
      <c r="F470" s="151">
        <f>SUM($E468:F469)</f>
        <v>28834469.459879581</v>
      </c>
      <c r="G470" s="151">
        <f>SUM($E468:G469)</f>
        <v>43251704.189819366</v>
      </c>
      <c r="H470" s="151">
        <f>SUM($E468:H469)</f>
        <v>57668938.919759154</v>
      </c>
      <c r="I470" s="151">
        <f>SUM($E468:I469)</f>
        <v>72086173.649698943</v>
      </c>
      <c r="J470" s="151">
        <f>SUM($E468:J469)</f>
        <v>86503408.379638731</v>
      </c>
      <c r="K470" s="151">
        <f>SUM($E468:K469)</f>
        <v>100920643.10957852</v>
      </c>
      <c r="L470" s="151">
        <f>SUM($E468:L469)</f>
        <v>115337877.83951831</v>
      </c>
      <c r="M470" s="151">
        <f>SUM($E468:M469)</f>
        <v>129755112.5694581</v>
      </c>
      <c r="N470" s="151">
        <f>SUM($E468:N469)</f>
        <v>144172347.29939792</v>
      </c>
      <c r="O470" s="151">
        <f>SUM($E468:O469)</f>
        <v>154409011.09818301</v>
      </c>
      <c r="P470" s="151">
        <f>SUM($E468:P469)</f>
        <v>164645674.89696813</v>
      </c>
      <c r="Q470" s="151">
        <f>SUM($E468:Q469)</f>
        <v>174882338.69575325</v>
      </c>
      <c r="R470" s="151">
        <f>SUM($E468:R469)</f>
        <v>185119002.49453837</v>
      </c>
      <c r="S470" s="151">
        <f>SUM($E468:S469)</f>
        <v>195355666.29332346</v>
      </c>
      <c r="T470" s="151">
        <f>SUM($E468:T469)</f>
        <v>205592330.09210858</v>
      </c>
      <c r="U470" s="151">
        <f>SUM($E468:U469)</f>
        <v>215828993.8908937</v>
      </c>
      <c r="V470" s="151">
        <f>SUM($E468:V469)</f>
        <v>226065657.68967882</v>
      </c>
      <c r="W470" s="151">
        <f>SUM($E468:W469)</f>
        <v>236302321.48846394</v>
      </c>
      <c r="X470" s="152">
        <f>SUM($E468:X469)</f>
        <v>246538985.28724906</v>
      </c>
      <c r="Y470" s="156"/>
    </row>
    <row r="471" spans="1:25" hidden="1" outlineLevel="1">
      <c r="A471" s="95"/>
      <c r="B471" s="15"/>
      <c r="C471" s="125" t="s">
        <v>63</v>
      </c>
      <c r="D471" s="151"/>
      <c r="E471" s="151">
        <f>-$D459-E470</f>
        <v>189793700.13890871</v>
      </c>
      <c r="F471" s="151">
        <f t="shared" ref="F471:G471" si="1262">-$D459-F470</f>
        <v>175376465.40896893</v>
      </c>
      <c r="G471" s="151">
        <f t="shared" si="1262"/>
        <v>160959230.67902914</v>
      </c>
      <c r="H471" s="156">
        <f>-$D459-H470</f>
        <v>146541995.94908935</v>
      </c>
      <c r="I471" s="151">
        <f t="shared" ref="I471:L471" si="1263">-$D459-I470</f>
        <v>132124761.21914956</v>
      </c>
      <c r="J471" s="151">
        <f t="shared" si="1263"/>
        <v>117707526.48920977</v>
      </c>
      <c r="K471" s="151">
        <f t="shared" si="1263"/>
        <v>103290291.75926998</v>
      </c>
      <c r="L471" s="151">
        <f t="shared" si="1263"/>
        <v>88873057.029330194</v>
      </c>
      <c r="M471" s="151">
        <f>-$D459-M470</f>
        <v>74455822.299390405</v>
      </c>
      <c r="N471" s="151">
        <f>-$D459-N470</f>
        <v>60038587.569450587</v>
      </c>
      <c r="O471" s="151">
        <f>-$D459-O470+$O452</f>
        <v>92129974.189065978</v>
      </c>
      <c r="P471" s="151">
        <f t="shared" ref="P471" si="1264">-$D459-P470+$O452</f>
        <v>81893310.390280858</v>
      </c>
      <c r="Q471" s="151">
        <f t="shared" ref="Q471" si="1265">-$D459-Q470+$O452</f>
        <v>71656646.591495737</v>
      </c>
      <c r="R471" s="151">
        <f t="shared" ref="R471" si="1266">-$D459-R470+$O452</f>
        <v>61419982.792710617</v>
      </c>
      <c r="S471" s="151">
        <f t="shared" ref="S471" si="1267">-$D459-S470+$O452</f>
        <v>51183318.993925527</v>
      </c>
      <c r="T471" s="151">
        <f t="shared" ref="T471" si="1268">-$D459-T470+$O452</f>
        <v>40946655.195140406</v>
      </c>
      <c r="U471" s="151">
        <f t="shared" ref="U471" si="1269">-$D459-U470+$O452</f>
        <v>30709991.396355286</v>
      </c>
      <c r="V471" s="151">
        <f t="shared" ref="V471" si="1270">-$D459-V470+$O452</f>
        <v>20473327.597570166</v>
      </c>
      <c r="W471" s="151">
        <f t="shared" ref="W471" si="1271">-$D459-W470+$O452</f>
        <v>10236663.798785046</v>
      </c>
      <c r="X471" s="152">
        <f t="shared" ref="X471" si="1272">-$D459-X470+$O452</f>
        <v>-7.4505805969238281E-8</v>
      </c>
      <c r="Y471" s="156"/>
    </row>
    <row r="472" spans="1:25" hidden="1" outlineLevel="1">
      <c r="A472" s="95"/>
      <c r="B472" s="15"/>
      <c r="C472" s="125" t="s">
        <v>64</v>
      </c>
      <c r="D472" s="151">
        <f>-D459</f>
        <v>204210934.8688485</v>
      </c>
      <c r="E472" s="151">
        <f>D472/(($D472/$Y472)^(1/21))</f>
        <v>192832399.60351223</v>
      </c>
      <c r="F472" s="151">
        <f t="shared" ref="F472" si="1273">E472/(($D472/$Y472)^(1/21))</f>
        <v>182087870.86122355</v>
      </c>
      <c r="G472" s="151">
        <f t="shared" ref="G472" si="1274">F472/(($D472/$Y472)^(1/21))</f>
        <v>171942022.10285479</v>
      </c>
      <c r="H472" s="151">
        <f t="shared" ref="H472" si="1275">G472/(($D472/$Y472)^(1/21))</f>
        <v>162361495.16708094</v>
      </c>
      <c r="I472" s="151">
        <f t="shared" ref="I472" si="1276">H472/(($D472/$Y472)^(1/21))</f>
        <v>153314790.5933134</v>
      </c>
      <c r="J472" s="156">
        <f t="shared" ref="J472" si="1277">I472/(($D472/$Y472)^(1/21))</f>
        <v>144772164.05578718</v>
      </c>
      <c r="K472" s="156">
        <f>J472/(($D472/$Y472)^(1/21))</f>
        <v>136705528.56829098</v>
      </c>
      <c r="L472" s="151">
        <f t="shared" ref="L472" si="1278">K472/(($D472/$Y472)^(1/21))</f>
        <v>129088362.1380029</v>
      </c>
      <c r="M472" s="151">
        <f t="shared" ref="M472" si="1279">L472/(($D472/$Y472)^(1/21))</f>
        <v>121895620.56480993</v>
      </c>
      <c r="N472" s="151">
        <f>M472/(($D472/$Y472)^(1/21))</f>
        <v>115103655.09940761</v>
      </c>
      <c r="O472" s="151">
        <f>(N472+O452)/(($D472/($Y472+O452))^(1/21))</f>
        <v>152425005.83276618</v>
      </c>
      <c r="P472" s="151">
        <f>O472/(($O472/$Y472)^(1/11))</f>
        <v>140303761.26613373</v>
      </c>
      <c r="Q472" s="151">
        <f>P472/(($O472/$Y472)^(1/11))</f>
        <v>129146430.52086806</v>
      </c>
      <c r="R472" s="151">
        <f t="shared" ref="R472:X472" si="1280">Q472/(($O472/$Y472)^(1/11))</f>
        <v>118876360.5891106</v>
      </c>
      <c r="S472" s="151">
        <f t="shared" si="1280"/>
        <v>109422994.11541848</v>
      </c>
      <c r="T472" s="151">
        <f t="shared" si="1280"/>
        <v>100721384.65416397</v>
      </c>
      <c r="U472" s="151">
        <f t="shared" si="1280"/>
        <v>92711750.474963322</v>
      </c>
      <c r="V472" s="151">
        <f t="shared" si="1280"/>
        <v>85339063.850692526</v>
      </c>
      <c r="W472" s="151">
        <f t="shared" si="1280"/>
        <v>78552673.006419763</v>
      </c>
      <c r="X472" s="152">
        <f t="shared" si="1280"/>
        <v>72305954.131970882</v>
      </c>
      <c r="Y472" s="156">
        <f>Y459</f>
        <v>61263280.460654549</v>
      </c>
    </row>
    <row r="473" spans="1:25" hidden="1" outlineLevel="1">
      <c r="A473" s="95"/>
      <c r="B473" s="15"/>
      <c r="C473" s="126" t="s">
        <v>65</v>
      </c>
      <c r="D473" s="151"/>
      <c r="E473" s="151">
        <f>-$D459*Assumptions!J$22*INDEX('DATA (Nominal)'!$B$352:$BX$352,1,MATCH($B$1,'DATA (Nominal)'!$B$1:$BX$1,0))</f>
        <v>34715858.927704245</v>
      </c>
      <c r="F473" s="151">
        <f>-$D459*Assumptions!K$22*INDEX('DATA (Nominal)'!$B$352:$BX$352,1,MATCH($B$1,'DATA (Nominal)'!$B$1:$BX$1,0))</f>
        <v>55545374.284326792</v>
      </c>
      <c r="G473" s="151">
        <f>-$D459*Assumptions!L$22*INDEX('DATA (Nominal)'!$B$352:$BX$352,1,MATCH($B$1,'DATA (Nominal)'!$B$1:$BX$1,0))</f>
        <v>33327224.570596073</v>
      </c>
      <c r="H473" s="151">
        <f>-$D459*Assumptions!M$22*INDEX('DATA (Nominal)'!$B$352:$BX$352,1,MATCH($B$1,'DATA (Nominal)'!$B$1:$BX$1,0))</f>
        <v>19996334.742357641</v>
      </c>
      <c r="I473" s="151">
        <f>-$D459*Assumptions!N$22*INDEX('DATA (Nominal)'!$B$352:$BX$352,1,MATCH($B$1,'DATA (Nominal)'!$B$1:$BX$1,0))</f>
        <v>19996334.742357641</v>
      </c>
      <c r="J473" s="151">
        <f>-$D459*Assumptions!O$22*INDEX('DATA (Nominal)'!$B$352:$BX$352,1,MATCH($B$1,'DATA (Nominal)'!$B$1:$BX$1,0))</f>
        <v>9998167.3711788207</v>
      </c>
      <c r="K473" s="151">
        <f>-$D459*Assumptions!P$22*INDEX('DATA (Nominal)'!$B$352:$BX$352,1,MATCH($B$1,'DATA (Nominal)'!$B$1:$BX$1,0))</f>
        <v>0</v>
      </c>
      <c r="L473" s="151">
        <f>-$D459*Assumptions!Q$22*INDEX('DATA (Nominal)'!$B$352:$BX$352,1,MATCH($B$1,'DATA (Nominal)'!$B$1:$BX$1,0))</f>
        <v>0</v>
      </c>
      <c r="M473" s="151">
        <f>-$D459*Assumptions!R$22*INDEX('DATA (Nominal)'!$B$352:$BX$352,1,MATCH($B$1,'DATA (Nominal)'!$B$1:$BX$1,0))</f>
        <v>0</v>
      </c>
      <c r="N473" s="151">
        <f>-$D459*Assumptions!S$22*INDEX('DATA (Nominal)'!$B$352:$BX$352,1,MATCH($B$1,'DATA (Nominal)'!$B$1:$BX$1,0))</f>
        <v>0</v>
      </c>
      <c r="O473" s="151">
        <f>$O452*Assumptions!T$22</f>
        <v>6046985.2827726919</v>
      </c>
      <c r="P473" s="151">
        <f>$O452*Assumptions!U$22</f>
        <v>10366139.547466278</v>
      </c>
      <c r="Q473" s="151">
        <f>$O452*Assumptions!V$22</f>
        <v>7404445.8596907966</v>
      </c>
      <c r="R473" s="151">
        <f>$O452*Assumptions!W$22</f>
        <v>5288889.89977914</v>
      </c>
      <c r="S473" s="151">
        <f>$O452*Assumptions!X$22</f>
        <v>3777778.4998422428</v>
      </c>
      <c r="T473" s="151">
        <f>$O452*Assumptions!Y$22</f>
        <v>3777778.4998422428</v>
      </c>
      <c r="U473" s="151">
        <f>$O452*Assumptions!Z$22</f>
        <v>3777778.4998422428</v>
      </c>
      <c r="V473" s="151">
        <f>$O452*Assumptions!AA$22</f>
        <v>1888254.3291648454</v>
      </c>
      <c r="W473" s="151">
        <f>$O452*Assumptions!AB$22</f>
        <v>0</v>
      </c>
      <c r="X473" s="160">
        <f>$O452*Assumptions!AC$22</f>
        <v>0</v>
      </c>
      <c r="Y473" s="156"/>
    </row>
    <row r="474" spans="1:25" ht="15.75" hidden="1" outlineLevel="1" thickBot="1">
      <c r="A474" s="95"/>
      <c r="B474" s="15"/>
      <c r="C474" s="127" t="s">
        <v>66</v>
      </c>
      <c r="D474" s="157"/>
      <c r="E474" s="157">
        <f>E473*Federal_Tax_Rate</f>
        <v>7290330.374817891</v>
      </c>
      <c r="F474" s="157">
        <f>F473*Federal_Tax_Rate</f>
        <v>11664528.599708626</v>
      </c>
      <c r="G474" s="157">
        <f t="shared" ref="G474" si="1281">G473*Federal_Tax_Rate</f>
        <v>6998717.1598251751</v>
      </c>
      <c r="H474" s="157">
        <f t="shared" ref="H474" si="1282">H473*Federal_Tax_Rate</f>
        <v>4199230.2958951043</v>
      </c>
      <c r="I474" s="157">
        <f t="shared" ref="I474" si="1283">I473*Federal_Tax_Rate</f>
        <v>4199230.2958951043</v>
      </c>
      <c r="J474" s="157">
        <f t="shared" ref="J474" si="1284">J473*Federal_Tax_Rate</f>
        <v>2099615.1479475521</v>
      </c>
      <c r="K474" s="157">
        <f t="shared" ref="K474" si="1285">K473*Federal_Tax_Rate</f>
        <v>0</v>
      </c>
      <c r="L474" s="157">
        <f t="shared" ref="L474" si="1286">L473*Federal_Tax_Rate</f>
        <v>0</v>
      </c>
      <c r="M474" s="157">
        <f t="shared" ref="M474" si="1287">M473*Federal_Tax_Rate</f>
        <v>0</v>
      </c>
      <c r="N474" s="157">
        <f>N473*Federal_Tax_Rate</f>
        <v>0</v>
      </c>
      <c r="O474" s="157">
        <f>O473*Federal_Tax_Rate</f>
        <v>1269866.9093822653</v>
      </c>
      <c r="P474" s="157">
        <f t="shared" ref="P474" si="1288">P473*Federal_Tax_Rate</f>
        <v>2176889.3049679184</v>
      </c>
      <c r="Q474" s="157">
        <f t="shared" ref="Q474" si="1289">Q473*Federal_Tax_Rate</f>
        <v>1554933.6305350673</v>
      </c>
      <c r="R474" s="157">
        <f t="shared" ref="R474" si="1290">R473*Federal_Tax_Rate</f>
        <v>1110666.8789536194</v>
      </c>
      <c r="S474" s="157">
        <f t="shared" ref="S474" si="1291">S473*Federal_Tax_Rate</f>
        <v>793333.48496687098</v>
      </c>
      <c r="T474" s="157">
        <f t="shared" ref="T474" si="1292">T473*Federal_Tax_Rate</f>
        <v>793333.48496687098</v>
      </c>
      <c r="U474" s="157">
        <f t="shared" ref="U474" si="1293">U473*Federal_Tax_Rate</f>
        <v>793333.48496687098</v>
      </c>
      <c r="V474" s="157">
        <f t="shared" ref="V474" si="1294">V473*Federal_Tax_Rate</f>
        <v>396533.40912461752</v>
      </c>
      <c r="W474" s="157">
        <f t="shared" ref="W474" si="1295">W473*Federal_Tax_Rate</f>
        <v>0</v>
      </c>
      <c r="X474" s="158">
        <f t="shared" ref="X474" si="1296">X473*Federal_Tax_Rate</f>
        <v>0</v>
      </c>
      <c r="Y474" s="156"/>
    </row>
    <row r="475" spans="1:25" hidden="1" outlineLevel="1">
      <c r="A475" s="95"/>
      <c r="B475" s="15"/>
      <c r="C475" s="128" t="s">
        <v>67</v>
      </c>
      <c r="D475" s="104">
        <f>NPV(Tax_Equity_Rate,E474:N474)</f>
        <v>29574165.319401789</v>
      </c>
      <c r="E475" s="105">
        <f>D475/D479</f>
        <v>0.14482165383746648</v>
      </c>
      <c r="F475" s="99"/>
      <c r="G475" s="99"/>
      <c r="H475" s="99"/>
      <c r="I475" s="99"/>
      <c r="J475" s="99"/>
      <c r="K475" s="99"/>
      <c r="L475" s="99"/>
      <c r="M475" s="261"/>
      <c r="N475" s="261"/>
      <c r="O475" s="261"/>
      <c r="P475" s="261"/>
      <c r="Q475" s="261"/>
      <c r="R475" s="261"/>
      <c r="S475" s="261"/>
      <c r="T475" s="261"/>
      <c r="U475" s="261"/>
      <c r="V475" s="261"/>
      <c r="W475" s="261"/>
      <c r="X475" s="261"/>
      <c r="Y475" s="261"/>
    </row>
    <row r="476" spans="1:25" hidden="1" outlineLevel="1">
      <c r="A476" s="95"/>
      <c r="B476" s="15"/>
      <c r="C476" s="125" t="s">
        <v>129</v>
      </c>
      <c r="D476" s="106">
        <f>NPV(Tax_Equity_Rate,E456:X456)</f>
        <v>56725259.685791247</v>
      </c>
      <c r="E476" s="107">
        <f>D476/D479</f>
        <v>0.27777777777777773</v>
      </c>
      <c r="F476" s="95"/>
      <c r="G476" s="95"/>
      <c r="H476" s="95"/>
      <c r="I476" s="95"/>
      <c r="J476" s="95"/>
      <c r="K476" s="95"/>
      <c r="L476" s="95"/>
    </row>
    <row r="477" spans="1:25" hidden="1" outlineLevel="1">
      <c r="A477" s="95"/>
      <c r="B477" s="22">
        <f>Assumptions!F22</f>
        <v>0.73499999999999999</v>
      </c>
      <c r="C477" s="125" t="s">
        <v>68</v>
      </c>
      <c r="D477" s="106">
        <f>(D479-D475-D476)*$B477</f>
        <v>86664959.749786749</v>
      </c>
      <c r="E477" s="107">
        <f>D477/D479</f>
        <v>0.42438941776279537</v>
      </c>
      <c r="F477" s="95"/>
      <c r="G477" s="95"/>
      <c r="H477" s="95"/>
      <c r="I477" s="95"/>
      <c r="J477" s="95"/>
      <c r="K477" s="95"/>
      <c r="L477" s="95"/>
    </row>
    <row r="478" spans="1:25" hidden="1" outlineLevel="1">
      <c r="A478" s="95"/>
      <c r="B478" s="22">
        <f>1-B477</f>
        <v>0.26500000000000001</v>
      </c>
      <c r="C478" s="125" t="s">
        <v>69</v>
      </c>
      <c r="D478" s="106">
        <f>(D479-D475-D476)*$B478</f>
        <v>31246550.113868695</v>
      </c>
      <c r="E478" s="107">
        <f>D478/D479</f>
        <v>0.15301115062196027</v>
      </c>
      <c r="F478" s="95"/>
      <c r="G478" s="95"/>
      <c r="H478" s="95"/>
      <c r="I478" s="95"/>
      <c r="J478" s="95"/>
      <c r="K478" s="95"/>
      <c r="L478" s="95"/>
    </row>
    <row r="479" spans="1:25" hidden="1" outlineLevel="1">
      <c r="A479" s="95"/>
      <c r="C479" s="125" t="s">
        <v>70</v>
      </c>
      <c r="D479" s="106">
        <f>-D459</f>
        <v>204210934.8688485</v>
      </c>
      <c r="E479" s="108"/>
      <c r="F479" s="95"/>
      <c r="G479" s="95"/>
      <c r="H479" s="95"/>
      <c r="I479" s="95"/>
      <c r="J479" s="95"/>
      <c r="K479" s="95"/>
      <c r="L479" s="95"/>
    </row>
    <row r="480" spans="1:25" ht="15.75" hidden="1" outlineLevel="1" thickBot="1">
      <c r="A480" s="95"/>
      <c r="C480" s="127" t="s">
        <v>71</v>
      </c>
      <c r="D480" s="109">
        <f>SUM(D475:D478)-D479</f>
        <v>0</v>
      </c>
      <c r="E480" s="110"/>
      <c r="F480" s="95"/>
      <c r="G480" s="95"/>
      <c r="H480" s="95"/>
      <c r="I480" s="95"/>
      <c r="J480" s="95"/>
      <c r="K480" s="95"/>
      <c r="L480" s="95"/>
    </row>
    <row r="481" spans="1:25" hidden="1" outlineLevel="1">
      <c r="A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</row>
    <row r="482" spans="1:25" ht="15.75" collapsed="1" thickBot="1">
      <c r="A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</row>
    <row r="483" spans="1:25" ht="18.75" thickBot="1">
      <c r="A483" s="86"/>
      <c r="B483" s="82"/>
      <c r="C483" s="484" t="s">
        <v>137</v>
      </c>
      <c r="D483" s="485"/>
      <c r="E483" s="485"/>
      <c r="F483" s="485"/>
      <c r="G483" s="485"/>
      <c r="H483" s="486"/>
      <c r="I483" s="95"/>
      <c r="J483" s="95"/>
      <c r="K483" s="95"/>
      <c r="L483" s="95"/>
      <c r="Y483" s="261"/>
    </row>
    <row r="484" spans="1:25" hidden="1" outlineLevel="1">
      <c r="A484" s="95"/>
      <c r="C484" s="124" t="s">
        <v>44</v>
      </c>
      <c r="D484" s="153"/>
      <c r="E484" s="153">
        <f>'Resource Options'!$E$23*INDEX('DATA (Nominal)'!$B$23:$BX$23,1,MATCH($B$1,'DATA (Nominal)'!$B$1:$BX$1,0))*8760</f>
        <v>240695.09517976042</v>
      </c>
      <c r="F484" s="153">
        <f>'Resource Options'!$E$23*INDEX('DATA (Nominal)'!$B$23:$BX$23,1,MATCH($B$1,'DATA (Nominal)'!$B$1:$BX$1,0))*8760</f>
        <v>240695.09517976042</v>
      </c>
      <c r="G484" s="153">
        <f>'Resource Options'!$E$23*INDEX('DATA (Nominal)'!$B$23:$BX$23,1,MATCH($B$1,'DATA (Nominal)'!$B$1:$BX$1,0))*8760</f>
        <v>240695.09517976042</v>
      </c>
      <c r="H484" s="153">
        <f>'Resource Options'!$E$23*INDEX('DATA (Nominal)'!$B$23:$BX$23,1,MATCH($B$1,'DATA (Nominal)'!$B$1:$BX$1,0))*8760</f>
        <v>240695.09517976042</v>
      </c>
      <c r="I484" s="153">
        <f>'Resource Options'!$E$23*INDEX('DATA (Nominal)'!$B$23:$BX$23,1,MATCH($B$1,'DATA (Nominal)'!$B$1:$BX$1,0))*8760</f>
        <v>240695.09517976042</v>
      </c>
      <c r="J484" s="153">
        <f>'Resource Options'!$E$23*INDEX('DATA (Nominal)'!$B$23:$BX$23,1,MATCH($B$1,'DATA (Nominal)'!$B$1:$BX$1,0))*8760</f>
        <v>240695.09517976042</v>
      </c>
      <c r="K484" s="153">
        <f>'Resource Options'!$E$23*INDEX('DATA (Nominal)'!$B$23:$BX$23,1,MATCH($B$1,'DATA (Nominal)'!$B$1:$BX$1,0))*8760</f>
        <v>240695.09517976042</v>
      </c>
      <c r="L484" s="153">
        <f>'Resource Options'!$E$23*INDEX('DATA (Nominal)'!$B$23:$BX$23,1,MATCH($B$1,'DATA (Nominal)'!$B$1:$BX$1,0))*8760</f>
        <v>240695.09517976042</v>
      </c>
      <c r="M484" s="153">
        <f>'Resource Options'!$E$23*INDEX('DATA (Nominal)'!$B$23:$BX$23,1,MATCH($B$1,'DATA (Nominal)'!$B$1:$BX$1,0))*8760</f>
        <v>240695.09517976042</v>
      </c>
      <c r="N484" s="153">
        <f>'Resource Options'!$E$23*INDEX('DATA (Nominal)'!$B$23:$BX$23,1,MATCH($B$1,'DATA (Nominal)'!$B$1:$BX$1,0))*8760</f>
        <v>240695.09517976042</v>
      </c>
      <c r="O484" s="153">
        <f>'Resource Options'!$E$23*INDEX('DATA (Nominal)'!$B$23:$BX$23,1,MATCH($B$1,'DATA (Nominal)'!$B$1:$BX$1,0))*8760</f>
        <v>240695.09517976042</v>
      </c>
      <c r="P484" s="153">
        <f>'Resource Options'!$E$23*INDEX('DATA (Nominal)'!$B$23:$BX$23,1,MATCH($B$1,'DATA (Nominal)'!$B$1:$BX$1,0))*8760</f>
        <v>240695.09517976042</v>
      </c>
      <c r="Q484" s="153">
        <f>'Resource Options'!$E$23*INDEX('DATA (Nominal)'!$B$23:$BX$23,1,MATCH($B$1,'DATA (Nominal)'!$B$1:$BX$1,0))*8760</f>
        <v>240695.09517976042</v>
      </c>
      <c r="R484" s="153">
        <f>'Resource Options'!$E$23*INDEX('DATA (Nominal)'!$B$23:$BX$23,1,MATCH($B$1,'DATA (Nominal)'!$B$1:$BX$1,0))*8760</f>
        <v>240695.09517976042</v>
      </c>
      <c r="S484" s="153">
        <f>'Resource Options'!$E$23*INDEX('DATA (Nominal)'!$B$23:$BX$23,1,MATCH($B$1,'DATA (Nominal)'!$B$1:$BX$1,0))*8760</f>
        <v>240695.09517976042</v>
      </c>
      <c r="T484" s="153">
        <f>'Resource Options'!$E$23*INDEX('DATA (Nominal)'!$B$23:$BX$23,1,MATCH($B$1,'DATA (Nominal)'!$B$1:$BX$1,0))*8760</f>
        <v>240695.09517976042</v>
      </c>
      <c r="U484" s="153">
        <f>'Resource Options'!$E$23*INDEX('DATA (Nominal)'!$B$23:$BX$23,1,MATCH($B$1,'DATA (Nominal)'!$B$1:$BX$1,0))*8760</f>
        <v>240695.09517976042</v>
      </c>
      <c r="V484" s="153">
        <f>'Resource Options'!$E$23*INDEX('DATA (Nominal)'!$B$23:$BX$23,1,MATCH($B$1,'DATA (Nominal)'!$B$1:$BX$1,0))*8760</f>
        <v>240695.09517976042</v>
      </c>
      <c r="W484" s="153">
        <f>'Resource Options'!$E$23*INDEX('DATA (Nominal)'!$B$23:$BX$23,1,MATCH($B$1,'DATA (Nominal)'!$B$1:$BX$1,0))*8760</f>
        <v>240695.09517976042</v>
      </c>
      <c r="X484" s="159">
        <f>'Resource Options'!$E$23*INDEX('DATA (Nominal)'!$B$23:$BX$23,1,MATCH($B$1,'DATA (Nominal)'!$B$1:$BX$1,0))*8760</f>
        <v>240695.09517976042</v>
      </c>
      <c r="Y484" s="156"/>
    </row>
    <row r="485" spans="1:25" hidden="1" outlineLevel="1">
      <c r="A485" s="95"/>
      <c r="C485" s="125" t="s">
        <v>45</v>
      </c>
      <c r="D485" s="151"/>
      <c r="E485" s="154">
        <f>PPA_SOLAR_PV_Single_Axis_Tracking</f>
        <v>41.835669438877432</v>
      </c>
      <c r="F485" s="154">
        <f>E485</f>
        <v>41.835669438877432</v>
      </c>
      <c r="G485" s="154">
        <f t="shared" ref="G485:G486" si="1297">F485</f>
        <v>41.835669438877432</v>
      </c>
      <c r="H485" s="154">
        <f t="shared" ref="H485:H486" si="1298">G485</f>
        <v>41.835669438877432</v>
      </c>
      <c r="I485" s="154">
        <f t="shared" ref="I485:I486" si="1299">H485</f>
        <v>41.835669438877432</v>
      </c>
      <c r="J485" s="154">
        <f t="shared" ref="J485:J486" si="1300">I485</f>
        <v>41.835669438877432</v>
      </c>
      <c r="K485" s="154">
        <f t="shared" ref="K485:K486" si="1301">J485</f>
        <v>41.835669438877432</v>
      </c>
      <c r="L485" s="154">
        <f t="shared" ref="L485:L486" si="1302">K485</f>
        <v>41.835669438877432</v>
      </c>
      <c r="M485" s="154">
        <f t="shared" ref="M485:M486" si="1303">L485</f>
        <v>41.835669438877432</v>
      </c>
      <c r="N485" s="154">
        <f t="shared" ref="N485:N486" si="1304">M485</f>
        <v>41.835669438877432</v>
      </c>
      <c r="O485" s="154">
        <f t="shared" ref="O485:O486" si="1305">N485</f>
        <v>41.835669438877432</v>
      </c>
      <c r="P485" s="154">
        <f t="shared" ref="P485:P486" si="1306">O485</f>
        <v>41.835669438877432</v>
      </c>
      <c r="Q485" s="154">
        <f t="shared" ref="Q485:Q486" si="1307">P485</f>
        <v>41.835669438877432</v>
      </c>
      <c r="R485" s="154">
        <f t="shared" ref="R485:R486" si="1308">Q485</f>
        <v>41.835669438877432</v>
      </c>
      <c r="S485" s="154">
        <f t="shared" ref="S485:S486" si="1309">R485</f>
        <v>41.835669438877432</v>
      </c>
      <c r="T485" s="154">
        <f t="shared" ref="T485:T486" si="1310">S485</f>
        <v>41.835669438877432</v>
      </c>
      <c r="U485" s="154">
        <f t="shared" ref="U485:U486" si="1311">T485</f>
        <v>41.835669438877432</v>
      </c>
      <c r="V485" s="154">
        <f t="shared" ref="V485:V486" si="1312">U485</f>
        <v>41.835669438877432</v>
      </c>
      <c r="W485" s="154">
        <f t="shared" ref="W485:W486" si="1313">V485</f>
        <v>41.835669438877432</v>
      </c>
      <c r="X485" s="152">
        <f t="shared" ref="X485:X486" si="1314">W485</f>
        <v>41.835669438877432</v>
      </c>
      <c r="Y485" s="156"/>
    </row>
    <row r="486" spans="1:25" s="95" customFormat="1" hidden="1" outlineLevel="1">
      <c r="C486" s="125" t="s">
        <v>111</v>
      </c>
      <c r="D486" s="151"/>
      <c r="E486" s="154">
        <f>INDEX('PPA Summary'!$75:$106,MATCH($C483,'PPA Summary'!$D$75:$D$106,0),MATCH($B$1,'PPA Summary'!$74:$74,0))</f>
        <v>4.0742282433306558</v>
      </c>
      <c r="F486" s="154">
        <f>E486</f>
        <v>4.0742282433306558</v>
      </c>
      <c r="G486" s="154">
        <f t="shared" si="1297"/>
        <v>4.0742282433306558</v>
      </c>
      <c r="H486" s="154">
        <f t="shared" si="1298"/>
        <v>4.0742282433306558</v>
      </c>
      <c r="I486" s="154">
        <f t="shared" si="1299"/>
        <v>4.0742282433306558</v>
      </c>
      <c r="J486" s="154">
        <f t="shared" si="1300"/>
        <v>4.0742282433306558</v>
      </c>
      <c r="K486" s="154">
        <f t="shared" si="1301"/>
        <v>4.0742282433306558</v>
      </c>
      <c r="L486" s="154">
        <f t="shared" si="1302"/>
        <v>4.0742282433306558</v>
      </c>
      <c r="M486" s="154">
        <f t="shared" si="1303"/>
        <v>4.0742282433306558</v>
      </c>
      <c r="N486" s="154">
        <f t="shared" si="1304"/>
        <v>4.0742282433306558</v>
      </c>
      <c r="O486" s="154">
        <f t="shared" si="1305"/>
        <v>4.0742282433306558</v>
      </c>
      <c r="P486" s="154">
        <f t="shared" si="1306"/>
        <v>4.0742282433306558</v>
      </c>
      <c r="Q486" s="154">
        <f t="shared" si="1307"/>
        <v>4.0742282433306558</v>
      </c>
      <c r="R486" s="154">
        <f t="shared" si="1308"/>
        <v>4.0742282433306558</v>
      </c>
      <c r="S486" s="154">
        <f t="shared" si="1309"/>
        <v>4.0742282433306558</v>
      </c>
      <c r="T486" s="154">
        <f t="shared" si="1310"/>
        <v>4.0742282433306558</v>
      </c>
      <c r="U486" s="154">
        <f t="shared" si="1311"/>
        <v>4.0742282433306558</v>
      </c>
      <c r="V486" s="154">
        <f t="shared" si="1312"/>
        <v>4.0742282433306558</v>
      </c>
      <c r="W486" s="154">
        <f t="shared" si="1313"/>
        <v>4.0742282433306558</v>
      </c>
      <c r="X486" s="152">
        <f t="shared" si="1314"/>
        <v>4.0742282433306558</v>
      </c>
      <c r="Y486" s="156"/>
    </row>
    <row r="487" spans="1:25" hidden="1" outlineLevel="1">
      <c r="A487" s="95"/>
      <c r="C487" s="126" t="s">
        <v>46</v>
      </c>
      <c r="D487" s="151"/>
      <c r="E487" s="151">
        <f>E485*E484+E486*12*'Resource Options'!$E$23*1000</f>
        <v>14958714.329496384</v>
      </c>
      <c r="F487" s="151">
        <f>F485*F484+F486*12*'Resource Options'!$E$23*1000</f>
        <v>14958714.329496384</v>
      </c>
      <c r="G487" s="151">
        <f>G485*G484+G486*12*'Resource Options'!$E$23*1000</f>
        <v>14958714.329496384</v>
      </c>
      <c r="H487" s="151">
        <f>H485*H484+H486*12*'Resource Options'!$E$23*1000</f>
        <v>14958714.329496384</v>
      </c>
      <c r="I487" s="151">
        <f>I485*I484+I486*12*'Resource Options'!$E$23*1000</f>
        <v>14958714.329496384</v>
      </c>
      <c r="J487" s="151">
        <f>J485*J484+J486*12*'Resource Options'!$E$23*1000</f>
        <v>14958714.329496384</v>
      </c>
      <c r="K487" s="151">
        <f>K485*K484+K486*12*'Resource Options'!$E$23*1000</f>
        <v>14958714.329496384</v>
      </c>
      <c r="L487" s="151">
        <f>L485*L484+L486*12*'Resource Options'!$E$23*1000</f>
        <v>14958714.329496384</v>
      </c>
      <c r="M487" s="151">
        <f>M485*M484+M486*12*'Resource Options'!$E$23*1000</f>
        <v>14958714.329496384</v>
      </c>
      <c r="N487" s="151">
        <f>N485*N484+N486*12*'Resource Options'!$E$23*1000</f>
        <v>14958714.329496384</v>
      </c>
      <c r="O487" s="151">
        <f>O485*O484+O486*12*'Resource Options'!$E$23*1000</f>
        <v>14958714.329496384</v>
      </c>
      <c r="P487" s="151">
        <f>P485*P484+P486*12*'Resource Options'!$E$23*1000</f>
        <v>14958714.329496384</v>
      </c>
      <c r="Q487" s="151">
        <f>Q485*Q484+Q486*12*'Resource Options'!$E$23*1000</f>
        <v>14958714.329496384</v>
      </c>
      <c r="R487" s="151">
        <f>R485*R484+R486*12*'Resource Options'!$E$23*1000</f>
        <v>14958714.329496384</v>
      </c>
      <c r="S487" s="151">
        <f>S485*S484+S486*12*'Resource Options'!$E$23*1000</f>
        <v>14958714.329496384</v>
      </c>
      <c r="T487" s="151">
        <f>T485*T484+T486*12*'Resource Options'!$E$23*1000</f>
        <v>14958714.329496384</v>
      </c>
      <c r="U487" s="151">
        <f>U485*U484+U486*12*'Resource Options'!$E$23*1000</f>
        <v>14958714.329496384</v>
      </c>
      <c r="V487" s="151">
        <f>V485*V484+V486*12*'Resource Options'!$E$23*1000</f>
        <v>14958714.329496384</v>
      </c>
      <c r="W487" s="151">
        <f>W485*W484+W486*12*'Resource Options'!$E$23*1000</f>
        <v>14958714.329496384</v>
      </c>
      <c r="X487" s="152">
        <f>X485*X484+X486*12*'Resource Options'!$E$23*1000</f>
        <v>14958714.329496384</v>
      </c>
      <c r="Y487" s="156"/>
    </row>
    <row r="488" spans="1:25" hidden="1" outlineLevel="1">
      <c r="A488" s="95"/>
      <c r="C488" s="126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2"/>
      <c r="Y488" s="156"/>
    </row>
    <row r="489" spans="1:25" hidden="1" outlineLevel="1">
      <c r="A489" s="95"/>
      <c r="B489" s="92"/>
      <c r="C489" s="125" t="s">
        <v>158</v>
      </c>
      <c r="D489" s="151"/>
      <c r="E489" s="151">
        <f>'Resource Options'!$E$23*INDEX('DATA (Nominal)'!$B$195:$BX$195,1,MATCH(E$1,'DATA (Nominal)'!$B$1:$BX$1,0))*1000*0.8</f>
        <v>1723726.7416158107</v>
      </c>
      <c r="F489" s="151">
        <f>'Resource Options'!$E$23*INDEX('DATA (Nominal)'!$B$195:$BX$195,1,MATCH(F$1,'DATA (Nominal)'!$B$1:$BX$1,0))*1000*0.8</f>
        <v>1704800.4437326235</v>
      </c>
      <c r="G489" s="151">
        <f>'Resource Options'!$E$23*INDEX('DATA (Nominal)'!$B$195:$BX$195,1,MATCH(G$1,'DATA (Nominal)'!$B$1:$BX$1,0))*1000*0.8</f>
        <v>1684332.5258290214</v>
      </c>
      <c r="H489" s="151">
        <f>'Resource Options'!$E$23*INDEX('DATA (Nominal)'!$B$195:$BX$195,1,MATCH(H$1,'DATA (Nominal)'!$B$1:$BX$1,0))*1000*0.8</f>
        <v>1661718.6294805943</v>
      </c>
      <c r="I489" s="151">
        <f>'Resource Options'!$E$23*INDEX('DATA (Nominal)'!$B$195:$BX$195,1,MATCH(I$1,'DATA (Nominal)'!$B$1:$BX$1,0))*1000*0.8</f>
        <v>1637452.1373468188</v>
      </c>
      <c r="J489" s="151">
        <f>'Resource Options'!$E$23*INDEX('DATA (Nominal)'!$B$195:$BX$195,1,MATCH(J$1,'DATA (Nominal)'!$B$1:$BX$1,0))*1000*0.8</f>
        <v>1611468.5429029772</v>
      </c>
      <c r="K489" s="151">
        <f>'Resource Options'!$E$23*INDEX('DATA (Nominal)'!$B$195:$BX$195,1,MATCH(K$1,'DATA (Nominal)'!$B$1:$BX$1,0))*1000*0.8</f>
        <v>1636025.2070605527</v>
      </c>
      <c r="L489" s="151">
        <f>'Resource Options'!$E$23*INDEX('DATA (Nominal)'!$B$195:$BX$195,1,MATCH(L$1,'DATA (Nominal)'!$B$1:$BX$1,0))*1000*0.8</f>
        <v>1660911.0675082516</v>
      </c>
      <c r="M489" s="151">
        <f>'Resource Options'!$E$23*INDEX('DATA (Nominal)'!$B$195:$BX$195,1,MATCH(M$1,'DATA (Nominal)'!$B$1:$BX$1,0))*1000*0.8</f>
        <v>1686128.8737726239</v>
      </c>
      <c r="N489" s="151">
        <f>'Resource Options'!$E$23*INDEX('DATA (Nominal)'!$B$195:$BX$195,1,MATCH(N$1,'DATA (Nominal)'!$B$1:$BX$1,0))*1000*0.8</f>
        <v>1711681.3404396807</v>
      </c>
      <c r="O489" s="151">
        <f>'Resource Options'!$E$23*INDEX('DATA (Nominal)'!$B$195:$BX$195,1,MATCH(O$1,'DATA (Nominal)'!$B$1:$BX$1,0))*1000*0.8</f>
        <v>1737571.1443041258</v>
      </c>
      <c r="P489" s="151">
        <f>'Resource Options'!$E$23*INDEX('DATA (Nominal)'!$B$195:$BX$195,1,MATCH(P$1,'DATA (Nominal)'!$B$1:$BX$1,0))*1000*0.8</f>
        <v>1763800.9214110894</v>
      </c>
      <c r="Q489" s="151">
        <f>'Resource Options'!$E$23*INDEX('DATA (Nominal)'!$B$195:$BX$195,1,MATCH(Q$1,'DATA (Nominal)'!$B$1:$BX$1,0))*1000*0.8</f>
        <v>1790373.2639870059</v>
      </c>
      <c r="R489" s="151">
        <f>'Resource Options'!$E$23*INDEX('DATA (Nominal)'!$B$195:$BX$195,1,MATCH(R$1,'DATA (Nominal)'!$B$1:$BX$1,0))*1000*0.8</f>
        <v>1817290.7172561865</v>
      </c>
      <c r="S489" s="151">
        <f>'Resource Options'!$E$23*INDEX('DATA (Nominal)'!$B$195:$BX$195,1,MATCH(S$1,'DATA (Nominal)'!$B$1:$BX$1,0))*1000*0.8</f>
        <v>1844555.7761395318</v>
      </c>
      <c r="T489" s="151">
        <f>'Resource Options'!$E$23*INDEX('DATA (Nominal)'!$B$195:$BX$195,1,MATCH(T$1,'DATA (Nominal)'!$B$1:$BX$1,0))*1000*0.8</f>
        <v>1872170.8818317321</v>
      </c>
      <c r="U489" s="151">
        <f>'Resource Options'!$E$23*INDEX('DATA (Nominal)'!$B$195:$BX$195,1,MATCH(U$1,'DATA (Nominal)'!$B$1:$BX$1,0))*1000*0.8</f>
        <v>1900138.4182532136</v>
      </c>
      <c r="V489" s="151">
        <f>'Resource Options'!$E$23*INDEX('DATA (Nominal)'!$B$195:$BX$195,1,MATCH(V$1,'DATA (Nominal)'!$B$1:$BX$1,0))*1000*0.8</f>
        <v>1928460.7083729524</v>
      </c>
      <c r="W489" s="151">
        <f>'Resource Options'!$E$23*INDEX('DATA (Nominal)'!$B$195:$BX$195,1,MATCH(W$1,'DATA (Nominal)'!$B$1:$BX$1,0))*1000*0.8</f>
        <v>1957140.0103982044</v>
      </c>
      <c r="X489" s="152">
        <f>'Resource Options'!$E$23*INDEX('DATA (Nominal)'!$B$195:$BX$195,1,MATCH(X$1,'DATA (Nominal)'!$B$1:$BX$1,0))*1000*0.8</f>
        <v>1986178.5138270629</v>
      </c>
      <c r="Y489" s="156"/>
    </row>
    <row r="490" spans="1:25" s="95" customFormat="1" hidden="1" outlineLevel="1">
      <c r="B490" s="92"/>
      <c r="C490" s="125" t="s">
        <v>159</v>
      </c>
      <c r="D490" s="151"/>
      <c r="E490" s="151">
        <f>'Resource Options'!$E$23*INDEX('DATA (Nominal)'!$B$196:$BX$196,1,MATCH(E$1,'DATA (Nominal)'!$B$1:$BX$1,0))*1000*0.8</f>
        <v>1594446.4976514066</v>
      </c>
      <c r="F490" s="151">
        <f>'Resource Options'!$E$23*INDEX('DATA (Nominal)'!$B$196:$BX$196,1,MATCH(F$1,'DATA (Nominal)'!$B$1:$BX$1,0))*1000*0.8</f>
        <v>1581903.1220988305</v>
      </c>
      <c r="G490" s="151">
        <f>'Resource Options'!$E$23*INDEX('DATA (Nominal)'!$B$196:$BX$196,1,MATCH(G$1,'DATA (Nominal)'!$B$1:$BX$1,0))*1000*0.8</f>
        <v>1571330.3274178444</v>
      </c>
      <c r="H490" s="151">
        <f>'Resource Options'!$E$23*INDEX('DATA (Nominal)'!$B$196:$BX$196,1,MATCH(H$1,'DATA (Nominal)'!$B$1:$BX$1,0))*1000*0.8</f>
        <v>1545729.7858896446</v>
      </c>
      <c r="I490" s="151">
        <f>'Resource Options'!$E$23*INDEX('DATA (Nominal)'!$B$196:$BX$196,1,MATCH(I$1,'DATA (Nominal)'!$B$1:$BX$1,0))*1000*0.8</f>
        <v>1545341.6509175405</v>
      </c>
      <c r="J490" s="151">
        <f>'Resource Options'!$E$23*INDEX('DATA (Nominal)'!$B$196:$BX$196,1,MATCH(J$1,'DATA (Nominal)'!$B$1:$BX$1,0))*1000*0.8</f>
        <v>1533891.0501657855</v>
      </c>
      <c r="K490" s="151">
        <f>'Resource Options'!$E$23*INDEX('DATA (Nominal)'!$B$196:$BX$196,1,MATCH(K$1,'DATA (Nominal)'!$B$1:$BX$1,0))*1000*0.8</f>
        <v>1548981.0560302211</v>
      </c>
      <c r="L490" s="151">
        <f>'Resource Options'!$E$23*INDEX('DATA (Nominal)'!$B$196:$BX$196,1,MATCH(L$1,'DATA (Nominal)'!$B$1:$BX$1,0))*1000*0.8</f>
        <v>1563032.0810173675</v>
      </c>
      <c r="M490" s="151">
        <f>'Resource Options'!$E$23*INDEX('DATA (Nominal)'!$B$196:$BX$196,1,MATCH(M$1,'DATA (Nominal)'!$B$1:$BX$1,0))*1000*0.8</f>
        <v>1576951.6442728331</v>
      </c>
      <c r="N490" s="151">
        <f>'Resource Options'!$E$23*INDEX('DATA (Nominal)'!$B$196:$BX$196,1,MATCH(N$1,'DATA (Nominal)'!$B$1:$BX$1,0))*1000*0.8</f>
        <v>1590727.1607843265</v>
      </c>
      <c r="O490" s="151">
        <f>'Resource Options'!$E$23*INDEX('DATA (Nominal)'!$B$196:$BX$196,1,MATCH(O$1,'DATA (Nominal)'!$B$1:$BX$1,0))*1000*0.8</f>
        <v>1604345.5554264945</v>
      </c>
      <c r="P490" s="151">
        <f>'Resource Options'!$E$23*INDEX('DATA (Nominal)'!$B$196:$BX$196,1,MATCH(P$1,'DATA (Nominal)'!$B$1:$BX$1,0))*1000*0.8</f>
        <v>1617793.2474870987</v>
      </c>
      <c r="Q490" s="151">
        <f>'Resource Options'!$E$23*INDEX('DATA (Nominal)'!$B$196:$BX$196,1,MATCH(Q$1,'DATA (Nominal)'!$B$1:$BX$1,0))*1000*0.8</f>
        <v>1631056.134749542</v>
      </c>
      <c r="R490" s="151">
        <f>'Resource Options'!$E$23*INDEX('DATA (Nominal)'!$B$196:$BX$196,1,MATCH(R$1,'DATA (Nominal)'!$B$1:$BX$1,0))*1000*0.8</f>
        <v>1644119.5771197535</v>
      </c>
      <c r="S490" s="151">
        <f>'Resource Options'!$E$23*INDEX('DATA (Nominal)'!$B$196:$BX$196,1,MATCH(S$1,'DATA (Nominal)'!$B$1:$BX$1,0))*1000*0.8</f>
        <v>1656968.3797850355</v>
      </c>
      <c r="T490" s="151">
        <f>'Resource Options'!$E$23*INDEX('DATA (Nominal)'!$B$196:$BX$196,1,MATCH(T$1,'DATA (Nominal)'!$B$1:$BX$1,0))*1000*0.8</f>
        <v>1669586.7758922596</v>
      </c>
      <c r="U490" s="151">
        <f>'Resource Options'!$E$23*INDEX('DATA (Nominal)'!$B$196:$BX$196,1,MATCH(U$1,'DATA (Nominal)'!$B$1:$BX$1,0))*1000*0.8</f>
        <v>1681958.4087323863</v>
      </c>
      <c r="V490" s="151">
        <f>'Resource Options'!$E$23*INDEX('DATA (Nominal)'!$B$196:$BX$196,1,MATCH(V$1,'DATA (Nominal)'!$B$1:$BX$1,0))*1000*0.8</f>
        <v>1694066.3134179469</v>
      </c>
      <c r="W490" s="151">
        <f>'Resource Options'!$E$23*INDEX('DATA (Nominal)'!$B$196:$BX$196,1,MATCH(W$1,'DATA (Nominal)'!$B$1:$BX$1,0))*1000*0.8</f>
        <v>1705892.8980398488</v>
      </c>
      <c r="X490" s="152">
        <f>'Resource Options'!$E$23*INDEX('DATA (Nominal)'!$B$196:$BX$196,1,MATCH(X$1,'DATA (Nominal)'!$B$1:$BX$1,0))*1000*0.8</f>
        <v>1717419.9242894202</v>
      </c>
      <c r="Y490" s="156"/>
    </row>
    <row r="491" spans="1:25" hidden="1" outlineLevel="1">
      <c r="A491" s="95"/>
      <c r="C491" s="125" t="s">
        <v>160</v>
      </c>
      <c r="D491" s="151"/>
      <c r="E491" s="151">
        <f>E484*INDEX('DATA (Nominal)'!$B$118:$BX$118,1,MATCH(E$1,'DATA (Nominal)'!$B$1:$BX$1,0))</f>
        <v>0</v>
      </c>
      <c r="F491" s="151">
        <f>F484*INDEX('DATA (Nominal)'!$B$118:$BX$118,1,MATCH(F$1,'DATA (Nominal)'!$B$1:$BX$1,0))</f>
        <v>0</v>
      </c>
      <c r="G491" s="151">
        <f>G484*INDEX('DATA (Nominal)'!$B$118:$BX$118,1,MATCH(G$1,'DATA (Nominal)'!$B$1:$BX$1,0))</f>
        <v>0</v>
      </c>
      <c r="H491" s="151">
        <f>H484*INDEX('DATA (Nominal)'!$B$118:$BX$118,1,MATCH(H$1,'DATA (Nominal)'!$B$1:$BX$1,0))</f>
        <v>0</v>
      </c>
      <c r="I491" s="151">
        <f>I484*INDEX('DATA (Nominal)'!$B$118:$BX$118,1,MATCH(I$1,'DATA (Nominal)'!$B$1:$BX$1,0))</f>
        <v>0</v>
      </c>
      <c r="J491" s="151">
        <f>J484*INDEX('DATA (Nominal)'!$B$118:$BX$118,1,MATCH(J$1,'DATA (Nominal)'!$B$1:$BX$1,0))</f>
        <v>0</v>
      </c>
      <c r="K491" s="151">
        <f>K484*INDEX('DATA (Nominal)'!$B$118:$BX$118,1,MATCH(K$1,'DATA (Nominal)'!$B$1:$BX$1,0))</f>
        <v>0</v>
      </c>
      <c r="L491" s="151">
        <f>L484*INDEX('DATA (Nominal)'!$B$118:$BX$118,1,MATCH(L$1,'DATA (Nominal)'!$B$1:$BX$1,0))</f>
        <v>0</v>
      </c>
      <c r="M491" s="151">
        <f>M484*INDEX('DATA (Nominal)'!$B$118:$BX$118,1,MATCH(M$1,'DATA (Nominal)'!$B$1:$BX$1,0))</f>
        <v>0</v>
      </c>
      <c r="N491" s="151">
        <f>N484*INDEX('DATA (Nominal)'!$B$118:$BX$118,1,MATCH(N$1,'DATA (Nominal)'!$B$1:$BX$1,0))</f>
        <v>0</v>
      </c>
      <c r="O491" s="151">
        <f>O484*INDEX('DATA (Nominal)'!$B$118:$BX$118,1,MATCH(O$1,'DATA (Nominal)'!$B$1:$BX$1,0))</f>
        <v>0</v>
      </c>
      <c r="P491" s="151">
        <f>P484*INDEX('DATA (Nominal)'!$B$118:$BX$118,1,MATCH(P$1,'DATA (Nominal)'!$B$1:$BX$1,0))</f>
        <v>0</v>
      </c>
      <c r="Q491" s="151">
        <f>Q484*INDEX('DATA (Nominal)'!$B$118:$BX$118,1,MATCH(Q$1,'DATA (Nominal)'!$B$1:$BX$1,0))</f>
        <v>0</v>
      </c>
      <c r="R491" s="151">
        <f>R484*INDEX('DATA (Nominal)'!$B$118:$BX$118,1,MATCH(R$1,'DATA (Nominal)'!$B$1:$BX$1,0))</f>
        <v>0</v>
      </c>
      <c r="S491" s="151">
        <f>S484*INDEX('DATA (Nominal)'!$B$118:$BX$118,1,MATCH(S$1,'DATA (Nominal)'!$B$1:$BX$1,0))</f>
        <v>0</v>
      </c>
      <c r="T491" s="151">
        <f>T484*INDEX('DATA (Nominal)'!$B$118:$BX$118,1,MATCH(T$1,'DATA (Nominal)'!$B$1:$BX$1,0))</f>
        <v>0</v>
      </c>
      <c r="U491" s="151">
        <f>U484*INDEX('DATA (Nominal)'!$B$118:$BX$118,1,MATCH(U$1,'DATA (Nominal)'!$B$1:$BX$1,0))</f>
        <v>0</v>
      </c>
      <c r="V491" s="151">
        <f>V484*INDEX('DATA (Nominal)'!$B$118:$BX$118,1,MATCH(V$1,'DATA (Nominal)'!$B$1:$BX$1,0))</f>
        <v>0</v>
      </c>
      <c r="W491" s="151">
        <f>W484*INDEX('DATA (Nominal)'!$B$118:$BX$118,1,MATCH(W$1,'DATA (Nominal)'!$B$1:$BX$1,0))</f>
        <v>0</v>
      </c>
      <c r="X491" s="152">
        <f>X484*INDEX('DATA (Nominal)'!$B$118:$BX$118,1,MATCH(X$1,'DATA (Nominal)'!$B$1:$BX$1,0))</f>
        <v>0</v>
      </c>
      <c r="Y491" s="156"/>
    </row>
    <row r="492" spans="1:25" hidden="1" outlineLevel="1">
      <c r="A492" s="95"/>
      <c r="C492" s="125" t="s">
        <v>127</v>
      </c>
      <c r="D492" s="151"/>
      <c r="E492" s="151">
        <f>E484*E485*INDEX('DATA (Nominal)'!$B$338:$BX$338,1,MATCH(E$1,'DATA (Nominal)'!$B$1:$BX$1,0))</f>
        <v>27691.511203123893</v>
      </c>
      <c r="F492" s="151">
        <f>F484*F485*INDEX('DATA (Nominal)'!$B$338:$BX$338,1,MATCH(F$1,'DATA (Nominal)'!$B$1:$BX$1,0))</f>
        <v>27691.511203123893</v>
      </c>
      <c r="G492" s="151">
        <f>G484*G485*INDEX('DATA (Nominal)'!$B$338:$BX$338,1,MATCH(G$1,'DATA (Nominal)'!$B$1:$BX$1,0))</f>
        <v>27691.511203123893</v>
      </c>
      <c r="H492" s="151">
        <f>H484*H485*INDEX('DATA (Nominal)'!$B$338:$BX$338,1,MATCH(H$1,'DATA (Nominal)'!$B$1:$BX$1,0))</f>
        <v>27691.511203123893</v>
      </c>
      <c r="I492" s="151">
        <f>I484*I485*INDEX('DATA (Nominal)'!$B$338:$BX$338,1,MATCH(I$1,'DATA (Nominal)'!$B$1:$BX$1,0))</f>
        <v>27691.511203123893</v>
      </c>
      <c r="J492" s="151">
        <f>J484*J485*INDEX('DATA (Nominal)'!$B$338:$BX$338,1,MATCH(J$1,'DATA (Nominal)'!$B$1:$BX$1,0))</f>
        <v>27691.511203123893</v>
      </c>
      <c r="K492" s="151">
        <f>K484*K485*INDEX('DATA (Nominal)'!$B$338:$BX$338,1,MATCH(K$1,'DATA (Nominal)'!$B$1:$BX$1,0))</f>
        <v>27691.511203123893</v>
      </c>
      <c r="L492" s="151">
        <f>L484*L485*INDEX('DATA (Nominal)'!$B$338:$BX$338,1,MATCH(L$1,'DATA (Nominal)'!$B$1:$BX$1,0))</f>
        <v>27691.511203123893</v>
      </c>
      <c r="M492" s="151">
        <f>M484*M485*INDEX('DATA (Nominal)'!$B$338:$BX$338,1,MATCH(M$1,'DATA (Nominal)'!$B$1:$BX$1,0))</f>
        <v>27691.511203123893</v>
      </c>
      <c r="N492" s="151">
        <f>N484*N485*INDEX('DATA (Nominal)'!$B$338:$BX$338,1,MATCH(N$1,'DATA (Nominal)'!$B$1:$BX$1,0))</f>
        <v>27691.511203123893</v>
      </c>
      <c r="O492" s="151">
        <f>O484*O485*INDEX('DATA (Nominal)'!$B$338:$BX$338,1,MATCH(O$1,'DATA (Nominal)'!$B$1:$BX$1,0))</f>
        <v>27691.511203123893</v>
      </c>
      <c r="P492" s="151">
        <f>P484*P485*INDEX('DATA (Nominal)'!$B$338:$BX$338,1,MATCH(P$1,'DATA (Nominal)'!$B$1:$BX$1,0))</f>
        <v>27691.511203123893</v>
      </c>
      <c r="Q492" s="151">
        <f>Q484*Q485*INDEX('DATA (Nominal)'!$B$338:$BX$338,1,MATCH(Q$1,'DATA (Nominal)'!$B$1:$BX$1,0))</f>
        <v>27691.511203123893</v>
      </c>
      <c r="R492" s="151">
        <f>R484*R485*INDEX('DATA (Nominal)'!$B$338:$BX$338,1,MATCH(R$1,'DATA (Nominal)'!$B$1:$BX$1,0))</f>
        <v>27691.511203123893</v>
      </c>
      <c r="S492" s="151">
        <f>S484*S485*INDEX('DATA (Nominal)'!$B$338:$BX$338,1,MATCH(S$1,'DATA (Nominal)'!$B$1:$BX$1,0))</f>
        <v>27691.511203123893</v>
      </c>
      <c r="T492" s="151">
        <f>T484*T485*INDEX('DATA (Nominal)'!$B$338:$BX$338,1,MATCH(T$1,'DATA (Nominal)'!$B$1:$BX$1,0))</f>
        <v>27691.511203123893</v>
      </c>
      <c r="U492" s="151">
        <f>U484*U485*INDEX('DATA (Nominal)'!$B$338:$BX$338,1,MATCH(U$1,'DATA (Nominal)'!$B$1:$BX$1,0))</f>
        <v>27691.511203123893</v>
      </c>
      <c r="V492" s="151">
        <f>V484*V485*INDEX('DATA (Nominal)'!$B$338:$BX$338,1,MATCH(V$1,'DATA (Nominal)'!$B$1:$BX$1,0))</f>
        <v>27691.511203123893</v>
      </c>
      <c r="W492" s="151">
        <f>W484*W485*INDEX('DATA (Nominal)'!$B$338:$BX$338,1,MATCH(W$1,'DATA (Nominal)'!$B$1:$BX$1,0))</f>
        <v>27691.511203123893</v>
      </c>
      <c r="X492" s="152">
        <f>X484*X485*INDEX('DATA (Nominal)'!$B$338:$BX$338,1,MATCH(X$1,'DATA (Nominal)'!$B$1:$BX$1,0))</f>
        <v>27691.511203123893</v>
      </c>
      <c r="Y492" s="156"/>
    </row>
    <row r="493" spans="1:25" hidden="1" outlineLevel="1">
      <c r="A493" s="95"/>
      <c r="C493" s="126" t="s">
        <v>49</v>
      </c>
      <c r="D493" s="151"/>
      <c r="E493" s="151">
        <f>D515*Property_Tax_Rate</f>
        <v>1621440.5500387482</v>
      </c>
      <c r="F493" s="151">
        <f t="shared" ref="F493:M493" si="1315">E515*Property_Tax_Rate</f>
        <v>1531094.6609162525</v>
      </c>
      <c r="G493" s="151">
        <f t="shared" si="1315"/>
        <v>1445782.8013677299</v>
      </c>
      <c r="H493" s="151">
        <f t="shared" si="1315"/>
        <v>1365224.477681759</v>
      </c>
      <c r="I493" s="151">
        <f t="shared" si="1315"/>
        <v>1289154.8251218761</v>
      </c>
      <c r="J493" s="151">
        <f t="shared" si="1315"/>
        <v>1217323.737087592</v>
      </c>
      <c r="K493" s="151">
        <f t="shared" si="1315"/>
        <v>1149495.0427981408</v>
      </c>
      <c r="L493" s="151">
        <f t="shared" si="1315"/>
        <v>1085445.730795294</v>
      </c>
      <c r="M493" s="151">
        <f t="shared" si="1315"/>
        <v>1024965.2157122253</v>
      </c>
      <c r="N493" s="151">
        <f>M515*Property_Tax_Rate</f>
        <v>967854.64589766227</v>
      </c>
      <c r="O493" s="151">
        <f>N515*Property_Tax_Rate</f>
        <v>913926.24961888848</v>
      </c>
      <c r="P493" s="151">
        <f t="shared" ref="P493:X493" si="1316">O515*Property_Tax_Rate</f>
        <v>1081290.9341479181</v>
      </c>
      <c r="Q493" s="151">
        <f t="shared" si="1316"/>
        <v>1005551.5846486904</v>
      </c>
      <c r="R493" s="151">
        <f t="shared" si="1316"/>
        <v>935117.42072108365</v>
      </c>
      <c r="S493" s="151">
        <f t="shared" si="1316"/>
        <v>869616.8390421829</v>
      </c>
      <c r="T493" s="151">
        <f t="shared" si="1316"/>
        <v>808704.2653558678</v>
      </c>
      <c r="U493" s="151">
        <f t="shared" si="1316"/>
        <v>752058.33125898079</v>
      </c>
      <c r="V493" s="151">
        <f t="shared" si="1316"/>
        <v>699380.17869505868</v>
      </c>
      <c r="W493" s="151">
        <f t="shared" si="1316"/>
        <v>650391.8832103106</v>
      </c>
      <c r="X493" s="152">
        <f t="shared" si="1316"/>
        <v>604834.9876531082</v>
      </c>
      <c r="Y493" s="156"/>
    </row>
    <row r="494" spans="1:25" hidden="1" outlineLevel="1">
      <c r="A494" s="95"/>
      <c r="C494" s="126" t="s">
        <v>50</v>
      </c>
      <c r="D494" s="151"/>
      <c r="E494" s="151">
        <f>SUM(E489:E493)</f>
        <v>4967305.3005090887</v>
      </c>
      <c r="F494" s="151">
        <f>SUM(F489:F493)</f>
        <v>4845489.7379508298</v>
      </c>
      <c r="G494" s="151">
        <f t="shared" ref="G494:N494" si="1317">SUM(G489:G493)</f>
        <v>4729137.165817719</v>
      </c>
      <c r="H494" s="151">
        <f t="shared" si="1317"/>
        <v>4600364.4042551219</v>
      </c>
      <c r="I494" s="151">
        <f t="shared" si="1317"/>
        <v>4499640.1245893594</v>
      </c>
      <c r="J494" s="151">
        <f t="shared" si="1317"/>
        <v>4390374.8413594784</v>
      </c>
      <c r="K494" s="151">
        <f t="shared" si="1317"/>
        <v>4362192.8170920378</v>
      </c>
      <c r="L494" s="151">
        <f t="shared" si="1317"/>
        <v>4337080.3905240372</v>
      </c>
      <c r="M494" s="151">
        <f t="shared" si="1317"/>
        <v>4315737.2449608063</v>
      </c>
      <c r="N494" s="151">
        <f t="shared" si="1317"/>
        <v>4297954.658324793</v>
      </c>
      <c r="O494" s="151">
        <f>SUM(O489:O493)</f>
        <v>4283534.4605526328</v>
      </c>
      <c r="P494" s="151">
        <f t="shared" ref="P494:X494" si="1318">SUM(P489:P493)</f>
        <v>4490576.6142492294</v>
      </c>
      <c r="Q494" s="151">
        <f t="shared" si="1318"/>
        <v>4454672.4945883621</v>
      </c>
      <c r="R494" s="151">
        <f t="shared" si="1318"/>
        <v>4424219.2263001474</v>
      </c>
      <c r="S494" s="151">
        <f t="shared" si="1318"/>
        <v>4398832.5061698733</v>
      </c>
      <c r="T494" s="151">
        <f t="shared" si="1318"/>
        <v>4378153.4342829827</v>
      </c>
      <c r="U494" s="151">
        <f t="shared" si="1318"/>
        <v>4361846.6694477042</v>
      </c>
      <c r="V494" s="151">
        <f t="shared" si="1318"/>
        <v>4349598.711689082</v>
      </c>
      <c r="W494" s="151">
        <f t="shared" si="1318"/>
        <v>4341116.302851487</v>
      </c>
      <c r="X494" s="152">
        <f t="shared" si="1318"/>
        <v>4336124.936972715</v>
      </c>
      <c r="Y494" s="156"/>
    </row>
    <row r="495" spans="1:25" s="95" customFormat="1" hidden="1" outlineLevel="1">
      <c r="C495" s="126" t="s">
        <v>179</v>
      </c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>
        <f>INDEX('DATA (Nominal)'!$B$77:$BX$77,1,MATCH($O$1,'DATA (Nominal)'!$B$1:$BX$1,0))*1000000*(1+AFUDC!$D$23)*0.5*'Resource Options'!$D$23/1000</f>
        <v>21164025.209200241</v>
      </c>
      <c r="P495" s="151"/>
      <c r="Q495" s="151"/>
      <c r="R495" s="151"/>
      <c r="S495" s="151"/>
      <c r="T495" s="151"/>
      <c r="U495" s="151"/>
      <c r="V495" s="151"/>
      <c r="W495" s="151"/>
      <c r="X495" s="152"/>
      <c r="Y495" s="156"/>
    </row>
    <row r="496" spans="1:25" hidden="1" outlineLevel="1">
      <c r="A496" s="95"/>
      <c r="C496" s="126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2"/>
      <c r="Y496" s="156"/>
    </row>
    <row r="497" spans="1:25" hidden="1" outlineLevel="1">
      <c r="A497" s="95"/>
      <c r="C497" s="125" t="s">
        <v>51</v>
      </c>
      <c r="D497" s="151"/>
      <c r="E497" s="151">
        <f>E487-E494</f>
        <v>9991409.0289872959</v>
      </c>
      <c r="F497" s="151">
        <f t="shared" ref="F497:N497" si="1319">F487-F494</f>
        <v>10113224.591545554</v>
      </c>
      <c r="G497" s="151">
        <f t="shared" si="1319"/>
        <v>10229577.163678665</v>
      </c>
      <c r="H497" s="151">
        <f t="shared" si="1319"/>
        <v>10358349.925241262</v>
      </c>
      <c r="I497" s="151">
        <f t="shared" si="1319"/>
        <v>10459074.204907024</v>
      </c>
      <c r="J497" s="151">
        <f t="shared" si="1319"/>
        <v>10568339.488136906</v>
      </c>
      <c r="K497" s="151">
        <f t="shared" si="1319"/>
        <v>10596521.512404345</v>
      </c>
      <c r="L497" s="151">
        <f t="shared" si="1319"/>
        <v>10621633.938972346</v>
      </c>
      <c r="M497" s="151">
        <f t="shared" si="1319"/>
        <v>10642977.084535576</v>
      </c>
      <c r="N497" s="151">
        <f t="shared" si="1319"/>
        <v>10660759.671171591</v>
      </c>
      <c r="O497" s="151">
        <f>O487-O494</f>
        <v>10675179.868943751</v>
      </c>
      <c r="P497" s="151">
        <f t="shared" ref="P497:X497" si="1320">P487-P494</f>
        <v>10468137.715247154</v>
      </c>
      <c r="Q497" s="151">
        <f t="shared" si="1320"/>
        <v>10504041.834908022</v>
      </c>
      <c r="R497" s="151">
        <f t="shared" si="1320"/>
        <v>10534495.103196237</v>
      </c>
      <c r="S497" s="151">
        <f t="shared" si="1320"/>
        <v>10559881.823326509</v>
      </c>
      <c r="T497" s="151">
        <f t="shared" si="1320"/>
        <v>10580560.895213401</v>
      </c>
      <c r="U497" s="151">
        <f t="shared" si="1320"/>
        <v>10596867.660048679</v>
      </c>
      <c r="V497" s="151">
        <f t="shared" si="1320"/>
        <v>10609115.617807303</v>
      </c>
      <c r="W497" s="151">
        <f t="shared" si="1320"/>
        <v>10617598.026644897</v>
      </c>
      <c r="X497" s="152">
        <f t="shared" si="1320"/>
        <v>10622589.392523669</v>
      </c>
      <c r="Y497" s="156"/>
    </row>
    <row r="498" spans="1:25" hidden="1" outlineLevel="1">
      <c r="A498" s="95"/>
      <c r="C498" s="125" t="s">
        <v>52</v>
      </c>
      <c r="D498" s="151"/>
      <c r="E498" s="151">
        <f>E497-E516-E505</f>
        <v>-21357752.481995046</v>
      </c>
      <c r="F498" s="151">
        <f t="shared" ref="F498:M498" si="1321">F497-F516-F505</f>
        <v>-37666088.667872079</v>
      </c>
      <c r="G498" s="151">
        <f t="shared" si="1321"/>
        <v>-19793951.246949639</v>
      </c>
      <c r="H498" s="151">
        <f t="shared" si="1321"/>
        <v>-8959604.7688261271</v>
      </c>
      <c r="I498" s="151">
        <f t="shared" si="1321"/>
        <v>-8731426.1439274587</v>
      </c>
      <c r="J498" s="151">
        <f t="shared" si="1321"/>
        <v>-549123.59348715097</v>
      </c>
      <c r="K498" s="151">
        <f t="shared" si="1321"/>
        <v>7559491.2363728536</v>
      </c>
      <c r="L498" s="151">
        <f t="shared" si="1321"/>
        <v>7734265.8285368672</v>
      </c>
      <c r="M498" s="151">
        <f t="shared" si="1321"/>
        <v>7913502.5588038899</v>
      </c>
      <c r="N498" s="151">
        <f>N497-N516-N505</f>
        <v>8097862.8773024045</v>
      </c>
      <c r="O498" s="151">
        <f>O497-O516-O505</f>
        <v>4382201.7298315996</v>
      </c>
      <c r="P498" s="151">
        <f>P497-P516-P505</f>
        <v>2265964.2404430644</v>
      </c>
      <c r="Q498" s="151">
        <f t="shared" ref="Q498:W498" si="1322">Q497-Q516-Q505</f>
        <v>4046867.9994625435</v>
      </c>
      <c r="R498" s="151">
        <f t="shared" si="1322"/>
        <v>5413780.4469283558</v>
      </c>
      <c r="S498" s="151">
        <f t="shared" si="1322"/>
        <v>6488731.5322060455</v>
      </c>
      <c r="T498" s="151">
        <f t="shared" si="1322"/>
        <v>6819589.7458567461</v>
      </c>
      <c r="U498" s="151">
        <f t="shared" si="1322"/>
        <v>7163135.5052528428</v>
      </c>
      <c r="V498" s="151">
        <f t="shared" si="1322"/>
        <v>8465382.6876118295</v>
      </c>
      <c r="W498" s="151">
        <f t="shared" si="1322"/>
        <v>9782217.4429529011</v>
      </c>
      <c r="X498" s="152">
        <f>X497-X516-X505</f>
        <v>10171466.375758387</v>
      </c>
      <c r="Y498" s="156"/>
    </row>
    <row r="499" spans="1:25" hidden="1" outlineLevel="1">
      <c r="A499" s="95"/>
      <c r="C499" s="125" t="s">
        <v>128</v>
      </c>
      <c r="D499" s="151"/>
      <c r="E499" s="151">
        <f>-$D502*INDEX('DATA (Nominal)'!$B$251:$BX$251,1,MATCH($B$1,'DATA (Nominal)'!$B$1:$BX$1,0))</f>
        <v>48643216.50116244</v>
      </c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2"/>
      <c r="Y499" s="156"/>
    </row>
    <row r="500" spans="1:25" hidden="1" outlineLevel="1">
      <c r="A500" s="95"/>
      <c r="C500" s="126" t="s">
        <v>54</v>
      </c>
      <c r="D500" s="151"/>
      <c r="E500" s="151">
        <f>E498*Federal_Tax_Rate-E499</f>
        <v>-53128344.522381395</v>
      </c>
      <c r="F500" s="151">
        <f>F498*Federal_Tax_Rate-F499</f>
        <v>-7909878.6202531364</v>
      </c>
      <c r="G500" s="151">
        <f t="shared" ref="G500" si="1323">G498*Federal_Tax_Rate-G499</f>
        <v>-4156729.7618594239</v>
      </c>
      <c r="H500" s="151">
        <f t="shared" ref="H500" si="1324">H498*Federal_Tax_Rate-H499</f>
        <v>-1881517.0014534865</v>
      </c>
      <c r="I500" s="151">
        <f t="shared" ref="I500" si="1325">I498*Federal_Tax_Rate-I499</f>
        <v>-1833599.4902247663</v>
      </c>
      <c r="J500" s="151">
        <f t="shared" ref="J500" si="1326">J498*Federal_Tax_Rate-J499</f>
        <v>-115315.9546323017</v>
      </c>
      <c r="K500" s="151">
        <f t="shared" ref="K500" si="1327">K498*Federal_Tax_Rate-K499</f>
        <v>1587493.1596382991</v>
      </c>
      <c r="L500" s="151">
        <f t="shared" ref="L500" si="1328">L498*Federal_Tax_Rate-L499</f>
        <v>1624195.823992742</v>
      </c>
      <c r="M500" s="151">
        <f t="shared" ref="M500" si="1329">M498*Federal_Tax_Rate-M499</f>
        <v>1661835.5373488169</v>
      </c>
      <c r="N500" s="151">
        <f t="shared" ref="N500" si="1330">N498*Federal_Tax_Rate-N499</f>
        <v>1700551.2042335048</v>
      </c>
      <c r="O500" s="151">
        <f>O498*Federal_Tax_Rate-O499</f>
        <v>920262.3632646359</v>
      </c>
      <c r="P500" s="151">
        <f t="shared" ref="P500" si="1331">P498*Federal_Tax_Rate-P499</f>
        <v>475852.4904930435</v>
      </c>
      <c r="Q500" s="151">
        <f t="shared" ref="Q500" si="1332">Q498*Federal_Tax_Rate-Q499</f>
        <v>849842.27988713409</v>
      </c>
      <c r="R500" s="151">
        <f t="shared" ref="R500" si="1333">R498*Federal_Tax_Rate-R499</f>
        <v>1136893.8938549547</v>
      </c>
      <c r="S500" s="151">
        <f t="shared" ref="S500" si="1334">S498*Federal_Tax_Rate-S499</f>
        <v>1362633.6217632694</v>
      </c>
      <c r="T500" s="151">
        <f t="shared" ref="T500" si="1335">T498*Federal_Tax_Rate-T499</f>
        <v>1432113.8466299167</v>
      </c>
      <c r="U500" s="151">
        <f t="shared" ref="U500" si="1336">U498*Federal_Tax_Rate-U499</f>
        <v>1504258.4561030969</v>
      </c>
      <c r="V500" s="151">
        <f t="shared" ref="V500" si="1337">V498*Federal_Tax_Rate-V499</f>
        <v>1777730.3643984841</v>
      </c>
      <c r="W500" s="151">
        <f t="shared" ref="W500" si="1338">W498*Federal_Tax_Rate-W499</f>
        <v>2054265.6630201091</v>
      </c>
      <c r="X500" s="152">
        <f t="shared" ref="X500" si="1339">X498*Federal_Tax_Rate-X499</f>
        <v>2136007.938909261</v>
      </c>
      <c r="Y500" s="156"/>
    </row>
    <row r="501" spans="1:25" hidden="1" outlineLevel="1">
      <c r="A501" s="95"/>
      <c r="C501" s="126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2"/>
      <c r="Y501" s="156"/>
    </row>
    <row r="502" spans="1:25" hidden="1" outlineLevel="1">
      <c r="A502" s="95"/>
      <c r="B502" s="37">
        <f>IRR(D502:Y502,0.1)</f>
        <v>7.4999998416880098E-2</v>
      </c>
      <c r="C502" s="125" t="s">
        <v>55</v>
      </c>
      <c r="D502" s="155">
        <f>SUM(D511:D512)</f>
        <v>-162144055.00387481</v>
      </c>
      <c r="E502" s="156">
        <f t="shared" ref="E502:K502" si="1340">E497-E500</f>
        <v>63119753.551368691</v>
      </c>
      <c r="F502" s="151">
        <f t="shared" si="1340"/>
        <v>18023103.21179869</v>
      </c>
      <c r="G502" s="151">
        <f t="shared" si="1340"/>
        <v>14386306.925538089</v>
      </c>
      <c r="H502" s="151">
        <f t="shared" si="1340"/>
        <v>12239866.926694749</v>
      </c>
      <c r="I502" s="151">
        <f t="shared" si="1340"/>
        <v>12292673.69513179</v>
      </c>
      <c r="J502" s="151">
        <f t="shared" si="1340"/>
        <v>10683655.442769207</v>
      </c>
      <c r="K502" s="151">
        <f t="shared" si="1340"/>
        <v>9009028.3527660463</v>
      </c>
      <c r="L502" s="151">
        <f>L497-L500</f>
        <v>8997438.1149796043</v>
      </c>
      <c r="M502" s="151">
        <f t="shared" ref="M502:N502" si="1341">M497-M500</f>
        <v>8981141.5471867602</v>
      </c>
      <c r="N502" s="151">
        <f t="shared" si="1341"/>
        <v>8960208.4669380859</v>
      </c>
      <c r="O502" s="151">
        <f>O497-O500-O495</f>
        <v>-11409107.703521125</v>
      </c>
      <c r="P502" s="151">
        <f>P497-P500</f>
        <v>9992285.22475411</v>
      </c>
      <c r="Q502" s="151">
        <f t="shared" ref="Q502:X502" si="1342">Q497-Q500</f>
        <v>9654199.5550208874</v>
      </c>
      <c r="R502" s="151">
        <f t="shared" si="1342"/>
        <v>9397601.209341282</v>
      </c>
      <c r="S502" s="151">
        <f t="shared" si="1342"/>
        <v>9197248.2015632391</v>
      </c>
      <c r="T502" s="151">
        <f t="shared" si="1342"/>
        <v>9148447.0485834852</v>
      </c>
      <c r="U502" s="151">
        <f t="shared" si="1342"/>
        <v>9092609.2039455809</v>
      </c>
      <c r="V502" s="151">
        <f t="shared" si="1342"/>
        <v>8831385.2534088194</v>
      </c>
      <c r="W502" s="151">
        <f t="shared" si="1342"/>
        <v>8563332.363624787</v>
      </c>
      <c r="X502" s="152">
        <f t="shared" si="1342"/>
        <v>8486581.4536144082</v>
      </c>
      <c r="Y502" s="156">
        <f>D502*-0.3</f>
        <v>48643216.50116244</v>
      </c>
    </row>
    <row r="503" spans="1:25" hidden="1" outlineLevel="1">
      <c r="A503" s="95"/>
      <c r="B503" s="37">
        <f>IRR(D503:Y503,0.1)</f>
        <v>0.11543500502518933</v>
      </c>
      <c r="C503" s="125" t="s">
        <v>56</v>
      </c>
      <c r="D503" s="155">
        <f>-D521</f>
        <v>-24809848.422653306</v>
      </c>
      <c r="E503" s="156">
        <f t="shared" ref="E503:M503" si="1343">E502-E505-E508-E517-E499</f>
        <v>2929833.7269725725</v>
      </c>
      <c r="F503" s="151">
        <f t="shared" si="1343"/>
        <v>3003274.2303820141</v>
      </c>
      <c r="G503" s="151">
        <f t="shared" si="1343"/>
        <v>3071145.3128499454</v>
      </c>
      <c r="H503" s="151">
        <f t="shared" si="1343"/>
        <v>3147505.7352437242</v>
      </c>
      <c r="I503" s="151">
        <f t="shared" si="1343"/>
        <v>3200312.5036807652</v>
      </c>
      <c r="J503" s="151">
        <f t="shared" si="1343"/>
        <v>3258394.5672460226</v>
      </c>
      <c r="K503" s="151">
        <f t="shared" si="1343"/>
        <v>3250867.7931707008</v>
      </c>
      <c r="L503" s="151">
        <f t="shared" si="1343"/>
        <v>3239277.5553842587</v>
      </c>
      <c r="M503" s="151">
        <f t="shared" si="1343"/>
        <v>3222980.9875914147</v>
      </c>
      <c r="N503" s="151">
        <f>N502-N505-N508-N517-N499</f>
        <v>3202047.9073427399</v>
      </c>
      <c r="O503" s="151">
        <f>O502-O505-O508-O517-O499+O495</f>
        <v>1298102.2504466437</v>
      </c>
      <c r="P503" s="151">
        <f>P502-P505-P508-P517-P499</f>
        <v>1081958.7717288132</v>
      </c>
      <c r="Q503" s="151">
        <f>Q502-Q505-Q508-Q517-Q499</f>
        <v>1054850.9392120163</v>
      </c>
      <c r="R503" s="151">
        <f t="shared" ref="R503:X503" si="1344">R502-R505-R508-R517-R499</f>
        <v>1020385.9693231347</v>
      </c>
      <c r="S503" s="151">
        <f t="shared" si="1344"/>
        <v>978699.65853846795</v>
      </c>
      <c r="T503" s="151">
        <f t="shared" si="1344"/>
        <v>929898.50555871311</v>
      </c>
      <c r="U503" s="151">
        <f t="shared" si="1344"/>
        <v>874060.66092080879</v>
      </c>
      <c r="V503" s="151">
        <f t="shared" si="1344"/>
        <v>811236.74830517406</v>
      </c>
      <c r="W503" s="151">
        <f t="shared" si="1344"/>
        <v>741450.56308345031</v>
      </c>
      <c r="X503" s="152">
        <f t="shared" si="1344"/>
        <v>664699.6530730715</v>
      </c>
      <c r="Y503" s="156">
        <f>Y502</f>
        <v>48643216.50116244</v>
      </c>
    </row>
    <row r="504" spans="1:25" hidden="1" outlineLevel="1">
      <c r="A504" s="95"/>
      <c r="B504" s="21"/>
      <c r="C504" s="125"/>
      <c r="D504" s="155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2"/>
      <c r="Y504" s="156"/>
    </row>
    <row r="505" spans="1:25" hidden="1" outlineLevel="1">
      <c r="A505" s="95"/>
      <c r="B505" s="15"/>
      <c r="C505" s="126" t="s">
        <v>57</v>
      </c>
      <c r="D505" s="151"/>
      <c r="E505" s="151">
        <f t="shared" ref="E505:W505" si="1345">D509*Debt_Rate</f>
        <v>3784672.1603236222</v>
      </c>
      <c r="F505" s="151">
        <f t="shared" si="1345"/>
        <v>3676130.2983636772</v>
      </c>
      <c r="G505" s="151">
        <f t="shared" si="1345"/>
        <v>3561618.6339959353</v>
      </c>
      <c r="H505" s="151">
        <f t="shared" si="1345"/>
        <v>3440808.8280879678</v>
      </c>
      <c r="I505" s="151">
        <f t="shared" si="1345"/>
        <v>3313354.482855062</v>
      </c>
      <c r="J505" s="151">
        <f t="shared" si="1345"/>
        <v>3178890.1486343462</v>
      </c>
      <c r="K505" s="151">
        <f t="shared" si="1345"/>
        <v>3037030.2760314913</v>
      </c>
      <c r="L505" s="151">
        <f t="shared" si="1345"/>
        <v>2887368.1104354793</v>
      </c>
      <c r="M505" s="151">
        <f t="shared" si="1345"/>
        <v>2729474.5257316865</v>
      </c>
      <c r="N505" s="151">
        <f t="shared" si="1345"/>
        <v>2562896.7938691857</v>
      </c>
      <c r="O505" s="151">
        <f t="shared" si="1345"/>
        <v>3269485.4977258053</v>
      </c>
      <c r="P505" s="151">
        <f t="shared" si="1345"/>
        <v>3019103.7010709508</v>
      </c>
      <c r="Q505" s="151">
        <f t="shared" si="1345"/>
        <v>2754950.9056000798</v>
      </c>
      <c r="R505" s="151">
        <f t="shared" si="1345"/>
        <v>2476269.7063783105</v>
      </c>
      <c r="S505" s="151">
        <f t="shared" si="1345"/>
        <v>2182261.0411993437</v>
      </c>
      <c r="T505" s="151">
        <f t="shared" si="1345"/>
        <v>1872081.8994355344</v>
      </c>
      <c r="U505" s="151">
        <f t="shared" si="1345"/>
        <v>1544842.9048747153</v>
      </c>
      <c r="V505" s="151">
        <f t="shared" si="1345"/>
        <v>1199605.7656130511</v>
      </c>
      <c r="W505" s="151">
        <f t="shared" si="1345"/>
        <v>835380.58369199536</v>
      </c>
      <c r="X505" s="152">
        <f>W509*Debt_Rate</f>
        <v>451123.01676528162</v>
      </c>
      <c r="Y505" s="156"/>
    </row>
    <row r="506" spans="1:25" hidden="1" outlineLevel="1">
      <c r="A506" s="95"/>
      <c r="B506" s="15"/>
      <c r="C506" s="126" t="s">
        <v>113</v>
      </c>
      <c r="D506" s="151"/>
      <c r="E506" s="151">
        <f t="shared" ref="E506:X506" si="1346">-PMT(Debt_Rate,20,$D520)</f>
        <v>5758160.5595953455</v>
      </c>
      <c r="F506" s="151">
        <f t="shared" si="1346"/>
        <v>5758160.5595953455</v>
      </c>
      <c r="G506" s="151">
        <f t="shared" si="1346"/>
        <v>5758160.5595953455</v>
      </c>
      <c r="H506" s="151">
        <f t="shared" si="1346"/>
        <v>5758160.5595953455</v>
      </c>
      <c r="I506" s="151">
        <f t="shared" si="1346"/>
        <v>5758160.5595953455</v>
      </c>
      <c r="J506" s="151">
        <f t="shared" si="1346"/>
        <v>5758160.5595953455</v>
      </c>
      <c r="K506" s="151">
        <f t="shared" si="1346"/>
        <v>5758160.5595953455</v>
      </c>
      <c r="L506" s="151">
        <f t="shared" si="1346"/>
        <v>5758160.5595953455</v>
      </c>
      <c r="M506" s="151">
        <f t="shared" si="1346"/>
        <v>5758160.5595953455</v>
      </c>
      <c r="N506" s="151">
        <f t="shared" si="1346"/>
        <v>5758160.5595953455</v>
      </c>
      <c r="O506" s="151">
        <f t="shared" si="1346"/>
        <v>5758160.5595953455</v>
      </c>
      <c r="P506" s="151">
        <f t="shared" si="1346"/>
        <v>5758160.5595953455</v>
      </c>
      <c r="Q506" s="151">
        <f t="shared" si="1346"/>
        <v>5758160.5595953455</v>
      </c>
      <c r="R506" s="151">
        <f t="shared" si="1346"/>
        <v>5758160.5595953455</v>
      </c>
      <c r="S506" s="151">
        <f t="shared" si="1346"/>
        <v>5758160.5595953455</v>
      </c>
      <c r="T506" s="151">
        <f t="shared" si="1346"/>
        <v>5758160.5595953455</v>
      </c>
      <c r="U506" s="151">
        <f t="shared" si="1346"/>
        <v>5758160.5595953455</v>
      </c>
      <c r="V506" s="151">
        <f t="shared" si="1346"/>
        <v>5758160.5595953455</v>
      </c>
      <c r="W506" s="151">
        <f t="shared" si="1346"/>
        <v>5758160.5595953455</v>
      </c>
      <c r="X506" s="152">
        <f t="shared" si="1346"/>
        <v>5758160.5595953455</v>
      </c>
      <c r="Y506" s="156"/>
    </row>
    <row r="507" spans="1:25" s="95" customFormat="1" hidden="1" outlineLevel="1">
      <c r="B507" s="52"/>
      <c r="C507" s="126" t="s">
        <v>161</v>
      </c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>
        <f t="shared" ref="O507:X507" si="1347">-PMT(Debt_Rate,10,$O495)*$B520</f>
        <v>2063721.2409459914</v>
      </c>
      <c r="P507" s="151">
        <f t="shared" si="1347"/>
        <v>2063721.2409459914</v>
      </c>
      <c r="Q507" s="151">
        <f t="shared" si="1347"/>
        <v>2063721.2409459914</v>
      </c>
      <c r="R507" s="151">
        <f t="shared" si="1347"/>
        <v>2063721.2409459914</v>
      </c>
      <c r="S507" s="151">
        <f t="shared" si="1347"/>
        <v>2063721.2409459914</v>
      </c>
      <c r="T507" s="151">
        <f t="shared" si="1347"/>
        <v>2063721.2409459914</v>
      </c>
      <c r="U507" s="151">
        <f t="shared" si="1347"/>
        <v>2063721.2409459914</v>
      </c>
      <c r="V507" s="151">
        <f t="shared" si="1347"/>
        <v>2063721.2409459914</v>
      </c>
      <c r="W507" s="151">
        <f t="shared" si="1347"/>
        <v>2063721.2409459914</v>
      </c>
      <c r="X507" s="152">
        <f t="shared" si="1347"/>
        <v>2063721.2409459914</v>
      </c>
      <c r="Y507" s="156"/>
    </row>
    <row r="508" spans="1:25" hidden="1" outlineLevel="1">
      <c r="A508" s="95"/>
      <c r="B508" s="15"/>
      <c r="C508" s="126" t="s">
        <v>59</v>
      </c>
      <c r="D508" s="151"/>
      <c r="E508" s="156">
        <f>E507+E506-E505</f>
        <v>1973488.3992717233</v>
      </c>
      <c r="F508" s="151">
        <f t="shared" ref="F508" si="1348">F507+F506-F505</f>
        <v>2082030.2612316683</v>
      </c>
      <c r="G508" s="151">
        <f t="shared" ref="G508" si="1349">G507+G506-G505</f>
        <v>2196541.9255994102</v>
      </c>
      <c r="H508" s="151">
        <f t="shared" ref="H508" si="1350">H507+H506-H505</f>
        <v>2317351.7315073777</v>
      </c>
      <c r="I508" s="151">
        <f t="shared" ref="I508" si="1351">I507+I506-I505</f>
        <v>2444806.0767402835</v>
      </c>
      <c r="J508" s="151">
        <f t="shared" ref="J508" si="1352">J507+J506-J505</f>
        <v>2579270.4109609993</v>
      </c>
      <c r="K508" s="151">
        <f t="shared" ref="K508" si="1353">K507+K506-K505</f>
        <v>2721130.2835638542</v>
      </c>
      <c r="L508" s="151">
        <f t="shared" ref="L508" si="1354">L507+L506-L505</f>
        <v>2870792.4491598662</v>
      </c>
      <c r="M508" s="151">
        <f>M507+M506-M505</f>
        <v>3028686.033863659</v>
      </c>
      <c r="N508" s="151">
        <f>N507+N506-N505</f>
        <v>3195263.7657261598</v>
      </c>
      <c r="O508" s="151">
        <f>O507+O506-O505</f>
        <v>4552396.3028155314</v>
      </c>
      <c r="P508" s="151">
        <f>P507+P506-P505</f>
        <v>4802778.0994703863</v>
      </c>
      <c r="Q508" s="151">
        <f t="shared" ref="Q508" si="1355">Q507+Q506-Q505</f>
        <v>5066930.8949412573</v>
      </c>
      <c r="R508" s="151">
        <f t="shared" ref="R508" si="1356">R507+R506-R505</f>
        <v>5345612.0941630267</v>
      </c>
      <c r="S508" s="151">
        <f t="shared" ref="S508" si="1357">S507+S506-S505</f>
        <v>5639620.7593419924</v>
      </c>
      <c r="T508" s="151">
        <f t="shared" ref="T508" si="1358">T507+T506-T505</f>
        <v>5949799.9011058025</v>
      </c>
      <c r="U508" s="151">
        <f t="shared" ref="U508" si="1359">U507+U506-U505</f>
        <v>6277038.8956666216</v>
      </c>
      <c r="V508" s="151">
        <f t="shared" ref="V508" si="1360">V507+V506-V505</f>
        <v>6622276.0349282855</v>
      </c>
      <c r="W508" s="151">
        <f t="shared" ref="W508" si="1361">W507+W506-W505</f>
        <v>6986501.2168493411</v>
      </c>
      <c r="X508" s="152">
        <f t="shared" ref="X508" si="1362">X507+X506-X505</f>
        <v>7370758.7837760551</v>
      </c>
      <c r="Y508" s="156"/>
    </row>
    <row r="509" spans="1:25" hidden="1" outlineLevel="1">
      <c r="A509" s="95"/>
      <c r="B509" s="15"/>
      <c r="C509" s="126" t="s">
        <v>60</v>
      </c>
      <c r="D509" s="151">
        <f>D520</f>
        <v>68812221.09679313</v>
      </c>
      <c r="E509" s="151">
        <f>D509-E508+(F495*$B$76)</f>
        <v>66838732.697521403</v>
      </c>
      <c r="F509" s="151">
        <f t="shared" ref="F509" si="1363">E509-F508+(G495*$B$76)</f>
        <v>64756702.436289735</v>
      </c>
      <c r="G509" s="151">
        <f t="shared" ref="G509" si="1364">F509-G508+(H495*$B$76)</f>
        <v>62560160.510690324</v>
      </c>
      <c r="H509" s="151">
        <f t="shared" ref="H509" si="1365">G509-H508+(I495*$B$76)</f>
        <v>60242808.779182948</v>
      </c>
      <c r="I509" s="151">
        <f t="shared" ref="I509" si="1366">H509-I508+(J495*$B$76)</f>
        <v>57798002.702442661</v>
      </c>
      <c r="J509" s="151">
        <f t="shared" ref="J509" si="1367">I509-J508+(K495*$B$76)</f>
        <v>55218732.291481659</v>
      </c>
      <c r="K509" s="151">
        <f t="shared" ref="K509" si="1368">J509-K508+(L495*$B$76)</f>
        <v>52497602.007917807</v>
      </c>
      <c r="L509" s="151">
        <f t="shared" ref="L509" si="1369">K509-L508+(M495*$B$76)</f>
        <v>49626809.558757938</v>
      </c>
      <c r="M509" s="151">
        <f>L509-M508+(N495*$B$76)</f>
        <v>46598123.524894282</v>
      </c>
      <c r="N509" s="151">
        <f>M509-N508+(O495*$B$76)</f>
        <v>59445190.867741913</v>
      </c>
      <c r="O509" s="151">
        <f t="shared" ref="O509" si="1370">N509-O508+(P495*$B$76)</f>
        <v>54892794.564926378</v>
      </c>
      <c r="P509" s="151">
        <f t="shared" ref="P509" si="1371">O509-P508+(Q495*$B$76)</f>
        <v>50090016.465455994</v>
      </c>
      <c r="Q509" s="151">
        <f t="shared" ref="Q509" si="1372">P509-Q508+(R495*$B$76)</f>
        <v>45023085.570514739</v>
      </c>
      <c r="R509" s="151">
        <f t="shared" ref="R509" si="1373">Q509-R508+(S495*$B$76)</f>
        <v>39677473.476351708</v>
      </c>
      <c r="S509" s="151">
        <f t="shared" ref="S509" si="1374">R509-S508+(T495*$B$76)</f>
        <v>34037852.717009716</v>
      </c>
      <c r="T509" s="151">
        <f t="shared" ref="T509" si="1375">S509-T508+(U495*$B$76)</f>
        <v>28088052.815903913</v>
      </c>
      <c r="U509" s="151">
        <f t="shared" ref="U509" si="1376">T509-U508+(V495*$B$76)</f>
        <v>21811013.920237292</v>
      </c>
      <c r="V509" s="151">
        <f t="shared" ref="V509" si="1377">U509-V508+(W495*$B$76)</f>
        <v>15188737.885309007</v>
      </c>
      <c r="W509" s="151">
        <f t="shared" ref="W509" si="1378">V509-W508+(X495*$B$76)</f>
        <v>8202236.668459666</v>
      </c>
      <c r="X509" s="152">
        <f t="shared" ref="X509" si="1379">W509-X508+(Y495*$B$76)</f>
        <v>831477.88468361087</v>
      </c>
      <c r="Y509" s="156"/>
    </row>
    <row r="510" spans="1:25" hidden="1" outlineLevel="1">
      <c r="A510" s="95"/>
      <c r="B510" s="15"/>
      <c r="C510" s="125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2"/>
      <c r="Y510" s="156"/>
    </row>
    <row r="511" spans="1:25" hidden="1" outlineLevel="1">
      <c r="A511" s="95"/>
      <c r="B511" s="15"/>
      <c r="C511" s="126" t="s">
        <v>162</v>
      </c>
      <c r="D511" s="151">
        <f>-INDEX('DATA (Nominal)'!$B$76:$BX$76,1,MATCH($B$1,'DATA (Nominal)'!$B$1:$BX$1,0))*1000000*(1+AFUDC!$C$23)*'Resource Options'!$E$23/1000</f>
        <v>-120077175.13890114</v>
      </c>
      <c r="E511" s="151">
        <f t="shared" ref="E511:X511" si="1380">-$D511/20</f>
        <v>6003858.7569450568</v>
      </c>
      <c r="F511" s="151">
        <f t="shared" si="1380"/>
        <v>6003858.7569450568</v>
      </c>
      <c r="G511" s="151">
        <f t="shared" si="1380"/>
        <v>6003858.7569450568</v>
      </c>
      <c r="H511" s="151">
        <f t="shared" si="1380"/>
        <v>6003858.7569450568</v>
      </c>
      <c r="I511" s="151">
        <f t="shared" si="1380"/>
        <v>6003858.7569450568</v>
      </c>
      <c r="J511" s="151">
        <f t="shared" si="1380"/>
        <v>6003858.7569450568</v>
      </c>
      <c r="K511" s="151">
        <f t="shared" si="1380"/>
        <v>6003858.7569450568</v>
      </c>
      <c r="L511" s="151">
        <f t="shared" si="1380"/>
        <v>6003858.7569450568</v>
      </c>
      <c r="M511" s="151">
        <f t="shared" si="1380"/>
        <v>6003858.7569450568</v>
      </c>
      <c r="N511" s="151">
        <f t="shared" si="1380"/>
        <v>6003858.7569450568</v>
      </c>
      <c r="O511" s="151">
        <f t="shared" si="1380"/>
        <v>6003858.7569450568</v>
      </c>
      <c r="P511" s="151">
        <f t="shared" si="1380"/>
        <v>6003858.7569450568</v>
      </c>
      <c r="Q511" s="151">
        <f t="shared" si="1380"/>
        <v>6003858.7569450568</v>
      </c>
      <c r="R511" s="151">
        <f t="shared" si="1380"/>
        <v>6003858.7569450568</v>
      </c>
      <c r="S511" s="151">
        <f t="shared" si="1380"/>
        <v>6003858.7569450568</v>
      </c>
      <c r="T511" s="151">
        <f t="shared" si="1380"/>
        <v>6003858.7569450568</v>
      </c>
      <c r="U511" s="151">
        <f t="shared" si="1380"/>
        <v>6003858.7569450568</v>
      </c>
      <c r="V511" s="151">
        <f t="shared" si="1380"/>
        <v>6003858.7569450568</v>
      </c>
      <c r="W511" s="151">
        <f t="shared" si="1380"/>
        <v>6003858.7569450568</v>
      </c>
      <c r="X511" s="152">
        <f t="shared" si="1380"/>
        <v>6003858.7569450568</v>
      </c>
      <c r="Y511" s="156"/>
    </row>
    <row r="512" spans="1:25" s="95" customFormat="1" hidden="1" outlineLevel="1">
      <c r="B512" s="52"/>
      <c r="C512" s="126" t="s">
        <v>163</v>
      </c>
      <c r="D512" s="151">
        <f>-INDEX('DATA (Nominal)'!$B$77:$BX$77,1,MATCH($B$1,'DATA (Nominal)'!$B$1:$BX$1,0))*1000000*(1+AFUDC!$D$23)*'Resource Options'!$D$23/1000</f>
        <v>-42066879.864973672</v>
      </c>
      <c r="E512" s="151">
        <f t="shared" ref="E512:N512" si="1381">-$D512/10</f>
        <v>4206687.9864973668</v>
      </c>
      <c r="F512" s="151">
        <f t="shared" si="1381"/>
        <v>4206687.9864973668</v>
      </c>
      <c r="G512" s="151">
        <f t="shared" si="1381"/>
        <v>4206687.9864973668</v>
      </c>
      <c r="H512" s="151">
        <f t="shared" si="1381"/>
        <v>4206687.9864973668</v>
      </c>
      <c r="I512" s="151">
        <f t="shared" si="1381"/>
        <v>4206687.9864973668</v>
      </c>
      <c r="J512" s="151">
        <f t="shared" si="1381"/>
        <v>4206687.9864973668</v>
      </c>
      <c r="K512" s="151">
        <f t="shared" si="1381"/>
        <v>4206687.9864973668</v>
      </c>
      <c r="L512" s="151">
        <f t="shared" si="1381"/>
        <v>4206687.9864973668</v>
      </c>
      <c r="M512" s="151">
        <f t="shared" si="1381"/>
        <v>4206687.9864973668</v>
      </c>
      <c r="N512" s="151">
        <f t="shared" si="1381"/>
        <v>4206687.9864973668</v>
      </c>
      <c r="O512" s="151">
        <f t="shared" ref="O512:X512" si="1382">$O495/10</f>
        <v>2116402.5209200243</v>
      </c>
      <c r="P512" s="151">
        <f t="shared" si="1382"/>
        <v>2116402.5209200243</v>
      </c>
      <c r="Q512" s="151">
        <f t="shared" si="1382"/>
        <v>2116402.5209200243</v>
      </c>
      <c r="R512" s="151">
        <f t="shared" si="1382"/>
        <v>2116402.5209200243</v>
      </c>
      <c r="S512" s="151">
        <f t="shared" si="1382"/>
        <v>2116402.5209200243</v>
      </c>
      <c r="T512" s="151">
        <f t="shared" si="1382"/>
        <v>2116402.5209200243</v>
      </c>
      <c r="U512" s="151">
        <f t="shared" si="1382"/>
        <v>2116402.5209200243</v>
      </c>
      <c r="V512" s="151">
        <f t="shared" si="1382"/>
        <v>2116402.5209200243</v>
      </c>
      <c r="W512" s="151">
        <f t="shared" si="1382"/>
        <v>2116402.5209200243</v>
      </c>
      <c r="X512" s="152">
        <f t="shared" si="1382"/>
        <v>2116402.5209200243</v>
      </c>
      <c r="Y512" s="156"/>
    </row>
    <row r="513" spans="1:25" hidden="1" outlineLevel="1">
      <c r="A513" s="95"/>
      <c r="B513" s="15"/>
      <c r="C513" s="125" t="s">
        <v>62</v>
      </c>
      <c r="D513" s="151"/>
      <c r="E513" s="151">
        <f>SUM($E511:E512)</f>
        <v>10210546.743442424</v>
      </c>
      <c r="F513" s="151">
        <f>SUM($E511:F512)</f>
        <v>20421093.486884847</v>
      </c>
      <c r="G513" s="151">
        <f>SUM($E511:G512)</f>
        <v>30631640.230327263</v>
      </c>
      <c r="H513" s="151">
        <f>SUM($E511:H512)</f>
        <v>40842186.973769687</v>
      </c>
      <c r="I513" s="151">
        <f>SUM($E511:I512)</f>
        <v>51052733.717212111</v>
      </c>
      <c r="J513" s="151">
        <f>SUM($E511:J512)</f>
        <v>61263280.460654534</v>
      </c>
      <c r="K513" s="151">
        <f>SUM($E511:K512)</f>
        <v>71473827.204096973</v>
      </c>
      <c r="L513" s="151">
        <f>SUM($E511:L512)</f>
        <v>81684373.947539404</v>
      </c>
      <c r="M513" s="151">
        <f>SUM($E511:M512)</f>
        <v>91894920.69098185</v>
      </c>
      <c r="N513" s="151">
        <f>SUM($E511:N512)</f>
        <v>102105467.4344243</v>
      </c>
      <c r="O513" s="151">
        <f>SUM($E511:O512)</f>
        <v>110225728.71228938</v>
      </c>
      <c r="P513" s="151">
        <f>SUM($E511:P512)</f>
        <v>118345989.99015446</v>
      </c>
      <c r="Q513" s="151">
        <f>SUM($E511:Q512)</f>
        <v>126466251.26801954</v>
      </c>
      <c r="R513" s="151">
        <f>SUM($E511:R512)</f>
        <v>134586512.54588464</v>
      </c>
      <c r="S513" s="151">
        <f>SUM($E511:S512)</f>
        <v>142706773.82374978</v>
      </c>
      <c r="T513" s="151">
        <f>SUM($E511:T512)</f>
        <v>150827035.10161486</v>
      </c>
      <c r="U513" s="151">
        <f>SUM($E511:U512)</f>
        <v>158947296.37947997</v>
      </c>
      <c r="V513" s="151">
        <f>SUM($E511:V512)</f>
        <v>167067557.65734506</v>
      </c>
      <c r="W513" s="151">
        <f>SUM($E511:W512)</f>
        <v>175187818.93521017</v>
      </c>
      <c r="X513" s="152">
        <f>SUM($E511:X512)</f>
        <v>183308080.21307525</v>
      </c>
      <c r="Y513" s="156"/>
    </row>
    <row r="514" spans="1:25" hidden="1" outlineLevel="1">
      <c r="B514" s="15"/>
      <c r="C514" s="125" t="s">
        <v>63</v>
      </c>
      <c r="D514" s="151"/>
      <c r="E514" s="151">
        <f>-$D502-E513</f>
        <v>151933508.26043239</v>
      </c>
      <c r="F514" s="151">
        <f t="shared" ref="F514:G514" si="1383">-$D502-F513</f>
        <v>141722961.51698995</v>
      </c>
      <c r="G514" s="151">
        <f t="shared" si="1383"/>
        <v>131512414.77354755</v>
      </c>
      <c r="H514" s="156">
        <f>-$D502-H513</f>
        <v>121301868.03010511</v>
      </c>
      <c r="I514" s="151">
        <f t="shared" ref="I514:L514" si="1384">-$D502-I513</f>
        <v>111091321.2866627</v>
      </c>
      <c r="J514" s="151">
        <f t="shared" si="1384"/>
        <v>100880774.54322028</v>
      </c>
      <c r="K514" s="151">
        <f t="shared" si="1384"/>
        <v>90670227.799777836</v>
      </c>
      <c r="L514" s="151">
        <f t="shared" si="1384"/>
        <v>80459681.056335405</v>
      </c>
      <c r="M514" s="151">
        <f>-$D502-M513</f>
        <v>70249134.312892959</v>
      </c>
      <c r="N514" s="151">
        <f>-$D502-N513</f>
        <v>60038587.569450513</v>
      </c>
      <c r="O514" s="151">
        <f>-$D502-O513+$O495</f>
        <v>73082351.500785679</v>
      </c>
      <c r="P514" s="151">
        <f t="shared" ref="P514" si="1385">-$D502-P513+$O495</f>
        <v>64962090.222920589</v>
      </c>
      <c r="Q514" s="151">
        <f t="shared" ref="Q514" si="1386">-$D502-Q513+$O495</f>
        <v>56841828.945055507</v>
      </c>
      <c r="R514" s="151">
        <f t="shared" ref="R514" si="1387">-$D502-R513+$O495</f>
        <v>48721567.66719041</v>
      </c>
      <c r="S514" s="151">
        <f t="shared" ref="S514" si="1388">-$D502-S513+$O495</f>
        <v>40601306.389325269</v>
      </c>
      <c r="T514" s="151">
        <f t="shared" ref="T514" si="1389">-$D502-T513+$O495</f>
        <v>32481045.111460187</v>
      </c>
      <c r="U514" s="151">
        <f t="shared" ref="U514" si="1390">-$D502-U513+$O495</f>
        <v>24360783.833595075</v>
      </c>
      <c r="V514" s="151">
        <f t="shared" ref="V514" si="1391">-$D502-V513+$O495</f>
        <v>16240522.555729993</v>
      </c>
      <c r="W514" s="151">
        <f t="shared" ref="W514" si="1392">-$D502-W513+$O495</f>
        <v>8120261.2778648809</v>
      </c>
      <c r="X514" s="152">
        <f t="shared" ref="X514" si="1393">-$D502-X513+$O495</f>
        <v>-2.0116567611694336E-7</v>
      </c>
      <c r="Y514" s="156"/>
    </row>
    <row r="515" spans="1:25" hidden="1" outlineLevel="1">
      <c r="B515" s="15"/>
      <c r="C515" s="125" t="s">
        <v>64</v>
      </c>
      <c r="D515" s="151">
        <f>-D502</f>
        <v>162144055.00387481</v>
      </c>
      <c r="E515" s="151">
        <f>D515/(($D515/$Y515)^(1/21))</f>
        <v>153109466.09162524</v>
      </c>
      <c r="F515" s="151">
        <f t="shared" ref="F515" si="1394">E515/(($D515/$Y515)^(1/21))</f>
        <v>144578280.13677299</v>
      </c>
      <c r="G515" s="151">
        <f t="shared" ref="G515" si="1395">F515/(($D515/$Y515)^(1/21))</f>
        <v>136522447.7681759</v>
      </c>
      <c r="H515" s="151">
        <f t="shared" ref="H515" si="1396">G515/(($D515/$Y515)^(1/21))</f>
        <v>128915482.5121876</v>
      </c>
      <c r="I515" s="151">
        <f t="shared" ref="I515" si="1397">H515/(($D515/$Y515)^(1/21))</f>
        <v>121732373.70875919</v>
      </c>
      <c r="J515" s="156">
        <f t="shared" ref="J515" si="1398">I515/(($D515/$Y515)^(1/21))</f>
        <v>114949504.27981408</v>
      </c>
      <c r="K515" s="156">
        <f>J515/(($D515/$Y515)^(1/21))</f>
        <v>108544573.0795294</v>
      </c>
      <c r="L515" s="151">
        <f t="shared" ref="L515" si="1399">K515/(($D515/$Y515)^(1/21))</f>
        <v>102496521.57122253</v>
      </c>
      <c r="M515" s="151">
        <f t="shared" ref="M515" si="1400">L515/(($D515/$Y515)^(1/21))</f>
        <v>96785464.589766219</v>
      </c>
      <c r="N515" s="151">
        <f>M515/(($D515/$Y515)^(1/21))</f>
        <v>91392624.96188885</v>
      </c>
      <c r="O515" s="151">
        <f>(N515+O495)/(($D515/($Y515+O495))^(1/21))</f>
        <v>108129093.41479181</v>
      </c>
      <c r="P515" s="151">
        <f>O515/(($O515/$Y515)^(1/11))</f>
        <v>100555158.46486904</v>
      </c>
      <c r="Q515" s="151">
        <f>P515/(($O515/$Y515)^(1/11))</f>
        <v>93511742.072108358</v>
      </c>
      <c r="R515" s="151">
        <f t="shared" ref="R515:X515" si="1401">Q515/(($O515/$Y515)^(1/11))</f>
        <v>86961683.904218286</v>
      </c>
      <c r="S515" s="151">
        <f t="shared" si="1401"/>
        <v>80870426.535586774</v>
      </c>
      <c r="T515" s="151">
        <f t="shared" si="1401"/>
        <v>75205833.125898078</v>
      </c>
      <c r="U515" s="151">
        <f t="shared" si="1401"/>
        <v>69938017.869505867</v>
      </c>
      <c r="V515" s="151">
        <f t="shared" si="1401"/>
        <v>65039188.321031064</v>
      </c>
      <c r="W515" s="151">
        <f t="shared" si="1401"/>
        <v>60483498.765310816</v>
      </c>
      <c r="X515" s="152">
        <f t="shared" si="1401"/>
        <v>56246913.8580935</v>
      </c>
      <c r="Y515" s="156">
        <f>Y502</f>
        <v>48643216.50116244</v>
      </c>
    </row>
    <row r="516" spans="1:25" hidden="1" outlineLevel="1">
      <c r="B516" s="15"/>
      <c r="C516" s="126" t="s">
        <v>65</v>
      </c>
      <c r="D516" s="151"/>
      <c r="E516" s="151">
        <f>-$D502*Assumptions!J$23*INDEX('DATA (Nominal)'!$B$353:$BX$353,1,MATCH($B$1,'DATA (Nominal)'!$B$1:$BX$1,0))</f>
        <v>27564489.350658718</v>
      </c>
      <c r="F516" s="151">
        <f>-$D502*Assumptions!K$23*INDEX('DATA (Nominal)'!$B$353:$BX$353,1,MATCH($B$1,'DATA (Nominal)'!$B$1:$BX$1,0))</f>
        <v>44103182.961053953</v>
      </c>
      <c r="G516" s="151">
        <f>-$D502*Assumptions!L$23*INDEX('DATA (Nominal)'!$B$353:$BX$353,1,MATCH($B$1,'DATA (Nominal)'!$B$1:$BX$1,0))</f>
        <v>26461909.776632369</v>
      </c>
      <c r="H516" s="151">
        <f>-$D502*Assumptions!M$23*INDEX('DATA (Nominal)'!$B$353:$BX$353,1,MATCH($B$1,'DATA (Nominal)'!$B$1:$BX$1,0))</f>
        <v>15877145.865979422</v>
      </c>
      <c r="I516" s="151">
        <f>-$D502*Assumptions!N$23*INDEX('DATA (Nominal)'!$B$353:$BX$353,1,MATCH($B$1,'DATA (Nominal)'!$B$1:$BX$1,0))</f>
        <v>15877145.865979422</v>
      </c>
      <c r="J516" s="151">
        <f>-$D502*Assumptions!O$23*INDEX('DATA (Nominal)'!$B$353:$BX$353,1,MATCH($B$1,'DATA (Nominal)'!$B$1:$BX$1,0))</f>
        <v>7938572.9329897109</v>
      </c>
      <c r="K516" s="151">
        <f>-$D502*Assumptions!P$23*INDEX('DATA (Nominal)'!$B$353:$BX$353,1,MATCH($B$1,'DATA (Nominal)'!$B$1:$BX$1,0))</f>
        <v>0</v>
      </c>
      <c r="L516" s="151">
        <f>-$D502*Assumptions!Q$23*INDEX('DATA (Nominal)'!$B$353:$BX$353,1,MATCH($B$1,'DATA (Nominal)'!$B$1:$BX$1,0))</f>
        <v>0</v>
      </c>
      <c r="M516" s="151">
        <f>-$D502*Assumptions!R$23*INDEX('DATA (Nominal)'!$B$353:$BX$353,1,MATCH($B$1,'DATA (Nominal)'!$B$1:$BX$1,0))</f>
        <v>0</v>
      </c>
      <c r="N516" s="151">
        <f>-$D502*Assumptions!S$23*INDEX('DATA (Nominal)'!$B$353:$BX$353,1,MATCH($B$1,'DATA (Nominal)'!$B$1:$BX$1,0))</f>
        <v>0</v>
      </c>
      <c r="O516" s="151">
        <f>$O495*Assumptions!T$23</f>
        <v>3023492.641386346</v>
      </c>
      <c r="P516" s="151">
        <f>$O495*Assumptions!U$23</f>
        <v>5183069.773733139</v>
      </c>
      <c r="Q516" s="151">
        <f>$O495*Assumptions!V$23</f>
        <v>3702222.9298453983</v>
      </c>
      <c r="R516" s="151">
        <f>$O495*Assumptions!W$23</f>
        <v>2644444.94988957</v>
      </c>
      <c r="S516" s="151">
        <f>$O495*Assumptions!X$23</f>
        <v>1888889.2499211214</v>
      </c>
      <c r="T516" s="151">
        <f>$O495*Assumptions!Y$23</f>
        <v>1888889.2499211214</v>
      </c>
      <c r="U516" s="151">
        <f>$O495*Assumptions!Z$23</f>
        <v>1888889.2499211214</v>
      </c>
      <c r="V516" s="151">
        <f>$O495*Assumptions!AA$23</f>
        <v>944127.1645824227</v>
      </c>
      <c r="W516" s="151">
        <f>$O495*Assumptions!AB$23</f>
        <v>0</v>
      </c>
      <c r="X516" s="160">
        <f>$O495*Assumptions!AC$23</f>
        <v>0</v>
      </c>
      <c r="Y516" s="156"/>
    </row>
    <row r="517" spans="1:25" ht="15.75" hidden="1" outlineLevel="1" thickBot="1">
      <c r="B517" s="15"/>
      <c r="C517" s="127" t="s">
        <v>66</v>
      </c>
      <c r="D517" s="157"/>
      <c r="E517" s="157">
        <f>E516*Federal_Tax_Rate</f>
        <v>5788542.7636383306</v>
      </c>
      <c r="F517" s="157">
        <f>F516*Federal_Tax_Rate</f>
        <v>9261668.4218213297</v>
      </c>
      <c r="G517" s="157">
        <f t="shared" ref="G517" si="1402">G516*Federal_Tax_Rate</f>
        <v>5557001.0530927973</v>
      </c>
      <c r="H517" s="157">
        <f t="shared" ref="H517" si="1403">H516*Federal_Tax_Rate</f>
        <v>3334200.6318556783</v>
      </c>
      <c r="I517" s="157">
        <f t="shared" ref="I517" si="1404">I516*Federal_Tax_Rate</f>
        <v>3334200.6318556783</v>
      </c>
      <c r="J517" s="157">
        <f t="shared" ref="J517" si="1405">J516*Federal_Tax_Rate</f>
        <v>1667100.3159278391</v>
      </c>
      <c r="K517" s="157">
        <f t="shared" ref="K517" si="1406">K516*Federal_Tax_Rate</f>
        <v>0</v>
      </c>
      <c r="L517" s="157">
        <f t="shared" ref="L517" si="1407">L516*Federal_Tax_Rate</f>
        <v>0</v>
      </c>
      <c r="M517" s="157">
        <f t="shared" ref="M517" si="1408">M516*Federal_Tax_Rate</f>
        <v>0</v>
      </c>
      <c r="N517" s="157">
        <f>N516*Federal_Tax_Rate</f>
        <v>0</v>
      </c>
      <c r="O517" s="157">
        <f>O516*Federal_Tax_Rate</f>
        <v>634933.45469113265</v>
      </c>
      <c r="P517" s="157">
        <f t="shared" ref="P517" si="1409">P516*Federal_Tax_Rate</f>
        <v>1088444.6524839592</v>
      </c>
      <c r="Q517" s="157">
        <f t="shared" ref="Q517" si="1410">Q516*Federal_Tax_Rate</f>
        <v>777466.81526753365</v>
      </c>
      <c r="R517" s="157">
        <f t="shared" ref="R517" si="1411">R516*Federal_Tax_Rate</f>
        <v>555333.4394768097</v>
      </c>
      <c r="S517" s="157">
        <f t="shared" ref="S517" si="1412">S516*Federal_Tax_Rate</f>
        <v>396666.74248343549</v>
      </c>
      <c r="T517" s="157">
        <f t="shared" ref="T517" si="1413">T516*Federal_Tax_Rate</f>
        <v>396666.74248343549</v>
      </c>
      <c r="U517" s="157">
        <f t="shared" ref="U517" si="1414">U516*Federal_Tax_Rate</f>
        <v>396666.74248343549</v>
      </c>
      <c r="V517" s="157">
        <f t="shared" ref="V517" si="1415">V516*Federal_Tax_Rate</f>
        <v>198266.70456230876</v>
      </c>
      <c r="W517" s="157">
        <f t="shared" ref="W517" si="1416">W516*Federal_Tax_Rate</f>
        <v>0</v>
      </c>
      <c r="X517" s="158">
        <f t="shared" ref="X517" si="1417">X516*Federal_Tax_Rate</f>
        <v>0</v>
      </c>
      <c r="Y517" s="156"/>
    </row>
    <row r="518" spans="1:25" hidden="1" outlineLevel="1">
      <c r="B518" s="15"/>
      <c r="C518" s="128" t="s">
        <v>67</v>
      </c>
      <c r="D518" s="104">
        <f>NPV(Tax_Equity_Rate,E517:N517)</f>
        <v>23481970.205574282</v>
      </c>
      <c r="E518" s="105">
        <f>D518/D522</f>
        <v>0.14482165383746648</v>
      </c>
      <c r="F518" s="99"/>
      <c r="G518" s="99"/>
      <c r="H518" s="99"/>
      <c r="I518" s="99"/>
      <c r="J518" s="99"/>
      <c r="K518" s="99"/>
      <c r="L518" s="99"/>
      <c r="M518" s="261"/>
      <c r="N518" s="261"/>
      <c r="O518" s="261"/>
      <c r="P518" s="261"/>
      <c r="Q518" s="261"/>
      <c r="R518" s="261"/>
      <c r="S518" s="261"/>
      <c r="T518" s="261"/>
      <c r="U518" s="261"/>
      <c r="V518" s="261"/>
      <c r="W518" s="261"/>
      <c r="X518" s="261"/>
      <c r="Y518" s="261"/>
    </row>
    <row r="519" spans="1:25" hidden="1" outlineLevel="1">
      <c r="B519" s="15"/>
      <c r="C519" s="125" t="s">
        <v>129</v>
      </c>
      <c r="D519" s="106">
        <f>NPV(Tax_Equity_Rate,E499:X499)</f>
        <v>45040015.278854109</v>
      </c>
      <c r="E519" s="107">
        <f>D519/D522</f>
        <v>0.27777777777777773</v>
      </c>
      <c r="F519" s="95"/>
      <c r="G519" s="95"/>
      <c r="H519" s="95"/>
      <c r="I519" s="95"/>
      <c r="J519" s="95"/>
      <c r="K519" s="95"/>
      <c r="L519" s="95"/>
    </row>
    <row r="520" spans="1:25" hidden="1" outlineLevel="1">
      <c r="B520" s="22">
        <f>Assumptions!F23</f>
        <v>0.73499999999999999</v>
      </c>
      <c r="C520" s="125" t="s">
        <v>68</v>
      </c>
      <c r="D520" s="106">
        <f>(D522-D518-D519)*$B520</f>
        <v>68812221.09679313</v>
      </c>
      <c r="E520" s="107">
        <f>D520/D522</f>
        <v>0.4243894177627956</v>
      </c>
      <c r="F520" s="95"/>
      <c r="G520" s="95"/>
      <c r="H520" s="95"/>
      <c r="I520" s="95"/>
      <c r="J520" s="95"/>
      <c r="K520" s="95"/>
      <c r="L520" s="95"/>
    </row>
    <row r="521" spans="1:25" hidden="1" outlineLevel="1">
      <c r="B521" s="22">
        <f>1-B520</f>
        <v>0.26500000000000001</v>
      </c>
      <c r="C521" s="125" t="s">
        <v>69</v>
      </c>
      <c r="D521" s="106">
        <f>(D522-D518-D519)*$B521</f>
        <v>24809848.422653306</v>
      </c>
      <c r="E521" s="107">
        <f>D521/D522</f>
        <v>0.1530111506219603</v>
      </c>
      <c r="F521" s="95"/>
      <c r="G521" s="95"/>
      <c r="H521" s="95"/>
      <c r="I521" s="95"/>
      <c r="J521" s="95"/>
      <c r="K521" s="95"/>
      <c r="L521" s="95"/>
    </row>
    <row r="522" spans="1:25" hidden="1" outlineLevel="1">
      <c r="C522" s="125" t="s">
        <v>70</v>
      </c>
      <c r="D522" s="106">
        <f>-D502</f>
        <v>162144055.00387481</v>
      </c>
      <c r="E522" s="108"/>
      <c r="F522" s="95"/>
      <c r="G522" s="95"/>
      <c r="H522" s="95"/>
      <c r="I522" s="95"/>
      <c r="J522" s="95"/>
      <c r="K522" s="95"/>
      <c r="L522" s="95"/>
    </row>
    <row r="523" spans="1:25" ht="15.75" hidden="1" outlineLevel="1" thickBot="1">
      <c r="C523" s="127" t="s">
        <v>71</v>
      </c>
      <c r="D523" s="109">
        <f>SUM(D518:D521)-D522</f>
        <v>0</v>
      </c>
      <c r="E523" s="110"/>
      <c r="F523" s="95"/>
      <c r="G523" s="95"/>
      <c r="H523" s="95"/>
      <c r="I523" s="95"/>
      <c r="J523" s="95"/>
      <c r="K523" s="95"/>
      <c r="L523" s="95"/>
    </row>
    <row r="524" spans="1:25" hidden="1" outlineLevel="1">
      <c r="C524" s="95"/>
      <c r="D524" s="95"/>
      <c r="E524" s="95"/>
      <c r="F524" s="95"/>
      <c r="G524" s="95"/>
      <c r="H524" s="95"/>
      <c r="I524" s="95"/>
      <c r="J524" s="95"/>
      <c r="K524" s="95"/>
      <c r="L524" s="95"/>
    </row>
    <row r="525" spans="1:25" collapsed="1">
      <c r="C525" s="95"/>
      <c r="D525" s="95"/>
      <c r="E525" s="95"/>
      <c r="F525" s="95"/>
      <c r="G525" s="95"/>
      <c r="H525" s="95"/>
      <c r="I525" s="95"/>
      <c r="J525" s="95"/>
      <c r="K525" s="95"/>
      <c r="L525" s="95"/>
    </row>
    <row r="527" spans="1:25">
      <c r="A527" s="95"/>
    </row>
    <row r="528" spans="1:25">
      <c r="A528" s="95"/>
    </row>
    <row r="529" spans="1:1">
      <c r="A529" s="95"/>
    </row>
    <row r="530" spans="1:1">
      <c r="A530" s="95"/>
    </row>
  </sheetData>
  <mergeCells count="15">
    <mergeCell ref="A1:A2"/>
    <mergeCell ref="B1:B2"/>
    <mergeCell ref="C397:H397"/>
    <mergeCell ref="C440:H440"/>
    <mergeCell ref="C483:H483"/>
    <mergeCell ref="C5:H5"/>
    <mergeCell ref="C41:H41"/>
    <mergeCell ref="C359:H359"/>
    <mergeCell ref="C321:H321"/>
    <mergeCell ref="C278:H278"/>
    <mergeCell ref="C240:H240"/>
    <mergeCell ref="C197:H197"/>
    <mergeCell ref="C159:H159"/>
    <mergeCell ref="C118:H118"/>
    <mergeCell ref="C82:H8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DBD10-A5B6-4444-BDF2-186A1A772C84}">
  <sheetPr codeName="Sheet20">
    <tabColor theme="5" tint="0.39997558519241921"/>
  </sheetPr>
  <dimension ref="A1:Y525"/>
  <sheetViews>
    <sheetView topLeftCell="A278" workbookViewId="0">
      <selection activeCell="C359" sqref="C359:H359"/>
    </sheetView>
  </sheetViews>
  <sheetFormatPr defaultRowHeight="15" outlineLevelRow="1"/>
  <cols>
    <col min="1" max="1" width="12.7109375" style="263" bestFit="1" customWidth="1"/>
    <col min="2" max="2" width="7.140625" style="263" bestFit="1" customWidth="1"/>
    <col min="3" max="3" width="32.85546875" style="263" bestFit="1" customWidth="1"/>
    <col min="4" max="4" width="12.5703125" style="263" bestFit="1" customWidth="1"/>
    <col min="5" max="12" width="11.140625" style="263" bestFit="1" customWidth="1"/>
    <col min="13" max="24" width="11.140625" style="146" bestFit="1" customWidth="1"/>
    <col min="25" max="25" width="10.140625" style="146" bestFit="1" customWidth="1"/>
    <col min="26" max="16384" width="9.140625" style="263"/>
  </cols>
  <sheetData>
    <row r="1" spans="1:25">
      <c r="A1" s="482" t="s">
        <v>72</v>
      </c>
      <c r="B1" s="483">
        <v>2025</v>
      </c>
      <c r="C1" s="263" t="s">
        <v>408</v>
      </c>
      <c r="E1" s="257">
        <f>B1</f>
        <v>2025</v>
      </c>
      <c r="F1" s="257">
        <f>E1+1</f>
        <v>2026</v>
      </c>
      <c r="G1" s="257">
        <f t="shared" ref="G1:Y1" si="0">F1+1</f>
        <v>2027</v>
      </c>
      <c r="H1" s="257">
        <f t="shared" si="0"/>
        <v>2028</v>
      </c>
      <c r="I1" s="257">
        <f t="shared" si="0"/>
        <v>2029</v>
      </c>
      <c r="J1" s="257">
        <f t="shared" si="0"/>
        <v>2030</v>
      </c>
      <c r="K1" s="257">
        <f t="shared" si="0"/>
        <v>2031</v>
      </c>
      <c r="L1" s="257">
        <f t="shared" si="0"/>
        <v>2032</v>
      </c>
      <c r="M1" s="453">
        <f t="shared" si="0"/>
        <v>2033</v>
      </c>
      <c r="N1" s="453">
        <f t="shared" si="0"/>
        <v>2034</v>
      </c>
      <c r="O1" s="453">
        <f t="shared" si="0"/>
        <v>2035</v>
      </c>
      <c r="P1" s="453">
        <f t="shared" si="0"/>
        <v>2036</v>
      </c>
      <c r="Q1" s="453">
        <f t="shared" si="0"/>
        <v>2037</v>
      </c>
      <c r="R1" s="453">
        <f t="shared" si="0"/>
        <v>2038</v>
      </c>
      <c r="S1" s="453">
        <f t="shared" si="0"/>
        <v>2039</v>
      </c>
      <c r="T1" s="453">
        <f t="shared" si="0"/>
        <v>2040</v>
      </c>
      <c r="U1" s="453">
        <f t="shared" si="0"/>
        <v>2041</v>
      </c>
      <c r="V1" s="453">
        <f t="shared" si="0"/>
        <v>2042</v>
      </c>
      <c r="W1" s="453">
        <f t="shared" si="0"/>
        <v>2043</v>
      </c>
      <c r="X1" s="453">
        <f t="shared" si="0"/>
        <v>2044</v>
      </c>
      <c r="Y1" s="453">
        <f t="shared" si="0"/>
        <v>2045</v>
      </c>
    </row>
    <row r="2" spans="1:25">
      <c r="A2" s="482"/>
      <c r="B2" s="483"/>
      <c r="D2" s="257">
        <v>0</v>
      </c>
      <c r="E2" s="257">
        <v>1</v>
      </c>
      <c r="F2" s="257">
        <v>2</v>
      </c>
      <c r="G2" s="257">
        <v>3</v>
      </c>
      <c r="H2" s="257">
        <v>4</v>
      </c>
      <c r="I2" s="257">
        <v>5</v>
      </c>
      <c r="J2" s="257">
        <v>6</v>
      </c>
      <c r="K2" s="257">
        <v>7</v>
      </c>
      <c r="L2" s="257">
        <v>8</v>
      </c>
      <c r="M2" s="453">
        <v>9</v>
      </c>
      <c r="N2" s="453">
        <v>10</v>
      </c>
      <c r="O2" s="453">
        <v>11</v>
      </c>
      <c r="P2" s="453">
        <v>12</v>
      </c>
      <c r="Q2" s="453">
        <v>13</v>
      </c>
      <c r="R2" s="453">
        <v>14</v>
      </c>
      <c r="S2" s="453">
        <v>15</v>
      </c>
      <c r="T2" s="453">
        <v>16</v>
      </c>
      <c r="U2" s="453">
        <v>17</v>
      </c>
      <c r="V2" s="453">
        <v>18</v>
      </c>
      <c r="W2" s="453">
        <v>19</v>
      </c>
      <c r="X2" s="453">
        <v>20</v>
      </c>
      <c r="Y2" s="453">
        <v>21</v>
      </c>
    </row>
    <row r="4" spans="1:25" ht="15.75" thickBot="1"/>
    <row r="5" spans="1:25" ht="18.75" thickBot="1">
      <c r="A5" s="86"/>
      <c r="B5" s="82"/>
      <c r="C5" s="484" t="s">
        <v>130</v>
      </c>
      <c r="D5" s="485"/>
      <c r="E5" s="485"/>
      <c r="F5" s="485"/>
      <c r="G5" s="485"/>
      <c r="H5" s="486"/>
      <c r="Y5" s="261"/>
    </row>
    <row r="6" spans="1:25" hidden="1" outlineLevel="1">
      <c r="C6" s="124" t="s">
        <v>44</v>
      </c>
      <c r="D6" s="98"/>
      <c r="E6" s="142">
        <f>'Resource Options'!$E$11*INDEX('DATA (Nominal)'!$B$11:$BX$11,1,MATCH($B$1,'DATA (Nominal)'!$B$1:$BX$1,0))*8760</f>
        <v>8.6424979367249435</v>
      </c>
      <c r="F6" s="142">
        <f>E6</f>
        <v>8.6424979367249435</v>
      </c>
      <c r="G6" s="98">
        <f t="shared" ref="G6:X7" si="1">F6</f>
        <v>8.6424979367249435</v>
      </c>
      <c r="H6" s="98">
        <f t="shared" si="1"/>
        <v>8.6424979367249435</v>
      </c>
      <c r="I6" s="98">
        <f t="shared" si="1"/>
        <v>8.6424979367249435</v>
      </c>
      <c r="J6" s="98">
        <f t="shared" si="1"/>
        <v>8.6424979367249435</v>
      </c>
      <c r="K6" s="98">
        <f t="shared" si="1"/>
        <v>8.6424979367249435</v>
      </c>
      <c r="L6" s="98">
        <f t="shared" si="1"/>
        <v>8.6424979367249435</v>
      </c>
      <c r="M6" s="142">
        <f t="shared" si="1"/>
        <v>8.6424979367249435</v>
      </c>
      <c r="N6" s="142">
        <f t="shared" si="1"/>
        <v>8.6424979367249435</v>
      </c>
      <c r="O6" s="142">
        <f t="shared" si="1"/>
        <v>8.6424979367249435</v>
      </c>
      <c r="P6" s="142">
        <f t="shared" si="1"/>
        <v>8.6424979367249435</v>
      </c>
      <c r="Q6" s="142">
        <f t="shared" si="1"/>
        <v>8.6424979367249435</v>
      </c>
      <c r="R6" s="142">
        <f t="shared" si="1"/>
        <v>8.6424979367249435</v>
      </c>
      <c r="S6" s="142">
        <f t="shared" si="1"/>
        <v>8.6424979367249435</v>
      </c>
      <c r="T6" s="142">
        <f t="shared" si="1"/>
        <v>8.6424979367249435</v>
      </c>
      <c r="U6" s="142">
        <f t="shared" si="1"/>
        <v>8.6424979367249435</v>
      </c>
      <c r="V6" s="142">
        <f t="shared" si="1"/>
        <v>8.6424979367249435</v>
      </c>
      <c r="W6" s="142">
        <f t="shared" si="1"/>
        <v>8.6424979367249435</v>
      </c>
      <c r="X6" s="454">
        <f t="shared" si="1"/>
        <v>8.6424979367249435</v>
      </c>
      <c r="Y6" s="261"/>
    </row>
    <row r="7" spans="1:25" hidden="1" outlineLevel="1">
      <c r="A7" s="86"/>
      <c r="C7" s="125" t="s">
        <v>45</v>
      </c>
      <c r="D7" s="114"/>
      <c r="E7" s="117">
        <f>INDEX('PPA Summary'!$3:$34,MATCH(_xlfn.CONCAT($C5,$C$1),'PPA Summary'!$D$3:$D$34,0),MATCH(B$1,'PPA Summary'!$2:$2,0))</f>
        <v>248.73034169704394</v>
      </c>
      <c r="F7" s="117">
        <f>E7</f>
        <v>248.73034169704394</v>
      </c>
      <c r="G7" s="112">
        <f t="shared" si="1"/>
        <v>248.73034169704394</v>
      </c>
      <c r="H7" s="112">
        <f t="shared" si="1"/>
        <v>248.73034169704394</v>
      </c>
      <c r="I7" s="112">
        <f t="shared" si="1"/>
        <v>248.73034169704394</v>
      </c>
      <c r="J7" s="112">
        <f t="shared" si="1"/>
        <v>248.73034169704394</v>
      </c>
      <c r="K7" s="112">
        <f t="shared" si="1"/>
        <v>248.73034169704394</v>
      </c>
      <c r="L7" s="112">
        <f t="shared" si="1"/>
        <v>248.73034169704394</v>
      </c>
      <c r="M7" s="117">
        <f t="shared" si="1"/>
        <v>248.73034169704394</v>
      </c>
      <c r="N7" s="117">
        <f t="shared" si="1"/>
        <v>248.73034169704394</v>
      </c>
      <c r="O7" s="117">
        <f t="shared" si="1"/>
        <v>248.73034169704394</v>
      </c>
      <c r="P7" s="117">
        <f t="shared" si="1"/>
        <v>248.73034169704394</v>
      </c>
      <c r="Q7" s="117">
        <f t="shared" si="1"/>
        <v>248.73034169704394</v>
      </c>
      <c r="R7" s="117">
        <f t="shared" si="1"/>
        <v>248.73034169704394</v>
      </c>
      <c r="S7" s="117">
        <f t="shared" si="1"/>
        <v>248.73034169704394</v>
      </c>
      <c r="T7" s="117">
        <f t="shared" si="1"/>
        <v>248.73034169704394</v>
      </c>
      <c r="U7" s="117">
        <f t="shared" si="1"/>
        <v>248.73034169704394</v>
      </c>
      <c r="V7" s="117">
        <f t="shared" si="1"/>
        <v>248.73034169704394</v>
      </c>
      <c r="W7" s="117">
        <f t="shared" si="1"/>
        <v>248.73034169704394</v>
      </c>
      <c r="X7" s="161">
        <f t="shared" si="1"/>
        <v>248.73034169704394</v>
      </c>
      <c r="Y7" s="261"/>
    </row>
    <row r="8" spans="1:25" hidden="1" outlineLevel="1">
      <c r="C8" s="258" t="s">
        <v>46</v>
      </c>
      <c r="D8" s="114"/>
      <c r="E8" s="93">
        <f>E7*E6</f>
        <v>2149.6514649175924</v>
      </c>
      <c r="F8" s="93">
        <f t="shared" ref="F8:X8" si="2">F7*F6</f>
        <v>2149.6514649175924</v>
      </c>
      <c r="G8" s="114">
        <f t="shared" si="2"/>
        <v>2149.6514649175924</v>
      </c>
      <c r="H8" s="114">
        <f t="shared" si="2"/>
        <v>2149.6514649175924</v>
      </c>
      <c r="I8" s="114">
        <f t="shared" si="2"/>
        <v>2149.6514649175924</v>
      </c>
      <c r="J8" s="114">
        <f t="shared" si="2"/>
        <v>2149.6514649175924</v>
      </c>
      <c r="K8" s="114">
        <f t="shared" si="2"/>
        <v>2149.6514649175924</v>
      </c>
      <c r="L8" s="114">
        <f t="shared" si="2"/>
        <v>2149.6514649175924</v>
      </c>
      <c r="M8" s="93">
        <f t="shared" si="2"/>
        <v>2149.6514649175924</v>
      </c>
      <c r="N8" s="93">
        <f t="shared" si="2"/>
        <v>2149.6514649175924</v>
      </c>
      <c r="O8" s="93">
        <f t="shared" si="2"/>
        <v>2149.6514649175924</v>
      </c>
      <c r="P8" s="93">
        <f t="shared" si="2"/>
        <v>2149.6514649175924</v>
      </c>
      <c r="Q8" s="93">
        <f t="shared" si="2"/>
        <v>2149.6514649175924</v>
      </c>
      <c r="R8" s="93">
        <f t="shared" si="2"/>
        <v>2149.6514649175924</v>
      </c>
      <c r="S8" s="93">
        <f t="shared" si="2"/>
        <v>2149.6514649175924</v>
      </c>
      <c r="T8" s="93">
        <f t="shared" si="2"/>
        <v>2149.6514649175924</v>
      </c>
      <c r="U8" s="93">
        <f t="shared" si="2"/>
        <v>2149.6514649175924</v>
      </c>
      <c r="V8" s="93">
        <f t="shared" si="2"/>
        <v>2149.6514649175924</v>
      </c>
      <c r="W8" s="93">
        <f t="shared" si="2"/>
        <v>2149.6514649175924</v>
      </c>
      <c r="X8" s="161">
        <f t="shared" si="2"/>
        <v>2149.6514649175924</v>
      </c>
      <c r="Y8" s="261"/>
    </row>
    <row r="9" spans="1:25" hidden="1" outlineLevel="1">
      <c r="C9" s="258"/>
      <c r="D9" s="114"/>
      <c r="E9" s="93"/>
      <c r="F9" s="93"/>
      <c r="G9" s="114"/>
      <c r="H9" s="114"/>
      <c r="I9" s="114"/>
      <c r="J9" s="114"/>
      <c r="K9" s="114"/>
      <c r="L9" s="114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161"/>
      <c r="Y9" s="261"/>
    </row>
    <row r="10" spans="1:25" hidden="1" outlineLevel="1">
      <c r="B10" s="92"/>
      <c r="C10" s="125" t="s">
        <v>47</v>
      </c>
      <c r="D10" s="114"/>
      <c r="E10" s="93">
        <f>'Resource Options'!$E$11*INDEX('DATA (Nominal)'!$B$177:$BX$177,1,MATCH(E$1,'DATA (Nominal)'!$B$1:$BX$1,0))*1000</f>
        <v>158.76886372805325</v>
      </c>
      <c r="F10" s="93">
        <f>'Resource Options'!$E$11*INDEX('DATA (Nominal)'!$B$177:$BX$177,1,MATCH(F$1,'DATA (Nominal)'!$B$1:$BX$1,0))*1000</f>
        <v>149.42817126650451</v>
      </c>
      <c r="G10" s="114">
        <f>'Resource Options'!$E$11*INDEX('DATA (Nominal)'!$B$177:$BX$177,1,MATCH(G$1,'DATA (Nominal)'!$B$1:$BX$1,0))*1000</f>
        <v>139.59107082730935</v>
      </c>
      <c r="H10" s="114">
        <f>'Resource Options'!$E$11*INDEX('DATA (Nominal)'!$B$177:$BX$177,1,MATCH(H$1,'DATA (Nominal)'!$B$1:$BX$1,0))*1000</f>
        <v>129.19790953688511</v>
      </c>
      <c r="I10" s="114">
        <f>'Resource Options'!$E$11*INDEX('DATA (Nominal)'!$B$177:$BX$177,1,MATCH(I$1,'DATA (Nominal)'!$B$1:$BX$1,0))*1000</f>
        <v>118.27988707140187</v>
      </c>
      <c r="J10" s="114">
        <f>'Resource Options'!$E$11*INDEX('DATA (Nominal)'!$B$177:$BX$177,1,MATCH(J$1,'DATA (Nominal)'!$B$1:$BX$1,0))*1000</f>
        <v>106.81893982922148</v>
      </c>
      <c r="K10" s="114">
        <f>'Resource Options'!$E$11*INDEX('DATA (Nominal)'!$B$177:$BX$177,1,MATCH(K$1,'DATA (Nominal)'!$B$1:$BX$1,0))*1000</f>
        <v>108.27675549270886</v>
      </c>
      <c r="L10" s="114">
        <f>'Resource Options'!$E$11*INDEX('DATA (Nominal)'!$B$177:$BX$177,1,MATCH(L$1,'DATA (Nominal)'!$B$1:$BX$1,0))*1000</f>
        <v>109.74701467851236</v>
      </c>
      <c r="M10" s="93">
        <f>'Resource Options'!$E$11*INDEX('DATA (Nominal)'!$B$177:$BX$177,1,MATCH(M$1,'DATA (Nominal)'!$B$1:$BX$1,0))*1000</f>
        <v>111.22955931883271</v>
      </c>
      <c r="N10" s="93">
        <f>'Resource Options'!$E$11*INDEX('DATA (Nominal)'!$B$177:$BX$177,1,MATCH(N$1,'DATA (Nominal)'!$B$1:$BX$1,0))*1000</f>
        <v>112.72421836822279</v>
      </c>
      <c r="O10" s="93">
        <f>'Resource Options'!$E$11*INDEX('DATA (Nominal)'!$B$177:$BX$177,1,MATCH(O$1,'DATA (Nominal)'!$B$1:$BX$1,0))*1000</f>
        <v>114.23080730907569</v>
      </c>
      <c r="P10" s="93">
        <f>'Resource Options'!$E$11*INDEX('DATA (Nominal)'!$B$177:$BX$177,1,MATCH(P$1,'DATA (Nominal)'!$B$1:$BX$1,0))*1000</f>
        <v>115.74912764163592</v>
      </c>
      <c r="Q10" s="93">
        <f>'Resource Options'!$E$11*INDEX('DATA (Nominal)'!$B$177:$BX$177,1,MATCH(Q$1,'DATA (Nominal)'!$B$1:$BX$1,0))*1000</f>
        <v>117.2789663580912</v>
      </c>
      <c r="R10" s="93">
        <f>'Resource Options'!$E$11*INDEX('DATA (Nominal)'!$B$177:$BX$177,1,MATCH(R$1,'DATA (Nominal)'!$B$1:$BX$1,0))*1000</f>
        <v>118.82009540029195</v>
      </c>
      <c r="S10" s="93">
        <f>'Resource Options'!$E$11*INDEX('DATA (Nominal)'!$B$177:$BX$177,1,MATCH(S$1,'DATA (Nominal)'!$B$1:$BX$1,0))*1000</f>
        <v>120.37227110063225</v>
      </c>
      <c r="T10" s="93">
        <f>'Resource Options'!$E$11*INDEX('DATA (Nominal)'!$B$177:$BX$177,1,MATCH(T$1,'DATA (Nominal)'!$B$1:$BX$1,0))*1000</f>
        <v>121.93523360561375</v>
      </c>
      <c r="U10" s="93">
        <f>'Resource Options'!$E$11*INDEX('DATA (Nominal)'!$B$177:$BX$177,1,MATCH(U$1,'DATA (Nominal)'!$B$1:$BX$1,0))*1000</f>
        <v>123.5087062816017</v>
      </c>
      <c r="V10" s="93">
        <f>'Resource Options'!$E$11*INDEX('DATA (Nominal)'!$B$177:$BX$177,1,MATCH(V$1,'DATA (Nominal)'!$B$1:$BX$1,0))*1000</f>
        <v>125.09239510226807</v>
      </c>
      <c r="W10" s="93">
        <f>'Resource Options'!$E$11*INDEX('DATA (Nominal)'!$B$177:$BX$177,1,MATCH(W$1,'DATA (Nominal)'!$B$1:$BX$1,0))*1000</f>
        <v>126.68598801720343</v>
      </c>
      <c r="X10" s="161">
        <f>'Resource Options'!$E$11*INDEX('DATA (Nominal)'!$B$177:$BX$177,1,MATCH(X$1,'DATA (Nominal)'!$B$1:$BX$1,0))*1000</f>
        <v>128.28915430116643</v>
      </c>
      <c r="Y10" s="261"/>
    </row>
    <row r="11" spans="1:25" hidden="1" outlineLevel="1">
      <c r="C11" s="125" t="s">
        <v>48</v>
      </c>
      <c r="D11" s="114"/>
      <c r="E11" s="93">
        <f>E6*INDEX('DATA (Nominal)'!$B$106:$BX$106,1,MATCH(E$1,'DATA (Nominal)'!$B$1:$BX$1,0))</f>
        <v>0</v>
      </c>
      <c r="F11" s="93">
        <f>F6*INDEX('DATA (Nominal)'!$B$106:$BX$106,1,MATCH(F$1,'DATA (Nominal)'!$B$1:$BX$1,0))</f>
        <v>0</v>
      </c>
      <c r="G11" s="114">
        <f>G6*INDEX('DATA (Nominal)'!$B$106:$BX$106,1,MATCH(G$1,'DATA (Nominal)'!$B$1:$BX$1,0))</f>
        <v>0</v>
      </c>
      <c r="H11" s="114">
        <f>H6*INDEX('DATA (Nominal)'!$B$106:$BX$106,1,MATCH(H$1,'DATA (Nominal)'!$B$1:$BX$1,0))</f>
        <v>0</v>
      </c>
      <c r="I11" s="114">
        <f>I6*INDEX('DATA (Nominal)'!$B$106:$BX$106,1,MATCH(I$1,'DATA (Nominal)'!$B$1:$BX$1,0))</f>
        <v>0</v>
      </c>
      <c r="J11" s="114">
        <f>J6*INDEX('DATA (Nominal)'!$B$106:$BX$106,1,MATCH(J$1,'DATA (Nominal)'!$B$1:$BX$1,0))</f>
        <v>0</v>
      </c>
      <c r="K11" s="114">
        <f>K6*INDEX('DATA (Nominal)'!$B$106:$BX$106,1,MATCH(K$1,'DATA (Nominal)'!$B$1:$BX$1,0))</f>
        <v>0</v>
      </c>
      <c r="L11" s="114">
        <f>L6*INDEX('DATA (Nominal)'!$B$106:$BX$106,1,MATCH(L$1,'DATA (Nominal)'!$B$1:$BX$1,0))</f>
        <v>0</v>
      </c>
      <c r="M11" s="93">
        <f>M6*INDEX('DATA (Nominal)'!$B$106:$BX$106,1,MATCH(M$1,'DATA (Nominal)'!$B$1:$BX$1,0))</f>
        <v>0</v>
      </c>
      <c r="N11" s="93">
        <f>N6*INDEX('DATA (Nominal)'!$B$106:$BX$106,1,MATCH(N$1,'DATA (Nominal)'!$B$1:$BX$1,0))</f>
        <v>0</v>
      </c>
      <c r="O11" s="93">
        <f>O6*INDEX('DATA (Nominal)'!$B$106:$BX$106,1,MATCH(O$1,'DATA (Nominal)'!$B$1:$BX$1,0))</f>
        <v>0</v>
      </c>
      <c r="P11" s="93">
        <f>P6*INDEX('DATA (Nominal)'!$B$106:$BX$106,1,MATCH(P$1,'DATA (Nominal)'!$B$1:$BX$1,0))</f>
        <v>0</v>
      </c>
      <c r="Q11" s="93">
        <f>Q6*INDEX('DATA (Nominal)'!$B$106:$BX$106,1,MATCH(Q$1,'DATA (Nominal)'!$B$1:$BX$1,0))</f>
        <v>0</v>
      </c>
      <c r="R11" s="93">
        <f>R6*INDEX('DATA (Nominal)'!$B$106:$BX$106,1,MATCH(R$1,'DATA (Nominal)'!$B$1:$BX$1,0))</f>
        <v>0</v>
      </c>
      <c r="S11" s="93">
        <f>S6*INDEX('DATA (Nominal)'!$B$106:$BX$106,1,MATCH(S$1,'DATA (Nominal)'!$B$1:$BX$1,0))</f>
        <v>0</v>
      </c>
      <c r="T11" s="93">
        <f>T6*INDEX('DATA (Nominal)'!$B$106:$BX$106,1,MATCH(T$1,'DATA (Nominal)'!$B$1:$BX$1,0))</f>
        <v>0</v>
      </c>
      <c r="U11" s="93">
        <f>U6*INDEX('DATA (Nominal)'!$B$106:$BX$106,1,MATCH(U$1,'DATA (Nominal)'!$B$1:$BX$1,0))</f>
        <v>0</v>
      </c>
      <c r="V11" s="93">
        <f>V6*INDEX('DATA (Nominal)'!$B$106:$BX$106,1,MATCH(V$1,'DATA (Nominal)'!$B$1:$BX$1,0))</f>
        <v>0</v>
      </c>
      <c r="W11" s="93">
        <f>W6*INDEX('DATA (Nominal)'!$B$106:$BX$106,1,MATCH(W$1,'DATA (Nominal)'!$B$1:$BX$1,0))</f>
        <v>0</v>
      </c>
      <c r="X11" s="161">
        <f>X6*INDEX('DATA (Nominal)'!$B$106:$BX$106,1,MATCH(X$1,'DATA (Nominal)'!$B$1:$BX$1,0))</f>
        <v>0</v>
      </c>
      <c r="Y11" s="261"/>
    </row>
    <row r="12" spans="1:25" hidden="1" outlineLevel="1">
      <c r="C12" s="125" t="s">
        <v>127</v>
      </c>
      <c r="D12" s="114"/>
      <c r="E12" s="93">
        <f>E8*INDEX('DATA (Nominal)'!$B$326:$BX$326,1,MATCH(E$1,'DATA (Nominal)'!$B$1:$BX$1,0))</f>
        <v>0</v>
      </c>
      <c r="F12" s="93">
        <f>F8*INDEX('DATA (Nominal)'!$B$326:$BX$326,1,MATCH(F$1,'DATA (Nominal)'!$B$1:$BX$1,0))</f>
        <v>0</v>
      </c>
      <c r="G12" s="114">
        <f>G8*INDEX('DATA (Nominal)'!$B$326:$BX$326,1,MATCH(G$1,'DATA (Nominal)'!$B$1:$BX$1,0))</f>
        <v>0</v>
      </c>
      <c r="H12" s="114">
        <f>H8*INDEX('DATA (Nominal)'!$B$326:$BX$326,1,MATCH(H$1,'DATA (Nominal)'!$B$1:$BX$1,0))</f>
        <v>0</v>
      </c>
      <c r="I12" s="114">
        <f>I8*INDEX('DATA (Nominal)'!$B$326:$BX$326,1,MATCH(I$1,'DATA (Nominal)'!$B$1:$BX$1,0))</f>
        <v>0</v>
      </c>
      <c r="J12" s="114">
        <f>J8*INDEX('DATA (Nominal)'!$B$326:$BX$326,1,MATCH(J$1,'DATA (Nominal)'!$B$1:$BX$1,0))</f>
        <v>0</v>
      </c>
      <c r="K12" s="114">
        <f>K8*INDEX('DATA (Nominal)'!$B$326:$BX$326,1,MATCH(K$1,'DATA (Nominal)'!$B$1:$BX$1,0))</f>
        <v>0</v>
      </c>
      <c r="L12" s="114">
        <f>L8*INDEX('DATA (Nominal)'!$B$326:$BX$326,1,MATCH(L$1,'DATA (Nominal)'!$B$1:$BX$1,0))</f>
        <v>0</v>
      </c>
      <c r="M12" s="93">
        <f>M8*INDEX('DATA (Nominal)'!$B$326:$BX$326,1,MATCH(M$1,'DATA (Nominal)'!$B$1:$BX$1,0))</f>
        <v>0</v>
      </c>
      <c r="N12" s="93">
        <f>N8*INDEX('DATA (Nominal)'!$B$326:$BX$326,1,MATCH(N$1,'DATA (Nominal)'!$B$1:$BX$1,0))</f>
        <v>0</v>
      </c>
      <c r="O12" s="93">
        <f>O8*INDEX('DATA (Nominal)'!$B$326:$BX$326,1,MATCH(O$1,'DATA (Nominal)'!$B$1:$BX$1,0))</f>
        <v>0</v>
      </c>
      <c r="P12" s="93">
        <f>P8*INDEX('DATA (Nominal)'!$B$326:$BX$326,1,MATCH(P$1,'DATA (Nominal)'!$B$1:$BX$1,0))</f>
        <v>0</v>
      </c>
      <c r="Q12" s="93">
        <f>Q8*INDEX('DATA (Nominal)'!$B$326:$BX$326,1,MATCH(Q$1,'DATA (Nominal)'!$B$1:$BX$1,0))</f>
        <v>0</v>
      </c>
      <c r="R12" s="93">
        <f>R8*INDEX('DATA (Nominal)'!$B$326:$BX$326,1,MATCH(R$1,'DATA (Nominal)'!$B$1:$BX$1,0))</f>
        <v>0</v>
      </c>
      <c r="S12" s="93">
        <f>S8*INDEX('DATA (Nominal)'!$B$326:$BX$326,1,MATCH(S$1,'DATA (Nominal)'!$B$1:$BX$1,0))</f>
        <v>0</v>
      </c>
      <c r="T12" s="93">
        <f>T8*INDEX('DATA (Nominal)'!$B$326:$BX$326,1,MATCH(T$1,'DATA (Nominal)'!$B$1:$BX$1,0))</f>
        <v>0</v>
      </c>
      <c r="U12" s="93">
        <f>U8*INDEX('DATA (Nominal)'!$B$326:$BX$326,1,MATCH(U$1,'DATA (Nominal)'!$B$1:$BX$1,0))</f>
        <v>0</v>
      </c>
      <c r="V12" s="93">
        <f>V8*INDEX('DATA (Nominal)'!$B$326:$BX$326,1,MATCH(V$1,'DATA (Nominal)'!$B$1:$BX$1,0))</f>
        <v>0</v>
      </c>
      <c r="W12" s="93">
        <f>W8*INDEX('DATA (Nominal)'!$B$326:$BX$326,1,MATCH(W$1,'DATA (Nominal)'!$B$1:$BX$1,0))</f>
        <v>0</v>
      </c>
      <c r="X12" s="161">
        <f>X8*INDEX('DATA (Nominal)'!$B$326:$BX$326,1,MATCH(X$1,'DATA (Nominal)'!$B$1:$BX$1,0))</f>
        <v>0</v>
      </c>
      <c r="Y12" s="261"/>
    </row>
    <row r="13" spans="1:25" hidden="1" outlineLevel="1">
      <c r="A13" s="254"/>
      <c r="C13" s="258" t="s">
        <v>50</v>
      </c>
      <c r="D13" s="114"/>
      <c r="E13" s="93">
        <f t="shared" ref="E13:X13" si="3">SUM(E10:E12)</f>
        <v>158.76886372805325</v>
      </c>
      <c r="F13" s="93">
        <f t="shared" si="3"/>
        <v>149.42817126650451</v>
      </c>
      <c r="G13" s="114">
        <f t="shared" si="3"/>
        <v>139.59107082730935</v>
      </c>
      <c r="H13" s="114">
        <f t="shared" si="3"/>
        <v>129.19790953688511</v>
      </c>
      <c r="I13" s="114">
        <f t="shared" si="3"/>
        <v>118.27988707140187</v>
      </c>
      <c r="J13" s="114">
        <f t="shared" si="3"/>
        <v>106.81893982922148</v>
      </c>
      <c r="K13" s="114">
        <f t="shared" si="3"/>
        <v>108.27675549270886</v>
      </c>
      <c r="L13" s="114">
        <f t="shared" si="3"/>
        <v>109.74701467851236</v>
      </c>
      <c r="M13" s="93">
        <f t="shared" si="3"/>
        <v>111.22955931883271</v>
      </c>
      <c r="N13" s="93">
        <f t="shared" si="3"/>
        <v>112.72421836822279</v>
      </c>
      <c r="O13" s="93">
        <f t="shared" si="3"/>
        <v>114.23080730907569</v>
      </c>
      <c r="P13" s="93">
        <f t="shared" si="3"/>
        <v>115.74912764163592</v>
      </c>
      <c r="Q13" s="93">
        <f t="shared" si="3"/>
        <v>117.2789663580912</v>
      </c>
      <c r="R13" s="93">
        <f t="shared" si="3"/>
        <v>118.82009540029195</v>
      </c>
      <c r="S13" s="93">
        <f t="shared" si="3"/>
        <v>120.37227110063225</v>
      </c>
      <c r="T13" s="93">
        <f t="shared" si="3"/>
        <v>121.93523360561375</v>
      </c>
      <c r="U13" s="93">
        <f t="shared" si="3"/>
        <v>123.5087062816017</v>
      </c>
      <c r="V13" s="93">
        <f t="shared" si="3"/>
        <v>125.09239510226807</v>
      </c>
      <c r="W13" s="93">
        <f t="shared" si="3"/>
        <v>126.68598801720343</v>
      </c>
      <c r="X13" s="161">
        <f t="shared" si="3"/>
        <v>128.28915430116643</v>
      </c>
      <c r="Y13" s="261"/>
    </row>
    <row r="14" spans="1:25" hidden="1" outlineLevel="1">
      <c r="C14" s="258"/>
      <c r="D14" s="114"/>
      <c r="E14" s="93"/>
      <c r="F14" s="93"/>
      <c r="G14" s="114"/>
      <c r="H14" s="114"/>
      <c r="I14" s="114"/>
      <c r="J14" s="114"/>
      <c r="K14" s="114"/>
      <c r="L14" s="114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161"/>
      <c r="Y14" s="261"/>
    </row>
    <row r="15" spans="1:25" hidden="1" outlineLevel="1">
      <c r="C15" s="125" t="s">
        <v>51</v>
      </c>
      <c r="D15" s="114"/>
      <c r="E15" s="93">
        <f t="shared" ref="E15:X15" si="4">E8-E13</f>
        <v>1990.8826011895392</v>
      </c>
      <c r="F15" s="93">
        <f t="shared" si="4"/>
        <v>2000.2232936510879</v>
      </c>
      <c r="G15" s="114">
        <f t="shared" si="4"/>
        <v>2010.0603940902831</v>
      </c>
      <c r="H15" s="114">
        <f t="shared" si="4"/>
        <v>2020.4535553807073</v>
      </c>
      <c r="I15" s="114">
        <f t="shared" si="4"/>
        <v>2031.3715778461906</v>
      </c>
      <c r="J15" s="114">
        <f t="shared" si="4"/>
        <v>2042.8325250883709</v>
      </c>
      <c r="K15" s="114">
        <f t="shared" si="4"/>
        <v>2041.3747094248836</v>
      </c>
      <c r="L15" s="114">
        <f t="shared" si="4"/>
        <v>2039.90445023908</v>
      </c>
      <c r="M15" s="93">
        <f t="shared" si="4"/>
        <v>2038.4219055987596</v>
      </c>
      <c r="N15" s="93">
        <f t="shared" si="4"/>
        <v>2036.9272465493696</v>
      </c>
      <c r="O15" s="93">
        <f t="shared" si="4"/>
        <v>2035.4206576085166</v>
      </c>
      <c r="P15" s="93">
        <f t="shared" si="4"/>
        <v>2033.9023372759566</v>
      </c>
      <c r="Q15" s="93">
        <f t="shared" si="4"/>
        <v>2032.3724985595013</v>
      </c>
      <c r="R15" s="93">
        <f t="shared" si="4"/>
        <v>2030.8313695173006</v>
      </c>
      <c r="S15" s="93">
        <f t="shared" si="4"/>
        <v>2029.2791938169603</v>
      </c>
      <c r="T15" s="93">
        <f t="shared" si="4"/>
        <v>2027.7162313119786</v>
      </c>
      <c r="U15" s="93">
        <f t="shared" si="4"/>
        <v>2026.1427586359907</v>
      </c>
      <c r="V15" s="93">
        <f t="shared" si="4"/>
        <v>2024.5590698153244</v>
      </c>
      <c r="W15" s="93">
        <f t="shared" si="4"/>
        <v>2022.9654769003889</v>
      </c>
      <c r="X15" s="161">
        <f t="shared" si="4"/>
        <v>2021.3623106164259</v>
      </c>
      <c r="Y15" s="261"/>
    </row>
    <row r="16" spans="1:25" hidden="1" outlineLevel="1">
      <c r="C16" s="125" t="s">
        <v>52</v>
      </c>
      <c r="D16" s="114"/>
      <c r="E16" s="93">
        <f>E15-E31-E23</f>
        <v>-2989.1350583767548</v>
      </c>
      <c r="F16" s="93">
        <f t="shared" ref="F16:X16" si="5">F15-F31-F23</f>
        <v>-5463.496567846003</v>
      </c>
      <c r="G16" s="114">
        <f t="shared" si="5"/>
        <v>-2755.5666283927926</v>
      </c>
      <c r="H16" s="114">
        <f t="shared" si="5"/>
        <v>-1115.2744381949403</v>
      </c>
      <c r="I16" s="114">
        <f t="shared" si="5"/>
        <v>-1077.3421358095788</v>
      </c>
      <c r="J16" s="114">
        <f t="shared" si="5"/>
        <v>165.8386840306257</v>
      </c>
      <c r="K16" s="114">
        <f t="shared" si="5"/>
        <v>1397.6682445575138</v>
      </c>
      <c r="L16" s="114">
        <f t="shared" si="5"/>
        <v>1427.9192705694627</v>
      </c>
      <c r="M16" s="93">
        <f t="shared" si="5"/>
        <v>1459.9026818127711</v>
      </c>
      <c r="N16" s="93">
        <f t="shared" si="5"/>
        <v>1493.7146062206093</v>
      </c>
      <c r="O16" s="93">
        <f t="shared" si="5"/>
        <v>1529.4564628271323</v>
      </c>
      <c r="P16" s="93">
        <f t="shared" si="5"/>
        <v>1567.235252547054</v>
      </c>
      <c r="Q16" s="93">
        <f t="shared" si="5"/>
        <v>1607.1638649359668</v>
      </c>
      <c r="R16" s="93">
        <f t="shared" si="5"/>
        <v>1649.3614018099295</v>
      </c>
      <c r="S16" s="93">
        <f t="shared" si="5"/>
        <v>1693.9535186511416</v>
      </c>
      <c r="T16" s="93">
        <f t="shared" si="5"/>
        <v>1741.0727847774976</v>
      </c>
      <c r="U16" s="93">
        <f t="shared" si="5"/>
        <v>1790.859063307571</v>
      </c>
      <c r="V16" s="93">
        <f t="shared" si="5"/>
        <v>1843.4599120092994</v>
      </c>
      <c r="W16" s="93">
        <f t="shared" si="5"/>
        <v>1899.0310061804903</v>
      </c>
      <c r="X16" s="161">
        <f t="shared" si="5"/>
        <v>1957.7365847723906</v>
      </c>
      <c r="Y16" s="261"/>
    </row>
    <row r="17" spans="2:25" hidden="1" outlineLevel="1">
      <c r="C17" s="125" t="s">
        <v>53</v>
      </c>
      <c r="D17" s="114"/>
      <c r="E17" s="93">
        <f>INDEX('DATA (Nominal)'!$B$252:$BX$252,1,MATCH($B$1,'DATA (Nominal)'!$B$1:$BX$1,0))*INDEX('DATA (Nominal)'!$B$299:$BX$299,1,MATCH(E$1,'DATA (Nominal)'!$B$1:$BX$1,0))*E6</f>
        <v>242.58535245520446</v>
      </c>
      <c r="F17" s="93">
        <f>INDEX('DATA (Nominal)'!$B$252:$BX$252,1,MATCH($B$1,'DATA (Nominal)'!$B$1:$BX$1,0))*INDEX('DATA (Nominal)'!$B$299:$BX$299,1,MATCH(F$1,'DATA (Nominal)'!$B$1:$BX$1,0))*F6</f>
        <v>248.00309199337073</v>
      </c>
      <c r="G17" s="93">
        <f>INDEX('DATA (Nominal)'!$B$252:$BX$252,1,MATCH($B$1,'DATA (Nominal)'!$B$1:$BX$1,0))*INDEX('DATA (Nominal)'!$B$299:$BX$299,1,MATCH(G$1,'DATA (Nominal)'!$B$1:$BX$1,0))*G6</f>
        <v>253.54182771455598</v>
      </c>
      <c r="H17" s="93">
        <f>INDEX('DATA (Nominal)'!$B$252:$BX$252,1,MATCH($B$1,'DATA (Nominal)'!$B$1:$BX$1,0))*INDEX('DATA (Nominal)'!$B$299:$BX$299,1,MATCH(H$1,'DATA (Nominal)'!$B$1:$BX$1,0))*H6</f>
        <v>259.11974792427623</v>
      </c>
      <c r="I17" s="93">
        <f>INDEX('DATA (Nominal)'!$B$252:$BX$252,1,MATCH($B$1,'DATA (Nominal)'!$B$1:$BX$1,0))*INDEX('DATA (Nominal)'!$B$299:$BX$299,1,MATCH(I$1,'DATA (Nominal)'!$B$1:$BX$1,0))*I6</f>
        <v>264.8203823786103</v>
      </c>
      <c r="J17" s="93">
        <f>INDEX('DATA (Nominal)'!$B$252:$BX$252,1,MATCH($B$1,'DATA (Nominal)'!$B$1:$BX$1,0))*INDEX('DATA (Nominal)'!$B$299:$BX$299,1,MATCH(J$1,'DATA (Nominal)'!$B$1:$BX$1,0))*J6</f>
        <v>270.64643079093975</v>
      </c>
      <c r="K17" s="93">
        <f>INDEX('DATA (Nominal)'!$B$252:$BX$252,1,MATCH($B$1,'DATA (Nominal)'!$B$1:$BX$1,0))*INDEX('DATA (Nominal)'!$B$299:$BX$299,1,MATCH(K$1,'DATA (Nominal)'!$B$1:$BX$1,0))*K6</f>
        <v>276.60065226834035</v>
      </c>
      <c r="L17" s="93">
        <f>INDEX('DATA (Nominal)'!$B$252:$BX$252,1,MATCH($B$1,'DATA (Nominal)'!$B$1:$BX$1,0))*INDEX('DATA (Nominal)'!$B$299:$BX$299,1,MATCH(L$1,'DATA (Nominal)'!$B$1:$BX$1,0))*L6</f>
        <v>282.68586661824389</v>
      </c>
      <c r="M17" s="93">
        <f>INDEX('DATA (Nominal)'!$B$252:$BX$252,1,MATCH($B$1,'DATA (Nominal)'!$B$1:$BX$1,0))*INDEX('DATA (Nominal)'!$B$299:$BX$299,1,MATCH(M$1,'DATA (Nominal)'!$B$1:$BX$1,0))*M6</f>
        <v>288.90495568384529</v>
      </c>
      <c r="N17" s="93">
        <f>INDEX('DATA (Nominal)'!$B$252:$BX$252,1,MATCH($B$1,'DATA (Nominal)'!$B$1:$BX$1,0))*INDEX('DATA (Nominal)'!$B$299:$BX$299,1,MATCH(N$1,'DATA (Nominal)'!$B$1:$BX$1,0))*N6</f>
        <v>295.26086470888987</v>
      </c>
      <c r="O17" s="93"/>
      <c r="P17" s="93"/>
      <c r="Q17" s="93"/>
      <c r="R17" s="93"/>
      <c r="S17" s="93"/>
      <c r="T17" s="93"/>
      <c r="U17" s="93"/>
      <c r="V17" s="93"/>
      <c r="W17" s="93"/>
      <c r="X17" s="161"/>
      <c r="Y17" s="261"/>
    </row>
    <row r="18" spans="2:25" hidden="1" outlineLevel="1">
      <c r="C18" s="258" t="s">
        <v>54</v>
      </c>
      <c r="D18" s="114"/>
      <c r="E18" s="93">
        <f t="shared" ref="E18:X18" si="6">E16*Federal_Tax_Rate-E17</f>
        <v>-870.30371471432295</v>
      </c>
      <c r="F18" s="93">
        <f t="shared" si="6"/>
        <v>-1395.3373712410312</v>
      </c>
      <c r="G18" s="114">
        <f t="shared" si="6"/>
        <v>-832.21081967704242</v>
      </c>
      <c r="H18" s="114">
        <f t="shared" si="6"/>
        <v>-493.32737994521369</v>
      </c>
      <c r="I18" s="114">
        <f t="shared" si="6"/>
        <v>-491.06223089862186</v>
      </c>
      <c r="J18" s="114">
        <f t="shared" si="6"/>
        <v>-235.82030714450835</v>
      </c>
      <c r="K18" s="114">
        <f t="shared" si="6"/>
        <v>16.909679088737562</v>
      </c>
      <c r="L18" s="114">
        <f t="shared" si="6"/>
        <v>17.177180201343276</v>
      </c>
      <c r="M18" s="93">
        <f t="shared" si="6"/>
        <v>17.674607496836643</v>
      </c>
      <c r="N18" s="93">
        <f t="shared" si="6"/>
        <v>18.419202597438073</v>
      </c>
      <c r="O18" s="93">
        <f t="shared" si="6"/>
        <v>321.18585719369776</v>
      </c>
      <c r="P18" s="93">
        <f t="shared" si="6"/>
        <v>329.11940303488132</v>
      </c>
      <c r="Q18" s="93">
        <f t="shared" si="6"/>
        <v>337.50441163655302</v>
      </c>
      <c r="R18" s="93">
        <f t="shared" si="6"/>
        <v>346.36589438008519</v>
      </c>
      <c r="S18" s="93">
        <f t="shared" si="6"/>
        <v>355.73023891673972</v>
      </c>
      <c r="T18" s="93">
        <f t="shared" si="6"/>
        <v>365.6252848032745</v>
      </c>
      <c r="U18" s="93">
        <f t="shared" si="6"/>
        <v>376.08040329458987</v>
      </c>
      <c r="V18" s="93">
        <f t="shared" si="6"/>
        <v>387.12658152195286</v>
      </c>
      <c r="W18" s="93">
        <f t="shared" si="6"/>
        <v>398.79651129790295</v>
      </c>
      <c r="X18" s="161">
        <f t="shared" si="6"/>
        <v>411.12468280220202</v>
      </c>
      <c r="Y18" s="261"/>
    </row>
    <row r="19" spans="2:25" hidden="1" outlineLevel="1">
      <c r="C19" s="258"/>
      <c r="D19" s="114"/>
      <c r="E19" s="93"/>
      <c r="F19" s="93"/>
      <c r="G19" s="114"/>
      <c r="H19" s="114"/>
      <c r="I19" s="114"/>
      <c r="J19" s="114"/>
      <c r="K19" s="114"/>
      <c r="L19" s="114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161"/>
      <c r="Y19" s="261"/>
    </row>
    <row r="20" spans="2:25" hidden="1" outlineLevel="1">
      <c r="B20" s="37">
        <f>IRR(D20:Y20,0.1)</f>
        <v>7.5000000104754383E-2</v>
      </c>
      <c r="C20" s="125" t="s">
        <v>55</v>
      </c>
      <c r="D20" s="255">
        <f>-INDEX('DATA (Nominal)'!$B$58:$BX$58,1,MATCH($B$1,'DATA (Nominal)'!$B$1:$BX$1,0))*'Resource Options'!$E$11/1000*1000000*(1+AFUDC!$C$11)</f>
        <v>-24575.567959202475</v>
      </c>
      <c r="E20" s="261">
        <f t="shared" ref="E20:X20" si="7">E15-E18</f>
        <v>2861.1863159038621</v>
      </c>
      <c r="F20" s="93">
        <f t="shared" si="7"/>
        <v>3395.5606648921193</v>
      </c>
      <c r="G20" s="114">
        <f t="shared" si="7"/>
        <v>2842.2712137673257</v>
      </c>
      <c r="H20" s="114">
        <f t="shared" si="7"/>
        <v>2513.7809353259208</v>
      </c>
      <c r="I20" s="114">
        <f t="shared" si="7"/>
        <v>2522.4338087448123</v>
      </c>
      <c r="J20" s="114">
        <f t="shared" si="7"/>
        <v>2278.6528322328791</v>
      </c>
      <c r="K20" s="114">
        <f t="shared" si="7"/>
        <v>2024.4650303361459</v>
      </c>
      <c r="L20" s="114">
        <f t="shared" si="7"/>
        <v>2022.7272700377366</v>
      </c>
      <c r="M20" s="93">
        <f t="shared" si="7"/>
        <v>2020.747298101923</v>
      </c>
      <c r="N20" s="93">
        <f t="shared" si="7"/>
        <v>2018.5080439519315</v>
      </c>
      <c r="O20" s="93">
        <f t="shared" si="7"/>
        <v>1714.2348004148189</v>
      </c>
      <c r="P20" s="93">
        <f t="shared" si="7"/>
        <v>1704.7829342410753</v>
      </c>
      <c r="Q20" s="93">
        <f t="shared" si="7"/>
        <v>1694.8680869229484</v>
      </c>
      <c r="R20" s="93">
        <f t="shared" si="7"/>
        <v>1684.4654751372154</v>
      </c>
      <c r="S20" s="93">
        <f t="shared" si="7"/>
        <v>1673.5489549002205</v>
      </c>
      <c r="T20" s="93">
        <f t="shared" si="7"/>
        <v>1662.0909465087041</v>
      </c>
      <c r="U20" s="93">
        <f t="shared" si="7"/>
        <v>1650.0623553414009</v>
      </c>
      <c r="V20" s="93">
        <f t="shared" si="7"/>
        <v>1637.4324882933715</v>
      </c>
      <c r="W20" s="93">
        <f t="shared" si="7"/>
        <v>1624.168965602486</v>
      </c>
      <c r="X20" s="161">
        <f t="shared" si="7"/>
        <v>1610.237627814224</v>
      </c>
      <c r="Y20" s="261">
        <f>D20*-0.3</f>
        <v>7372.6703877607424</v>
      </c>
    </row>
    <row r="21" spans="2:25" hidden="1" outlineLevel="1">
      <c r="B21" s="37">
        <f>IRR(D21:Y21,0.1)</f>
        <v>0.11496878858160309</v>
      </c>
      <c r="C21" s="125" t="s">
        <v>56</v>
      </c>
      <c r="D21" s="102">
        <f>-D36</f>
        <v>-4656.4022013301328</v>
      </c>
      <c r="E21" s="261">
        <f t="shared" ref="E21:X21" si="8">E20-E23-E25-E32-E17</f>
        <v>520.79608247862416</v>
      </c>
      <c r="F21" s="93">
        <f t="shared" si="8"/>
        <v>523.34402624259803</v>
      </c>
      <c r="G21" s="114">
        <f t="shared" si="8"/>
        <v>526.01841612847761</v>
      </c>
      <c r="H21" s="114">
        <f t="shared" si="8"/>
        <v>528.85176351646737</v>
      </c>
      <c r="I21" s="114">
        <f t="shared" si="8"/>
        <v>531.80400248102501</v>
      </c>
      <c r="J21" s="114">
        <f t="shared" si="8"/>
        <v>534.87313708609827</v>
      </c>
      <c r="K21" s="114">
        <f t="shared" si="8"/>
        <v>527.40727324130046</v>
      </c>
      <c r="L21" s="114">
        <f t="shared" si="8"/>
        <v>519.58429859298758</v>
      </c>
      <c r="M21" s="93">
        <f t="shared" si="8"/>
        <v>511.38523759157272</v>
      </c>
      <c r="N21" s="93">
        <f t="shared" si="8"/>
        <v>502.79007441653658</v>
      </c>
      <c r="O21" s="93">
        <f t="shared" si="8"/>
        <v>493.77769558831392</v>
      </c>
      <c r="P21" s="93">
        <f t="shared" si="8"/>
        <v>484.32582941457031</v>
      </c>
      <c r="Q21" s="93">
        <f t="shared" si="8"/>
        <v>474.41098209644338</v>
      </c>
      <c r="R21" s="93">
        <f t="shared" si="8"/>
        <v>464.00837031071046</v>
      </c>
      <c r="S21" s="93">
        <f t="shared" si="8"/>
        <v>453.09185007371548</v>
      </c>
      <c r="T21" s="93">
        <f t="shared" si="8"/>
        <v>441.63384168219909</v>
      </c>
      <c r="U21" s="93">
        <f t="shared" si="8"/>
        <v>429.60525051489583</v>
      </c>
      <c r="V21" s="93">
        <f t="shared" si="8"/>
        <v>416.97538346686656</v>
      </c>
      <c r="W21" s="93">
        <f t="shared" si="8"/>
        <v>403.71186077598099</v>
      </c>
      <c r="X21" s="161">
        <f t="shared" si="8"/>
        <v>389.780522987719</v>
      </c>
      <c r="Y21" s="261">
        <f>Y20</f>
        <v>7372.6703877607424</v>
      </c>
    </row>
    <row r="22" spans="2:25" hidden="1" outlineLevel="1">
      <c r="B22" s="21"/>
      <c r="C22" s="125"/>
      <c r="D22" s="102"/>
      <c r="E22" s="93"/>
      <c r="F22" s="93"/>
      <c r="G22" s="114"/>
      <c r="H22" s="114"/>
      <c r="I22" s="114"/>
      <c r="J22" s="114"/>
      <c r="K22" s="114"/>
      <c r="L22" s="114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161"/>
      <c r="Y22" s="261"/>
    </row>
    <row r="23" spans="2:25" hidden="1" outlineLevel="1">
      <c r="B23" s="452"/>
      <c r="C23" s="258" t="s">
        <v>57</v>
      </c>
      <c r="D23" s="114"/>
      <c r="E23" s="93">
        <f t="shared" ref="E23:X23" si="9">D26*Debt_Rate</f>
        <v>802.17110650187294</v>
      </c>
      <c r="F23" s="93">
        <f t="shared" si="9"/>
        <v>779.1653765940182</v>
      </c>
      <c r="G23" s="114">
        <f t="shared" si="9"/>
        <v>754.8943315412314</v>
      </c>
      <c r="H23" s="114">
        <f t="shared" si="9"/>
        <v>729.28837901054135</v>
      </c>
      <c r="I23" s="114">
        <f t="shared" si="9"/>
        <v>702.2740990906633</v>
      </c>
      <c r="J23" s="114">
        <f t="shared" si="9"/>
        <v>673.77403377519204</v>
      </c>
      <c r="K23" s="114">
        <f t="shared" si="9"/>
        <v>643.70646486736985</v>
      </c>
      <c r="L23" s="114">
        <f t="shared" si="9"/>
        <v>611.98517966961742</v>
      </c>
      <c r="M23" s="93">
        <f t="shared" si="9"/>
        <v>578.51922378598852</v>
      </c>
      <c r="N23" s="93">
        <f t="shared" si="9"/>
        <v>543.21264032876013</v>
      </c>
      <c r="O23" s="93">
        <f t="shared" si="9"/>
        <v>505.96419478138426</v>
      </c>
      <c r="P23" s="93">
        <f t="shared" si="9"/>
        <v>466.66708472890258</v>
      </c>
      <c r="Q23" s="93">
        <f t="shared" si="9"/>
        <v>425.20863362353452</v>
      </c>
      <c r="R23" s="93">
        <f t="shared" si="9"/>
        <v>381.4699677073711</v>
      </c>
      <c r="S23" s="93">
        <f t="shared" si="9"/>
        <v>335.32567516581872</v>
      </c>
      <c r="T23" s="93">
        <f t="shared" si="9"/>
        <v>286.64344653448103</v>
      </c>
      <c r="U23" s="93">
        <f t="shared" si="9"/>
        <v>235.28369532841967</v>
      </c>
      <c r="V23" s="93">
        <f t="shared" si="9"/>
        <v>181.09915780602498</v>
      </c>
      <c r="W23" s="93">
        <f t="shared" si="9"/>
        <v>123.93447071989858</v>
      </c>
      <c r="X23" s="161">
        <f t="shared" si="9"/>
        <v>63.62572584403523</v>
      </c>
      <c r="Y23" s="261"/>
    </row>
    <row r="24" spans="2:25" hidden="1" outlineLevel="1">
      <c r="B24" s="452"/>
      <c r="C24" s="258" t="s">
        <v>58</v>
      </c>
      <c r="D24" s="114"/>
      <c r="E24" s="93">
        <f>-PMT(Debt_Rate,20,$D35)</f>
        <v>1220.457104826505</v>
      </c>
      <c r="F24" s="93">
        <f t="shared" ref="F24:X24" si="10">-PMT(Debt_Rate,20,$D35)</f>
        <v>1220.457104826505</v>
      </c>
      <c r="G24" s="114">
        <f t="shared" si="10"/>
        <v>1220.457104826505</v>
      </c>
      <c r="H24" s="114">
        <f t="shared" si="10"/>
        <v>1220.457104826505</v>
      </c>
      <c r="I24" s="114">
        <f t="shared" si="10"/>
        <v>1220.457104826505</v>
      </c>
      <c r="J24" s="114">
        <f t="shared" si="10"/>
        <v>1220.457104826505</v>
      </c>
      <c r="K24" s="114">
        <f t="shared" si="10"/>
        <v>1220.457104826505</v>
      </c>
      <c r="L24" s="114">
        <f t="shared" si="10"/>
        <v>1220.457104826505</v>
      </c>
      <c r="M24" s="93">
        <f t="shared" si="10"/>
        <v>1220.457104826505</v>
      </c>
      <c r="N24" s="93">
        <f t="shared" si="10"/>
        <v>1220.457104826505</v>
      </c>
      <c r="O24" s="93">
        <f t="shared" si="10"/>
        <v>1220.457104826505</v>
      </c>
      <c r="P24" s="93">
        <f t="shared" si="10"/>
        <v>1220.457104826505</v>
      </c>
      <c r="Q24" s="93">
        <f t="shared" si="10"/>
        <v>1220.457104826505</v>
      </c>
      <c r="R24" s="93">
        <f t="shared" si="10"/>
        <v>1220.457104826505</v>
      </c>
      <c r="S24" s="93">
        <f t="shared" si="10"/>
        <v>1220.457104826505</v>
      </c>
      <c r="T24" s="93">
        <f t="shared" si="10"/>
        <v>1220.457104826505</v>
      </c>
      <c r="U24" s="93">
        <f t="shared" si="10"/>
        <v>1220.457104826505</v>
      </c>
      <c r="V24" s="93">
        <f t="shared" si="10"/>
        <v>1220.457104826505</v>
      </c>
      <c r="W24" s="93">
        <f t="shared" si="10"/>
        <v>1220.457104826505</v>
      </c>
      <c r="X24" s="161">
        <f t="shared" si="10"/>
        <v>1220.457104826505</v>
      </c>
      <c r="Y24" s="261"/>
    </row>
    <row r="25" spans="2:25" hidden="1" outlineLevel="1">
      <c r="B25" s="452"/>
      <c r="C25" s="258" t="s">
        <v>59</v>
      </c>
      <c r="D25" s="114"/>
      <c r="E25" s="261">
        <f>E24-E23</f>
        <v>418.28599832463203</v>
      </c>
      <c r="F25" s="93">
        <f t="shared" ref="F25:X25" si="11">F24-F23</f>
        <v>441.29172823248678</v>
      </c>
      <c r="G25" s="114">
        <f t="shared" si="11"/>
        <v>465.56277328527358</v>
      </c>
      <c r="H25" s="114">
        <f t="shared" si="11"/>
        <v>491.16872581596363</v>
      </c>
      <c r="I25" s="114">
        <f t="shared" si="11"/>
        <v>518.18300573584168</v>
      </c>
      <c r="J25" s="114">
        <f t="shared" si="11"/>
        <v>546.68307105131294</v>
      </c>
      <c r="K25" s="114">
        <f t="shared" si="11"/>
        <v>576.75063995913513</v>
      </c>
      <c r="L25" s="114">
        <f t="shared" si="11"/>
        <v>608.47192515688755</v>
      </c>
      <c r="M25" s="93">
        <f t="shared" si="11"/>
        <v>641.93788104051646</v>
      </c>
      <c r="N25" s="93">
        <f t="shared" si="11"/>
        <v>677.24446449774484</v>
      </c>
      <c r="O25" s="93">
        <f t="shared" si="11"/>
        <v>714.49291004512065</v>
      </c>
      <c r="P25" s="93">
        <f t="shared" si="11"/>
        <v>753.79002009760234</v>
      </c>
      <c r="Q25" s="93">
        <f t="shared" si="11"/>
        <v>795.24847120297045</v>
      </c>
      <c r="R25" s="93">
        <f t="shared" si="11"/>
        <v>838.98713711913388</v>
      </c>
      <c r="S25" s="93">
        <f t="shared" si="11"/>
        <v>885.13142966068631</v>
      </c>
      <c r="T25" s="93">
        <f t="shared" si="11"/>
        <v>933.813658292024</v>
      </c>
      <c r="U25" s="93">
        <f t="shared" si="11"/>
        <v>985.17340949808533</v>
      </c>
      <c r="V25" s="93">
        <f t="shared" si="11"/>
        <v>1039.35794702048</v>
      </c>
      <c r="W25" s="93">
        <f t="shared" si="11"/>
        <v>1096.5226341066063</v>
      </c>
      <c r="X25" s="161">
        <f t="shared" si="11"/>
        <v>1156.8313789824697</v>
      </c>
      <c r="Y25" s="261"/>
    </row>
    <row r="26" spans="2:25" hidden="1" outlineLevel="1">
      <c r="B26" s="452"/>
      <c r="C26" s="258" t="s">
        <v>60</v>
      </c>
      <c r="D26" s="114">
        <f>D35</f>
        <v>14584.929209124963</v>
      </c>
      <c r="E26" s="93">
        <f>D26-E25</f>
        <v>14166.64321080033</v>
      </c>
      <c r="F26" s="93">
        <f>E26-F25</f>
        <v>13725.351482567843</v>
      </c>
      <c r="G26" s="114">
        <f t="shared" ref="G26:X26" si="12">F26-G25</f>
        <v>13259.788709282569</v>
      </c>
      <c r="H26" s="114">
        <f t="shared" si="12"/>
        <v>12768.619983466606</v>
      </c>
      <c r="I26" s="114">
        <f t="shared" si="12"/>
        <v>12250.436977730764</v>
      </c>
      <c r="J26" s="114">
        <f t="shared" si="12"/>
        <v>11703.753906679451</v>
      </c>
      <c r="K26" s="114">
        <f t="shared" si="12"/>
        <v>11127.003266720316</v>
      </c>
      <c r="L26" s="114">
        <f t="shared" si="12"/>
        <v>10518.531341563428</v>
      </c>
      <c r="M26" s="93">
        <f t="shared" si="12"/>
        <v>9876.5934605229122</v>
      </c>
      <c r="N26" s="93">
        <f t="shared" si="12"/>
        <v>9199.3489960251682</v>
      </c>
      <c r="O26" s="93">
        <f t="shared" si="12"/>
        <v>8484.8560859800473</v>
      </c>
      <c r="P26" s="93">
        <f t="shared" si="12"/>
        <v>7731.0660658824454</v>
      </c>
      <c r="Q26" s="93">
        <f t="shared" si="12"/>
        <v>6935.8175946794745</v>
      </c>
      <c r="R26" s="93">
        <f t="shared" si="12"/>
        <v>6096.8304575603406</v>
      </c>
      <c r="S26" s="93">
        <f t="shared" si="12"/>
        <v>5211.6990278996545</v>
      </c>
      <c r="T26" s="93">
        <f t="shared" si="12"/>
        <v>4277.8853696076303</v>
      </c>
      <c r="U26" s="93">
        <f t="shared" si="12"/>
        <v>3292.7119601095451</v>
      </c>
      <c r="V26" s="93">
        <f t="shared" si="12"/>
        <v>2253.3540130890651</v>
      </c>
      <c r="W26" s="93">
        <f t="shared" si="12"/>
        <v>1156.8313789824588</v>
      </c>
      <c r="X26" s="161">
        <f t="shared" si="12"/>
        <v>-1.0913936421275139E-11</v>
      </c>
      <c r="Y26" s="261"/>
    </row>
    <row r="27" spans="2:25" hidden="1" outlineLevel="1">
      <c r="B27" s="452"/>
      <c r="C27" s="125"/>
      <c r="D27" s="114"/>
      <c r="E27" s="114"/>
      <c r="F27" s="114"/>
      <c r="G27" s="114"/>
      <c r="H27" s="114"/>
      <c r="I27" s="114"/>
      <c r="J27" s="114"/>
      <c r="K27" s="114"/>
      <c r="L27" s="114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161"/>
      <c r="Y27" s="261"/>
    </row>
    <row r="28" spans="2:25" hidden="1" outlineLevel="1">
      <c r="B28" s="452"/>
      <c r="C28" s="258" t="s">
        <v>61</v>
      </c>
      <c r="D28" s="114"/>
      <c r="E28" s="114">
        <f>-$D20/20</f>
        <v>1228.7783979601238</v>
      </c>
      <c r="F28" s="114">
        <f>-$D20/20</f>
        <v>1228.7783979601238</v>
      </c>
      <c r="G28" s="114">
        <f t="shared" ref="G28:X28" si="13">-$D20/20</f>
        <v>1228.7783979601238</v>
      </c>
      <c r="H28" s="114">
        <f t="shared" si="13"/>
        <v>1228.7783979601238</v>
      </c>
      <c r="I28" s="114">
        <f t="shared" si="13"/>
        <v>1228.7783979601238</v>
      </c>
      <c r="J28" s="114">
        <f t="shared" si="13"/>
        <v>1228.7783979601238</v>
      </c>
      <c r="K28" s="114">
        <f t="shared" si="13"/>
        <v>1228.7783979601238</v>
      </c>
      <c r="L28" s="114">
        <f t="shared" si="13"/>
        <v>1228.7783979601238</v>
      </c>
      <c r="M28" s="93">
        <f t="shared" si="13"/>
        <v>1228.7783979601238</v>
      </c>
      <c r="N28" s="93">
        <f t="shared" si="13"/>
        <v>1228.7783979601238</v>
      </c>
      <c r="O28" s="93">
        <f t="shared" si="13"/>
        <v>1228.7783979601238</v>
      </c>
      <c r="P28" s="93">
        <f t="shared" si="13"/>
        <v>1228.7783979601238</v>
      </c>
      <c r="Q28" s="93">
        <f t="shared" si="13"/>
        <v>1228.7783979601238</v>
      </c>
      <c r="R28" s="93">
        <f t="shared" si="13"/>
        <v>1228.7783979601238</v>
      </c>
      <c r="S28" s="93">
        <f t="shared" si="13"/>
        <v>1228.7783979601238</v>
      </c>
      <c r="T28" s="93">
        <f t="shared" si="13"/>
        <v>1228.7783979601238</v>
      </c>
      <c r="U28" s="93">
        <f t="shared" si="13"/>
        <v>1228.7783979601238</v>
      </c>
      <c r="V28" s="93">
        <f t="shared" si="13"/>
        <v>1228.7783979601238</v>
      </c>
      <c r="W28" s="93">
        <f t="shared" si="13"/>
        <v>1228.7783979601238</v>
      </c>
      <c r="X28" s="161">
        <f t="shared" si="13"/>
        <v>1228.7783979601238</v>
      </c>
      <c r="Y28" s="261"/>
    </row>
    <row r="29" spans="2:25" hidden="1" outlineLevel="1">
      <c r="B29" s="452"/>
      <c r="C29" s="125" t="s">
        <v>62</v>
      </c>
      <c r="D29" s="114"/>
      <c r="E29" s="114">
        <f>SUM($E28:E28)</f>
        <v>1228.7783979601238</v>
      </c>
      <c r="F29" s="114">
        <f>SUM($E28:F28)</f>
        <v>2457.5567959202476</v>
      </c>
      <c r="G29" s="114">
        <f>SUM($E28:G28)</f>
        <v>3686.3351938803717</v>
      </c>
      <c r="H29" s="114">
        <f>SUM($E28:H28)</f>
        <v>4915.1135918404952</v>
      </c>
      <c r="I29" s="114">
        <f>SUM($E28:I28)</f>
        <v>6143.8919898006188</v>
      </c>
      <c r="J29" s="114">
        <f>SUM($E28:J28)</f>
        <v>7372.6703877607424</v>
      </c>
      <c r="K29" s="114">
        <f>SUM($E28:K28)</f>
        <v>8601.448785720866</v>
      </c>
      <c r="L29" s="114">
        <f>SUM($E28:L28)</f>
        <v>9830.2271836809905</v>
      </c>
      <c r="M29" s="93">
        <f>SUM($E28:M28)</f>
        <v>11059.005581641115</v>
      </c>
      <c r="N29" s="93">
        <f>SUM($E28:N28)</f>
        <v>12287.783979601239</v>
      </c>
      <c r="O29" s="93">
        <f>SUM($E28:O28)</f>
        <v>13516.562377561364</v>
      </c>
      <c r="P29" s="93">
        <f>SUM($E28:P28)</f>
        <v>14745.340775521488</v>
      </c>
      <c r="Q29" s="93">
        <f>SUM($E28:Q28)</f>
        <v>15974.119173481613</v>
      </c>
      <c r="R29" s="93">
        <f>SUM($E28:R28)</f>
        <v>17202.897571441736</v>
      </c>
      <c r="S29" s="93">
        <f>SUM($E28:S28)</f>
        <v>18431.675969401858</v>
      </c>
      <c r="T29" s="93">
        <f>SUM($E28:T28)</f>
        <v>19660.454367361981</v>
      </c>
      <c r="U29" s="93">
        <f>SUM($E28:U28)</f>
        <v>20889.232765322104</v>
      </c>
      <c r="V29" s="93">
        <f>SUM($E28:V28)</f>
        <v>22118.011163282226</v>
      </c>
      <c r="W29" s="93">
        <f>SUM($E28:W28)</f>
        <v>23346.789561242349</v>
      </c>
      <c r="X29" s="161">
        <f>SUM($E28:X28)</f>
        <v>24575.567959202472</v>
      </c>
      <c r="Y29" s="261"/>
    </row>
    <row r="30" spans="2:25" hidden="1" outlineLevel="1">
      <c r="B30" s="452"/>
      <c r="C30" s="125" t="s">
        <v>63</v>
      </c>
      <c r="D30" s="114"/>
      <c r="E30" s="114">
        <f t="shared" ref="E30:G30" si="14">-$D20-E29</f>
        <v>23346.789561242353</v>
      </c>
      <c r="F30" s="114">
        <f t="shared" si="14"/>
        <v>22118.011163282226</v>
      </c>
      <c r="G30" s="114">
        <f t="shared" si="14"/>
        <v>20889.232765322104</v>
      </c>
      <c r="H30" s="254">
        <f>-$D20-H29</f>
        <v>19660.454367361981</v>
      </c>
      <c r="I30" s="114">
        <f t="shared" ref="I30:X30" si="15">-$D20-I29</f>
        <v>18431.675969401855</v>
      </c>
      <c r="J30" s="114">
        <f t="shared" si="15"/>
        <v>17202.897571441732</v>
      </c>
      <c r="K30" s="114">
        <f t="shared" si="15"/>
        <v>15974.119173481609</v>
      </c>
      <c r="L30" s="114">
        <f t="shared" si="15"/>
        <v>14745.340775521485</v>
      </c>
      <c r="M30" s="93">
        <f t="shared" si="15"/>
        <v>13516.56237756136</v>
      </c>
      <c r="N30" s="93">
        <f t="shared" si="15"/>
        <v>12287.783979601236</v>
      </c>
      <c r="O30" s="93">
        <f t="shared" si="15"/>
        <v>11059.005581641111</v>
      </c>
      <c r="P30" s="93">
        <f t="shared" si="15"/>
        <v>9830.2271836809869</v>
      </c>
      <c r="Q30" s="93">
        <f t="shared" si="15"/>
        <v>8601.4487857208624</v>
      </c>
      <c r="R30" s="93">
        <f t="shared" si="15"/>
        <v>7372.6703877607397</v>
      </c>
      <c r="S30" s="93">
        <f t="shared" si="15"/>
        <v>6143.891989800617</v>
      </c>
      <c r="T30" s="93">
        <f t="shared" si="15"/>
        <v>4915.1135918404943</v>
      </c>
      <c r="U30" s="93">
        <f t="shared" si="15"/>
        <v>3686.3351938803717</v>
      </c>
      <c r="V30" s="93">
        <f t="shared" si="15"/>
        <v>2457.556795920249</v>
      </c>
      <c r="W30" s="93">
        <f t="shared" si="15"/>
        <v>1228.7783979601263</v>
      </c>
      <c r="X30" s="161">
        <f t="shared" si="15"/>
        <v>0</v>
      </c>
      <c r="Y30" s="261"/>
    </row>
    <row r="31" spans="2:25" hidden="1" outlineLevel="1">
      <c r="B31" s="452"/>
      <c r="C31" s="258" t="s">
        <v>65</v>
      </c>
      <c r="D31" s="114"/>
      <c r="E31" s="114">
        <f>-$D20*Assumptions!J$11*INDEX('DATA (Nominal)'!$B$341:$BX$341,1,MATCH($B$1,'DATA (Nominal)'!$B$1:$BX$1,0))</f>
        <v>4177.8465530644207</v>
      </c>
      <c r="F31" s="114">
        <f>-$D20*Assumptions!K$11*INDEX('DATA (Nominal)'!$B$341:$BX$341,1,MATCH($B$1,'DATA (Nominal)'!$B$1:$BX$1,0))</f>
        <v>6684.554484903073</v>
      </c>
      <c r="G31" s="114">
        <f>-$D20*Assumptions!L$11*INDEX('DATA (Nominal)'!$B$341:$BX$341,1,MATCH($B$1,'DATA (Nominal)'!$B$1:$BX$1,0))</f>
        <v>4010.7326909418443</v>
      </c>
      <c r="H31" s="114">
        <f>-$D20*Assumptions!M$11*INDEX('DATA (Nominal)'!$B$341:$BX$341,1,MATCH($B$1,'DATA (Nominal)'!$B$1:$BX$1,0))</f>
        <v>2406.4396145651062</v>
      </c>
      <c r="I31" s="114">
        <f>-$D20*Assumptions!N$11*INDEX('DATA (Nominal)'!$B$341:$BX$341,1,MATCH($B$1,'DATA (Nominal)'!$B$1:$BX$1,0))</f>
        <v>2406.4396145651062</v>
      </c>
      <c r="J31" s="114">
        <f>-$D20*Assumptions!O$11*INDEX('DATA (Nominal)'!$B$341:$BX$341,1,MATCH($B$1,'DATA (Nominal)'!$B$1:$BX$1,0))</f>
        <v>1203.2198072825531</v>
      </c>
      <c r="K31" s="114">
        <f>-$D20*Assumptions!P$11*INDEX('DATA (Nominal)'!$B$341:$BX$341,1,MATCH($B$1,'DATA (Nominal)'!$B$1:$BX$1,0))</f>
        <v>0</v>
      </c>
      <c r="L31" s="114">
        <f>-$D20*Assumptions!Q$11*INDEX('DATA (Nominal)'!$B$341:$BX$341,1,MATCH($B$1,'DATA (Nominal)'!$B$1:$BX$1,0))</f>
        <v>0</v>
      </c>
      <c r="M31" s="93">
        <f>-$D20*Assumptions!R$11*INDEX('DATA (Nominal)'!$B$341:$BX$341,1,MATCH($B$1,'DATA (Nominal)'!$B$1:$BX$1,0))</f>
        <v>0</v>
      </c>
      <c r="N31" s="93">
        <f>-$D20*Assumptions!S$11*INDEX('DATA (Nominal)'!$B$341:$BX$341,1,MATCH($B$1,'DATA (Nominal)'!$B$1:$BX$1,0))</f>
        <v>0</v>
      </c>
      <c r="O31" s="93">
        <f>-$D20*Assumptions!T$11*INDEX('DATA (Nominal)'!$B$341:$BX$341,1,MATCH($B$1,'DATA (Nominal)'!$B$1:$BX$1,0))</f>
        <v>0</v>
      </c>
      <c r="P31" s="93">
        <f>-$D20*Assumptions!U$11*INDEX('DATA (Nominal)'!$B$341:$BX$341,1,MATCH($B$1,'DATA (Nominal)'!$B$1:$BX$1,0))</f>
        <v>0</v>
      </c>
      <c r="Q31" s="93">
        <f>-$D20*Assumptions!V$11*INDEX('DATA (Nominal)'!$B$341:$BX$341,1,MATCH($B$1,'DATA (Nominal)'!$B$1:$BX$1,0))</f>
        <v>0</v>
      </c>
      <c r="R31" s="93">
        <f>-$D20*Assumptions!W$11*INDEX('DATA (Nominal)'!$B$341:$BX$341,1,MATCH($B$1,'DATA (Nominal)'!$B$1:$BX$1,0))</f>
        <v>0</v>
      </c>
      <c r="S31" s="93">
        <f>-$D20*Assumptions!X$11*INDEX('DATA (Nominal)'!$B$341:$BX$341,1,MATCH($B$1,'DATA (Nominal)'!$B$1:$BX$1,0))</f>
        <v>0</v>
      </c>
      <c r="T31" s="93">
        <f>-$D20*Assumptions!Y$11*INDEX('DATA (Nominal)'!$B$341:$BX$341,1,MATCH($B$1,'DATA (Nominal)'!$B$1:$BX$1,0))</f>
        <v>0</v>
      </c>
      <c r="U31" s="93">
        <f>-$D20*Assumptions!Z$11*INDEX('DATA (Nominal)'!$B$341:$BX$341,1,MATCH($B$1,'DATA (Nominal)'!$B$1:$BX$1,0))</f>
        <v>0</v>
      </c>
      <c r="V31" s="93">
        <f>-$D20*Assumptions!AA$11*INDEX('DATA (Nominal)'!$B$341:$BX$341,1,MATCH($B$1,'DATA (Nominal)'!$B$1:$BX$1,0))</f>
        <v>0</v>
      </c>
      <c r="W31" s="93">
        <f>-$D20*Assumptions!AB$11*INDEX('DATA (Nominal)'!$B$341:$BX$341,1,MATCH($B$1,'DATA (Nominal)'!$B$1:$BX$1,0))</f>
        <v>0</v>
      </c>
      <c r="X31" s="455">
        <f>-$D20*Assumptions!AC$11*INDEX('DATA (Nominal)'!$B$341:$BX$341,1,MATCH($B$1,'DATA (Nominal)'!$B$1:$BX$1,0))</f>
        <v>0</v>
      </c>
      <c r="Y31" s="261"/>
    </row>
    <row r="32" spans="2:25" ht="15.75" hidden="1" outlineLevel="1" thickBot="1">
      <c r="B32" s="452"/>
      <c r="C32" s="127" t="s">
        <v>66</v>
      </c>
      <c r="D32" s="103"/>
      <c r="E32" s="103">
        <f>E31*Federal_Tax_Rate</f>
        <v>877.34777614352834</v>
      </c>
      <c r="F32" s="103">
        <f t="shared" ref="F32:X32" si="16">F31*Federal_Tax_Rate</f>
        <v>1403.7564418296454</v>
      </c>
      <c r="G32" s="103">
        <f t="shared" si="16"/>
        <v>842.2538650977873</v>
      </c>
      <c r="H32" s="103">
        <f t="shared" si="16"/>
        <v>505.35231905867226</v>
      </c>
      <c r="I32" s="103">
        <f t="shared" si="16"/>
        <v>505.35231905867226</v>
      </c>
      <c r="J32" s="103">
        <f t="shared" si="16"/>
        <v>252.67615952933613</v>
      </c>
      <c r="K32" s="103">
        <f t="shared" si="16"/>
        <v>0</v>
      </c>
      <c r="L32" s="103">
        <f t="shared" si="16"/>
        <v>0</v>
      </c>
      <c r="M32" s="456">
        <f t="shared" si="16"/>
        <v>0</v>
      </c>
      <c r="N32" s="456">
        <f t="shared" si="16"/>
        <v>0</v>
      </c>
      <c r="O32" s="456">
        <f t="shared" si="16"/>
        <v>0</v>
      </c>
      <c r="P32" s="456">
        <f t="shared" si="16"/>
        <v>0</v>
      </c>
      <c r="Q32" s="456">
        <f t="shared" si="16"/>
        <v>0</v>
      </c>
      <c r="R32" s="456">
        <f t="shared" si="16"/>
        <v>0</v>
      </c>
      <c r="S32" s="456">
        <f t="shared" si="16"/>
        <v>0</v>
      </c>
      <c r="T32" s="456">
        <f t="shared" si="16"/>
        <v>0</v>
      </c>
      <c r="U32" s="456">
        <f t="shared" si="16"/>
        <v>0</v>
      </c>
      <c r="V32" s="456">
        <f t="shared" si="16"/>
        <v>0</v>
      </c>
      <c r="W32" s="456">
        <f t="shared" si="16"/>
        <v>0</v>
      </c>
      <c r="X32" s="457">
        <f t="shared" si="16"/>
        <v>0</v>
      </c>
      <c r="Y32" s="261"/>
    </row>
    <row r="33" spans="1:25" hidden="1" outlineLevel="1">
      <c r="B33" s="452"/>
      <c r="C33" s="128" t="s">
        <v>67</v>
      </c>
      <c r="D33" s="104">
        <f>NPV(Tax_Equity_Rate,E32:X32)</f>
        <v>3559.0743958467538</v>
      </c>
      <c r="E33" s="105">
        <f>D33/D37</f>
        <v>0.14482165383746648</v>
      </c>
      <c r="F33" s="254"/>
      <c r="G33" s="254"/>
      <c r="H33" s="254"/>
      <c r="I33" s="254"/>
      <c r="J33" s="254"/>
      <c r="K33" s="254"/>
      <c r="L33" s="254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25" hidden="1" outlineLevel="1">
      <c r="B34" s="452"/>
      <c r="C34" s="125" t="s">
        <v>79</v>
      </c>
      <c r="D34" s="106">
        <f>NPV(Tax_Equity_Rate,E17:X17)</f>
        <v>1775.1621529006252</v>
      </c>
      <c r="E34" s="107">
        <f>D34/D37</f>
        <v>7.2232802751397027E-2</v>
      </c>
    </row>
    <row r="35" spans="1:25" hidden="1" outlineLevel="1">
      <c r="B35" s="22">
        <f>Assumptions!F11</f>
        <v>0.75800000000000001</v>
      </c>
      <c r="C35" s="125" t="s">
        <v>68</v>
      </c>
      <c r="D35" s="106">
        <f>(D37-D33-D34)*$B35</f>
        <v>14584.929209124963</v>
      </c>
      <c r="E35" s="107">
        <f>D35/D37</f>
        <v>0.59347272190564149</v>
      </c>
    </row>
    <row r="36" spans="1:25" hidden="1" outlineLevel="1">
      <c r="B36" s="22">
        <f>1-B35</f>
        <v>0.24199999999999999</v>
      </c>
      <c r="C36" s="125" t="s">
        <v>69</v>
      </c>
      <c r="D36" s="106">
        <f>(D37-D33-D34)*$B36</f>
        <v>4656.4022013301328</v>
      </c>
      <c r="E36" s="107">
        <f>D36/D37</f>
        <v>0.18947282150549502</v>
      </c>
    </row>
    <row r="37" spans="1:25" hidden="1" outlineLevel="1">
      <c r="C37" s="125" t="s">
        <v>70</v>
      </c>
      <c r="D37" s="106">
        <f>-D20</f>
        <v>24575.567959202475</v>
      </c>
      <c r="E37" s="108"/>
    </row>
    <row r="38" spans="1:25" ht="15.75" hidden="1" outlineLevel="1" thickBot="1">
      <c r="C38" s="127" t="s">
        <v>71</v>
      </c>
      <c r="D38" s="109">
        <f>SUM(D33:D36)-D37</f>
        <v>0</v>
      </c>
      <c r="E38" s="110"/>
    </row>
    <row r="39" spans="1:25" hidden="1" outlineLevel="1"/>
    <row r="40" spans="1:25" ht="15.75" collapsed="1" thickBot="1"/>
    <row r="41" spans="1:25" ht="18.75" thickBot="1">
      <c r="A41" s="86"/>
      <c r="B41" s="82"/>
      <c r="C41" s="484" t="s">
        <v>139</v>
      </c>
      <c r="D41" s="485"/>
      <c r="E41" s="485"/>
      <c r="F41" s="485"/>
      <c r="G41" s="485"/>
      <c r="H41" s="486"/>
      <c r="Y41" s="261"/>
    </row>
    <row r="42" spans="1:25" hidden="1" outlineLevel="1">
      <c r="C42" s="124" t="s">
        <v>44</v>
      </c>
      <c r="D42" s="153"/>
      <c r="E42" s="153">
        <f>'Resource Options'!$E$12*INDEX('DATA (Nominal)'!$B$12:$BX$12,1,MATCH($B$1,'DATA (Nominal)'!$B$1:$BX$1,0))*8760</f>
        <v>8.6424979367249435</v>
      </c>
      <c r="F42" s="153">
        <f>'Resource Options'!$E$12*INDEX('DATA (Nominal)'!$B$12:$BX$12,1,MATCH($B$1,'DATA (Nominal)'!$B$1:$BX$1,0))*8760</f>
        <v>8.6424979367249435</v>
      </c>
      <c r="G42" s="153">
        <f>'Resource Options'!$E$12*INDEX('DATA (Nominal)'!$B$12:$BX$12,1,MATCH($B$1,'DATA (Nominal)'!$B$1:$BX$1,0))*8760</f>
        <v>8.6424979367249435</v>
      </c>
      <c r="H42" s="153">
        <f>'Resource Options'!$E$12*INDEX('DATA (Nominal)'!$B$12:$BX$12,1,MATCH($B$1,'DATA (Nominal)'!$B$1:$BX$1,0))*8760</f>
        <v>8.6424979367249435</v>
      </c>
      <c r="I42" s="153">
        <f>'Resource Options'!$E$12*INDEX('DATA (Nominal)'!$B$12:$BX$12,1,MATCH($B$1,'DATA (Nominal)'!$B$1:$BX$1,0))*8760</f>
        <v>8.6424979367249435</v>
      </c>
      <c r="J42" s="153">
        <f>'Resource Options'!$E$12*INDEX('DATA (Nominal)'!$B$12:$BX$12,1,MATCH($B$1,'DATA (Nominal)'!$B$1:$BX$1,0))*8760</f>
        <v>8.6424979367249435</v>
      </c>
      <c r="K42" s="153">
        <f>'Resource Options'!$E$12*INDEX('DATA (Nominal)'!$B$12:$BX$12,1,MATCH($B$1,'DATA (Nominal)'!$B$1:$BX$1,0))*8760</f>
        <v>8.6424979367249435</v>
      </c>
      <c r="L42" s="153">
        <f>'Resource Options'!$E$12*INDEX('DATA (Nominal)'!$B$12:$BX$12,1,MATCH($B$1,'DATA (Nominal)'!$B$1:$BX$1,0))*8760</f>
        <v>8.6424979367249435</v>
      </c>
      <c r="M42" s="153">
        <f>'Resource Options'!$E$12*INDEX('DATA (Nominal)'!$B$12:$BX$12,1,MATCH($B$1,'DATA (Nominal)'!$B$1:$BX$1,0))*8760</f>
        <v>8.6424979367249435</v>
      </c>
      <c r="N42" s="153">
        <f>'Resource Options'!$E$12*INDEX('DATA (Nominal)'!$B$12:$BX$12,1,MATCH($B$1,'DATA (Nominal)'!$B$1:$BX$1,0))*8760</f>
        <v>8.6424979367249435</v>
      </c>
      <c r="O42" s="153">
        <f>'Resource Options'!$E$12*INDEX('DATA (Nominal)'!$B$12:$BX$12,1,MATCH($B$1,'DATA (Nominal)'!$B$1:$BX$1,0))*8760</f>
        <v>8.6424979367249435</v>
      </c>
      <c r="P42" s="153">
        <f>'Resource Options'!$E$12*INDEX('DATA (Nominal)'!$B$12:$BX$12,1,MATCH($B$1,'DATA (Nominal)'!$B$1:$BX$1,0))*8760</f>
        <v>8.6424979367249435</v>
      </c>
      <c r="Q42" s="153">
        <f>'Resource Options'!$E$12*INDEX('DATA (Nominal)'!$B$12:$BX$12,1,MATCH($B$1,'DATA (Nominal)'!$B$1:$BX$1,0))*8760</f>
        <v>8.6424979367249435</v>
      </c>
      <c r="R42" s="153">
        <f>'Resource Options'!$E$12*INDEX('DATA (Nominal)'!$B$12:$BX$12,1,MATCH($B$1,'DATA (Nominal)'!$B$1:$BX$1,0))*8760</f>
        <v>8.6424979367249435</v>
      </c>
      <c r="S42" s="153">
        <f>'Resource Options'!$E$12*INDEX('DATA (Nominal)'!$B$12:$BX$12,1,MATCH($B$1,'DATA (Nominal)'!$B$1:$BX$1,0))*8760</f>
        <v>8.6424979367249435</v>
      </c>
      <c r="T42" s="153">
        <f>'Resource Options'!$E$12*INDEX('DATA (Nominal)'!$B$12:$BX$12,1,MATCH($B$1,'DATA (Nominal)'!$B$1:$BX$1,0))*8760</f>
        <v>8.6424979367249435</v>
      </c>
      <c r="U42" s="153">
        <f>'Resource Options'!$E$12*INDEX('DATA (Nominal)'!$B$12:$BX$12,1,MATCH($B$1,'DATA (Nominal)'!$B$1:$BX$1,0))*8760</f>
        <v>8.6424979367249435</v>
      </c>
      <c r="V42" s="153">
        <f>'Resource Options'!$E$12*INDEX('DATA (Nominal)'!$B$12:$BX$12,1,MATCH($B$1,'DATA (Nominal)'!$B$1:$BX$1,0))*8760</f>
        <v>8.6424979367249435</v>
      </c>
      <c r="W42" s="153">
        <f>'Resource Options'!$E$12*INDEX('DATA (Nominal)'!$B$12:$BX$12,1,MATCH($B$1,'DATA (Nominal)'!$B$1:$BX$1,0))*8760</f>
        <v>8.6424979367249435</v>
      </c>
      <c r="X42" s="159">
        <f>'Resource Options'!$E$12*INDEX('DATA (Nominal)'!$B$12:$BX$12,1,MATCH($B$1,'DATA (Nominal)'!$B$1:$BX$1,0))*8760</f>
        <v>8.6424979367249435</v>
      </c>
      <c r="Y42" s="156"/>
    </row>
    <row r="43" spans="1:25" hidden="1" outlineLevel="1">
      <c r="C43" s="125" t="s">
        <v>45</v>
      </c>
      <c r="D43" s="151"/>
      <c r="E43" s="154">
        <f>PPA_SOLAR_New_Residential_PTC</f>
        <v>248.73034169704394</v>
      </c>
      <c r="F43" s="154">
        <f>E43</f>
        <v>248.73034169704394</v>
      </c>
      <c r="G43" s="154">
        <f t="shared" ref="G43:V44" si="17">F43</f>
        <v>248.73034169704394</v>
      </c>
      <c r="H43" s="154">
        <f t="shared" si="17"/>
        <v>248.73034169704394</v>
      </c>
      <c r="I43" s="154">
        <f t="shared" si="17"/>
        <v>248.73034169704394</v>
      </c>
      <c r="J43" s="154">
        <f t="shared" si="17"/>
        <v>248.73034169704394</v>
      </c>
      <c r="K43" s="154">
        <f t="shared" si="17"/>
        <v>248.73034169704394</v>
      </c>
      <c r="L43" s="154">
        <f t="shared" si="17"/>
        <v>248.73034169704394</v>
      </c>
      <c r="M43" s="154">
        <f t="shared" si="17"/>
        <v>248.73034169704394</v>
      </c>
      <c r="N43" s="154">
        <f t="shared" si="17"/>
        <v>248.73034169704394</v>
      </c>
      <c r="O43" s="154">
        <f t="shared" si="17"/>
        <v>248.73034169704394</v>
      </c>
      <c r="P43" s="154">
        <f t="shared" si="17"/>
        <v>248.73034169704394</v>
      </c>
      <c r="Q43" s="154">
        <f t="shared" si="17"/>
        <v>248.73034169704394</v>
      </c>
      <c r="R43" s="154">
        <f t="shared" si="17"/>
        <v>248.73034169704394</v>
      </c>
      <c r="S43" s="154">
        <f t="shared" si="17"/>
        <v>248.73034169704394</v>
      </c>
      <c r="T43" s="154">
        <f t="shared" si="17"/>
        <v>248.73034169704394</v>
      </c>
      <c r="U43" s="154">
        <f t="shared" si="17"/>
        <v>248.73034169704394</v>
      </c>
      <c r="V43" s="154">
        <f t="shared" si="17"/>
        <v>248.73034169704394</v>
      </c>
      <c r="W43" s="154">
        <f t="shared" ref="W43:X44" si="18">V43</f>
        <v>248.73034169704394</v>
      </c>
      <c r="X43" s="152">
        <f t="shared" si="18"/>
        <v>248.73034169704394</v>
      </c>
      <c r="Y43" s="156"/>
    </row>
    <row r="44" spans="1:25" hidden="1" outlineLevel="1">
      <c r="C44" s="125" t="s">
        <v>111</v>
      </c>
      <c r="D44" s="151"/>
      <c r="E44" s="117">
        <f>INDEX('PPA Summary'!$75:$106,MATCH(_xlfn.CONCAT($C41,$C$1),'PPA Summary'!$D$75:$D$106,0),MATCH($B$1,'PPA Summary'!$74:$74,0))</f>
        <v>31.929991971901995</v>
      </c>
      <c r="F44" s="154">
        <f>E44</f>
        <v>31.929991971901995</v>
      </c>
      <c r="G44" s="154">
        <f t="shared" si="17"/>
        <v>31.929991971901995</v>
      </c>
      <c r="H44" s="154">
        <f t="shared" si="17"/>
        <v>31.929991971901995</v>
      </c>
      <c r="I44" s="154">
        <f t="shared" si="17"/>
        <v>31.929991971901995</v>
      </c>
      <c r="J44" s="154">
        <f t="shared" si="17"/>
        <v>31.929991971901995</v>
      </c>
      <c r="K44" s="154">
        <f t="shared" si="17"/>
        <v>31.929991971901995</v>
      </c>
      <c r="L44" s="154">
        <f t="shared" si="17"/>
        <v>31.929991971901995</v>
      </c>
      <c r="M44" s="154">
        <f t="shared" si="17"/>
        <v>31.929991971901995</v>
      </c>
      <c r="N44" s="154">
        <f t="shared" si="17"/>
        <v>31.929991971901995</v>
      </c>
      <c r="O44" s="154">
        <f t="shared" si="17"/>
        <v>31.929991971901995</v>
      </c>
      <c r="P44" s="154">
        <f t="shared" si="17"/>
        <v>31.929991971901995</v>
      </c>
      <c r="Q44" s="154">
        <f t="shared" si="17"/>
        <v>31.929991971901995</v>
      </c>
      <c r="R44" s="154">
        <f t="shared" si="17"/>
        <v>31.929991971901995</v>
      </c>
      <c r="S44" s="154">
        <f t="shared" si="17"/>
        <v>31.929991971901995</v>
      </c>
      <c r="T44" s="154">
        <f t="shared" si="17"/>
        <v>31.929991971901995</v>
      </c>
      <c r="U44" s="154">
        <f t="shared" si="17"/>
        <v>31.929991971901995</v>
      </c>
      <c r="V44" s="154">
        <f t="shared" si="17"/>
        <v>31.929991971901995</v>
      </c>
      <c r="W44" s="154">
        <f t="shared" si="18"/>
        <v>31.929991971901995</v>
      </c>
      <c r="X44" s="152">
        <f t="shared" si="18"/>
        <v>31.929991971901995</v>
      </c>
      <c r="Y44" s="156"/>
    </row>
    <row r="45" spans="1:25" hidden="1" outlineLevel="1">
      <c r="C45" s="258" t="s">
        <v>46</v>
      </c>
      <c r="D45" s="151"/>
      <c r="E45" s="151">
        <f>E43*E42+E44*12*'Resource Options'!$E$12*1000</f>
        <v>4481.9291393869553</v>
      </c>
      <c r="F45" s="151">
        <f>F43*F42+F44*12*'Resource Options'!$E$12*1000</f>
        <v>4481.9291393869553</v>
      </c>
      <c r="G45" s="151">
        <f>G43*G42+G44*12*'Resource Options'!$E$12*1000</f>
        <v>4481.9291393869553</v>
      </c>
      <c r="H45" s="151">
        <f>H43*H42+H44*12*'Resource Options'!$E$12*1000</f>
        <v>4481.9291393869553</v>
      </c>
      <c r="I45" s="151">
        <f>I43*I42+I44*12*'Resource Options'!$E$12*1000</f>
        <v>4481.9291393869553</v>
      </c>
      <c r="J45" s="151">
        <f>J43*J42+J44*12*'Resource Options'!$E$12*1000</f>
        <v>4481.9291393869553</v>
      </c>
      <c r="K45" s="151">
        <f>K43*K42+K44*12*'Resource Options'!$E$12*1000</f>
        <v>4481.9291393869553</v>
      </c>
      <c r="L45" s="151">
        <f>L43*L42+L44*12*'Resource Options'!$E$12*1000</f>
        <v>4481.9291393869553</v>
      </c>
      <c r="M45" s="151">
        <f>M43*M42+M44*12*'Resource Options'!$E$12*1000</f>
        <v>4481.9291393869553</v>
      </c>
      <c r="N45" s="151">
        <f>N43*N42+N44*12*'Resource Options'!$E$12*1000</f>
        <v>4481.9291393869553</v>
      </c>
      <c r="O45" s="151">
        <f>O43*O42+O44*12*'Resource Options'!$E$12*1000</f>
        <v>4481.9291393869553</v>
      </c>
      <c r="P45" s="151">
        <f>P43*P42+P44*12*'Resource Options'!$E$12*1000</f>
        <v>4481.9291393869553</v>
      </c>
      <c r="Q45" s="151">
        <f>Q43*Q42+Q44*12*'Resource Options'!$E$12*1000</f>
        <v>4481.9291393869553</v>
      </c>
      <c r="R45" s="151">
        <f>R43*R42+R44*12*'Resource Options'!$E$12*1000</f>
        <v>4481.9291393869553</v>
      </c>
      <c r="S45" s="151">
        <f>S43*S42+S44*12*'Resource Options'!$E$12*1000</f>
        <v>4481.9291393869553</v>
      </c>
      <c r="T45" s="151">
        <f>T43*T42+T44*12*'Resource Options'!$E$12*1000</f>
        <v>4481.9291393869553</v>
      </c>
      <c r="U45" s="151">
        <f>U43*U42+U44*12*'Resource Options'!$E$12*1000</f>
        <v>4481.9291393869553</v>
      </c>
      <c r="V45" s="151">
        <f>V43*V42+V44*12*'Resource Options'!$E$12*1000</f>
        <v>4481.9291393869553</v>
      </c>
      <c r="W45" s="151">
        <f>W43*W42+W44*12*'Resource Options'!$E$12*1000</f>
        <v>4481.9291393869553</v>
      </c>
      <c r="X45" s="152">
        <f>X43*X42+X44*12*'Resource Options'!$E$12*1000</f>
        <v>4481.9291393869553</v>
      </c>
      <c r="Y45" s="156"/>
    </row>
    <row r="46" spans="1:25" hidden="1" outlineLevel="1">
      <c r="C46" s="258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2"/>
      <c r="Y46" s="156"/>
    </row>
    <row r="47" spans="1:25" hidden="1" outlineLevel="1">
      <c r="B47" s="92"/>
      <c r="C47" s="125" t="s">
        <v>158</v>
      </c>
      <c r="D47" s="151"/>
      <c r="E47" s="151">
        <f>'Resource Options'!$E$12*INDEX('DATA (Nominal)'!$B$178:$BX$178,1,MATCH(E$1,'DATA (Nominal)'!$B$1:$BX$1,0))*1000*0.8</f>
        <v>127.0150909824426</v>
      </c>
      <c r="F47" s="151">
        <f>'Resource Options'!$E$12*INDEX('DATA (Nominal)'!$B$178:$BX$178,1,MATCH(F$1,'DATA (Nominal)'!$B$1:$BX$1,0))*1000*0.8</f>
        <v>119.54253701320361</v>
      </c>
      <c r="G47" s="151">
        <f>'Resource Options'!$E$12*INDEX('DATA (Nominal)'!$B$178:$BX$178,1,MATCH(G$1,'DATA (Nominal)'!$B$1:$BX$1,0))*1000*0.8</f>
        <v>111.67285666184749</v>
      </c>
      <c r="H47" s="151">
        <f>'Resource Options'!$E$12*INDEX('DATA (Nominal)'!$B$178:$BX$178,1,MATCH(H$1,'DATA (Nominal)'!$B$1:$BX$1,0))*1000*0.8</f>
        <v>103.3583276295081</v>
      </c>
      <c r="I47" s="151">
        <f>'Resource Options'!$E$12*INDEX('DATA (Nominal)'!$B$178:$BX$178,1,MATCH(I$1,'DATA (Nominal)'!$B$1:$BX$1,0))*1000*0.8</f>
        <v>94.623909657121501</v>
      </c>
      <c r="J47" s="151">
        <f>'Resource Options'!$E$12*INDEX('DATA (Nominal)'!$B$178:$BX$178,1,MATCH(J$1,'DATA (Nominal)'!$B$1:$BX$1,0))*1000*0.8</f>
        <v>85.455151863377182</v>
      </c>
      <c r="K47" s="151">
        <f>'Resource Options'!$E$12*INDEX('DATA (Nominal)'!$B$178:$BX$178,1,MATCH(K$1,'DATA (Nominal)'!$B$1:$BX$1,0))*1000*0.8</f>
        <v>86.621404394167087</v>
      </c>
      <c r="L47" s="151">
        <f>'Resource Options'!$E$12*INDEX('DATA (Nominal)'!$B$178:$BX$178,1,MATCH(L$1,'DATA (Nominal)'!$B$1:$BX$1,0))*1000*0.8</f>
        <v>87.797611742809892</v>
      </c>
      <c r="M47" s="151">
        <f>'Resource Options'!$E$12*INDEX('DATA (Nominal)'!$B$178:$BX$178,1,MATCH(M$1,'DATA (Nominal)'!$B$1:$BX$1,0))*1000*0.8</f>
        <v>88.983647455066176</v>
      </c>
      <c r="N47" s="151">
        <f>'Resource Options'!$E$12*INDEX('DATA (Nominal)'!$B$178:$BX$178,1,MATCH(N$1,'DATA (Nominal)'!$B$1:$BX$1,0))*1000*0.8</f>
        <v>90.179374694578243</v>
      </c>
      <c r="O47" s="151">
        <f>'Resource Options'!$E$12*INDEX('DATA (Nominal)'!$B$178:$BX$178,1,MATCH(O$1,'DATA (Nominal)'!$B$1:$BX$1,0))*1000*0.8</f>
        <v>91.384645847260558</v>
      </c>
      <c r="P47" s="151">
        <f>'Resource Options'!$E$12*INDEX('DATA (Nominal)'!$B$178:$BX$178,1,MATCH(P$1,'DATA (Nominal)'!$B$1:$BX$1,0))*1000*0.8</f>
        <v>92.599302113308738</v>
      </c>
      <c r="Q47" s="151">
        <f>'Resource Options'!$E$12*INDEX('DATA (Nominal)'!$B$178:$BX$178,1,MATCH(Q$1,'DATA (Nominal)'!$B$1:$BX$1,0))*1000*0.8</f>
        <v>93.823173086472963</v>
      </c>
      <c r="R47" s="151">
        <f>'Resource Options'!$E$12*INDEX('DATA (Nominal)'!$B$178:$BX$178,1,MATCH(R$1,'DATA (Nominal)'!$B$1:$BX$1,0))*1000*0.8</f>
        <v>95.056076320233558</v>
      </c>
      <c r="S47" s="151">
        <f>'Resource Options'!$E$12*INDEX('DATA (Nominal)'!$B$178:$BX$178,1,MATCH(S$1,'DATA (Nominal)'!$B$1:$BX$1,0))*1000*0.8</f>
        <v>96.297816880505806</v>
      </c>
      <c r="T47" s="151">
        <f>'Resource Options'!$E$12*INDEX('DATA (Nominal)'!$B$178:$BX$178,1,MATCH(T$1,'DATA (Nominal)'!$B$1:$BX$1,0))*1000*0.8</f>
        <v>97.548186884491003</v>
      </c>
      <c r="U47" s="151">
        <f>'Resource Options'!$E$12*INDEX('DATA (Nominal)'!$B$178:$BX$178,1,MATCH(U$1,'DATA (Nominal)'!$B$1:$BX$1,0))*1000*0.8</f>
        <v>98.806965025281372</v>
      </c>
      <c r="V47" s="151">
        <f>'Resource Options'!$E$12*INDEX('DATA (Nominal)'!$B$178:$BX$178,1,MATCH(V$1,'DATA (Nominal)'!$B$1:$BX$1,0))*1000*0.8</f>
        <v>100.07391608181446</v>
      </c>
      <c r="W47" s="151">
        <f>'Resource Options'!$E$12*INDEX('DATA (Nominal)'!$B$178:$BX$178,1,MATCH(W$1,'DATA (Nominal)'!$B$1:$BX$1,0))*1000*0.8</f>
        <v>101.34879041376274</v>
      </c>
      <c r="X47" s="152">
        <f>'Resource Options'!$E$12*INDEX('DATA (Nominal)'!$B$178:$BX$178,1,MATCH(X$1,'DATA (Nominal)'!$B$1:$BX$1,0))*1000*0.8</f>
        <v>102.63132344093316</v>
      </c>
      <c r="Y47" s="156"/>
    </row>
    <row r="48" spans="1:25" hidden="1" outlineLevel="1">
      <c r="B48" s="92"/>
      <c r="C48" s="125" t="s">
        <v>159</v>
      </c>
      <c r="D48" s="151"/>
      <c r="E48" s="151">
        <f>'Resource Options'!$E$12*INDEX('DATA (Nominal)'!$B$179:$BX$179,1,MATCH(E$1,'DATA (Nominal)'!$B$1:$BX$1,0))*1000*0.8</f>
        <v>377.00359282616375</v>
      </c>
      <c r="F48" s="151">
        <f>'Resource Options'!$E$12*INDEX('DATA (Nominal)'!$B$179:$BX$179,1,MATCH(F$1,'DATA (Nominal)'!$B$1:$BX$1,0))*1000*0.8</f>
        <v>369.83636010624622</v>
      </c>
      <c r="G48" s="151">
        <f>'Resource Options'!$E$12*INDEX('DATA (Nominal)'!$B$179:$BX$179,1,MATCH(G$1,'DATA (Nominal)'!$B$1:$BX$1,0))*1000*0.8</f>
        <v>363.95367468645526</v>
      </c>
      <c r="H48" s="151">
        <f>'Resource Options'!$E$12*INDEX('DATA (Nominal)'!$B$179:$BX$179,1,MATCH(H$1,'DATA (Nominal)'!$B$1:$BX$1,0))*1000*0.8</f>
        <v>359.55135317948412</v>
      </c>
      <c r="I48" s="151">
        <f>'Resource Options'!$E$12*INDEX('DATA (Nominal)'!$B$179:$BX$179,1,MATCH(I$1,'DATA (Nominal)'!$B$1:$BX$1,0))*1000*0.8</f>
        <v>355.32673748763727</v>
      </c>
      <c r="J48" s="151">
        <f>'Resource Options'!$E$12*INDEX('DATA (Nominal)'!$B$179:$BX$179,1,MATCH(J$1,'DATA (Nominal)'!$B$1:$BX$1,0))*1000*0.8</f>
        <v>351.91843948824726</v>
      </c>
      <c r="K48" s="151">
        <f>'Resource Options'!$E$12*INDEX('DATA (Nominal)'!$B$179:$BX$179,1,MATCH(K$1,'DATA (Nominal)'!$B$1:$BX$1,0))*1000*0.8</f>
        <v>355.26208121229485</v>
      </c>
      <c r="L48" s="151">
        <f>'Resource Options'!$E$12*INDEX('DATA (Nominal)'!$B$179:$BX$179,1,MATCH(L$1,'DATA (Nominal)'!$B$1:$BX$1,0))*1000*0.8</f>
        <v>358.48323612904693</v>
      </c>
      <c r="M48" s="151">
        <f>'Resource Options'!$E$12*INDEX('DATA (Nominal)'!$B$179:$BX$179,1,MATCH(M$1,'DATA (Nominal)'!$B$1:$BX$1,0))*1000*0.8</f>
        <v>361.67417501482919</v>
      </c>
      <c r="N48" s="151">
        <f>'Resource Options'!$E$12*INDEX('DATA (Nominal)'!$B$179:$BX$179,1,MATCH(N$1,'DATA (Nominal)'!$B$1:$BX$1,0))*1000*0.8</f>
        <v>364.83200932529991</v>
      </c>
      <c r="O48" s="151">
        <f>'Resource Options'!$E$12*INDEX('DATA (Nominal)'!$B$179:$BX$179,1,MATCH(O$1,'DATA (Nominal)'!$B$1:$BX$1,0))*1000*0.8</f>
        <v>367.95373804472325</v>
      </c>
      <c r="P48" s="151">
        <f>'Resource Options'!$E$12*INDEX('DATA (Nominal)'!$B$179:$BX$179,1,MATCH(P$1,'DATA (Nominal)'!$B$1:$BX$1,0))*1000*0.8</f>
        <v>371.03624413528894</v>
      </c>
      <c r="Q48" s="151">
        <f>'Resource Options'!$E$12*INDEX('DATA (Nominal)'!$B$179:$BX$179,1,MATCH(Q$1,'DATA (Nominal)'!$B$1:$BX$1,0))*1000*0.8</f>
        <v>374.07629088462471</v>
      </c>
      <c r="R48" s="151">
        <f>'Resource Options'!$E$12*INDEX('DATA (Nominal)'!$B$179:$BX$179,1,MATCH(R$1,'DATA (Nominal)'!$B$1:$BX$1,0))*1000*0.8</f>
        <v>377.07051814877053</v>
      </c>
      <c r="S48" s="151">
        <f>'Resource Options'!$E$12*INDEX('DATA (Nominal)'!$B$179:$BX$179,1,MATCH(S$1,'DATA (Nominal)'!$B$1:$BX$1,0))*1000*0.8</f>
        <v>380.01543848774992</v>
      </c>
      <c r="T48" s="151">
        <f>'Resource Options'!$E$12*INDEX('DATA (Nominal)'!$B$179:$BX$179,1,MATCH(T$1,'DATA (Nominal)'!$B$1:$BX$1,0))*1000*0.8</f>
        <v>382.90743319086113</v>
      </c>
      <c r="U48" s="151">
        <f>'Resource Options'!$E$12*INDEX('DATA (Nominal)'!$B$179:$BX$179,1,MATCH(U$1,'DATA (Nominal)'!$B$1:$BX$1,0))*1000*0.8</f>
        <v>385.74274818868008</v>
      </c>
      <c r="V48" s="151">
        <f>'Resource Options'!$E$12*INDEX('DATA (Nominal)'!$B$179:$BX$179,1,MATCH(V$1,'DATA (Nominal)'!$B$1:$BX$1,0))*1000*0.8</f>
        <v>388.5174898487403</v>
      </c>
      <c r="W48" s="151">
        <f>'Resource Options'!$E$12*INDEX('DATA (Nominal)'!$B$179:$BX$179,1,MATCH(W$1,'DATA (Nominal)'!$B$1:$BX$1,0))*1000*0.8</f>
        <v>391.22762065171821</v>
      </c>
      <c r="X48" s="152">
        <f>'Resource Options'!$E$12*INDEX('DATA (Nominal)'!$B$179:$BX$179,1,MATCH(X$1,'DATA (Nominal)'!$B$1:$BX$1,0))*1000*0.8</f>
        <v>393.86895474494145</v>
      </c>
      <c r="Y48" s="156"/>
    </row>
    <row r="49" spans="1:25" hidden="1" outlineLevel="1">
      <c r="C49" s="125" t="s">
        <v>160</v>
      </c>
      <c r="D49" s="151"/>
      <c r="E49" s="151">
        <f>E42*INDEX('DATA (Nominal)'!$B$107:$BX$107,1,MATCH(E$1,'DATA (Nominal)'!$B$1:$BX$1,0))</f>
        <v>0</v>
      </c>
      <c r="F49" s="151">
        <f>F42*INDEX('DATA (Nominal)'!$B$107:$BX$107,1,MATCH(F$1,'DATA (Nominal)'!$B$1:$BX$1,0))</f>
        <v>0</v>
      </c>
      <c r="G49" s="151">
        <f>G42*INDEX('DATA (Nominal)'!$B$107:$BX$107,1,MATCH(G$1,'DATA (Nominal)'!$B$1:$BX$1,0))</f>
        <v>0</v>
      </c>
      <c r="H49" s="151">
        <f>H42*INDEX('DATA (Nominal)'!$B$107:$BX$107,1,MATCH(H$1,'DATA (Nominal)'!$B$1:$BX$1,0))</f>
        <v>0</v>
      </c>
      <c r="I49" s="151">
        <f>I42*INDEX('DATA (Nominal)'!$B$107:$BX$107,1,MATCH(I$1,'DATA (Nominal)'!$B$1:$BX$1,0))</f>
        <v>0</v>
      </c>
      <c r="J49" s="151">
        <f>J42*INDEX('DATA (Nominal)'!$B$107:$BX$107,1,MATCH(J$1,'DATA (Nominal)'!$B$1:$BX$1,0))</f>
        <v>0</v>
      </c>
      <c r="K49" s="151">
        <f>K42*INDEX('DATA (Nominal)'!$B$107:$BX$107,1,MATCH(K$1,'DATA (Nominal)'!$B$1:$BX$1,0))</f>
        <v>0</v>
      </c>
      <c r="L49" s="151">
        <f>L42*INDEX('DATA (Nominal)'!$B$107:$BX$107,1,MATCH(L$1,'DATA (Nominal)'!$B$1:$BX$1,0))</f>
        <v>0</v>
      </c>
      <c r="M49" s="151">
        <f>M42*INDEX('DATA (Nominal)'!$B$107:$BX$107,1,MATCH(M$1,'DATA (Nominal)'!$B$1:$BX$1,0))</f>
        <v>0</v>
      </c>
      <c r="N49" s="151">
        <f>N42*INDEX('DATA (Nominal)'!$B$107:$BX$107,1,MATCH(N$1,'DATA (Nominal)'!$B$1:$BX$1,0))</f>
        <v>0</v>
      </c>
      <c r="O49" s="151">
        <f>O42*INDEX('DATA (Nominal)'!$B$107:$BX$107,1,MATCH(O$1,'DATA (Nominal)'!$B$1:$BX$1,0))</f>
        <v>0</v>
      </c>
      <c r="P49" s="151">
        <f>P42*INDEX('DATA (Nominal)'!$B$107:$BX$107,1,MATCH(P$1,'DATA (Nominal)'!$B$1:$BX$1,0))</f>
        <v>0</v>
      </c>
      <c r="Q49" s="151">
        <f>Q42*INDEX('DATA (Nominal)'!$B$107:$BX$107,1,MATCH(Q$1,'DATA (Nominal)'!$B$1:$BX$1,0))</f>
        <v>0</v>
      </c>
      <c r="R49" s="151">
        <f>R42*INDEX('DATA (Nominal)'!$B$107:$BX$107,1,MATCH(R$1,'DATA (Nominal)'!$B$1:$BX$1,0))</f>
        <v>0</v>
      </c>
      <c r="S49" s="151">
        <f>S42*INDEX('DATA (Nominal)'!$B$107:$BX$107,1,MATCH(S$1,'DATA (Nominal)'!$B$1:$BX$1,0))</f>
        <v>0</v>
      </c>
      <c r="T49" s="151">
        <f>T42*INDEX('DATA (Nominal)'!$B$107:$BX$107,1,MATCH(T$1,'DATA (Nominal)'!$B$1:$BX$1,0))</f>
        <v>0</v>
      </c>
      <c r="U49" s="151">
        <f>U42*INDEX('DATA (Nominal)'!$B$107:$BX$107,1,MATCH(U$1,'DATA (Nominal)'!$B$1:$BX$1,0))</f>
        <v>0</v>
      </c>
      <c r="V49" s="151">
        <f>V42*INDEX('DATA (Nominal)'!$B$107:$BX$107,1,MATCH(V$1,'DATA (Nominal)'!$B$1:$BX$1,0))</f>
        <v>0</v>
      </c>
      <c r="W49" s="151">
        <f>W42*INDEX('DATA (Nominal)'!$B$107:$BX$107,1,MATCH(W$1,'DATA (Nominal)'!$B$1:$BX$1,0))</f>
        <v>0</v>
      </c>
      <c r="X49" s="152">
        <f>X42*INDEX('DATA (Nominal)'!$B$107:$BX$107,1,MATCH(X$1,'DATA (Nominal)'!$B$1:$BX$1,0))</f>
        <v>0</v>
      </c>
      <c r="Y49" s="156"/>
    </row>
    <row r="50" spans="1:25" hidden="1" outlineLevel="1">
      <c r="C50" s="125" t="s">
        <v>127</v>
      </c>
      <c r="D50" s="151"/>
      <c r="E50" s="151">
        <f>E42*E43*INDEX('DATA (Nominal)'!$B$327:$BX$327,1,MATCH(E$1,'DATA (Nominal)'!$B$1:$BX$1,0))</f>
        <v>0</v>
      </c>
      <c r="F50" s="151">
        <f>F42*F43*INDEX('DATA (Nominal)'!$B$327:$BX$327,1,MATCH(F$1,'DATA (Nominal)'!$B$1:$BX$1,0))</f>
        <v>0</v>
      </c>
      <c r="G50" s="151">
        <f>G42*G43*INDEX('DATA (Nominal)'!$B$327:$BX$327,1,MATCH(G$1,'DATA (Nominal)'!$B$1:$BX$1,0))</f>
        <v>0</v>
      </c>
      <c r="H50" s="151">
        <f>H42*H43*INDEX('DATA (Nominal)'!$B$327:$BX$327,1,MATCH(H$1,'DATA (Nominal)'!$B$1:$BX$1,0))</f>
        <v>0</v>
      </c>
      <c r="I50" s="151">
        <f>I42*I43*INDEX('DATA (Nominal)'!$B$327:$BX$327,1,MATCH(I$1,'DATA (Nominal)'!$B$1:$BX$1,0))</f>
        <v>0</v>
      </c>
      <c r="J50" s="151">
        <f>J42*J43*INDEX('DATA (Nominal)'!$B$327:$BX$327,1,MATCH(J$1,'DATA (Nominal)'!$B$1:$BX$1,0))</f>
        <v>0</v>
      </c>
      <c r="K50" s="151">
        <f>K42*K43*INDEX('DATA (Nominal)'!$B$327:$BX$327,1,MATCH(K$1,'DATA (Nominal)'!$B$1:$BX$1,0))</f>
        <v>0</v>
      </c>
      <c r="L50" s="151">
        <f>L42*L43*INDEX('DATA (Nominal)'!$B$327:$BX$327,1,MATCH(L$1,'DATA (Nominal)'!$B$1:$BX$1,0))</f>
        <v>0</v>
      </c>
      <c r="M50" s="151">
        <f>M42*M43*INDEX('DATA (Nominal)'!$B$327:$BX$327,1,MATCH(M$1,'DATA (Nominal)'!$B$1:$BX$1,0))</f>
        <v>0</v>
      </c>
      <c r="N50" s="151">
        <f>N42*N43*INDEX('DATA (Nominal)'!$B$327:$BX$327,1,MATCH(N$1,'DATA (Nominal)'!$B$1:$BX$1,0))</f>
        <v>0</v>
      </c>
      <c r="O50" s="151">
        <f>O42*O43*INDEX('DATA (Nominal)'!$B$327:$BX$327,1,MATCH(O$1,'DATA (Nominal)'!$B$1:$BX$1,0))</f>
        <v>0</v>
      </c>
      <c r="P50" s="151">
        <f>P42*P43*INDEX('DATA (Nominal)'!$B$327:$BX$327,1,MATCH(P$1,'DATA (Nominal)'!$B$1:$BX$1,0))</f>
        <v>0</v>
      </c>
      <c r="Q50" s="151">
        <f>Q42*Q43*INDEX('DATA (Nominal)'!$B$327:$BX$327,1,MATCH(Q$1,'DATA (Nominal)'!$B$1:$BX$1,0))</f>
        <v>0</v>
      </c>
      <c r="R50" s="151">
        <f>R42*R43*INDEX('DATA (Nominal)'!$B$327:$BX$327,1,MATCH(R$1,'DATA (Nominal)'!$B$1:$BX$1,0))</f>
        <v>0</v>
      </c>
      <c r="S50" s="151">
        <f>S42*S43*INDEX('DATA (Nominal)'!$B$327:$BX$327,1,MATCH(S$1,'DATA (Nominal)'!$B$1:$BX$1,0))</f>
        <v>0</v>
      </c>
      <c r="T50" s="151">
        <f>T42*T43*INDEX('DATA (Nominal)'!$B$327:$BX$327,1,MATCH(T$1,'DATA (Nominal)'!$B$1:$BX$1,0))</f>
        <v>0</v>
      </c>
      <c r="U50" s="151">
        <f>U42*U43*INDEX('DATA (Nominal)'!$B$327:$BX$327,1,MATCH(U$1,'DATA (Nominal)'!$B$1:$BX$1,0))</f>
        <v>0</v>
      </c>
      <c r="V50" s="151">
        <f>V42*V43*INDEX('DATA (Nominal)'!$B$327:$BX$327,1,MATCH(V$1,'DATA (Nominal)'!$B$1:$BX$1,0))</f>
        <v>0</v>
      </c>
      <c r="W50" s="151">
        <f>W42*W43*INDEX('DATA (Nominal)'!$B$327:$BX$327,1,MATCH(W$1,'DATA (Nominal)'!$B$1:$BX$1,0))</f>
        <v>0</v>
      </c>
      <c r="X50" s="152">
        <f>X42*X43*INDEX('DATA (Nominal)'!$B$327:$BX$327,1,MATCH(X$1,'DATA (Nominal)'!$B$1:$BX$1,0))</f>
        <v>0</v>
      </c>
      <c r="Y50" s="156"/>
    </row>
    <row r="51" spans="1:25" hidden="1" outlineLevel="1">
      <c r="A51" s="254"/>
      <c r="C51" s="258" t="s">
        <v>50</v>
      </c>
      <c r="D51" s="151"/>
      <c r="E51" s="151">
        <f t="shared" ref="E51:X51" si="19">SUM(E47:E50)</f>
        <v>504.01868380860634</v>
      </c>
      <c r="F51" s="151">
        <f t="shared" si="19"/>
        <v>489.37889711944985</v>
      </c>
      <c r="G51" s="151">
        <f t="shared" si="19"/>
        <v>475.62653134830276</v>
      </c>
      <c r="H51" s="151">
        <f t="shared" si="19"/>
        <v>462.90968080899222</v>
      </c>
      <c r="I51" s="151">
        <f t="shared" si="19"/>
        <v>449.95064714475876</v>
      </c>
      <c r="J51" s="151">
        <f t="shared" si="19"/>
        <v>437.37359135162444</v>
      </c>
      <c r="K51" s="151">
        <f t="shared" si="19"/>
        <v>441.88348560646193</v>
      </c>
      <c r="L51" s="151">
        <f t="shared" si="19"/>
        <v>446.28084787185685</v>
      </c>
      <c r="M51" s="151">
        <f t="shared" si="19"/>
        <v>450.65782246989534</v>
      </c>
      <c r="N51" s="151">
        <f t="shared" si="19"/>
        <v>455.01138401987816</v>
      </c>
      <c r="O51" s="151">
        <f t="shared" si="19"/>
        <v>459.33838389198382</v>
      </c>
      <c r="P51" s="151">
        <f t="shared" si="19"/>
        <v>463.63554624859768</v>
      </c>
      <c r="Q51" s="151">
        <f t="shared" si="19"/>
        <v>467.8994639710977</v>
      </c>
      <c r="R51" s="151">
        <f t="shared" si="19"/>
        <v>472.12659446900409</v>
      </c>
      <c r="S51" s="151">
        <f t="shared" si="19"/>
        <v>476.31325536825574</v>
      </c>
      <c r="T51" s="151">
        <f t="shared" si="19"/>
        <v>480.45562007535216</v>
      </c>
      <c r="U51" s="151">
        <f t="shared" si="19"/>
        <v>484.54971321396147</v>
      </c>
      <c r="V51" s="151">
        <f t="shared" si="19"/>
        <v>488.59140593055474</v>
      </c>
      <c r="W51" s="151">
        <f t="shared" si="19"/>
        <v>492.57641106548095</v>
      </c>
      <c r="X51" s="152">
        <f t="shared" si="19"/>
        <v>496.50027818587461</v>
      </c>
      <c r="Y51" s="156"/>
    </row>
    <row r="52" spans="1:25" hidden="1" outlineLevel="1">
      <c r="C52" s="258" t="s">
        <v>179</v>
      </c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>
        <f>INDEX('DATA (Nominal)'!$B$60:$BX$60,1,MATCH($O$1,'DATA (Nominal)'!$B$1:$BX$1,0))*1000000*(1+AFUDC!$D$12)*0.5*'Resource Options'!$D$12/1000</f>
        <v>10462.954467288147</v>
      </c>
      <c r="P52" s="151"/>
      <c r="Q52" s="151"/>
      <c r="R52" s="151"/>
      <c r="S52" s="151"/>
      <c r="T52" s="151"/>
      <c r="U52" s="151"/>
      <c r="V52" s="151"/>
      <c r="W52" s="151"/>
      <c r="X52" s="152"/>
      <c r="Y52" s="156"/>
    </row>
    <row r="53" spans="1:25" hidden="1" outlineLevel="1">
      <c r="C53" s="258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2"/>
      <c r="Y53" s="156"/>
    </row>
    <row r="54" spans="1:25" hidden="1" outlineLevel="1">
      <c r="C54" s="125" t="s">
        <v>51</v>
      </c>
      <c r="D54" s="151"/>
      <c r="E54" s="151">
        <f t="shared" ref="E54:X54" si="20">E45-E51</f>
        <v>3977.9104555783488</v>
      </c>
      <c r="F54" s="151">
        <f t="shared" si="20"/>
        <v>3992.5502422675054</v>
      </c>
      <c r="G54" s="151">
        <f t="shared" si="20"/>
        <v>4006.3026080386526</v>
      </c>
      <c r="H54" s="151">
        <f t="shared" si="20"/>
        <v>4019.0194585779632</v>
      </c>
      <c r="I54" s="151">
        <f t="shared" si="20"/>
        <v>4031.9784922421964</v>
      </c>
      <c r="J54" s="151">
        <f t="shared" si="20"/>
        <v>4044.555548035331</v>
      </c>
      <c r="K54" s="151">
        <f t="shared" si="20"/>
        <v>4040.0456537804935</v>
      </c>
      <c r="L54" s="151">
        <f t="shared" si="20"/>
        <v>4035.6482915150982</v>
      </c>
      <c r="M54" s="151">
        <f t="shared" si="20"/>
        <v>4031.2713169170602</v>
      </c>
      <c r="N54" s="151">
        <f t="shared" si="20"/>
        <v>4026.917755367077</v>
      </c>
      <c r="O54" s="151">
        <f t="shared" si="20"/>
        <v>4022.5907554949713</v>
      </c>
      <c r="P54" s="151">
        <f t="shared" si="20"/>
        <v>4018.2935931383577</v>
      </c>
      <c r="Q54" s="151">
        <f t="shared" si="20"/>
        <v>4014.0296754158576</v>
      </c>
      <c r="R54" s="151">
        <f t="shared" si="20"/>
        <v>4009.8025449179513</v>
      </c>
      <c r="S54" s="151">
        <f t="shared" si="20"/>
        <v>4005.6158840186995</v>
      </c>
      <c r="T54" s="151">
        <f t="shared" si="20"/>
        <v>4001.473519311603</v>
      </c>
      <c r="U54" s="151">
        <f t="shared" si="20"/>
        <v>3997.3794261729936</v>
      </c>
      <c r="V54" s="151">
        <f t="shared" si="20"/>
        <v>3993.3377334564007</v>
      </c>
      <c r="W54" s="151">
        <f t="shared" si="20"/>
        <v>3989.3527283214744</v>
      </c>
      <c r="X54" s="152">
        <f t="shared" si="20"/>
        <v>3985.4288612010805</v>
      </c>
      <c r="Y54" s="156"/>
    </row>
    <row r="55" spans="1:25" hidden="1" outlineLevel="1">
      <c r="C55" s="125" t="s">
        <v>52</v>
      </c>
      <c r="D55" s="151"/>
      <c r="E55" s="151">
        <f t="shared" ref="E55:X55" si="21">E54-E72-E62</f>
        <v>-4461.7070820705803</v>
      </c>
      <c r="F55" s="151">
        <f t="shared" si="21"/>
        <v>-8629.4699178607607</v>
      </c>
      <c r="G55" s="151">
        <f t="shared" si="21"/>
        <v>-4069.1831440408205</v>
      </c>
      <c r="H55" s="151">
        <f t="shared" si="21"/>
        <v>-1309.2454888398997</v>
      </c>
      <c r="I55" s="151">
        <f t="shared" si="21"/>
        <v>-1249.0742345220765</v>
      </c>
      <c r="J55" s="151">
        <f t="shared" si="21"/>
        <v>840.16412751870575</v>
      </c>
      <c r="K55" s="151">
        <f t="shared" si="21"/>
        <v>2915.0550286149405</v>
      </c>
      <c r="L55" s="151">
        <f t="shared" si="21"/>
        <v>2966.0962092466207</v>
      </c>
      <c r="M55" s="151">
        <f t="shared" si="21"/>
        <v>3020.2068974049967</v>
      </c>
      <c r="N55" s="151">
        <f t="shared" si="21"/>
        <v>3077.5578200630307</v>
      </c>
      <c r="O55" s="151">
        <f t="shared" si="21"/>
        <v>1207.3908040923552</v>
      </c>
      <c r="P55" s="151">
        <f t="shared" si="21"/>
        <v>238.01112654357576</v>
      </c>
      <c r="Q55" s="151">
        <f t="shared" si="21"/>
        <v>1074.0381462728894</v>
      </c>
      <c r="R55" s="151">
        <f t="shared" si="21"/>
        <v>1706.898384161369</v>
      </c>
      <c r="S55" s="151">
        <f t="shared" si="21"/>
        <v>2196.6662915817506</v>
      </c>
      <c r="T55" s="151">
        <f t="shared" si="21"/>
        <v>2319.5745108731603</v>
      </c>
      <c r="U55" s="151">
        <f t="shared" si="21"/>
        <v>2449.518783852975</v>
      </c>
      <c r="V55" s="151">
        <f t="shared" si="21"/>
        <v>3053.9538548110622</v>
      </c>
      <c r="W55" s="151">
        <f t="shared" si="21"/>
        <v>3665.9093009108192</v>
      </c>
      <c r="X55" s="152">
        <f t="shared" si="21"/>
        <v>3819.3788291240771</v>
      </c>
      <c r="Y55" s="156"/>
    </row>
    <row r="56" spans="1:25" hidden="1" outlineLevel="1">
      <c r="C56" s="125" t="s">
        <v>53</v>
      </c>
      <c r="D56" s="151"/>
      <c r="E56" s="93">
        <f>INDEX('DATA (Nominal)'!$B$253:$BX$253,1,MATCH($B$1,'DATA (Nominal)'!$B$1:$BX$1,0))*INDEX('DATA (Nominal)'!$B$300:$BX$300,1,MATCH(E$1,'DATA (Nominal)'!$B$1:$BX$1,0))*E42</f>
        <v>242.58535245520446</v>
      </c>
      <c r="F56" s="93">
        <f>INDEX('DATA (Nominal)'!$B$253:$BX$253,1,MATCH($B$1,'DATA (Nominal)'!$B$1:$BX$1,0))*INDEX('DATA (Nominal)'!$B$300:$BX$300,1,MATCH(F$1,'DATA (Nominal)'!$B$1:$BX$1,0))*F42</f>
        <v>248.00309199337073</v>
      </c>
      <c r="G56" s="93">
        <f>INDEX('DATA (Nominal)'!$B$253:$BX$253,1,MATCH($B$1,'DATA (Nominal)'!$B$1:$BX$1,0))*INDEX('DATA (Nominal)'!$B$300:$BX$300,1,MATCH(G$1,'DATA (Nominal)'!$B$1:$BX$1,0))*G42</f>
        <v>253.54182771455598</v>
      </c>
      <c r="H56" s="93">
        <f>INDEX('DATA (Nominal)'!$B$253:$BX$253,1,MATCH($B$1,'DATA (Nominal)'!$B$1:$BX$1,0))*INDEX('DATA (Nominal)'!$B$300:$BX$300,1,MATCH(H$1,'DATA (Nominal)'!$B$1:$BX$1,0))*H42</f>
        <v>259.11974792427623</v>
      </c>
      <c r="I56" s="93">
        <f>INDEX('DATA (Nominal)'!$B$253:$BX$253,1,MATCH($B$1,'DATA (Nominal)'!$B$1:$BX$1,0))*INDEX('DATA (Nominal)'!$B$300:$BX$300,1,MATCH(I$1,'DATA (Nominal)'!$B$1:$BX$1,0))*I42</f>
        <v>264.8203823786103</v>
      </c>
      <c r="J56" s="93">
        <f>INDEX('DATA (Nominal)'!$B$253:$BX$253,1,MATCH($B$1,'DATA (Nominal)'!$B$1:$BX$1,0))*INDEX('DATA (Nominal)'!$B$300:$BX$300,1,MATCH(J$1,'DATA (Nominal)'!$B$1:$BX$1,0))*J42</f>
        <v>270.64643079093975</v>
      </c>
      <c r="K56" s="93">
        <f>INDEX('DATA (Nominal)'!$B$253:$BX$253,1,MATCH($B$1,'DATA (Nominal)'!$B$1:$BX$1,0))*INDEX('DATA (Nominal)'!$B$300:$BX$300,1,MATCH(K$1,'DATA (Nominal)'!$B$1:$BX$1,0))*K42</f>
        <v>276.60065226834035</v>
      </c>
      <c r="L56" s="93">
        <f>INDEX('DATA (Nominal)'!$B$253:$BX$253,1,MATCH($B$1,'DATA (Nominal)'!$B$1:$BX$1,0))*INDEX('DATA (Nominal)'!$B$300:$BX$300,1,MATCH(L$1,'DATA (Nominal)'!$B$1:$BX$1,0))*L42</f>
        <v>282.68586661824389</v>
      </c>
      <c r="M56" s="93">
        <f>INDEX('DATA (Nominal)'!$B$253:$BX$253,1,MATCH($B$1,'DATA (Nominal)'!$B$1:$BX$1,0))*INDEX('DATA (Nominal)'!$B$300:$BX$300,1,MATCH(M$1,'DATA (Nominal)'!$B$1:$BX$1,0))*M42</f>
        <v>288.90495568384529</v>
      </c>
      <c r="N56" s="93">
        <f>INDEX('DATA (Nominal)'!$B$253:$BX$253,1,MATCH($B$1,'DATA (Nominal)'!$B$1:$BX$1,0))*INDEX('DATA (Nominal)'!$B$300:$BX$300,1,MATCH(N$1,'DATA (Nominal)'!$B$1:$BX$1,0))*N42</f>
        <v>295.26086470888987</v>
      </c>
      <c r="O56" s="151"/>
      <c r="P56" s="151"/>
      <c r="Q56" s="151"/>
      <c r="R56" s="151"/>
      <c r="S56" s="151"/>
      <c r="T56" s="151"/>
      <c r="U56" s="151"/>
      <c r="V56" s="151"/>
      <c r="W56" s="151"/>
      <c r="X56" s="152"/>
      <c r="Y56" s="156"/>
    </row>
    <row r="57" spans="1:25" hidden="1" outlineLevel="1">
      <c r="C57" s="258" t="s">
        <v>54</v>
      </c>
      <c r="D57" s="151"/>
      <c r="E57" s="151">
        <f>E55*Federal_Tax_Rate-E56</f>
        <v>-1179.5438396900263</v>
      </c>
      <c r="F57" s="151">
        <f>F55*Federal_Tax_Rate-F56</f>
        <v>-2060.1917747441303</v>
      </c>
      <c r="G57" s="151">
        <f t="shared" ref="G57:N57" si="22">G55*Federal_Tax_Rate-G56</f>
        <v>-1108.0702879631283</v>
      </c>
      <c r="H57" s="151">
        <f t="shared" si="22"/>
        <v>-534.06130058065514</v>
      </c>
      <c r="I57" s="151">
        <f t="shared" si="22"/>
        <v>-527.12597162824636</v>
      </c>
      <c r="J57" s="151">
        <f t="shared" si="22"/>
        <v>-94.211964012011549</v>
      </c>
      <c r="K57" s="151">
        <f t="shared" si="22"/>
        <v>335.56090374079713</v>
      </c>
      <c r="L57" s="151">
        <f t="shared" si="22"/>
        <v>340.19433732354645</v>
      </c>
      <c r="M57" s="151">
        <f t="shared" si="22"/>
        <v>345.33849277120396</v>
      </c>
      <c r="N57" s="151">
        <f t="shared" si="22"/>
        <v>351.02627750434652</v>
      </c>
      <c r="O57" s="151">
        <f>O55*Federal_Tax_Rate-O56</f>
        <v>253.55206885939458</v>
      </c>
      <c r="P57" s="151">
        <f t="shared" ref="P57:X57" si="23">P55*Federal_Tax_Rate-P56</f>
        <v>49.982336574150906</v>
      </c>
      <c r="Q57" s="151">
        <f t="shared" si="23"/>
        <v>225.54801071730677</v>
      </c>
      <c r="R57" s="151">
        <f t="shared" si="23"/>
        <v>358.4486606738875</v>
      </c>
      <c r="S57" s="151">
        <f t="shared" si="23"/>
        <v>461.29992123216761</v>
      </c>
      <c r="T57" s="151">
        <f t="shared" si="23"/>
        <v>487.11064728336362</v>
      </c>
      <c r="U57" s="151">
        <f t="shared" si="23"/>
        <v>514.39894460912478</v>
      </c>
      <c r="V57" s="151">
        <f t="shared" si="23"/>
        <v>641.33030951032299</v>
      </c>
      <c r="W57" s="151">
        <f t="shared" si="23"/>
        <v>769.84095319127198</v>
      </c>
      <c r="X57" s="152">
        <f t="shared" si="23"/>
        <v>802.06955411605611</v>
      </c>
      <c r="Y57" s="156"/>
    </row>
    <row r="58" spans="1:25" hidden="1" outlineLevel="1">
      <c r="C58" s="258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2"/>
      <c r="Y58" s="156"/>
    </row>
    <row r="59" spans="1:25" hidden="1" outlineLevel="1">
      <c r="B59" s="37">
        <f>IRR(D59:Y59,0.1)</f>
        <v>7.500000592633449E-2</v>
      </c>
      <c r="C59" s="125" t="s">
        <v>55</v>
      </c>
      <c r="D59" s="155">
        <f>SUM(D68:D69)</f>
        <v>-41398.129359847022</v>
      </c>
      <c r="E59" s="156">
        <f t="shared" ref="E59:K59" si="24">E54-E57</f>
        <v>5157.4542952683751</v>
      </c>
      <c r="F59" s="151">
        <f t="shared" si="24"/>
        <v>6052.7420170116357</v>
      </c>
      <c r="G59" s="151">
        <f>G54-G57</f>
        <v>5114.3728960017806</v>
      </c>
      <c r="H59" s="151">
        <f t="shared" si="24"/>
        <v>4553.0807591586181</v>
      </c>
      <c r="I59" s="151">
        <f t="shared" si="24"/>
        <v>4559.1044638704425</v>
      </c>
      <c r="J59" s="151">
        <f t="shared" si="24"/>
        <v>4138.7675120473423</v>
      </c>
      <c r="K59" s="151">
        <f t="shared" si="24"/>
        <v>3704.4847500396963</v>
      </c>
      <c r="L59" s="151">
        <f>L54-L57</f>
        <v>3695.4539541915519</v>
      </c>
      <c r="M59" s="151">
        <f t="shared" ref="M59:N59" si="25">M54-M57</f>
        <v>3685.9328241458561</v>
      </c>
      <c r="N59" s="151">
        <f t="shared" si="25"/>
        <v>3675.8914778627304</v>
      </c>
      <c r="O59" s="151">
        <f>O54-O57-O52</f>
        <v>-6693.9157806525709</v>
      </c>
      <c r="P59" s="151">
        <f>P54-P57</f>
        <v>3968.3112565642068</v>
      </c>
      <c r="Q59" s="151">
        <f t="shared" ref="Q59:X59" si="26">Q54-Q57</f>
        <v>3788.481664698551</v>
      </c>
      <c r="R59" s="151">
        <f t="shared" si="26"/>
        <v>3651.3538842440639</v>
      </c>
      <c r="S59" s="151">
        <f t="shared" si="26"/>
        <v>3544.3159627865321</v>
      </c>
      <c r="T59" s="151">
        <f t="shared" si="26"/>
        <v>3514.3628720282395</v>
      </c>
      <c r="U59" s="151">
        <f t="shared" si="26"/>
        <v>3482.980481563869</v>
      </c>
      <c r="V59" s="151">
        <f t="shared" si="26"/>
        <v>3352.0074239460778</v>
      </c>
      <c r="W59" s="151">
        <f t="shared" si="26"/>
        <v>3219.5117751302023</v>
      </c>
      <c r="X59" s="152">
        <f t="shared" si="26"/>
        <v>3183.3593070850243</v>
      </c>
      <c r="Y59" s="156">
        <f>D59*-0.3</f>
        <v>12419.438807954106</v>
      </c>
    </row>
    <row r="60" spans="1:25" hidden="1" outlineLevel="1">
      <c r="B60" s="37">
        <f>IRR(D60:Y60,0.1)</f>
        <v>0.13288879424302613</v>
      </c>
      <c r="C60" s="125" t="s">
        <v>56</v>
      </c>
      <c r="D60" s="155">
        <f>-D77</f>
        <v>-8137.8844386407864</v>
      </c>
      <c r="E60" s="156">
        <f t="shared" ref="E60:N60" si="27">E59-E62-E65-E73-E56</f>
        <v>1303.9915922815319</v>
      </c>
      <c r="F60" s="151">
        <f t="shared" si="27"/>
        <v>1307.1136435987023</v>
      </c>
      <c r="G60" s="151">
        <f t="shared" si="27"/>
        <v>1309.0702464814467</v>
      </c>
      <c r="H60" s="151">
        <f t="shared" si="27"/>
        <v>1309.7188651968352</v>
      </c>
      <c r="I60" s="151">
        <f t="shared" si="27"/>
        <v>1310.0419354543255</v>
      </c>
      <c r="J60" s="151">
        <f t="shared" si="27"/>
        <v>1309.5179420450986</v>
      </c>
      <c r="K60" s="151">
        <f t="shared" si="27"/>
        <v>1294.9199653862554</v>
      </c>
      <c r="L60" s="151">
        <f t="shared" si="27"/>
        <v>1279.8039551882077</v>
      </c>
      <c r="M60" s="151">
        <f t="shared" si="27"/>
        <v>1264.0637360769101</v>
      </c>
      <c r="N60" s="151">
        <f t="shared" si="27"/>
        <v>1247.6664807687403</v>
      </c>
      <c r="O60" s="151">
        <f>O59-O62-O65-O73-O56+O52</f>
        <v>270.00225045811203</v>
      </c>
      <c r="P60" s="151">
        <f t="shared" ref="P60:X60" si="28">P59-P62-P65-P73-P56</f>
        <v>245.07044687990447</v>
      </c>
      <c r="Q60" s="151">
        <f t="shared" si="28"/>
        <v>218.9803690702405</v>
      </c>
      <c r="R60" s="151">
        <f t="shared" si="28"/>
        <v>191.66966611351643</v>
      </c>
      <c r="S60" s="151">
        <f t="shared" si="28"/>
        <v>163.07251429724377</v>
      </c>
      <c r="T60" s="151">
        <f t="shared" si="28"/>
        <v>133.11942353895122</v>
      </c>
      <c r="U60" s="151">
        <f t="shared" si="28"/>
        <v>101.73703307458075</v>
      </c>
      <c r="V60" s="151">
        <f t="shared" si="28"/>
        <v>68.847895814935512</v>
      </c>
      <c r="W60" s="151">
        <f t="shared" si="28"/>
        <v>34.370250744062105</v>
      </c>
      <c r="X60" s="152">
        <f t="shared" si="28"/>
        <v>-1.7822173011159066</v>
      </c>
      <c r="Y60" s="156">
        <f>Y59</f>
        <v>12419.438807954106</v>
      </c>
    </row>
    <row r="61" spans="1:25" hidden="1" outlineLevel="1">
      <c r="B61" s="21"/>
      <c r="C61" s="125"/>
      <c r="D61" s="155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2"/>
      <c r="Y61" s="156"/>
    </row>
    <row r="62" spans="1:25" hidden="1" outlineLevel="1">
      <c r="B62" s="452"/>
      <c r="C62" s="258" t="s">
        <v>57</v>
      </c>
      <c r="D62" s="151"/>
      <c r="E62" s="151">
        <f t="shared" ref="E62:W62" si="29">D66*Debt_Rate</f>
        <v>1401.9355464749353</v>
      </c>
      <c r="F62" s="151">
        <f t="shared" si="29"/>
        <v>1361.7289742498765</v>
      </c>
      <c r="G62" s="151">
        <f t="shared" si="29"/>
        <v>1319.3110405524392</v>
      </c>
      <c r="H62" s="151">
        <f t="shared" si="29"/>
        <v>1274.5601205016428</v>
      </c>
      <c r="I62" s="151">
        <f t="shared" si="29"/>
        <v>1227.3478998480527</v>
      </c>
      <c r="J62" s="151">
        <f t="shared" si="29"/>
        <v>1177.5390070585152</v>
      </c>
      <c r="K62" s="151">
        <f t="shared" si="29"/>
        <v>1124.990625165553</v>
      </c>
      <c r="L62" s="151">
        <f t="shared" si="29"/>
        <v>1069.5520822684778</v>
      </c>
      <c r="M62" s="151">
        <f t="shared" si="29"/>
        <v>1011.0644195120636</v>
      </c>
      <c r="N62" s="151">
        <f t="shared" si="29"/>
        <v>949.35993530404653</v>
      </c>
      <c r="O62" s="151">
        <f t="shared" si="29"/>
        <v>1320.4622762058316</v>
      </c>
      <c r="P62" s="151">
        <f t="shared" si="29"/>
        <v>1217.9049175559144</v>
      </c>
      <c r="Q62" s="151">
        <f t="shared" si="29"/>
        <v>1109.7069041802522</v>
      </c>
      <c r="R62" s="151">
        <f t="shared" si="29"/>
        <v>995.55800006892821</v>
      </c>
      <c r="S62" s="151">
        <f t="shared" si="29"/>
        <v>875.13090623148162</v>
      </c>
      <c r="T62" s="151">
        <f t="shared" si="29"/>
        <v>748.08032223297539</v>
      </c>
      <c r="U62" s="151">
        <f t="shared" si="29"/>
        <v>614.04195611455134</v>
      </c>
      <c r="V62" s="151">
        <f t="shared" si="29"/>
        <v>472.63147985961393</v>
      </c>
      <c r="W62" s="151">
        <f t="shared" si="29"/>
        <v>323.44342741065498</v>
      </c>
      <c r="X62" s="152">
        <f>W66*Debt_Rate</f>
        <v>166.05003207700332</v>
      </c>
      <c r="Y62" s="156"/>
    </row>
    <row r="63" spans="1:25" hidden="1" outlineLevel="1">
      <c r="B63" s="452"/>
      <c r="C63" s="258" t="s">
        <v>113</v>
      </c>
      <c r="D63" s="151"/>
      <c r="E63" s="151">
        <f t="shared" ref="E63:X63" si="30">-PMT(Debt_Rate,20,$D76)</f>
        <v>2132.9641323851006</v>
      </c>
      <c r="F63" s="151">
        <f t="shared" si="30"/>
        <v>2132.9641323851006</v>
      </c>
      <c r="G63" s="151">
        <f t="shared" si="30"/>
        <v>2132.9641323851006</v>
      </c>
      <c r="H63" s="151">
        <f t="shared" si="30"/>
        <v>2132.9641323851006</v>
      </c>
      <c r="I63" s="151">
        <f t="shared" si="30"/>
        <v>2132.9641323851006</v>
      </c>
      <c r="J63" s="151">
        <f t="shared" si="30"/>
        <v>2132.9641323851006</v>
      </c>
      <c r="K63" s="151">
        <f t="shared" si="30"/>
        <v>2132.9641323851006</v>
      </c>
      <c r="L63" s="151">
        <f t="shared" si="30"/>
        <v>2132.9641323851006</v>
      </c>
      <c r="M63" s="151">
        <f t="shared" si="30"/>
        <v>2132.9641323851006</v>
      </c>
      <c r="N63" s="151">
        <f t="shared" si="30"/>
        <v>2132.9641323851006</v>
      </c>
      <c r="O63" s="151">
        <f t="shared" si="30"/>
        <v>2132.9641323851006</v>
      </c>
      <c r="P63" s="151">
        <f t="shared" si="30"/>
        <v>2132.9641323851006</v>
      </c>
      <c r="Q63" s="151">
        <f t="shared" si="30"/>
        <v>2132.9641323851006</v>
      </c>
      <c r="R63" s="151">
        <f t="shared" si="30"/>
        <v>2132.9641323851006</v>
      </c>
      <c r="S63" s="151">
        <f t="shared" si="30"/>
        <v>2132.9641323851006</v>
      </c>
      <c r="T63" s="151">
        <f t="shared" si="30"/>
        <v>2132.9641323851006</v>
      </c>
      <c r="U63" s="151">
        <f t="shared" si="30"/>
        <v>2132.9641323851006</v>
      </c>
      <c r="V63" s="151">
        <f t="shared" si="30"/>
        <v>2132.9641323851006</v>
      </c>
      <c r="W63" s="151">
        <f t="shared" si="30"/>
        <v>2132.9641323851006</v>
      </c>
      <c r="X63" s="152">
        <f t="shared" si="30"/>
        <v>2132.9641323851006</v>
      </c>
      <c r="Y63" s="156"/>
    </row>
    <row r="64" spans="1:25" hidden="1" outlineLevel="1">
      <c r="B64" s="452"/>
      <c r="C64" s="258" t="s">
        <v>161</v>
      </c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>
        <f>-PMT(Debt_Rate,10,$O52)*$B76</f>
        <v>1052.1773920010398</v>
      </c>
      <c r="P64" s="151">
        <f t="shared" ref="P64:X64" si="31">-PMT(Debt_Rate,10,$O52)*$B76</f>
        <v>1052.1773920010398</v>
      </c>
      <c r="Q64" s="151">
        <f t="shared" si="31"/>
        <v>1052.1773920010398</v>
      </c>
      <c r="R64" s="151">
        <f t="shared" si="31"/>
        <v>1052.1773920010398</v>
      </c>
      <c r="S64" s="151">
        <f t="shared" si="31"/>
        <v>1052.1773920010398</v>
      </c>
      <c r="T64" s="151">
        <f t="shared" si="31"/>
        <v>1052.1773920010398</v>
      </c>
      <c r="U64" s="151">
        <f t="shared" si="31"/>
        <v>1052.1773920010398</v>
      </c>
      <c r="V64" s="151">
        <f t="shared" si="31"/>
        <v>1052.1773920010398</v>
      </c>
      <c r="W64" s="151">
        <f t="shared" si="31"/>
        <v>1052.1773920010398</v>
      </c>
      <c r="X64" s="152">
        <f t="shared" si="31"/>
        <v>1052.1773920010398</v>
      </c>
      <c r="Y64" s="156"/>
    </row>
    <row r="65" spans="2:25" hidden="1" outlineLevel="1">
      <c r="B65" s="452"/>
      <c r="C65" s="258" t="s">
        <v>59</v>
      </c>
      <c r="D65" s="151"/>
      <c r="E65" s="156">
        <f>E64+E63-E62</f>
        <v>731.02858591016525</v>
      </c>
      <c r="F65" s="151">
        <f t="shared" ref="F65:L65" si="32">F64+F63-F62</f>
        <v>771.23515813522408</v>
      </c>
      <c r="G65" s="151">
        <f t="shared" si="32"/>
        <v>813.6530918326614</v>
      </c>
      <c r="H65" s="151">
        <f t="shared" si="32"/>
        <v>858.40401188345777</v>
      </c>
      <c r="I65" s="151">
        <f t="shared" si="32"/>
        <v>905.61623253704784</v>
      </c>
      <c r="J65" s="151">
        <f t="shared" si="32"/>
        <v>955.42512532658543</v>
      </c>
      <c r="K65" s="151">
        <f t="shared" si="32"/>
        <v>1007.9735072195476</v>
      </c>
      <c r="L65" s="151">
        <f t="shared" si="32"/>
        <v>1063.4120501166228</v>
      </c>
      <c r="M65" s="151">
        <f>M64+M63-M62</f>
        <v>1121.8997128730371</v>
      </c>
      <c r="N65" s="151">
        <f>N64+N63-N62</f>
        <v>1183.6041970810541</v>
      </c>
      <c r="O65" s="151">
        <f>O64+O63-O62</f>
        <v>1864.6792481803086</v>
      </c>
      <c r="P65" s="151">
        <f>P64+P63-P62</f>
        <v>1967.2366068302258</v>
      </c>
      <c r="Q65" s="151">
        <f t="shared" ref="Q65:X65" si="33">Q64+Q63-Q62</f>
        <v>2075.4346202058878</v>
      </c>
      <c r="R65" s="151">
        <f t="shared" si="33"/>
        <v>2189.5835243172119</v>
      </c>
      <c r="S65" s="151">
        <f t="shared" si="33"/>
        <v>2310.0106181546585</v>
      </c>
      <c r="T65" s="151">
        <f t="shared" si="33"/>
        <v>2437.0612021531647</v>
      </c>
      <c r="U65" s="151">
        <f t="shared" si="33"/>
        <v>2571.0995682715889</v>
      </c>
      <c r="V65" s="151">
        <f t="shared" si="33"/>
        <v>2712.5100445265261</v>
      </c>
      <c r="W65" s="151">
        <f t="shared" si="33"/>
        <v>2861.698096975485</v>
      </c>
      <c r="X65" s="152">
        <f t="shared" si="33"/>
        <v>3019.0914923091368</v>
      </c>
      <c r="Y65" s="156"/>
    </row>
    <row r="66" spans="2:25" hidden="1" outlineLevel="1">
      <c r="B66" s="452"/>
      <c r="C66" s="258" t="s">
        <v>60</v>
      </c>
      <c r="D66" s="151">
        <f>D76</f>
        <v>25489.73720863519</v>
      </c>
      <c r="E66" s="151">
        <f t="shared" ref="E66:X66" si="34">D66-E65+(F52*$B$76)</f>
        <v>24758.708622725026</v>
      </c>
      <c r="F66" s="151">
        <f t="shared" si="34"/>
        <v>23987.473464589802</v>
      </c>
      <c r="G66" s="151">
        <f t="shared" si="34"/>
        <v>23173.820372757142</v>
      </c>
      <c r="H66" s="151">
        <f t="shared" si="34"/>
        <v>22315.416360873685</v>
      </c>
      <c r="I66" s="151">
        <f t="shared" si="34"/>
        <v>21409.800128336639</v>
      </c>
      <c r="J66" s="151">
        <f t="shared" si="34"/>
        <v>20454.375003010053</v>
      </c>
      <c r="K66" s="151">
        <f t="shared" si="34"/>
        <v>19446.401495790506</v>
      </c>
      <c r="L66" s="151">
        <f t="shared" si="34"/>
        <v>18382.989445673884</v>
      </c>
      <c r="M66" s="151">
        <f t="shared" si="34"/>
        <v>17261.089732800847</v>
      </c>
      <c r="N66" s="151">
        <f t="shared" si="34"/>
        <v>24008.405021924209</v>
      </c>
      <c r="O66" s="151">
        <f t="shared" si="34"/>
        <v>22143.725773743899</v>
      </c>
      <c r="P66" s="151">
        <f t="shared" si="34"/>
        <v>20176.489166913674</v>
      </c>
      <c r="Q66" s="151">
        <f t="shared" si="34"/>
        <v>18101.054546707786</v>
      </c>
      <c r="R66" s="151">
        <f t="shared" si="34"/>
        <v>15911.471022390575</v>
      </c>
      <c r="S66" s="151">
        <f t="shared" si="34"/>
        <v>13601.460404235917</v>
      </c>
      <c r="T66" s="151">
        <f t="shared" si="34"/>
        <v>11164.399202082752</v>
      </c>
      <c r="U66" s="151">
        <f t="shared" si="34"/>
        <v>8593.2996338111625</v>
      </c>
      <c r="V66" s="151">
        <f t="shared" si="34"/>
        <v>5880.7895892846363</v>
      </c>
      <c r="W66" s="151">
        <f t="shared" si="34"/>
        <v>3019.0914923091514</v>
      </c>
      <c r="X66" s="152">
        <f t="shared" si="34"/>
        <v>1.4551915228366852E-11</v>
      </c>
      <c r="Y66" s="156"/>
    </row>
    <row r="67" spans="2:25" hidden="1" outlineLevel="1">
      <c r="B67" s="452"/>
      <c r="C67" s="125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2"/>
      <c r="Y67" s="156"/>
    </row>
    <row r="68" spans="2:25" hidden="1" outlineLevel="1">
      <c r="B68" s="452"/>
      <c r="C68" s="258" t="s">
        <v>162</v>
      </c>
      <c r="D68" s="151">
        <f>-INDEX('DATA (Nominal)'!$B$59:$BX$59,1,MATCH($B$1,'DATA (Nominal)'!$B$1:$BX$1,0))*'Resource Options'!$E$12/1000*1000000*(1+AFUDC!$C$12)</f>
        <v>-24575.567959202475</v>
      </c>
      <c r="E68" s="151">
        <f t="shared" ref="E68:X68" si="35">-$D68/20</f>
        <v>1228.7783979601238</v>
      </c>
      <c r="F68" s="151">
        <f t="shared" si="35"/>
        <v>1228.7783979601238</v>
      </c>
      <c r="G68" s="151">
        <f t="shared" si="35"/>
        <v>1228.7783979601238</v>
      </c>
      <c r="H68" s="151">
        <f t="shared" si="35"/>
        <v>1228.7783979601238</v>
      </c>
      <c r="I68" s="151">
        <f t="shared" si="35"/>
        <v>1228.7783979601238</v>
      </c>
      <c r="J68" s="151">
        <f t="shared" si="35"/>
        <v>1228.7783979601238</v>
      </c>
      <c r="K68" s="151">
        <f t="shared" si="35"/>
        <v>1228.7783979601238</v>
      </c>
      <c r="L68" s="151">
        <f t="shared" si="35"/>
        <v>1228.7783979601238</v>
      </c>
      <c r="M68" s="151">
        <f t="shared" si="35"/>
        <v>1228.7783979601238</v>
      </c>
      <c r="N68" s="151">
        <f t="shared" si="35"/>
        <v>1228.7783979601238</v>
      </c>
      <c r="O68" s="151">
        <f t="shared" si="35"/>
        <v>1228.7783979601238</v>
      </c>
      <c r="P68" s="151">
        <f t="shared" si="35"/>
        <v>1228.7783979601238</v>
      </c>
      <c r="Q68" s="151">
        <f t="shared" si="35"/>
        <v>1228.7783979601238</v>
      </c>
      <c r="R68" s="151">
        <f t="shared" si="35"/>
        <v>1228.7783979601238</v>
      </c>
      <c r="S68" s="151">
        <f t="shared" si="35"/>
        <v>1228.7783979601238</v>
      </c>
      <c r="T68" s="151">
        <f t="shared" si="35"/>
        <v>1228.7783979601238</v>
      </c>
      <c r="U68" s="151">
        <f t="shared" si="35"/>
        <v>1228.7783979601238</v>
      </c>
      <c r="V68" s="151">
        <f t="shared" si="35"/>
        <v>1228.7783979601238</v>
      </c>
      <c r="W68" s="151">
        <f t="shared" si="35"/>
        <v>1228.7783979601238</v>
      </c>
      <c r="X68" s="152">
        <f t="shared" si="35"/>
        <v>1228.7783979601238</v>
      </c>
      <c r="Y68" s="156"/>
    </row>
    <row r="69" spans="2:25" s="146" customFormat="1" hidden="1" outlineLevel="1">
      <c r="B69" s="458"/>
      <c r="C69" s="258" t="s">
        <v>163</v>
      </c>
      <c r="D69" s="151">
        <f>-INDEX('DATA (Nominal)'!$B$60:$BX$60,1,MATCH($B$1,'DATA (Nominal)'!$B$1:$BX$1,0))*1000000*(1+AFUDC!$D$12)*'Resource Options'!$D$12/1000</f>
        <v>-16822.56140064455</v>
      </c>
      <c r="E69" s="151">
        <f>-$D69/10</f>
        <v>1682.2561400644549</v>
      </c>
      <c r="F69" s="151">
        <f t="shared" ref="F69:N69" si="36">-$D69/10</f>
        <v>1682.2561400644549</v>
      </c>
      <c r="G69" s="151">
        <f t="shared" si="36"/>
        <v>1682.2561400644549</v>
      </c>
      <c r="H69" s="151">
        <f t="shared" si="36"/>
        <v>1682.2561400644549</v>
      </c>
      <c r="I69" s="151">
        <f t="shared" si="36"/>
        <v>1682.2561400644549</v>
      </c>
      <c r="J69" s="151">
        <f t="shared" si="36"/>
        <v>1682.2561400644549</v>
      </c>
      <c r="K69" s="151">
        <f t="shared" si="36"/>
        <v>1682.2561400644549</v>
      </c>
      <c r="L69" s="151">
        <f t="shared" si="36"/>
        <v>1682.2561400644549</v>
      </c>
      <c r="M69" s="151">
        <f t="shared" si="36"/>
        <v>1682.2561400644549</v>
      </c>
      <c r="N69" s="151">
        <f t="shared" si="36"/>
        <v>1682.2561400644549</v>
      </c>
      <c r="O69" s="151">
        <f>$O52/10</f>
        <v>1046.2954467288148</v>
      </c>
      <c r="P69" s="151">
        <f t="shared" ref="P69:X69" si="37">$O52/10</f>
        <v>1046.2954467288148</v>
      </c>
      <c r="Q69" s="151">
        <f t="shared" si="37"/>
        <v>1046.2954467288148</v>
      </c>
      <c r="R69" s="151">
        <f t="shared" si="37"/>
        <v>1046.2954467288148</v>
      </c>
      <c r="S69" s="151">
        <f t="shared" si="37"/>
        <v>1046.2954467288148</v>
      </c>
      <c r="T69" s="151">
        <f t="shared" si="37"/>
        <v>1046.2954467288148</v>
      </c>
      <c r="U69" s="151">
        <f t="shared" si="37"/>
        <v>1046.2954467288148</v>
      </c>
      <c r="V69" s="151">
        <f t="shared" si="37"/>
        <v>1046.2954467288148</v>
      </c>
      <c r="W69" s="151">
        <f t="shared" si="37"/>
        <v>1046.2954467288148</v>
      </c>
      <c r="X69" s="152">
        <f t="shared" si="37"/>
        <v>1046.2954467288148</v>
      </c>
      <c r="Y69" s="156"/>
    </row>
    <row r="70" spans="2:25" s="146" customFormat="1" hidden="1" outlineLevel="1">
      <c r="B70" s="458"/>
      <c r="C70" s="125" t="s">
        <v>62</v>
      </c>
      <c r="D70" s="151"/>
      <c r="E70" s="151">
        <f>SUM($E68:E69)</f>
        <v>2911.034538024579</v>
      </c>
      <c r="F70" s="151">
        <f>SUM($E68:F69)</f>
        <v>5822.069076049158</v>
      </c>
      <c r="G70" s="151">
        <f>SUM($E68:G69)</f>
        <v>8733.1036140737378</v>
      </c>
      <c r="H70" s="151">
        <f>SUM($E68:H69)</f>
        <v>11644.138152098316</v>
      </c>
      <c r="I70" s="151">
        <f>SUM($E68:I69)</f>
        <v>14555.172690122896</v>
      </c>
      <c r="J70" s="151">
        <f>SUM($E68:J69)</f>
        <v>17466.207228147472</v>
      </c>
      <c r="K70" s="151">
        <f>SUM($E68:K69)</f>
        <v>20377.241766172054</v>
      </c>
      <c r="L70" s="151">
        <f>SUM($E68:L69)</f>
        <v>23288.276304196632</v>
      </c>
      <c r="M70" s="151">
        <f>SUM($E68:M69)</f>
        <v>26199.310842221214</v>
      </c>
      <c r="N70" s="151">
        <f>SUM($E68:N69)</f>
        <v>29110.345380245792</v>
      </c>
      <c r="O70" s="151">
        <f>SUM($E68:O69)</f>
        <v>31385.419224934732</v>
      </c>
      <c r="P70" s="151">
        <f>SUM($E68:P69)</f>
        <v>33660.49306962367</v>
      </c>
      <c r="Q70" s="151">
        <f>SUM($E68:Q69)</f>
        <v>35935.566914312607</v>
      </c>
      <c r="R70" s="151">
        <f>SUM($E68:R69)</f>
        <v>38210.640759001544</v>
      </c>
      <c r="S70" s="151">
        <f>SUM($E68:S69)</f>
        <v>40485.714603690481</v>
      </c>
      <c r="T70" s="151">
        <f>SUM($E68:T69)</f>
        <v>42760.788448379419</v>
      </c>
      <c r="U70" s="151">
        <f>SUM($E68:U69)</f>
        <v>45035.862293068356</v>
      </c>
      <c r="V70" s="151">
        <f>SUM($E68:V69)</f>
        <v>47310.936137757293</v>
      </c>
      <c r="W70" s="151">
        <f>SUM($E68:W69)</f>
        <v>49586.00998244623</v>
      </c>
      <c r="X70" s="152">
        <f>SUM($E68:X69)</f>
        <v>51861.083827135168</v>
      </c>
      <c r="Y70" s="156"/>
    </row>
    <row r="71" spans="2:25" s="146" customFormat="1" hidden="1" outlineLevel="1">
      <c r="B71" s="458"/>
      <c r="C71" s="125" t="s">
        <v>63</v>
      </c>
      <c r="D71" s="151"/>
      <c r="E71" s="151">
        <f>-$D59-E70</f>
        <v>38487.094821822444</v>
      </c>
      <c r="F71" s="151">
        <f t="shared" ref="F71:G71" si="38">-$D59-F70</f>
        <v>35576.060283797866</v>
      </c>
      <c r="G71" s="151">
        <f t="shared" si="38"/>
        <v>32665.025745773284</v>
      </c>
      <c r="H71" s="156">
        <f>-$D59-H70</f>
        <v>29753.991207748706</v>
      </c>
      <c r="I71" s="151">
        <f t="shared" ref="I71:L71" si="39">-$D59-I70</f>
        <v>26842.956669724124</v>
      </c>
      <c r="J71" s="151">
        <f t="shared" si="39"/>
        <v>23931.92213169955</v>
      </c>
      <c r="K71" s="151">
        <f t="shared" si="39"/>
        <v>21020.887593674968</v>
      </c>
      <c r="L71" s="151">
        <f t="shared" si="39"/>
        <v>18109.85305565039</v>
      </c>
      <c r="M71" s="151">
        <f>-$D59-M70</f>
        <v>15198.818517625808</v>
      </c>
      <c r="N71" s="151">
        <f>-$D59-N70</f>
        <v>12287.78397960123</v>
      </c>
      <c r="O71" s="151">
        <f>-$D59-O70+$O52</f>
        <v>20475.664602200435</v>
      </c>
      <c r="P71" s="151">
        <f t="shared" ref="P71:X71" si="40">-$D59-P70+$O52</f>
        <v>18200.590757511498</v>
      </c>
      <c r="Q71" s="151">
        <f t="shared" si="40"/>
        <v>15925.516912822563</v>
      </c>
      <c r="R71" s="151">
        <f t="shared" si="40"/>
        <v>13650.443068133625</v>
      </c>
      <c r="S71" s="151">
        <f t="shared" si="40"/>
        <v>11375.369223444688</v>
      </c>
      <c r="T71" s="151">
        <f t="shared" si="40"/>
        <v>9100.2953787557508</v>
      </c>
      <c r="U71" s="151">
        <f t="shared" si="40"/>
        <v>6825.2215340668135</v>
      </c>
      <c r="V71" s="151">
        <f t="shared" si="40"/>
        <v>4550.1476893778763</v>
      </c>
      <c r="W71" s="151">
        <f t="shared" si="40"/>
        <v>2275.0738446889391</v>
      </c>
      <c r="X71" s="152">
        <f t="shared" si="40"/>
        <v>0</v>
      </c>
      <c r="Y71" s="156"/>
    </row>
    <row r="72" spans="2:25" s="146" customFormat="1" hidden="1" outlineLevel="1">
      <c r="B72" s="458"/>
      <c r="C72" s="258" t="s">
        <v>65</v>
      </c>
      <c r="D72" s="151"/>
      <c r="E72" s="151">
        <f>-$D59*Assumptions!J$12*INDEX('DATA (Nominal)'!$B$342:$BX$342,1,MATCH($B$1,'DATA (Nominal)'!$B$1:$BX$1,0))</f>
        <v>7037.681991173994</v>
      </c>
      <c r="F72" s="151">
        <f>-$D59*Assumptions!K$12*INDEX('DATA (Nominal)'!$B$342:$BX$342,1,MATCH($B$1,'DATA (Nominal)'!$B$1:$BX$1,0))</f>
        <v>11260.29118587839</v>
      </c>
      <c r="G72" s="151">
        <f>-$D59*Assumptions!L$12*INDEX('DATA (Nominal)'!$B$342:$BX$342,1,MATCH($B$1,'DATA (Nominal)'!$B$1:$BX$1,0))</f>
        <v>6756.1747115270337</v>
      </c>
      <c r="H72" s="151">
        <f>-$D59*Assumptions!M$12*INDEX('DATA (Nominal)'!$B$342:$BX$342,1,MATCH($B$1,'DATA (Nominal)'!$B$1:$BX$1,0))</f>
        <v>4053.7048269162201</v>
      </c>
      <c r="I72" s="151">
        <f>-$D59*Assumptions!N$12*INDEX('DATA (Nominal)'!$B$342:$BX$342,1,MATCH($B$1,'DATA (Nominal)'!$B$1:$BX$1,0))</f>
        <v>4053.7048269162201</v>
      </c>
      <c r="J72" s="151">
        <f>-$D59*Assumptions!O$12*INDEX('DATA (Nominal)'!$B$342:$BX$342,1,MATCH($B$1,'DATA (Nominal)'!$B$1:$BX$1,0))</f>
        <v>2026.85241345811</v>
      </c>
      <c r="K72" s="151">
        <f>-$D59*Assumptions!P$12*INDEX('DATA (Nominal)'!$B$342:$BX$342,1,MATCH($B$1,'DATA (Nominal)'!$B$1:$BX$1,0))</f>
        <v>0</v>
      </c>
      <c r="L72" s="151">
        <f>-$D59*Assumptions!Q$12*INDEX('DATA (Nominal)'!$B$342:$BX$342,1,MATCH($B$1,'DATA (Nominal)'!$B$1:$BX$1,0))</f>
        <v>0</v>
      </c>
      <c r="M72" s="151">
        <f>-$D59*Assumptions!R$12*INDEX('DATA (Nominal)'!$B$342:$BX$342,1,MATCH($B$1,'DATA (Nominal)'!$B$1:$BX$1,0))</f>
        <v>0</v>
      </c>
      <c r="N72" s="151">
        <f>-$D59*Assumptions!S$12*INDEX('DATA (Nominal)'!$B$342:$BX$342,1,MATCH($B$1,'DATA (Nominal)'!$B$1:$BX$1,0))</f>
        <v>0</v>
      </c>
      <c r="O72" s="151">
        <f>$O52*Assumptions!T$12</f>
        <v>1494.7376751967847</v>
      </c>
      <c r="P72" s="151">
        <f>$O52*Assumptions!U$12</f>
        <v>2562.3775490388675</v>
      </c>
      <c r="Q72" s="151">
        <f>$O52*Assumptions!V$12</f>
        <v>1830.2846249627157</v>
      </c>
      <c r="R72" s="151">
        <f>$O52*Assumptions!W$12</f>
        <v>1307.346160687654</v>
      </c>
      <c r="S72" s="151">
        <f>$O52*Assumptions!X$12</f>
        <v>933.81868620546709</v>
      </c>
      <c r="T72" s="151">
        <f>$O52*Assumptions!Y$12</f>
        <v>933.81868620546709</v>
      </c>
      <c r="U72" s="151">
        <f>$O52*Assumptions!Z$12</f>
        <v>933.81868620546709</v>
      </c>
      <c r="V72" s="151">
        <f>$O52*Assumptions!AA$12</f>
        <v>466.75239878572421</v>
      </c>
      <c r="W72" s="151">
        <f>$O52*Assumptions!AB$12</f>
        <v>0</v>
      </c>
      <c r="X72" s="160">
        <f>$O52*Assumptions!AC$12</f>
        <v>0</v>
      </c>
      <c r="Y72" s="156"/>
    </row>
    <row r="73" spans="2:25" ht="15.75" hidden="1" outlineLevel="1" thickBot="1">
      <c r="B73" s="452"/>
      <c r="C73" s="127" t="s">
        <v>66</v>
      </c>
      <c r="D73" s="157"/>
      <c r="E73" s="157">
        <f>E72*Federal_Tax_Rate</f>
        <v>1477.9132181465386</v>
      </c>
      <c r="F73" s="157">
        <f>F72*Federal_Tax_Rate</f>
        <v>2364.6611490344617</v>
      </c>
      <c r="G73" s="157">
        <f t="shared" ref="G73:M73" si="41">G72*Federal_Tax_Rate</f>
        <v>1418.796689420677</v>
      </c>
      <c r="H73" s="157">
        <f t="shared" si="41"/>
        <v>851.27801365240623</v>
      </c>
      <c r="I73" s="157">
        <f t="shared" si="41"/>
        <v>851.27801365240623</v>
      </c>
      <c r="J73" s="157">
        <f t="shared" si="41"/>
        <v>425.63900682620311</v>
      </c>
      <c r="K73" s="157">
        <f t="shared" si="41"/>
        <v>0</v>
      </c>
      <c r="L73" s="157">
        <f t="shared" si="41"/>
        <v>0</v>
      </c>
      <c r="M73" s="157">
        <f t="shared" si="41"/>
        <v>0</v>
      </c>
      <c r="N73" s="157">
        <f>N72*Federal_Tax_Rate</f>
        <v>0</v>
      </c>
      <c r="O73" s="157">
        <f>O72*Federal_Tax_Rate</f>
        <v>313.89491179132477</v>
      </c>
      <c r="P73" s="157">
        <f t="shared" ref="P73:X73" si="42">P72*Federal_Tax_Rate</f>
        <v>538.09928529816216</v>
      </c>
      <c r="Q73" s="157">
        <f t="shared" si="42"/>
        <v>384.35977124217027</v>
      </c>
      <c r="R73" s="157">
        <f t="shared" si="42"/>
        <v>274.5426937444073</v>
      </c>
      <c r="S73" s="157">
        <f t="shared" si="42"/>
        <v>196.10192410314809</v>
      </c>
      <c r="T73" s="157">
        <f t="shared" si="42"/>
        <v>196.10192410314809</v>
      </c>
      <c r="U73" s="157">
        <f t="shared" si="42"/>
        <v>196.10192410314809</v>
      </c>
      <c r="V73" s="157">
        <f t="shared" si="42"/>
        <v>98.018003745002076</v>
      </c>
      <c r="W73" s="157">
        <f t="shared" si="42"/>
        <v>0</v>
      </c>
      <c r="X73" s="158">
        <f t="shared" si="42"/>
        <v>0</v>
      </c>
      <c r="Y73" s="156"/>
    </row>
    <row r="74" spans="2:25" hidden="1" outlineLevel="1">
      <c r="B74" s="452"/>
      <c r="C74" s="128" t="s">
        <v>67</v>
      </c>
      <c r="D74" s="104">
        <f>NPV(Tax_Equity_Rate,E73:N73)</f>
        <v>5995.3455596704216</v>
      </c>
      <c r="E74" s="105">
        <f>D74/D78</f>
        <v>0.14482165383746645</v>
      </c>
      <c r="F74" s="254"/>
      <c r="G74" s="254"/>
      <c r="H74" s="254"/>
      <c r="I74" s="254"/>
      <c r="J74" s="254"/>
      <c r="K74" s="254"/>
      <c r="L74" s="254"/>
      <c r="M74" s="261"/>
      <c r="N74" s="261"/>
      <c r="O74" s="261"/>
      <c r="P74" s="261"/>
      <c r="Q74" s="261"/>
      <c r="R74" s="261"/>
      <c r="S74" s="261"/>
      <c r="T74" s="261"/>
      <c r="U74" s="261"/>
      <c r="V74" s="261"/>
      <c r="W74" s="261"/>
      <c r="X74" s="261"/>
      <c r="Y74" s="261"/>
    </row>
    <row r="75" spans="2:25" hidden="1" outlineLevel="1">
      <c r="B75" s="452"/>
      <c r="C75" s="125" t="s">
        <v>79</v>
      </c>
      <c r="D75" s="106">
        <f>NPV(Tax_Equity_Rate,E56:X56)</f>
        <v>1775.1621529006252</v>
      </c>
      <c r="E75" s="107">
        <f>D75/D78</f>
        <v>4.2880250396589055E-2</v>
      </c>
    </row>
    <row r="76" spans="2:25" hidden="1" outlineLevel="1">
      <c r="B76" s="22">
        <f>Assumptions!F12</f>
        <v>0.75800000000000001</v>
      </c>
      <c r="C76" s="125" t="s">
        <v>68</v>
      </c>
      <c r="D76" s="106">
        <f>(D78-D74-D75)*$B76</f>
        <v>25489.73720863519</v>
      </c>
      <c r="E76" s="107">
        <f>D76/D78</f>
        <v>0.61572195659058593</v>
      </c>
    </row>
    <row r="77" spans="2:25" hidden="1" outlineLevel="1">
      <c r="B77" s="22">
        <f>1-B76</f>
        <v>0.24199999999999999</v>
      </c>
      <c r="C77" s="125" t="s">
        <v>69</v>
      </c>
      <c r="D77" s="106">
        <f>(D78-D74-D75)*$B77</f>
        <v>8137.8844386407864</v>
      </c>
      <c r="E77" s="107">
        <f>D77/D78</f>
        <v>0.19657613917535857</v>
      </c>
    </row>
    <row r="78" spans="2:25" hidden="1" outlineLevel="1">
      <c r="C78" s="125" t="s">
        <v>70</v>
      </c>
      <c r="D78" s="106">
        <f>-D59</f>
        <v>41398.129359847022</v>
      </c>
      <c r="E78" s="108"/>
    </row>
    <row r="79" spans="2:25" ht="15.75" hidden="1" outlineLevel="1" thickBot="1">
      <c r="C79" s="127" t="s">
        <v>71</v>
      </c>
      <c r="D79" s="109">
        <f>SUM(D74:D77)-D78</f>
        <v>0</v>
      </c>
      <c r="E79" s="110"/>
    </row>
    <row r="80" spans="2:25" hidden="1" outlineLevel="1"/>
    <row r="81" spans="1:25" ht="15.75" collapsed="1" thickBot="1"/>
    <row r="82" spans="1:25" ht="18.75" thickBot="1">
      <c r="B82" s="82"/>
      <c r="C82" s="484" t="s">
        <v>131</v>
      </c>
      <c r="D82" s="485"/>
      <c r="E82" s="485"/>
      <c r="F82" s="485"/>
      <c r="G82" s="485"/>
      <c r="H82" s="486"/>
      <c r="Y82" s="261"/>
    </row>
    <row r="83" spans="1:25" hidden="1" outlineLevel="1">
      <c r="C83" s="124" t="s">
        <v>44</v>
      </c>
      <c r="D83" s="98"/>
      <c r="E83" s="98">
        <f>'Resource Options'!$E$13*INDEX('DATA (Nominal)'!$B$13:$BX$13,1,MATCH($B$1,'DATA (Nominal)'!$B$1:$BX$1,0))*8760</f>
        <v>8.6424979367249435</v>
      </c>
      <c r="F83" s="98">
        <f>E83</f>
        <v>8.6424979367249435</v>
      </c>
      <c r="G83" s="98">
        <f t="shared" ref="G83:X84" si="43">F83</f>
        <v>8.6424979367249435</v>
      </c>
      <c r="H83" s="98">
        <f t="shared" si="43"/>
        <v>8.6424979367249435</v>
      </c>
      <c r="I83" s="98">
        <f t="shared" si="43"/>
        <v>8.6424979367249435</v>
      </c>
      <c r="J83" s="98">
        <f t="shared" si="43"/>
        <v>8.6424979367249435</v>
      </c>
      <c r="K83" s="98">
        <f t="shared" si="43"/>
        <v>8.6424979367249435</v>
      </c>
      <c r="L83" s="98">
        <f t="shared" si="43"/>
        <v>8.6424979367249435</v>
      </c>
      <c r="M83" s="142">
        <f t="shared" si="43"/>
        <v>8.6424979367249435</v>
      </c>
      <c r="N83" s="142">
        <f t="shared" si="43"/>
        <v>8.6424979367249435</v>
      </c>
      <c r="O83" s="142">
        <f t="shared" si="43"/>
        <v>8.6424979367249435</v>
      </c>
      <c r="P83" s="142">
        <f t="shared" si="43"/>
        <v>8.6424979367249435</v>
      </c>
      <c r="Q83" s="142">
        <f t="shared" si="43"/>
        <v>8.6424979367249435</v>
      </c>
      <c r="R83" s="142">
        <f t="shared" si="43"/>
        <v>8.6424979367249435</v>
      </c>
      <c r="S83" s="142">
        <f t="shared" si="43"/>
        <v>8.6424979367249435</v>
      </c>
      <c r="T83" s="142">
        <f t="shared" si="43"/>
        <v>8.6424979367249435</v>
      </c>
      <c r="U83" s="142">
        <f t="shared" si="43"/>
        <v>8.6424979367249435</v>
      </c>
      <c r="V83" s="142">
        <f t="shared" si="43"/>
        <v>8.6424979367249435</v>
      </c>
      <c r="W83" s="142">
        <f t="shared" si="43"/>
        <v>8.6424979367249435</v>
      </c>
      <c r="X83" s="454">
        <f t="shared" si="43"/>
        <v>8.6424979367249435</v>
      </c>
      <c r="Y83" s="261"/>
    </row>
    <row r="84" spans="1:25" hidden="1" outlineLevel="1">
      <c r="C84" s="125" t="s">
        <v>45</v>
      </c>
      <c r="D84" s="114"/>
      <c r="E84" s="117">
        <f>INDEX('PPA Summary'!$3:$34,MATCH(_xlfn.CONCAT($C82,$C$1),'PPA Summary'!$D$3:$D$34,0),MATCH(B$1,'PPA Summary'!$2:$2,0))</f>
        <v>271.94680959612634</v>
      </c>
      <c r="F84" s="112">
        <f>E84</f>
        <v>271.94680959612634</v>
      </c>
      <c r="G84" s="112">
        <f t="shared" si="43"/>
        <v>271.94680959612634</v>
      </c>
      <c r="H84" s="112">
        <f t="shared" si="43"/>
        <v>271.94680959612634</v>
      </c>
      <c r="I84" s="112">
        <f t="shared" si="43"/>
        <v>271.94680959612634</v>
      </c>
      <c r="J84" s="112">
        <f t="shared" si="43"/>
        <v>271.94680959612634</v>
      </c>
      <c r="K84" s="112">
        <f t="shared" si="43"/>
        <v>271.94680959612634</v>
      </c>
      <c r="L84" s="112">
        <f t="shared" si="43"/>
        <v>271.94680959612634</v>
      </c>
      <c r="M84" s="117">
        <f t="shared" si="43"/>
        <v>271.94680959612634</v>
      </c>
      <c r="N84" s="117">
        <f t="shared" si="43"/>
        <v>271.94680959612634</v>
      </c>
      <c r="O84" s="117">
        <f t="shared" si="43"/>
        <v>271.94680959612634</v>
      </c>
      <c r="P84" s="117">
        <f t="shared" si="43"/>
        <v>271.94680959612634</v>
      </c>
      <c r="Q84" s="117">
        <f t="shared" si="43"/>
        <v>271.94680959612634</v>
      </c>
      <c r="R84" s="117">
        <f t="shared" si="43"/>
        <v>271.94680959612634</v>
      </c>
      <c r="S84" s="117">
        <f t="shared" si="43"/>
        <v>271.94680959612634</v>
      </c>
      <c r="T84" s="117">
        <f t="shared" si="43"/>
        <v>271.94680959612634</v>
      </c>
      <c r="U84" s="117">
        <f t="shared" si="43"/>
        <v>271.94680959612634</v>
      </c>
      <c r="V84" s="117">
        <f t="shared" si="43"/>
        <v>271.94680959612634</v>
      </c>
      <c r="W84" s="117">
        <f t="shared" si="43"/>
        <v>271.94680959612634</v>
      </c>
      <c r="X84" s="161">
        <f t="shared" si="43"/>
        <v>271.94680959612634</v>
      </c>
      <c r="Y84" s="261"/>
    </row>
    <row r="85" spans="1:25" hidden="1" outlineLevel="1">
      <c r="C85" s="258" t="s">
        <v>46</v>
      </c>
      <c r="D85" s="114"/>
      <c r="E85" s="114">
        <f>E84*E83</f>
        <v>2350.2997408334531</v>
      </c>
      <c r="F85" s="114">
        <f t="shared" ref="F85:X85" si="44">F84*F83</f>
        <v>2350.2997408334531</v>
      </c>
      <c r="G85" s="114">
        <f t="shared" si="44"/>
        <v>2350.2997408334531</v>
      </c>
      <c r="H85" s="114">
        <f t="shared" si="44"/>
        <v>2350.2997408334531</v>
      </c>
      <c r="I85" s="114">
        <f t="shared" si="44"/>
        <v>2350.2997408334531</v>
      </c>
      <c r="J85" s="114">
        <f t="shared" si="44"/>
        <v>2350.2997408334531</v>
      </c>
      <c r="K85" s="114">
        <f t="shared" si="44"/>
        <v>2350.2997408334531</v>
      </c>
      <c r="L85" s="114">
        <f t="shared" si="44"/>
        <v>2350.2997408334531</v>
      </c>
      <c r="M85" s="93">
        <f t="shared" si="44"/>
        <v>2350.2997408334531</v>
      </c>
      <c r="N85" s="93">
        <f t="shared" si="44"/>
        <v>2350.2997408334531</v>
      </c>
      <c r="O85" s="93">
        <f t="shared" si="44"/>
        <v>2350.2997408334531</v>
      </c>
      <c r="P85" s="93">
        <f t="shared" si="44"/>
        <v>2350.2997408334531</v>
      </c>
      <c r="Q85" s="93">
        <f t="shared" si="44"/>
        <v>2350.2997408334531</v>
      </c>
      <c r="R85" s="93">
        <f t="shared" si="44"/>
        <v>2350.2997408334531</v>
      </c>
      <c r="S85" s="93">
        <f t="shared" si="44"/>
        <v>2350.2997408334531</v>
      </c>
      <c r="T85" s="93">
        <f t="shared" si="44"/>
        <v>2350.2997408334531</v>
      </c>
      <c r="U85" s="93">
        <f t="shared" si="44"/>
        <v>2350.2997408334531</v>
      </c>
      <c r="V85" s="93">
        <f t="shared" si="44"/>
        <v>2350.2997408334531</v>
      </c>
      <c r="W85" s="93">
        <f t="shared" si="44"/>
        <v>2350.2997408334531</v>
      </c>
      <c r="X85" s="161">
        <f t="shared" si="44"/>
        <v>2350.2997408334531</v>
      </c>
      <c r="Y85" s="261"/>
    </row>
    <row r="86" spans="1:25" hidden="1" outlineLevel="1">
      <c r="C86" s="258"/>
      <c r="D86" s="114"/>
      <c r="E86" s="114"/>
      <c r="F86" s="114"/>
      <c r="G86" s="114"/>
      <c r="H86" s="114"/>
      <c r="I86" s="114"/>
      <c r="J86" s="114"/>
      <c r="K86" s="114"/>
      <c r="L86" s="114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161"/>
      <c r="Y86" s="261"/>
    </row>
    <row r="87" spans="1:25" hidden="1" outlineLevel="1">
      <c r="B87" s="92"/>
      <c r="C87" s="125" t="s">
        <v>47</v>
      </c>
      <c r="D87" s="114"/>
      <c r="E87" s="114">
        <f>'Resource Options'!$E$13*INDEX('DATA (Nominal)'!$B$180:$BX$180,1,MATCH(E$1,'DATA (Nominal)'!$B$1:$BX$1,0))*1000</f>
        <v>158.76886372805325</v>
      </c>
      <c r="F87" s="114">
        <f>'Resource Options'!$E$13*INDEX('DATA (Nominal)'!$B$180:$BX$180,1,MATCH(F$1,'DATA (Nominal)'!$B$1:$BX$1,0))*1000</f>
        <v>149.42817126650451</v>
      </c>
      <c r="G87" s="114">
        <f>'Resource Options'!$E$13*INDEX('DATA (Nominal)'!$B$180:$BX$180,1,MATCH(G$1,'DATA (Nominal)'!$B$1:$BX$1,0))*1000</f>
        <v>139.59107082730935</v>
      </c>
      <c r="H87" s="114">
        <f>'Resource Options'!$E$13*INDEX('DATA (Nominal)'!$B$180:$BX$180,1,MATCH(H$1,'DATA (Nominal)'!$B$1:$BX$1,0))*1000</f>
        <v>129.19790953688511</v>
      </c>
      <c r="I87" s="114">
        <f>'Resource Options'!$E$13*INDEX('DATA (Nominal)'!$B$180:$BX$180,1,MATCH(I$1,'DATA (Nominal)'!$B$1:$BX$1,0))*1000</f>
        <v>118.27988707140187</v>
      </c>
      <c r="J87" s="114">
        <f>'Resource Options'!$E$13*INDEX('DATA (Nominal)'!$B$180:$BX$180,1,MATCH(J$1,'DATA (Nominal)'!$B$1:$BX$1,0))*1000</f>
        <v>106.81893982922148</v>
      </c>
      <c r="K87" s="114">
        <f>'Resource Options'!$E$13*INDEX('DATA (Nominal)'!$B$180:$BX$180,1,MATCH(K$1,'DATA (Nominal)'!$B$1:$BX$1,0))*1000</f>
        <v>108.27675549270886</v>
      </c>
      <c r="L87" s="114">
        <f>'Resource Options'!$E$13*INDEX('DATA (Nominal)'!$B$180:$BX$180,1,MATCH(L$1,'DATA (Nominal)'!$B$1:$BX$1,0))*1000</f>
        <v>109.74701467851236</v>
      </c>
      <c r="M87" s="93">
        <f>'Resource Options'!$E$13*INDEX('DATA (Nominal)'!$B$180:$BX$180,1,MATCH(M$1,'DATA (Nominal)'!$B$1:$BX$1,0))*1000</f>
        <v>111.22955931883271</v>
      </c>
      <c r="N87" s="93">
        <f>'Resource Options'!$E$13*INDEX('DATA (Nominal)'!$B$180:$BX$180,1,MATCH(N$1,'DATA (Nominal)'!$B$1:$BX$1,0))*1000</f>
        <v>112.72421836822279</v>
      </c>
      <c r="O87" s="93">
        <f>'Resource Options'!$E$13*INDEX('DATA (Nominal)'!$B$180:$BX$180,1,MATCH(O$1,'DATA (Nominal)'!$B$1:$BX$1,0))*1000</f>
        <v>114.23080730907569</v>
      </c>
      <c r="P87" s="93">
        <f>'Resource Options'!$E$13*INDEX('DATA (Nominal)'!$B$180:$BX$180,1,MATCH(P$1,'DATA (Nominal)'!$B$1:$BX$1,0))*1000</f>
        <v>115.74912764163592</v>
      </c>
      <c r="Q87" s="93">
        <f>'Resource Options'!$E$13*INDEX('DATA (Nominal)'!$B$180:$BX$180,1,MATCH(Q$1,'DATA (Nominal)'!$B$1:$BX$1,0))*1000</f>
        <v>117.2789663580912</v>
      </c>
      <c r="R87" s="93">
        <f>'Resource Options'!$E$13*INDEX('DATA (Nominal)'!$B$180:$BX$180,1,MATCH(R$1,'DATA (Nominal)'!$B$1:$BX$1,0))*1000</f>
        <v>118.82009540029195</v>
      </c>
      <c r="S87" s="93">
        <f>'Resource Options'!$E$13*INDEX('DATA (Nominal)'!$B$180:$BX$180,1,MATCH(S$1,'DATA (Nominal)'!$B$1:$BX$1,0))*1000</f>
        <v>120.37227110063225</v>
      </c>
      <c r="T87" s="93">
        <f>'Resource Options'!$E$13*INDEX('DATA (Nominal)'!$B$180:$BX$180,1,MATCH(T$1,'DATA (Nominal)'!$B$1:$BX$1,0))*1000</f>
        <v>121.93523360561375</v>
      </c>
      <c r="U87" s="93">
        <f>'Resource Options'!$E$13*INDEX('DATA (Nominal)'!$B$180:$BX$180,1,MATCH(U$1,'DATA (Nominal)'!$B$1:$BX$1,0))*1000</f>
        <v>123.5087062816017</v>
      </c>
      <c r="V87" s="93">
        <f>'Resource Options'!$E$13*INDEX('DATA (Nominal)'!$B$180:$BX$180,1,MATCH(V$1,'DATA (Nominal)'!$B$1:$BX$1,0))*1000</f>
        <v>125.09239510226807</v>
      </c>
      <c r="W87" s="93">
        <f>'Resource Options'!$E$13*INDEX('DATA (Nominal)'!$B$180:$BX$180,1,MATCH(W$1,'DATA (Nominal)'!$B$1:$BX$1,0))*1000</f>
        <v>126.68598801720343</v>
      </c>
      <c r="X87" s="161">
        <f>'Resource Options'!$E$13*INDEX('DATA (Nominal)'!$B$180:$BX$180,1,MATCH(X$1,'DATA (Nominal)'!$B$1:$BX$1,0))*1000</f>
        <v>128.28915430116643</v>
      </c>
      <c r="Y87" s="261"/>
    </row>
    <row r="88" spans="1:25" hidden="1" outlineLevel="1">
      <c r="C88" s="125" t="s">
        <v>48</v>
      </c>
      <c r="D88" s="114"/>
      <c r="E88" s="93">
        <f>E83*INDEX('DATA (Nominal)'!$B$108:$BX$108,1,MATCH(E$1,'DATA (Nominal)'!$B$1:$BX$1,0))</f>
        <v>0</v>
      </c>
      <c r="F88" s="114">
        <f>F83*INDEX('DATA (Nominal)'!$B$108:$BX$108,1,MATCH(F$1,'DATA (Nominal)'!$B$1:$BX$1,0))</f>
        <v>0</v>
      </c>
      <c r="G88" s="114">
        <f>G83*INDEX('DATA (Nominal)'!$B$108:$BX$108,1,MATCH(G$1,'DATA (Nominal)'!$B$1:$BX$1,0))</f>
        <v>0</v>
      </c>
      <c r="H88" s="114">
        <f>H83*INDEX('DATA (Nominal)'!$B$108:$BX$108,1,MATCH(H$1,'DATA (Nominal)'!$B$1:$BX$1,0))</f>
        <v>0</v>
      </c>
      <c r="I88" s="114">
        <f>I83*INDEX('DATA (Nominal)'!$B$108:$BX$108,1,MATCH(I$1,'DATA (Nominal)'!$B$1:$BX$1,0))</f>
        <v>0</v>
      </c>
      <c r="J88" s="114">
        <f>J83*INDEX('DATA (Nominal)'!$B$108:$BX$108,1,MATCH(J$1,'DATA (Nominal)'!$B$1:$BX$1,0))</f>
        <v>0</v>
      </c>
      <c r="K88" s="114">
        <f>K83*INDEX('DATA (Nominal)'!$B$108:$BX$108,1,MATCH(K$1,'DATA (Nominal)'!$B$1:$BX$1,0))</f>
        <v>0</v>
      </c>
      <c r="L88" s="114">
        <f>L83*INDEX('DATA (Nominal)'!$B$108:$BX$108,1,MATCH(L$1,'DATA (Nominal)'!$B$1:$BX$1,0))</f>
        <v>0</v>
      </c>
      <c r="M88" s="93">
        <f>M83*INDEX('DATA (Nominal)'!$B$108:$BX$108,1,MATCH(M$1,'DATA (Nominal)'!$B$1:$BX$1,0))</f>
        <v>0</v>
      </c>
      <c r="N88" s="93">
        <f>N83*INDEX('DATA (Nominal)'!$B$108:$BX$108,1,MATCH(N$1,'DATA (Nominal)'!$B$1:$BX$1,0))</f>
        <v>0</v>
      </c>
      <c r="O88" s="93">
        <f>O83*INDEX('DATA (Nominal)'!$B$108:$BX$108,1,MATCH(O$1,'DATA (Nominal)'!$B$1:$BX$1,0))</f>
        <v>0</v>
      </c>
      <c r="P88" s="93">
        <f>P83*INDEX('DATA (Nominal)'!$B$108:$BX$108,1,MATCH(P$1,'DATA (Nominal)'!$B$1:$BX$1,0))</f>
        <v>0</v>
      </c>
      <c r="Q88" s="93">
        <f>Q83*INDEX('DATA (Nominal)'!$B$108:$BX$108,1,MATCH(Q$1,'DATA (Nominal)'!$B$1:$BX$1,0))</f>
        <v>0</v>
      </c>
      <c r="R88" s="93">
        <f>R83*INDEX('DATA (Nominal)'!$B$108:$BX$108,1,MATCH(R$1,'DATA (Nominal)'!$B$1:$BX$1,0))</f>
        <v>0</v>
      </c>
      <c r="S88" s="93">
        <f>S83*INDEX('DATA (Nominal)'!$B$108:$BX$108,1,MATCH(S$1,'DATA (Nominal)'!$B$1:$BX$1,0))</f>
        <v>0</v>
      </c>
      <c r="T88" s="93">
        <f>T83*INDEX('DATA (Nominal)'!$B$108:$BX$108,1,MATCH(T$1,'DATA (Nominal)'!$B$1:$BX$1,0))</f>
        <v>0</v>
      </c>
      <c r="U88" s="93">
        <f>U83*INDEX('DATA (Nominal)'!$B$108:$BX$108,1,MATCH(U$1,'DATA (Nominal)'!$B$1:$BX$1,0))</f>
        <v>0</v>
      </c>
      <c r="V88" s="93">
        <f>V83*INDEX('DATA (Nominal)'!$B$108:$BX$108,1,MATCH(V$1,'DATA (Nominal)'!$B$1:$BX$1,0))</f>
        <v>0</v>
      </c>
      <c r="W88" s="93">
        <f>W83*INDEX('DATA (Nominal)'!$B$108:$BX$108,1,MATCH(W$1,'DATA (Nominal)'!$B$1:$BX$1,0))</f>
        <v>0</v>
      </c>
      <c r="X88" s="161">
        <f>X83*INDEX('DATA (Nominal)'!$B$108:$BX$108,1,MATCH(X$1,'DATA (Nominal)'!$B$1:$BX$1,0))</f>
        <v>0</v>
      </c>
      <c r="Y88" s="261"/>
    </row>
    <row r="89" spans="1:25" hidden="1" outlineLevel="1">
      <c r="C89" s="125" t="s">
        <v>127</v>
      </c>
      <c r="D89" s="114"/>
      <c r="E89" s="93">
        <f>E85*INDEX('DATA (Nominal)'!$B$328:$BX$328,1,MATCH(E$1,'DATA (Nominal)'!$B$1:$BX$1,0))</f>
        <v>0</v>
      </c>
      <c r="F89" s="114">
        <f>F85*INDEX('DATA (Nominal)'!$B$328:$BX$328,1,MATCH(F$1,'DATA (Nominal)'!$B$1:$BX$1,0))</f>
        <v>0</v>
      </c>
      <c r="G89" s="114">
        <f>G85*INDEX('DATA (Nominal)'!$B$328:$BX$328,1,MATCH(G$1,'DATA (Nominal)'!$B$1:$BX$1,0))</f>
        <v>0</v>
      </c>
      <c r="H89" s="114">
        <f>H85*INDEX('DATA (Nominal)'!$B$328:$BX$328,1,MATCH(H$1,'DATA (Nominal)'!$B$1:$BX$1,0))</f>
        <v>0</v>
      </c>
      <c r="I89" s="114">
        <f>I85*INDEX('DATA (Nominal)'!$B$328:$BX$328,1,MATCH(I$1,'DATA (Nominal)'!$B$1:$BX$1,0))</f>
        <v>0</v>
      </c>
      <c r="J89" s="114">
        <f>J85*INDEX('DATA (Nominal)'!$B$328:$BX$328,1,MATCH(J$1,'DATA (Nominal)'!$B$1:$BX$1,0))</f>
        <v>0</v>
      </c>
      <c r="K89" s="114">
        <f>K85*INDEX('DATA (Nominal)'!$B$328:$BX$328,1,MATCH(K$1,'DATA (Nominal)'!$B$1:$BX$1,0))</f>
        <v>0</v>
      </c>
      <c r="L89" s="114">
        <f>L85*INDEX('DATA (Nominal)'!$B$328:$BX$328,1,MATCH(L$1,'DATA (Nominal)'!$B$1:$BX$1,0))</f>
        <v>0</v>
      </c>
      <c r="M89" s="93">
        <f>M85*INDEX('DATA (Nominal)'!$B$328:$BX$328,1,MATCH(M$1,'DATA (Nominal)'!$B$1:$BX$1,0))</f>
        <v>0</v>
      </c>
      <c r="N89" s="93">
        <f>N85*INDEX('DATA (Nominal)'!$B$328:$BX$328,1,MATCH(N$1,'DATA (Nominal)'!$B$1:$BX$1,0))</f>
        <v>0</v>
      </c>
      <c r="O89" s="93">
        <f>O85*INDEX('DATA (Nominal)'!$B$328:$BX$328,1,MATCH(O$1,'DATA (Nominal)'!$B$1:$BX$1,0))</f>
        <v>0</v>
      </c>
      <c r="P89" s="93">
        <f>P85*INDEX('DATA (Nominal)'!$B$328:$BX$328,1,MATCH(P$1,'DATA (Nominal)'!$B$1:$BX$1,0))</f>
        <v>0</v>
      </c>
      <c r="Q89" s="93">
        <f>Q85*INDEX('DATA (Nominal)'!$B$328:$BX$328,1,MATCH(Q$1,'DATA (Nominal)'!$B$1:$BX$1,0))</f>
        <v>0</v>
      </c>
      <c r="R89" s="93">
        <f>R85*INDEX('DATA (Nominal)'!$B$328:$BX$328,1,MATCH(R$1,'DATA (Nominal)'!$B$1:$BX$1,0))</f>
        <v>0</v>
      </c>
      <c r="S89" s="93">
        <f>S85*INDEX('DATA (Nominal)'!$B$328:$BX$328,1,MATCH(S$1,'DATA (Nominal)'!$B$1:$BX$1,0))</f>
        <v>0</v>
      </c>
      <c r="T89" s="93">
        <f>T85*INDEX('DATA (Nominal)'!$B$328:$BX$328,1,MATCH(T$1,'DATA (Nominal)'!$B$1:$BX$1,0))</f>
        <v>0</v>
      </c>
      <c r="U89" s="93">
        <f>U85*INDEX('DATA (Nominal)'!$B$328:$BX$328,1,MATCH(U$1,'DATA (Nominal)'!$B$1:$BX$1,0))</f>
        <v>0</v>
      </c>
      <c r="V89" s="93">
        <f>V85*INDEX('DATA (Nominal)'!$B$328:$BX$328,1,MATCH(V$1,'DATA (Nominal)'!$B$1:$BX$1,0))</f>
        <v>0</v>
      </c>
      <c r="W89" s="93">
        <f>W85*INDEX('DATA (Nominal)'!$B$328:$BX$328,1,MATCH(W$1,'DATA (Nominal)'!$B$1:$BX$1,0))</f>
        <v>0</v>
      </c>
      <c r="X89" s="161">
        <f>X85*INDEX('DATA (Nominal)'!$B$328:$BX$328,1,MATCH(X$1,'DATA (Nominal)'!$B$1:$BX$1,0))</f>
        <v>0</v>
      </c>
      <c r="Y89" s="261"/>
    </row>
    <row r="90" spans="1:25" hidden="1" outlineLevel="1">
      <c r="A90" s="254"/>
      <c r="C90" s="258" t="s">
        <v>50</v>
      </c>
      <c r="D90" s="114"/>
      <c r="E90" s="114">
        <f t="shared" ref="E90:X90" si="45">SUM(E87:E89)</f>
        <v>158.76886372805325</v>
      </c>
      <c r="F90" s="114">
        <f t="shared" si="45"/>
        <v>149.42817126650451</v>
      </c>
      <c r="G90" s="114">
        <f t="shared" si="45"/>
        <v>139.59107082730935</v>
      </c>
      <c r="H90" s="114">
        <f t="shared" si="45"/>
        <v>129.19790953688511</v>
      </c>
      <c r="I90" s="114">
        <f t="shared" si="45"/>
        <v>118.27988707140187</v>
      </c>
      <c r="J90" s="114">
        <f t="shared" si="45"/>
        <v>106.81893982922148</v>
      </c>
      <c r="K90" s="114">
        <f t="shared" si="45"/>
        <v>108.27675549270886</v>
      </c>
      <c r="L90" s="114">
        <f t="shared" si="45"/>
        <v>109.74701467851236</v>
      </c>
      <c r="M90" s="93">
        <f t="shared" si="45"/>
        <v>111.22955931883271</v>
      </c>
      <c r="N90" s="93">
        <f t="shared" si="45"/>
        <v>112.72421836822279</v>
      </c>
      <c r="O90" s="93">
        <f t="shared" si="45"/>
        <v>114.23080730907569</v>
      </c>
      <c r="P90" s="93">
        <f t="shared" si="45"/>
        <v>115.74912764163592</v>
      </c>
      <c r="Q90" s="93">
        <f t="shared" si="45"/>
        <v>117.2789663580912</v>
      </c>
      <c r="R90" s="93">
        <f t="shared" si="45"/>
        <v>118.82009540029195</v>
      </c>
      <c r="S90" s="93">
        <f t="shared" si="45"/>
        <v>120.37227110063225</v>
      </c>
      <c r="T90" s="93">
        <f t="shared" si="45"/>
        <v>121.93523360561375</v>
      </c>
      <c r="U90" s="93">
        <f t="shared" si="45"/>
        <v>123.5087062816017</v>
      </c>
      <c r="V90" s="93">
        <f t="shared" si="45"/>
        <v>125.09239510226807</v>
      </c>
      <c r="W90" s="93">
        <f t="shared" si="45"/>
        <v>126.68598801720343</v>
      </c>
      <c r="X90" s="161">
        <f t="shared" si="45"/>
        <v>128.28915430116643</v>
      </c>
      <c r="Y90" s="261"/>
    </row>
    <row r="91" spans="1:25" hidden="1" outlineLevel="1">
      <c r="C91" s="258"/>
      <c r="D91" s="114"/>
      <c r="E91" s="114"/>
      <c r="F91" s="114"/>
      <c r="G91" s="114"/>
      <c r="H91" s="114"/>
      <c r="I91" s="114"/>
      <c r="J91" s="114"/>
      <c r="K91" s="114"/>
      <c r="L91" s="114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161"/>
      <c r="Y91" s="261"/>
    </row>
    <row r="92" spans="1:25" hidden="1" outlineLevel="1">
      <c r="C92" s="125" t="s">
        <v>51</v>
      </c>
      <c r="D92" s="114"/>
      <c r="E92" s="114">
        <f t="shared" ref="E92:X92" si="46">E85-E90</f>
        <v>2191.5308771053997</v>
      </c>
      <c r="F92" s="114">
        <f t="shared" si="46"/>
        <v>2200.8715695669484</v>
      </c>
      <c r="G92" s="114">
        <f t="shared" si="46"/>
        <v>2210.7086700061436</v>
      </c>
      <c r="H92" s="114">
        <f t="shared" si="46"/>
        <v>2221.101831296568</v>
      </c>
      <c r="I92" s="114">
        <f t="shared" si="46"/>
        <v>2232.0198537620513</v>
      </c>
      <c r="J92" s="114">
        <f t="shared" si="46"/>
        <v>2243.4808010042316</v>
      </c>
      <c r="K92" s="114">
        <f t="shared" si="46"/>
        <v>2242.0229853407441</v>
      </c>
      <c r="L92" s="114">
        <f t="shared" si="46"/>
        <v>2240.552726154941</v>
      </c>
      <c r="M92" s="93">
        <f t="shared" si="46"/>
        <v>2239.0701815146203</v>
      </c>
      <c r="N92" s="93">
        <f t="shared" si="46"/>
        <v>2237.5755224652303</v>
      </c>
      <c r="O92" s="93">
        <f t="shared" si="46"/>
        <v>2236.0689335243774</v>
      </c>
      <c r="P92" s="93">
        <f t="shared" si="46"/>
        <v>2234.5506131918173</v>
      </c>
      <c r="Q92" s="93">
        <f t="shared" si="46"/>
        <v>2233.020774475362</v>
      </c>
      <c r="R92" s="93">
        <f t="shared" si="46"/>
        <v>2231.4796454331613</v>
      </c>
      <c r="S92" s="93">
        <f t="shared" si="46"/>
        <v>2229.927469732821</v>
      </c>
      <c r="T92" s="93">
        <f t="shared" si="46"/>
        <v>2228.3645072278396</v>
      </c>
      <c r="U92" s="93">
        <f t="shared" si="46"/>
        <v>2226.7910345518512</v>
      </c>
      <c r="V92" s="93">
        <f t="shared" si="46"/>
        <v>2225.2073457311849</v>
      </c>
      <c r="W92" s="93">
        <f t="shared" si="46"/>
        <v>2223.6137528162499</v>
      </c>
      <c r="X92" s="161">
        <f t="shared" si="46"/>
        <v>2222.0105865322867</v>
      </c>
      <c r="Y92" s="261"/>
    </row>
    <row r="93" spans="1:25" hidden="1" outlineLevel="1">
      <c r="C93" s="125" t="s">
        <v>52</v>
      </c>
      <c r="D93" s="114"/>
      <c r="E93" s="93">
        <f t="shared" ref="E93:X93" si="47">E92-E108-E100</f>
        <v>-3242.0530541024968</v>
      </c>
      <c r="F93" s="114">
        <f t="shared" si="47"/>
        <v>-5939.1204381052003</v>
      </c>
      <c r="G93" s="114">
        <f t="shared" si="47"/>
        <v>-2988.8530086648202</v>
      </c>
      <c r="H93" s="114">
        <f t="shared" si="47"/>
        <v>-1202.0758231172565</v>
      </c>
      <c r="I93" s="114">
        <f t="shared" si="47"/>
        <v>-1161.4954963949003</v>
      </c>
      <c r="J93" s="114">
        <f t="shared" si="47"/>
        <v>192.46025387696091</v>
      </c>
      <c r="K93" s="114">
        <f t="shared" si="47"/>
        <v>1535.2183964476594</v>
      </c>
      <c r="L93" s="114">
        <f t="shared" si="47"/>
        <v>1568.5788421981151</v>
      </c>
      <c r="M93" s="93">
        <f t="shared" si="47"/>
        <v>1603.8426912655477</v>
      </c>
      <c r="N93" s="93">
        <f t="shared" si="47"/>
        <v>1641.1154775778373</v>
      </c>
      <c r="O93" s="93">
        <f t="shared" si="47"/>
        <v>1680.5085434935563</v>
      </c>
      <c r="P93" s="93">
        <f t="shared" si="47"/>
        <v>1722.1393590346797</v>
      </c>
      <c r="Q93" s="93">
        <f t="shared" si="47"/>
        <v>1766.1318586649606</v>
      </c>
      <c r="R93" s="93">
        <f t="shared" si="47"/>
        <v>1812.6167965785664</v>
      </c>
      <c r="S93" s="93">
        <f t="shared" si="47"/>
        <v>1861.7321215166021</v>
      </c>
      <c r="T93" s="93">
        <f t="shared" si="47"/>
        <v>1913.6233721851072</v>
      </c>
      <c r="U93" s="93">
        <f t="shared" si="47"/>
        <v>1968.4440944071471</v>
      </c>
      <c r="V93" s="93">
        <f t="shared" si="47"/>
        <v>2026.3562812039006</v>
      </c>
      <c r="W93" s="93">
        <f t="shared" si="47"/>
        <v>2087.5308370653438</v>
      </c>
      <c r="X93" s="161">
        <f t="shared" si="47"/>
        <v>2152.1480677404593</v>
      </c>
      <c r="Y93" s="261"/>
    </row>
    <row r="94" spans="1:25" hidden="1" outlineLevel="1">
      <c r="C94" s="125" t="s">
        <v>53</v>
      </c>
      <c r="D94" s="114"/>
      <c r="E94" s="93">
        <f>INDEX('DATA (Nominal)'!$B$254:$BX$254,1,MATCH($B$1,'DATA (Nominal)'!$B$1:$BX$1,0))*INDEX('DATA (Nominal)'!$B$301:$BX$301,1,MATCH(E$1,'DATA (Nominal)'!$B$1:$BX$1,0))*E83</f>
        <v>242.58535245520446</v>
      </c>
      <c r="F94" s="93">
        <f>INDEX('DATA (Nominal)'!$B$254:$BX$254,1,MATCH($B$1,'DATA (Nominal)'!$B$1:$BX$1,0))*INDEX('DATA (Nominal)'!$B$301:$BX$301,1,MATCH(F$1,'DATA (Nominal)'!$B$1:$BX$1,0))*F83</f>
        <v>248.00309199337073</v>
      </c>
      <c r="G94" s="93">
        <f>INDEX('DATA (Nominal)'!$B$254:$BX$254,1,MATCH($B$1,'DATA (Nominal)'!$B$1:$BX$1,0))*INDEX('DATA (Nominal)'!$B$301:$BX$301,1,MATCH(G$1,'DATA (Nominal)'!$B$1:$BX$1,0))*G83</f>
        <v>253.54182771455598</v>
      </c>
      <c r="H94" s="93">
        <f>INDEX('DATA (Nominal)'!$B$254:$BX$254,1,MATCH($B$1,'DATA (Nominal)'!$B$1:$BX$1,0))*INDEX('DATA (Nominal)'!$B$301:$BX$301,1,MATCH(H$1,'DATA (Nominal)'!$B$1:$BX$1,0))*H83</f>
        <v>259.11974792427623</v>
      </c>
      <c r="I94" s="93">
        <f>INDEX('DATA (Nominal)'!$B$254:$BX$254,1,MATCH($B$1,'DATA (Nominal)'!$B$1:$BX$1,0))*INDEX('DATA (Nominal)'!$B$301:$BX$301,1,MATCH(I$1,'DATA (Nominal)'!$B$1:$BX$1,0))*I83</f>
        <v>264.8203823786103</v>
      </c>
      <c r="J94" s="93">
        <f>INDEX('DATA (Nominal)'!$B$254:$BX$254,1,MATCH($B$1,'DATA (Nominal)'!$B$1:$BX$1,0))*INDEX('DATA (Nominal)'!$B$301:$BX$301,1,MATCH(J$1,'DATA (Nominal)'!$B$1:$BX$1,0))*J83</f>
        <v>270.64643079093975</v>
      </c>
      <c r="K94" s="93">
        <f>INDEX('DATA (Nominal)'!$B$254:$BX$254,1,MATCH($B$1,'DATA (Nominal)'!$B$1:$BX$1,0))*INDEX('DATA (Nominal)'!$B$301:$BX$301,1,MATCH(K$1,'DATA (Nominal)'!$B$1:$BX$1,0))*K83</f>
        <v>276.60065226834035</v>
      </c>
      <c r="L94" s="93">
        <f>INDEX('DATA (Nominal)'!$B$254:$BX$254,1,MATCH($B$1,'DATA (Nominal)'!$B$1:$BX$1,0))*INDEX('DATA (Nominal)'!$B$301:$BX$301,1,MATCH(L$1,'DATA (Nominal)'!$B$1:$BX$1,0))*L83</f>
        <v>282.68586661824389</v>
      </c>
      <c r="M94" s="93">
        <f>INDEX('DATA (Nominal)'!$B$254:$BX$254,1,MATCH($B$1,'DATA (Nominal)'!$B$1:$BX$1,0))*INDEX('DATA (Nominal)'!$B$301:$BX$301,1,MATCH(M$1,'DATA (Nominal)'!$B$1:$BX$1,0))*M83</f>
        <v>288.90495568384529</v>
      </c>
      <c r="N94" s="93">
        <f>INDEX('DATA (Nominal)'!$B$254:$BX$254,1,MATCH($B$1,'DATA (Nominal)'!$B$1:$BX$1,0))*INDEX('DATA (Nominal)'!$B$301:$BX$301,1,MATCH(N$1,'DATA (Nominal)'!$B$1:$BX$1,0))*N83</f>
        <v>295.26086470888987</v>
      </c>
      <c r="O94" s="93"/>
      <c r="P94" s="93"/>
      <c r="Q94" s="93"/>
      <c r="R94" s="93"/>
      <c r="S94" s="93"/>
      <c r="T94" s="93"/>
      <c r="U94" s="93"/>
      <c r="V94" s="93"/>
      <c r="W94" s="93"/>
      <c r="X94" s="161"/>
      <c r="Y94" s="261"/>
    </row>
    <row r="95" spans="1:25" hidden="1" outlineLevel="1">
      <c r="C95" s="258" t="s">
        <v>54</v>
      </c>
      <c r="D95" s="114"/>
      <c r="E95" s="114">
        <f t="shared" ref="E95:X95" si="48">E93*Federal_Tax_Rate-E94</f>
        <v>-923.41649381672869</v>
      </c>
      <c r="F95" s="114">
        <f t="shared" si="48"/>
        <v>-1495.2183839954628</v>
      </c>
      <c r="G95" s="114">
        <f t="shared" si="48"/>
        <v>-881.20095953416819</v>
      </c>
      <c r="H95" s="114">
        <f t="shared" si="48"/>
        <v>-511.55567077890009</v>
      </c>
      <c r="I95" s="114">
        <f t="shared" si="48"/>
        <v>-508.73443662153937</v>
      </c>
      <c r="J95" s="114">
        <f t="shared" si="48"/>
        <v>-230.22977747677794</v>
      </c>
      <c r="K95" s="114">
        <f t="shared" si="48"/>
        <v>45.79521098566812</v>
      </c>
      <c r="L95" s="114">
        <f t="shared" si="48"/>
        <v>46.715690243360257</v>
      </c>
      <c r="M95" s="93">
        <f t="shared" si="48"/>
        <v>47.90200948191972</v>
      </c>
      <c r="N95" s="93">
        <f t="shared" si="48"/>
        <v>49.373385582455967</v>
      </c>
      <c r="O95" s="93">
        <f t="shared" si="48"/>
        <v>352.90679413364683</v>
      </c>
      <c r="P95" s="93">
        <f t="shared" si="48"/>
        <v>361.6492653972827</v>
      </c>
      <c r="Q95" s="93">
        <f t="shared" si="48"/>
        <v>370.88769031964171</v>
      </c>
      <c r="R95" s="93">
        <f t="shared" si="48"/>
        <v>380.64952728149893</v>
      </c>
      <c r="S95" s="93">
        <f t="shared" si="48"/>
        <v>390.96374551848641</v>
      </c>
      <c r="T95" s="93">
        <f t="shared" si="48"/>
        <v>401.86090815887252</v>
      </c>
      <c r="U95" s="93">
        <f t="shared" si="48"/>
        <v>413.3732598255009</v>
      </c>
      <c r="V95" s="93">
        <f t="shared" si="48"/>
        <v>425.5348190528191</v>
      </c>
      <c r="W95" s="93">
        <f t="shared" si="48"/>
        <v>438.38147578372218</v>
      </c>
      <c r="X95" s="161">
        <f t="shared" si="48"/>
        <v>451.95109422549643</v>
      </c>
      <c r="Y95" s="261"/>
    </row>
    <row r="96" spans="1:25" hidden="1" outlineLevel="1">
      <c r="C96" s="258"/>
      <c r="D96" s="114"/>
      <c r="E96" s="114"/>
      <c r="F96" s="114"/>
      <c r="G96" s="114"/>
      <c r="H96" s="114"/>
      <c r="I96" s="114"/>
      <c r="J96" s="114"/>
      <c r="K96" s="114"/>
      <c r="L96" s="114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161"/>
      <c r="Y96" s="261"/>
    </row>
    <row r="97" spans="2:25" hidden="1" outlineLevel="1">
      <c r="B97" s="37">
        <f>IRR(D97:Y97,0.1)</f>
        <v>7.5000000107175335E-2</v>
      </c>
      <c r="C97" s="125" t="s">
        <v>55</v>
      </c>
      <c r="D97" s="255">
        <f>-(1+AFUDC!$C$13)*INDEX('DATA (Nominal)'!$B$61:$BX$61,1,MATCH($B$1,'DATA (Nominal)'!$B$1:$BX$1,0))*1000000*'Resource Options'!$E$13/1000</f>
        <v>-26781.067647848849</v>
      </c>
      <c r="E97" s="254">
        <f>E92-E95</f>
        <v>3114.9473709221284</v>
      </c>
      <c r="F97" s="114">
        <f t="shared" ref="F97:X97" si="49">F92-F95</f>
        <v>3696.0899535624112</v>
      </c>
      <c r="G97" s="114">
        <f t="shared" si="49"/>
        <v>3091.9096295403119</v>
      </c>
      <c r="H97" s="114">
        <f t="shared" si="49"/>
        <v>2732.6575020754681</v>
      </c>
      <c r="I97" s="114">
        <f t="shared" si="49"/>
        <v>2740.7542903835906</v>
      </c>
      <c r="J97" s="114">
        <f t="shared" si="49"/>
        <v>2473.7105784810096</v>
      </c>
      <c r="K97" s="114">
        <f t="shared" si="49"/>
        <v>2196.2277743550758</v>
      </c>
      <c r="L97" s="114">
        <f t="shared" si="49"/>
        <v>2193.8370359115806</v>
      </c>
      <c r="M97" s="93">
        <f t="shared" si="49"/>
        <v>2191.1681720327006</v>
      </c>
      <c r="N97" s="93">
        <f t="shared" si="49"/>
        <v>2188.2021368827745</v>
      </c>
      <c r="O97" s="93">
        <f t="shared" si="49"/>
        <v>1883.1621393907305</v>
      </c>
      <c r="P97" s="93">
        <f t="shared" si="49"/>
        <v>1872.9013477945346</v>
      </c>
      <c r="Q97" s="93">
        <f t="shared" si="49"/>
        <v>1862.1330841557203</v>
      </c>
      <c r="R97" s="93">
        <f t="shared" si="49"/>
        <v>1850.8301181516624</v>
      </c>
      <c r="S97" s="93">
        <f t="shared" si="49"/>
        <v>1838.9637242143347</v>
      </c>
      <c r="T97" s="93">
        <f t="shared" si="49"/>
        <v>1826.5035990689671</v>
      </c>
      <c r="U97" s="93">
        <f t="shared" si="49"/>
        <v>1813.4177747263502</v>
      </c>
      <c r="V97" s="93">
        <f t="shared" si="49"/>
        <v>1799.6725266783658</v>
      </c>
      <c r="W97" s="93">
        <f t="shared" si="49"/>
        <v>1785.2322770325277</v>
      </c>
      <c r="X97" s="161">
        <f t="shared" si="49"/>
        <v>1770.0594923067902</v>
      </c>
      <c r="Y97" s="261">
        <f>D97*-0.3</f>
        <v>8034.3202943546548</v>
      </c>
    </row>
    <row r="98" spans="2:25" hidden="1" outlineLevel="1">
      <c r="B98" s="37">
        <f>IRR(D98:Y98,0.1)</f>
        <v>0.11516948466234411</v>
      </c>
      <c r="C98" s="125" t="s">
        <v>56</v>
      </c>
      <c r="D98" s="102">
        <f>-D113</f>
        <v>-5112.8373307701913</v>
      </c>
      <c r="E98" s="254">
        <f t="shared" ref="E98:X98" si="50">E97-E100-E102-E109-E94</f>
        <v>576.18777025001793</v>
      </c>
      <c r="F98" s="114">
        <f t="shared" si="50"/>
        <v>578.26214433521147</v>
      </c>
      <c r="G98" s="114">
        <f t="shared" si="50"/>
        <v>580.4369182099781</v>
      </c>
      <c r="H98" s="114">
        <f t="shared" si="50"/>
        <v>582.74317070624431</v>
      </c>
      <c r="I98" s="114">
        <f t="shared" si="50"/>
        <v>585.13932456003272</v>
      </c>
      <c r="J98" s="114">
        <f t="shared" si="50"/>
        <v>587.62178937324506</v>
      </c>
      <c r="K98" s="114">
        <f t="shared" si="50"/>
        <v>579.53698889803343</v>
      </c>
      <c r="L98" s="114">
        <f t="shared" si="50"/>
        <v>571.0610361046347</v>
      </c>
      <c r="M98" s="93">
        <f t="shared" si="50"/>
        <v>562.17308316015328</v>
      </c>
      <c r="N98" s="93">
        <f t="shared" si="50"/>
        <v>552.85113898518262</v>
      </c>
      <c r="O98" s="93">
        <f t="shared" si="50"/>
        <v>543.07200620202855</v>
      </c>
      <c r="P98" s="93">
        <f t="shared" si="50"/>
        <v>532.81121460583233</v>
      </c>
      <c r="Q98" s="93">
        <f t="shared" si="50"/>
        <v>522.04295096701821</v>
      </c>
      <c r="R98" s="93">
        <f t="shared" si="50"/>
        <v>510.73998496296031</v>
      </c>
      <c r="S98" s="93">
        <f t="shared" si="50"/>
        <v>498.87359102563244</v>
      </c>
      <c r="T98" s="93">
        <f t="shared" si="50"/>
        <v>486.41346588026499</v>
      </c>
      <c r="U98" s="93">
        <f t="shared" si="50"/>
        <v>473.32764153764811</v>
      </c>
      <c r="V98" s="93">
        <f t="shared" si="50"/>
        <v>459.58239348966367</v>
      </c>
      <c r="W98" s="93">
        <f t="shared" si="50"/>
        <v>445.14214384382558</v>
      </c>
      <c r="X98" s="161">
        <f t="shared" si="50"/>
        <v>429.96935911808805</v>
      </c>
      <c r="Y98" s="261">
        <f>Y97</f>
        <v>8034.3202943546548</v>
      </c>
    </row>
    <row r="99" spans="2:25" hidden="1" outlineLevel="1">
      <c r="B99" s="21"/>
      <c r="C99" s="125"/>
      <c r="D99" s="102"/>
      <c r="E99" s="114"/>
      <c r="F99" s="114"/>
      <c r="G99" s="114"/>
      <c r="H99" s="114"/>
      <c r="I99" s="114"/>
      <c r="J99" s="114"/>
      <c r="K99" s="114"/>
      <c r="L99" s="114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161"/>
      <c r="Y99" s="261"/>
    </row>
    <row r="100" spans="2:25" hidden="1" outlineLevel="1">
      <c r="B100" s="452"/>
      <c r="C100" s="258" t="s">
        <v>57</v>
      </c>
      <c r="D100" s="114"/>
      <c r="E100" s="114">
        <f t="shared" ref="E100:X100" si="51">D103*Debt_Rate</f>
        <v>880.80243107359217</v>
      </c>
      <c r="F100" s="114">
        <f t="shared" si="51"/>
        <v>855.54160745726108</v>
      </c>
      <c r="G100" s="114">
        <f t="shared" si="51"/>
        <v>828.89143854203178</v>
      </c>
      <c r="H100" s="114">
        <f t="shared" si="51"/>
        <v>800.775510336465</v>
      </c>
      <c r="I100" s="114">
        <f t="shared" si="51"/>
        <v>771.11320607959203</v>
      </c>
      <c r="J100" s="114">
        <f t="shared" si="51"/>
        <v>739.81947508859093</v>
      </c>
      <c r="K100" s="114">
        <f t="shared" si="51"/>
        <v>706.80458889308477</v>
      </c>
      <c r="L100" s="114">
        <f t="shared" si="51"/>
        <v>671.97388395682583</v>
      </c>
      <c r="M100" s="93">
        <f t="shared" si="51"/>
        <v>635.22749024907273</v>
      </c>
      <c r="N100" s="93">
        <f t="shared" si="51"/>
        <v>596.460044887393</v>
      </c>
      <c r="O100" s="93">
        <f t="shared" si="51"/>
        <v>555.56039003082094</v>
      </c>
      <c r="P100" s="93">
        <f t="shared" si="51"/>
        <v>512.41125415713748</v>
      </c>
      <c r="Q100" s="93">
        <f t="shared" si="51"/>
        <v>466.88891581040144</v>
      </c>
      <c r="R100" s="93">
        <f t="shared" si="51"/>
        <v>418.86284885459492</v>
      </c>
      <c r="S100" s="93">
        <f t="shared" si="51"/>
        <v>368.19534821621903</v>
      </c>
      <c r="T100" s="93">
        <f t="shared" si="51"/>
        <v>314.74113504273248</v>
      </c>
      <c r="U100" s="93">
        <f t="shared" si="51"/>
        <v>258.34694014470415</v>
      </c>
      <c r="V100" s="93">
        <f t="shared" si="51"/>
        <v>198.85106452728425</v>
      </c>
      <c r="W100" s="93">
        <f t="shared" si="51"/>
        <v>136.08291575090627</v>
      </c>
      <c r="X100" s="161">
        <f t="shared" si="51"/>
        <v>69.862518791827497</v>
      </c>
      <c r="Y100" s="261"/>
    </row>
    <row r="101" spans="2:25" hidden="1" outlineLevel="1">
      <c r="B101" s="452"/>
      <c r="C101" s="258" t="s">
        <v>58</v>
      </c>
      <c r="D101" s="114"/>
      <c r="E101" s="114">
        <f t="shared" ref="E101:X101" si="52">-PMT(Debt_Rate,20,$D112)</f>
        <v>1340.0901331887021</v>
      </c>
      <c r="F101" s="114">
        <f t="shared" si="52"/>
        <v>1340.0901331887021</v>
      </c>
      <c r="G101" s="114">
        <f t="shared" si="52"/>
        <v>1340.0901331887021</v>
      </c>
      <c r="H101" s="114">
        <f t="shared" si="52"/>
        <v>1340.0901331887021</v>
      </c>
      <c r="I101" s="114">
        <f t="shared" si="52"/>
        <v>1340.0901331887021</v>
      </c>
      <c r="J101" s="114">
        <f t="shared" si="52"/>
        <v>1340.0901331887021</v>
      </c>
      <c r="K101" s="114">
        <f t="shared" si="52"/>
        <v>1340.0901331887021</v>
      </c>
      <c r="L101" s="114">
        <f t="shared" si="52"/>
        <v>1340.0901331887021</v>
      </c>
      <c r="M101" s="93">
        <f t="shared" si="52"/>
        <v>1340.0901331887021</v>
      </c>
      <c r="N101" s="93">
        <f t="shared" si="52"/>
        <v>1340.0901331887021</v>
      </c>
      <c r="O101" s="93">
        <f t="shared" si="52"/>
        <v>1340.0901331887021</v>
      </c>
      <c r="P101" s="93">
        <f t="shared" si="52"/>
        <v>1340.0901331887021</v>
      </c>
      <c r="Q101" s="93">
        <f t="shared" si="52"/>
        <v>1340.0901331887021</v>
      </c>
      <c r="R101" s="93">
        <f t="shared" si="52"/>
        <v>1340.0901331887021</v>
      </c>
      <c r="S101" s="93">
        <f t="shared" si="52"/>
        <v>1340.0901331887021</v>
      </c>
      <c r="T101" s="93">
        <f t="shared" si="52"/>
        <v>1340.0901331887021</v>
      </c>
      <c r="U101" s="93">
        <f t="shared" si="52"/>
        <v>1340.0901331887021</v>
      </c>
      <c r="V101" s="93">
        <f t="shared" si="52"/>
        <v>1340.0901331887021</v>
      </c>
      <c r="W101" s="93">
        <f t="shared" si="52"/>
        <v>1340.0901331887021</v>
      </c>
      <c r="X101" s="161">
        <f t="shared" si="52"/>
        <v>1340.0901331887021</v>
      </c>
      <c r="Y101" s="261"/>
    </row>
    <row r="102" spans="2:25" hidden="1" outlineLevel="1">
      <c r="B102" s="452"/>
      <c r="C102" s="258" t="s">
        <v>59</v>
      </c>
      <c r="D102" s="114"/>
      <c r="E102" s="254">
        <f>E101-E100</f>
        <v>459.28770211510994</v>
      </c>
      <c r="F102" s="114">
        <f t="shared" ref="F102:X102" si="53">F101-F100</f>
        <v>484.54852573144103</v>
      </c>
      <c r="G102" s="114">
        <f t="shared" si="53"/>
        <v>511.19869464667033</v>
      </c>
      <c r="H102" s="114">
        <f t="shared" si="53"/>
        <v>539.31462285223711</v>
      </c>
      <c r="I102" s="114">
        <f t="shared" si="53"/>
        <v>568.97692710911008</v>
      </c>
      <c r="J102" s="114">
        <f t="shared" si="53"/>
        <v>600.27065810011118</v>
      </c>
      <c r="K102" s="114">
        <f t="shared" si="53"/>
        <v>633.28554429561734</v>
      </c>
      <c r="L102" s="114">
        <f t="shared" si="53"/>
        <v>668.11624923187628</v>
      </c>
      <c r="M102" s="93">
        <f t="shared" si="53"/>
        <v>704.86264293962938</v>
      </c>
      <c r="N102" s="93">
        <f t="shared" si="53"/>
        <v>743.63008830130912</v>
      </c>
      <c r="O102" s="93">
        <f t="shared" si="53"/>
        <v>784.52974315788117</v>
      </c>
      <c r="P102" s="93">
        <f t="shared" si="53"/>
        <v>827.67887903156463</v>
      </c>
      <c r="Q102" s="93">
        <f t="shared" si="53"/>
        <v>873.20121737830073</v>
      </c>
      <c r="R102" s="93">
        <f t="shared" si="53"/>
        <v>921.22728433410725</v>
      </c>
      <c r="S102" s="93">
        <f t="shared" si="53"/>
        <v>971.89478497248308</v>
      </c>
      <c r="T102" s="93">
        <f t="shared" si="53"/>
        <v>1025.3489981459697</v>
      </c>
      <c r="U102" s="93">
        <f t="shared" si="53"/>
        <v>1081.743193043998</v>
      </c>
      <c r="V102" s="93">
        <f t="shared" si="53"/>
        <v>1141.2390686614178</v>
      </c>
      <c r="W102" s="93">
        <f t="shared" si="53"/>
        <v>1204.0072174377958</v>
      </c>
      <c r="X102" s="161">
        <f t="shared" si="53"/>
        <v>1270.2276143968745</v>
      </c>
      <c r="Y102" s="261"/>
    </row>
    <row r="103" spans="2:25" hidden="1" outlineLevel="1">
      <c r="B103" s="452"/>
      <c r="C103" s="258" t="s">
        <v>60</v>
      </c>
      <c r="D103" s="114">
        <f>D112</f>
        <v>16014.589655883494</v>
      </c>
      <c r="E103" s="114">
        <f>D103-E102</f>
        <v>15555.301953768383</v>
      </c>
      <c r="F103" s="114">
        <f>E103-F102</f>
        <v>15070.753428036942</v>
      </c>
      <c r="G103" s="114">
        <f t="shared" ref="G103:X103" si="54">F103-G102</f>
        <v>14559.554733390272</v>
      </c>
      <c r="H103" s="114">
        <f t="shared" si="54"/>
        <v>14020.240110538036</v>
      </c>
      <c r="I103" s="114">
        <f t="shared" si="54"/>
        <v>13451.263183428926</v>
      </c>
      <c r="J103" s="114">
        <f t="shared" si="54"/>
        <v>12850.992525328815</v>
      </c>
      <c r="K103" s="114">
        <f t="shared" si="54"/>
        <v>12217.706981033198</v>
      </c>
      <c r="L103" s="114">
        <f t="shared" si="54"/>
        <v>11549.590731801321</v>
      </c>
      <c r="M103" s="93">
        <f t="shared" si="54"/>
        <v>10844.728088861692</v>
      </c>
      <c r="N103" s="93">
        <f t="shared" si="54"/>
        <v>10101.098000560381</v>
      </c>
      <c r="O103" s="93">
        <f t="shared" si="54"/>
        <v>9316.5682574024995</v>
      </c>
      <c r="P103" s="93">
        <f t="shared" si="54"/>
        <v>8488.8893783709354</v>
      </c>
      <c r="Q103" s="93">
        <f t="shared" si="54"/>
        <v>7615.6881609926349</v>
      </c>
      <c r="R103" s="93">
        <f t="shared" si="54"/>
        <v>6694.4608766585279</v>
      </c>
      <c r="S103" s="93">
        <f t="shared" si="54"/>
        <v>5722.5660916860452</v>
      </c>
      <c r="T103" s="93">
        <f t="shared" si="54"/>
        <v>4697.2170935400754</v>
      </c>
      <c r="U103" s="93">
        <f t="shared" si="54"/>
        <v>3615.4739004960775</v>
      </c>
      <c r="V103" s="93">
        <f t="shared" si="54"/>
        <v>2474.2348318346594</v>
      </c>
      <c r="W103" s="93">
        <f t="shared" si="54"/>
        <v>1270.2276143968636</v>
      </c>
      <c r="X103" s="161">
        <f t="shared" si="54"/>
        <v>-1.0913936421275139E-11</v>
      </c>
      <c r="Y103" s="261"/>
    </row>
    <row r="104" spans="2:25" hidden="1" outlineLevel="1">
      <c r="B104" s="452"/>
      <c r="C104" s="125"/>
      <c r="D104" s="114"/>
      <c r="E104" s="114"/>
      <c r="F104" s="114"/>
      <c r="G104" s="114"/>
      <c r="H104" s="114"/>
      <c r="I104" s="114"/>
      <c r="J104" s="114"/>
      <c r="K104" s="114"/>
      <c r="L104" s="114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161"/>
      <c r="Y104" s="261"/>
    </row>
    <row r="105" spans="2:25" hidden="1" outlineLevel="1">
      <c r="B105" s="452"/>
      <c r="C105" s="258" t="s">
        <v>61</v>
      </c>
      <c r="D105" s="114"/>
      <c r="E105" s="114">
        <f t="shared" ref="E105:X105" si="55">-$D97/20</f>
        <v>1339.0533823924425</v>
      </c>
      <c r="F105" s="114">
        <f t="shared" si="55"/>
        <v>1339.0533823924425</v>
      </c>
      <c r="G105" s="114">
        <f t="shared" si="55"/>
        <v>1339.0533823924425</v>
      </c>
      <c r="H105" s="114">
        <f t="shared" si="55"/>
        <v>1339.0533823924425</v>
      </c>
      <c r="I105" s="114">
        <f t="shared" si="55"/>
        <v>1339.0533823924425</v>
      </c>
      <c r="J105" s="114">
        <f t="shared" si="55"/>
        <v>1339.0533823924425</v>
      </c>
      <c r="K105" s="114">
        <f t="shared" si="55"/>
        <v>1339.0533823924425</v>
      </c>
      <c r="L105" s="114">
        <f t="shared" si="55"/>
        <v>1339.0533823924425</v>
      </c>
      <c r="M105" s="93">
        <f t="shared" si="55"/>
        <v>1339.0533823924425</v>
      </c>
      <c r="N105" s="93">
        <f t="shared" si="55"/>
        <v>1339.0533823924425</v>
      </c>
      <c r="O105" s="93">
        <f t="shared" si="55"/>
        <v>1339.0533823924425</v>
      </c>
      <c r="P105" s="93">
        <f t="shared" si="55"/>
        <v>1339.0533823924425</v>
      </c>
      <c r="Q105" s="93">
        <f t="shared" si="55"/>
        <v>1339.0533823924425</v>
      </c>
      <c r="R105" s="93">
        <f t="shared" si="55"/>
        <v>1339.0533823924425</v>
      </c>
      <c r="S105" s="93">
        <f t="shared" si="55"/>
        <v>1339.0533823924425</v>
      </c>
      <c r="T105" s="93">
        <f t="shared" si="55"/>
        <v>1339.0533823924425</v>
      </c>
      <c r="U105" s="93">
        <f t="shared" si="55"/>
        <v>1339.0533823924425</v>
      </c>
      <c r="V105" s="93">
        <f t="shared" si="55"/>
        <v>1339.0533823924425</v>
      </c>
      <c r="W105" s="93">
        <f t="shared" si="55"/>
        <v>1339.0533823924425</v>
      </c>
      <c r="X105" s="161">
        <f t="shared" si="55"/>
        <v>1339.0533823924425</v>
      </c>
      <c r="Y105" s="261"/>
    </row>
    <row r="106" spans="2:25" hidden="1" outlineLevel="1">
      <c r="B106" s="452"/>
      <c r="C106" s="125" t="s">
        <v>62</v>
      </c>
      <c r="D106" s="114"/>
      <c r="E106" s="114">
        <f>SUM($E105:E105)</f>
        <v>1339.0533823924425</v>
      </c>
      <c r="F106" s="114">
        <f>SUM($E105:F105)</f>
        <v>2678.1067647848849</v>
      </c>
      <c r="G106" s="114">
        <f>SUM($E105:G105)</f>
        <v>4017.1601471773274</v>
      </c>
      <c r="H106" s="114">
        <f>SUM($E105:H105)</f>
        <v>5356.2135295697699</v>
      </c>
      <c r="I106" s="114">
        <f>SUM($E105:I105)</f>
        <v>6695.2669119622124</v>
      </c>
      <c r="J106" s="114">
        <f>SUM($E105:J105)</f>
        <v>8034.3202943546548</v>
      </c>
      <c r="K106" s="114">
        <f>SUM($E105:K105)</f>
        <v>9373.3736767470982</v>
      </c>
      <c r="L106" s="114">
        <f>SUM($E105:L105)</f>
        <v>10712.42705913954</v>
      </c>
      <c r="M106" s="93">
        <f>SUM($E105:M105)</f>
        <v>12051.480441531981</v>
      </c>
      <c r="N106" s="93">
        <f>SUM($E105:N105)</f>
        <v>13390.533823924423</v>
      </c>
      <c r="O106" s="93">
        <f>SUM($E105:O105)</f>
        <v>14729.587206316864</v>
      </c>
      <c r="P106" s="93">
        <f>SUM($E105:P105)</f>
        <v>16068.640588709306</v>
      </c>
      <c r="Q106" s="93">
        <f>SUM($E105:Q105)</f>
        <v>17407.693971101748</v>
      </c>
      <c r="R106" s="93">
        <f>SUM($E105:R105)</f>
        <v>18746.747353494189</v>
      </c>
      <c r="S106" s="93">
        <f>SUM($E105:S105)</f>
        <v>20085.800735886631</v>
      </c>
      <c r="T106" s="93">
        <f>SUM($E105:T105)</f>
        <v>21424.854118279072</v>
      </c>
      <c r="U106" s="93">
        <f>SUM($E105:U105)</f>
        <v>22763.907500671514</v>
      </c>
      <c r="V106" s="93">
        <f>SUM($E105:V105)</f>
        <v>24102.960883063955</v>
      </c>
      <c r="W106" s="93">
        <f>SUM($E105:W105)</f>
        <v>25442.014265456397</v>
      </c>
      <c r="X106" s="161">
        <f>SUM($E105:X105)</f>
        <v>26781.067647848839</v>
      </c>
      <c r="Y106" s="261"/>
    </row>
    <row r="107" spans="2:25" hidden="1" outlineLevel="1">
      <c r="B107" s="452"/>
      <c r="C107" s="125" t="s">
        <v>63</v>
      </c>
      <c r="D107" s="114"/>
      <c r="E107" s="114">
        <f t="shared" ref="E107:G107" si="56">-$D97-E106</f>
        <v>25442.014265456408</v>
      </c>
      <c r="F107" s="114">
        <f t="shared" si="56"/>
        <v>24102.960883063963</v>
      </c>
      <c r="G107" s="114">
        <f t="shared" si="56"/>
        <v>22763.907500671521</v>
      </c>
      <c r="H107" s="254">
        <f>-$D97-H106</f>
        <v>21424.85411827908</v>
      </c>
      <c r="I107" s="114">
        <f t="shared" ref="I107:X107" si="57">-$D97-I106</f>
        <v>20085.800735886638</v>
      </c>
      <c r="J107" s="114">
        <f t="shared" si="57"/>
        <v>18746.747353494196</v>
      </c>
      <c r="K107" s="114">
        <f t="shared" si="57"/>
        <v>17407.693971101751</v>
      </c>
      <c r="L107" s="114">
        <f t="shared" si="57"/>
        <v>16068.64058870931</v>
      </c>
      <c r="M107" s="93">
        <f t="shared" si="57"/>
        <v>14729.587206316868</v>
      </c>
      <c r="N107" s="93">
        <f t="shared" si="57"/>
        <v>13390.533823924427</v>
      </c>
      <c r="O107" s="93">
        <f t="shared" si="57"/>
        <v>12051.480441531985</v>
      </c>
      <c r="P107" s="93">
        <f t="shared" si="57"/>
        <v>10712.427059139543</v>
      </c>
      <c r="Q107" s="93">
        <f t="shared" si="57"/>
        <v>9373.3736767471019</v>
      </c>
      <c r="R107" s="93">
        <f t="shared" si="57"/>
        <v>8034.3202943546603</v>
      </c>
      <c r="S107" s="93">
        <f t="shared" si="57"/>
        <v>6695.2669119622187</v>
      </c>
      <c r="T107" s="93">
        <f t="shared" si="57"/>
        <v>5356.2135295697772</v>
      </c>
      <c r="U107" s="93">
        <f t="shared" si="57"/>
        <v>4017.1601471773356</v>
      </c>
      <c r="V107" s="93">
        <f t="shared" si="57"/>
        <v>2678.106764784894</v>
      </c>
      <c r="W107" s="93">
        <f t="shared" si="57"/>
        <v>1339.0533823924525</v>
      </c>
      <c r="X107" s="161">
        <f t="shared" si="57"/>
        <v>0</v>
      </c>
      <c r="Y107" s="261"/>
    </row>
    <row r="108" spans="2:25" hidden="1" outlineLevel="1">
      <c r="B108" s="452"/>
      <c r="C108" s="258" t="s">
        <v>65</v>
      </c>
      <c r="D108" s="114"/>
      <c r="E108" s="114">
        <f>-$D97*Assumptions!J$13*INDEX('DATA (Nominal)'!$B$343:$BX$343,1,MATCH($B$1,'DATA (Nominal)'!$B$1:$BX$1,0))</f>
        <v>4552.7815001343042</v>
      </c>
      <c r="F108" s="114">
        <f>-$D97*Assumptions!K$13*INDEX('DATA (Nominal)'!$B$343:$BX$343,1,MATCH($B$1,'DATA (Nominal)'!$B$1:$BX$1,0))</f>
        <v>7284.4504002148878</v>
      </c>
      <c r="G108" s="114">
        <f>-$D97*Assumptions!L$13*INDEX('DATA (Nominal)'!$B$343:$BX$343,1,MATCH($B$1,'DATA (Nominal)'!$B$1:$BX$1,0))</f>
        <v>4370.6702401289322</v>
      </c>
      <c r="H108" s="114">
        <f>-$D97*Assumptions!M$13*INDEX('DATA (Nominal)'!$B$343:$BX$343,1,MATCH($B$1,'DATA (Nominal)'!$B$1:$BX$1,0))</f>
        <v>2622.4021440773595</v>
      </c>
      <c r="I108" s="114">
        <f>-$D97*Assumptions!N$13*INDEX('DATA (Nominal)'!$B$343:$BX$343,1,MATCH($B$1,'DATA (Nominal)'!$B$1:$BX$1,0))</f>
        <v>2622.4021440773595</v>
      </c>
      <c r="J108" s="114">
        <f>-$D97*Assumptions!O$13*INDEX('DATA (Nominal)'!$B$343:$BX$343,1,MATCH($B$1,'DATA (Nominal)'!$B$1:$BX$1,0))</f>
        <v>1311.2010720386797</v>
      </c>
      <c r="K108" s="114">
        <f>-$D97*Assumptions!P$13*INDEX('DATA (Nominal)'!$B$343:$BX$343,1,MATCH($B$1,'DATA (Nominal)'!$B$1:$BX$1,0))</f>
        <v>0</v>
      </c>
      <c r="L108" s="114">
        <f>-$D97*Assumptions!Q$13*INDEX('DATA (Nominal)'!$B$343:$BX$343,1,MATCH($B$1,'DATA (Nominal)'!$B$1:$BX$1,0))</f>
        <v>0</v>
      </c>
      <c r="M108" s="93">
        <f>-$D97*Assumptions!R$13*INDEX('DATA (Nominal)'!$B$343:$BX$343,1,MATCH($B$1,'DATA (Nominal)'!$B$1:$BX$1,0))</f>
        <v>0</v>
      </c>
      <c r="N108" s="93">
        <f>-$D97*Assumptions!S$13*INDEX('DATA (Nominal)'!$B$343:$BX$343,1,MATCH($B$1,'DATA (Nominal)'!$B$1:$BX$1,0))</f>
        <v>0</v>
      </c>
      <c r="O108" s="93">
        <f>-$D97*Assumptions!T$13*INDEX('DATA (Nominal)'!$B$343:$BX$343,1,MATCH($B$1,'DATA (Nominal)'!$B$1:$BX$1,0))</f>
        <v>0</v>
      </c>
      <c r="P108" s="93">
        <f>-$D97*Assumptions!U$13*INDEX('DATA (Nominal)'!$B$343:$BX$343,1,MATCH($B$1,'DATA (Nominal)'!$B$1:$BX$1,0))</f>
        <v>0</v>
      </c>
      <c r="Q108" s="93">
        <f>-$D97*Assumptions!V$13*INDEX('DATA (Nominal)'!$B$343:$BX$343,1,MATCH($B$1,'DATA (Nominal)'!$B$1:$BX$1,0))</f>
        <v>0</v>
      </c>
      <c r="R108" s="93">
        <f>-$D97*Assumptions!W$13*INDEX('DATA (Nominal)'!$B$343:$BX$343,1,MATCH($B$1,'DATA (Nominal)'!$B$1:$BX$1,0))</f>
        <v>0</v>
      </c>
      <c r="S108" s="93">
        <f>-$D97*Assumptions!X$13*INDEX('DATA (Nominal)'!$B$343:$BX$343,1,MATCH($B$1,'DATA (Nominal)'!$B$1:$BX$1,0))</f>
        <v>0</v>
      </c>
      <c r="T108" s="93">
        <f>-$D97*Assumptions!Y$13*INDEX('DATA (Nominal)'!$B$343:$BX$343,1,MATCH($B$1,'DATA (Nominal)'!$B$1:$BX$1,0))</f>
        <v>0</v>
      </c>
      <c r="U108" s="93">
        <f>-$D97*Assumptions!Z$13*INDEX('DATA (Nominal)'!$B$343:$BX$343,1,MATCH($B$1,'DATA (Nominal)'!$B$1:$BX$1,0))</f>
        <v>0</v>
      </c>
      <c r="V108" s="93">
        <f>-$D97*Assumptions!AA$13*INDEX('DATA (Nominal)'!$B$343:$BX$343,1,MATCH($B$1,'DATA (Nominal)'!$B$1:$BX$1,0))</f>
        <v>0</v>
      </c>
      <c r="W108" s="93">
        <f>-$D97*Assumptions!AB$13*INDEX('DATA (Nominal)'!$B$343:$BX$343,1,MATCH($B$1,'DATA (Nominal)'!$B$1:$BX$1,0))</f>
        <v>0</v>
      </c>
      <c r="X108" s="455">
        <f>-$D97*Assumptions!AC$13*INDEX('DATA (Nominal)'!$B$343:$BX$343,1,MATCH($B$1,'DATA (Nominal)'!$B$1:$BX$1,0))</f>
        <v>0</v>
      </c>
      <c r="Y108" s="261"/>
    </row>
    <row r="109" spans="2:25" ht="15.75" hidden="1" outlineLevel="1" thickBot="1">
      <c r="B109" s="452"/>
      <c r="C109" s="127" t="s">
        <v>66</v>
      </c>
      <c r="D109" s="103"/>
      <c r="E109" s="103">
        <f t="shared" ref="E109:X109" si="58">E108*Federal_Tax_Rate</f>
        <v>956.08411502820388</v>
      </c>
      <c r="F109" s="103">
        <f t="shared" si="58"/>
        <v>1529.7345840451264</v>
      </c>
      <c r="G109" s="103">
        <f t="shared" si="58"/>
        <v>917.8407504270757</v>
      </c>
      <c r="H109" s="103">
        <f t="shared" si="58"/>
        <v>550.70445025624542</v>
      </c>
      <c r="I109" s="103">
        <f t="shared" si="58"/>
        <v>550.70445025624542</v>
      </c>
      <c r="J109" s="103">
        <f t="shared" si="58"/>
        <v>275.35222512812271</v>
      </c>
      <c r="K109" s="103">
        <f t="shared" si="58"/>
        <v>0</v>
      </c>
      <c r="L109" s="103">
        <f t="shared" si="58"/>
        <v>0</v>
      </c>
      <c r="M109" s="456">
        <f t="shared" si="58"/>
        <v>0</v>
      </c>
      <c r="N109" s="456">
        <f t="shared" si="58"/>
        <v>0</v>
      </c>
      <c r="O109" s="456">
        <f t="shared" si="58"/>
        <v>0</v>
      </c>
      <c r="P109" s="456">
        <f t="shared" si="58"/>
        <v>0</v>
      </c>
      <c r="Q109" s="456">
        <f t="shared" si="58"/>
        <v>0</v>
      </c>
      <c r="R109" s="456">
        <f t="shared" si="58"/>
        <v>0</v>
      </c>
      <c r="S109" s="456">
        <f t="shared" si="58"/>
        <v>0</v>
      </c>
      <c r="T109" s="456">
        <f t="shared" si="58"/>
        <v>0</v>
      </c>
      <c r="U109" s="456">
        <f t="shared" si="58"/>
        <v>0</v>
      </c>
      <c r="V109" s="456">
        <f t="shared" si="58"/>
        <v>0</v>
      </c>
      <c r="W109" s="456">
        <f t="shared" si="58"/>
        <v>0</v>
      </c>
      <c r="X109" s="457">
        <f t="shared" si="58"/>
        <v>0</v>
      </c>
      <c r="Y109" s="261"/>
    </row>
    <row r="110" spans="2:25" hidden="1" outlineLevel="1">
      <c r="B110" s="452"/>
      <c r="C110" s="128" t="s">
        <v>67</v>
      </c>
      <c r="D110" s="104">
        <f>NPV(Tax_Equity_Rate,E109:X109)</f>
        <v>3878.4785082945391</v>
      </c>
      <c r="E110" s="105">
        <f>D110/D114</f>
        <v>0.14482165383746651</v>
      </c>
      <c r="F110" s="254"/>
      <c r="G110" s="254"/>
      <c r="H110" s="254"/>
      <c r="I110" s="254"/>
      <c r="J110" s="254"/>
      <c r="K110" s="254"/>
      <c r="L110" s="254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</row>
    <row r="111" spans="2:25" hidden="1" outlineLevel="1">
      <c r="B111" s="452"/>
      <c r="C111" s="125" t="s">
        <v>79</v>
      </c>
      <c r="D111" s="106">
        <f>NPV(Tax_Equity_Rate,E94:X94)</f>
        <v>1775.1621529006252</v>
      </c>
      <c r="E111" s="107">
        <f>D111/D114</f>
        <v>6.628421899539963E-2</v>
      </c>
    </row>
    <row r="112" spans="2:25" hidden="1" outlineLevel="1">
      <c r="B112" s="22">
        <f>Assumptions!F13</f>
        <v>0.75800000000000001</v>
      </c>
      <c r="C112" s="125" t="s">
        <v>68</v>
      </c>
      <c r="D112" s="106">
        <f>(D114-D110-D111)*$B112</f>
        <v>16014.589655883494</v>
      </c>
      <c r="E112" s="107">
        <f>D112/D114</f>
        <v>0.59798174839268747</v>
      </c>
    </row>
    <row r="113" spans="1:25" hidden="1" outlineLevel="1">
      <c r="B113" s="22">
        <f>1-B112</f>
        <v>0.24199999999999999</v>
      </c>
      <c r="C113" s="125" t="s">
        <v>69</v>
      </c>
      <c r="D113" s="106">
        <f>(D114-D110-D111)*$B113</f>
        <v>5112.8373307701913</v>
      </c>
      <c r="E113" s="107">
        <f>D113/D114</f>
        <v>0.19091237877444639</v>
      </c>
    </row>
    <row r="114" spans="1:25" hidden="1" outlineLevel="1">
      <c r="C114" s="125" t="s">
        <v>70</v>
      </c>
      <c r="D114" s="106">
        <f>-D97</f>
        <v>26781.067647848849</v>
      </c>
      <c r="E114" s="108"/>
    </row>
    <row r="115" spans="1:25" ht="15.75" hidden="1" outlineLevel="1" thickBot="1">
      <c r="C115" s="127" t="s">
        <v>71</v>
      </c>
      <c r="D115" s="109">
        <f>SUM(D110:D113)-D114</f>
        <v>0</v>
      </c>
      <c r="E115" s="110"/>
    </row>
    <row r="116" spans="1:25" hidden="1" outlineLevel="1"/>
    <row r="117" spans="1:25" ht="15.75" collapsed="1" thickBot="1"/>
    <row r="118" spans="1:25" ht="18.75" thickBot="1">
      <c r="A118" s="86"/>
      <c r="B118" s="82"/>
      <c r="C118" s="484" t="s">
        <v>132</v>
      </c>
      <c r="D118" s="485"/>
      <c r="E118" s="485"/>
      <c r="F118" s="485"/>
      <c r="G118" s="485"/>
      <c r="H118" s="486"/>
      <c r="Y118" s="261"/>
    </row>
    <row r="119" spans="1:25" hidden="1" outlineLevel="1">
      <c r="C119" s="124" t="s">
        <v>44</v>
      </c>
      <c r="D119" s="153"/>
      <c r="E119" s="153">
        <f>'Resource Options'!$E$14*INDEX('DATA (Nominal)'!$B$14:$BX$14,1,MATCH($B$1,'DATA (Nominal)'!$B$1:$BX$1,0))*8760</f>
        <v>8.6424979367249435</v>
      </c>
      <c r="F119" s="153">
        <f>'Resource Options'!$E$14*INDEX('DATA (Nominal)'!$B$14:$BX$14,1,MATCH($B$1,'DATA (Nominal)'!$B$1:$BX$1,0))*8760</f>
        <v>8.6424979367249435</v>
      </c>
      <c r="G119" s="153">
        <f>'Resource Options'!$E$14*INDEX('DATA (Nominal)'!$B$14:$BX$14,1,MATCH($B$1,'DATA (Nominal)'!$B$1:$BX$1,0))*8760</f>
        <v>8.6424979367249435</v>
      </c>
      <c r="H119" s="153">
        <f>'Resource Options'!$E$14*INDEX('DATA (Nominal)'!$B$14:$BX$14,1,MATCH($B$1,'DATA (Nominal)'!$B$1:$BX$1,0))*8760</f>
        <v>8.6424979367249435</v>
      </c>
      <c r="I119" s="153">
        <f>'Resource Options'!$E$14*INDEX('DATA (Nominal)'!$B$14:$BX$14,1,MATCH($B$1,'DATA (Nominal)'!$B$1:$BX$1,0))*8760</f>
        <v>8.6424979367249435</v>
      </c>
      <c r="J119" s="153">
        <f>'Resource Options'!$E$14*INDEX('DATA (Nominal)'!$B$14:$BX$14,1,MATCH($B$1,'DATA (Nominal)'!$B$1:$BX$1,0))*8760</f>
        <v>8.6424979367249435</v>
      </c>
      <c r="K119" s="153">
        <f>'Resource Options'!$E$14*INDEX('DATA (Nominal)'!$B$14:$BX$14,1,MATCH($B$1,'DATA (Nominal)'!$B$1:$BX$1,0))*8760</f>
        <v>8.6424979367249435</v>
      </c>
      <c r="L119" s="153">
        <f>'Resource Options'!$E$14*INDEX('DATA (Nominal)'!$B$14:$BX$14,1,MATCH($B$1,'DATA (Nominal)'!$B$1:$BX$1,0))*8760</f>
        <v>8.6424979367249435</v>
      </c>
      <c r="M119" s="153">
        <f>'Resource Options'!$E$14*INDEX('DATA (Nominal)'!$B$14:$BX$14,1,MATCH($B$1,'DATA (Nominal)'!$B$1:$BX$1,0))*8760</f>
        <v>8.6424979367249435</v>
      </c>
      <c r="N119" s="153">
        <f>'Resource Options'!$E$14*INDEX('DATA (Nominal)'!$B$14:$BX$14,1,MATCH($B$1,'DATA (Nominal)'!$B$1:$BX$1,0))*8760</f>
        <v>8.6424979367249435</v>
      </c>
      <c r="O119" s="153">
        <f>'Resource Options'!$E$14*INDEX('DATA (Nominal)'!$B$14:$BX$14,1,MATCH($B$1,'DATA (Nominal)'!$B$1:$BX$1,0))*8760</f>
        <v>8.6424979367249435</v>
      </c>
      <c r="P119" s="153">
        <f>'Resource Options'!$E$14*INDEX('DATA (Nominal)'!$B$14:$BX$14,1,MATCH($B$1,'DATA (Nominal)'!$B$1:$BX$1,0))*8760</f>
        <v>8.6424979367249435</v>
      </c>
      <c r="Q119" s="153">
        <f>'Resource Options'!$E$14*INDEX('DATA (Nominal)'!$B$14:$BX$14,1,MATCH($B$1,'DATA (Nominal)'!$B$1:$BX$1,0))*8760</f>
        <v>8.6424979367249435</v>
      </c>
      <c r="R119" s="153">
        <f>'Resource Options'!$E$14*INDEX('DATA (Nominal)'!$B$14:$BX$14,1,MATCH($B$1,'DATA (Nominal)'!$B$1:$BX$1,0))*8760</f>
        <v>8.6424979367249435</v>
      </c>
      <c r="S119" s="153">
        <f>'Resource Options'!$E$14*INDEX('DATA (Nominal)'!$B$14:$BX$14,1,MATCH($B$1,'DATA (Nominal)'!$B$1:$BX$1,0))*8760</f>
        <v>8.6424979367249435</v>
      </c>
      <c r="T119" s="153">
        <f>'Resource Options'!$E$14*INDEX('DATA (Nominal)'!$B$14:$BX$14,1,MATCH($B$1,'DATA (Nominal)'!$B$1:$BX$1,0))*8760</f>
        <v>8.6424979367249435</v>
      </c>
      <c r="U119" s="153">
        <f>'Resource Options'!$E$14*INDEX('DATA (Nominal)'!$B$14:$BX$14,1,MATCH($B$1,'DATA (Nominal)'!$B$1:$BX$1,0))*8760</f>
        <v>8.6424979367249435</v>
      </c>
      <c r="V119" s="153">
        <f>'Resource Options'!$E$14*INDEX('DATA (Nominal)'!$B$14:$BX$14,1,MATCH($B$1,'DATA (Nominal)'!$B$1:$BX$1,0))*8760</f>
        <v>8.6424979367249435</v>
      </c>
      <c r="W119" s="153">
        <f>'Resource Options'!$E$14*INDEX('DATA (Nominal)'!$B$14:$BX$14,1,MATCH($B$1,'DATA (Nominal)'!$B$1:$BX$1,0))*8760</f>
        <v>8.6424979367249435</v>
      </c>
      <c r="X119" s="159">
        <f>'Resource Options'!$E$14*INDEX('DATA (Nominal)'!$B$14:$BX$14,1,MATCH($B$1,'DATA (Nominal)'!$B$1:$BX$1,0))*8760</f>
        <v>8.6424979367249435</v>
      </c>
      <c r="Y119" s="156"/>
    </row>
    <row r="120" spans="1:25" hidden="1" outlineLevel="1">
      <c r="C120" s="125" t="s">
        <v>45</v>
      </c>
      <c r="D120" s="151"/>
      <c r="E120" s="154">
        <f>PPA_SOLAR_Existing_Residential_PTC</f>
        <v>271.94680959612634</v>
      </c>
      <c r="F120" s="154">
        <f>E120</f>
        <v>271.94680959612634</v>
      </c>
      <c r="G120" s="154">
        <f t="shared" ref="G120:V121" si="59">F120</f>
        <v>271.94680959612634</v>
      </c>
      <c r="H120" s="154">
        <f t="shared" si="59"/>
        <v>271.94680959612634</v>
      </c>
      <c r="I120" s="154">
        <f t="shared" si="59"/>
        <v>271.94680959612634</v>
      </c>
      <c r="J120" s="154">
        <f t="shared" si="59"/>
        <v>271.94680959612634</v>
      </c>
      <c r="K120" s="154">
        <f t="shared" si="59"/>
        <v>271.94680959612634</v>
      </c>
      <c r="L120" s="154">
        <f t="shared" si="59"/>
        <v>271.94680959612634</v>
      </c>
      <c r="M120" s="154">
        <f t="shared" si="59"/>
        <v>271.94680959612634</v>
      </c>
      <c r="N120" s="154">
        <f t="shared" si="59"/>
        <v>271.94680959612634</v>
      </c>
      <c r="O120" s="154">
        <f t="shared" si="59"/>
        <v>271.94680959612634</v>
      </c>
      <c r="P120" s="154">
        <f t="shared" si="59"/>
        <v>271.94680959612634</v>
      </c>
      <c r="Q120" s="154">
        <f t="shared" si="59"/>
        <v>271.94680959612634</v>
      </c>
      <c r="R120" s="154">
        <f t="shared" si="59"/>
        <v>271.94680959612634</v>
      </c>
      <c r="S120" s="154">
        <f t="shared" si="59"/>
        <v>271.94680959612634</v>
      </c>
      <c r="T120" s="154">
        <f t="shared" si="59"/>
        <v>271.94680959612634</v>
      </c>
      <c r="U120" s="154">
        <f t="shared" si="59"/>
        <v>271.94680959612634</v>
      </c>
      <c r="V120" s="154">
        <f t="shared" si="59"/>
        <v>271.94680959612634</v>
      </c>
      <c r="W120" s="154">
        <f t="shared" ref="W120:X121" si="60">V120</f>
        <v>271.94680959612634</v>
      </c>
      <c r="X120" s="152">
        <f t="shared" si="60"/>
        <v>271.94680959612634</v>
      </c>
      <c r="Y120" s="156"/>
    </row>
    <row r="121" spans="1:25" hidden="1" outlineLevel="1">
      <c r="C121" s="125" t="s">
        <v>111</v>
      </c>
      <c r="D121" s="151"/>
      <c r="E121" s="154">
        <f>INDEX('PPA Summary'!$75:$106,MATCH(_xlfn.CONCAT($C118,$C$1),'PPA Summary'!$D$75:$D$106,0),MATCH($B$1,'PPA Summary'!$74:$74,0))</f>
        <v>34.024823975905285</v>
      </c>
      <c r="F121" s="154">
        <f>E121</f>
        <v>34.024823975905285</v>
      </c>
      <c r="G121" s="154">
        <f t="shared" si="59"/>
        <v>34.024823975905285</v>
      </c>
      <c r="H121" s="154">
        <f t="shared" si="59"/>
        <v>34.024823975905285</v>
      </c>
      <c r="I121" s="154">
        <f t="shared" si="59"/>
        <v>34.024823975905285</v>
      </c>
      <c r="J121" s="154">
        <f t="shared" si="59"/>
        <v>34.024823975905285</v>
      </c>
      <c r="K121" s="154">
        <f t="shared" si="59"/>
        <v>34.024823975905285</v>
      </c>
      <c r="L121" s="154">
        <f t="shared" si="59"/>
        <v>34.024823975905285</v>
      </c>
      <c r="M121" s="154">
        <f t="shared" si="59"/>
        <v>34.024823975905285</v>
      </c>
      <c r="N121" s="154">
        <f t="shared" si="59"/>
        <v>34.024823975905285</v>
      </c>
      <c r="O121" s="154">
        <f t="shared" si="59"/>
        <v>34.024823975905285</v>
      </c>
      <c r="P121" s="154">
        <f t="shared" si="59"/>
        <v>34.024823975905285</v>
      </c>
      <c r="Q121" s="154">
        <f t="shared" si="59"/>
        <v>34.024823975905285</v>
      </c>
      <c r="R121" s="154">
        <f t="shared" si="59"/>
        <v>34.024823975905285</v>
      </c>
      <c r="S121" s="154">
        <f t="shared" si="59"/>
        <v>34.024823975905285</v>
      </c>
      <c r="T121" s="154">
        <f t="shared" si="59"/>
        <v>34.024823975905285</v>
      </c>
      <c r="U121" s="154">
        <f t="shared" si="59"/>
        <v>34.024823975905285</v>
      </c>
      <c r="V121" s="154">
        <f t="shared" si="59"/>
        <v>34.024823975905285</v>
      </c>
      <c r="W121" s="154">
        <f t="shared" si="60"/>
        <v>34.024823975905285</v>
      </c>
      <c r="X121" s="152">
        <f t="shared" si="60"/>
        <v>34.024823975905285</v>
      </c>
      <c r="Y121" s="156"/>
    </row>
    <row r="122" spans="1:25" hidden="1" outlineLevel="1">
      <c r="C122" s="258" t="s">
        <v>46</v>
      </c>
      <c r="D122" s="151"/>
      <c r="E122" s="151">
        <f>E120*E119+E121*12*'Resource Options'!$E$14*1000</f>
        <v>4835.5912312474047</v>
      </c>
      <c r="F122" s="151">
        <f>F120*F119+F121*12*'Resource Options'!$E$14*1000</f>
        <v>4835.5912312474047</v>
      </c>
      <c r="G122" s="151">
        <f>G120*G119+G121*12*'Resource Options'!$E$14*1000</f>
        <v>4835.5912312474047</v>
      </c>
      <c r="H122" s="151">
        <f>H120*H119+H121*12*'Resource Options'!$E$14*1000</f>
        <v>4835.5912312474047</v>
      </c>
      <c r="I122" s="151">
        <f>I120*I119+I121*12*'Resource Options'!$E$14*1000</f>
        <v>4835.5912312474047</v>
      </c>
      <c r="J122" s="151">
        <f>J120*J119+J121*12*'Resource Options'!$E$14*1000</f>
        <v>4835.5912312474047</v>
      </c>
      <c r="K122" s="151">
        <f>K120*K119+K121*12*'Resource Options'!$E$14*1000</f>
        <v>4835.5912312474047</v>
      </c>
      <c r="L122" s="151">
        <f>L120*L119+L121*12*'Resource Options'!$E$14*1000</f>
        <v>4835.5912312474047</v>
      </c>
      <c r="M122" s="151">
        <f>M120*M119+M121*12*'Resource Options'!$E$14*1000</f>
        <v>4835.5912312474047</v>
      </c>
      <c r="N122" s="151">
        <f>N120*N119+N121*12*'Resource Options'!$E$14*1000</f>
        <v>4835.5912312474047</v>
      </c>
      <c r="O122" s="151">
        <f>O120*O119+O121*12*'Resource Options'!$E$14*1000</f>
        <v>4835.5912312474047</v>
      </c>
      <c r="P122" s="151">
        <f>P120*P119+P121*12*'Resource Options'!$E$14*1000</f>
        <v>4835.5912312474047</v>
      </c>
      <c r="Q122" s="151">
        <f>Q120*Q119+Q121*12*'Resource Options'!$E$14*1000</f>
        <v>4835.5912312474047</v>
      </c>
      <c r="R122" s="151">
        <f>R120*R119+R121*12*'Resource Options'!$E$14*1000</f>
        <v>4835.5912312474047</v>
      </c>
      <c r="S122" s="151">
        <f>S120*S119+S121*12*'Resource Options'!$E$14*1000</f>
        <v>4835.5912312474047</v>
      </c>
      <c r="T122" s="151">
        <f>T120*T119+T121*12*'Resource Options'!$E$14*1000</f>
        <v>4835.5912312474047</v>
      </c>
      <c r="U122" s="151">
        <f>U120*U119+U121*12*'Resource Options'!$E$14*1000</f>
        <v>4835.5912312474047</v>
      </c>
      <c r="V122" s="151">
        <f>V120*V119+V121*12*'Resource Options'!$E$14*1000</f>
        <v>4835.5912312474047</v>
      </c>
      <c r="W122" s="151">
        <f>W120*W119+W121*12*'Resource Options'!$E$14*1000</f>
        <v>4835.5912312474047</v>
      </c>
      <c r="X122" s="152">
        <f>X120*X119+X121*12*'Resource Options'!$E$14*1000</f>
        <v>4835.5912312474047</v>
      </c>
      <c r="Y122" s="156"/>
    </row>
    <row r="123" spans="1:25" hidden="1" outlineLevel="1">
      <c r="C123" s="258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2"/>
      <c r="Y123" s="156"/>
    </row>
    <row r="124" spans="1:25" hidden="1" outlineLevel="1">
      <c r="B124" s="92"/>
      <c r="C124" s="125" t="s">
        <v>158</v>
      </c>
      <c r="D124" s="151"/>
      <c r="E124" s="151">
        <f>'Resource Options'!$E$14*INDEX('DATA (Nominal)'!$B$181:$BX$181,1,MATCH(E$1,'DATA (Nominal)'!$B$1:$BX$1,0))*1000*0.8</f>
        <v>127.0150909824426</v>
      </c>
      <c r="F124" s="151">
        <f>'Resource Options'!$E$14*INDEX('DATA (Nominal)'!$B$181:$BX$181,1,MATCH(F$1,'DATA (Nominal)'!$B$1:$BX$1,0))*1000*0.8</f>
        <v>119.54253701320361</v>
      </c>
      <c r="G124" s="151">
        <f>'Resource Options'!$E$14*INDEX('DATA (Nominal)'!$B$181:$BX$181,1,MATCH(G$1,'DATA (Nominal)'!$B$1:$BX$1,0))*1000*0.8</f>
        <v>111.67285666184749</v>
      </c>
      <c r="H124" s="151">
        <f>'Resource Options'!$E$14*INDEX('DATA (Nominal)'!$B$181:$BX$181,1,MATCH(H$1,'DATA (Nominal)'!$B$1:$BX$1,0))*1000*0.8</f>
        <v>103.3583276295081</v>
      </c>
      <c r="I124" s="151">
        <f>'Resource Options'!$E$14*INDEX('DATA (Nominal)'!$B$181:$BX$181,1,MATCH(I$1,'DATA (Nominal)'!$B$1:$BX$1,0))*1000*0.8</f>
        <v>94.623909657121501</v>
      </c>
      <c r="J124" s="151">
        <f>'Resource Options'!$E$14*INDEX('DATA (Nominal)'!$B$181:$BX$181,1,MATCH(J$1,'DATA (Nominal)'!$B$1:$BX$1,0))*1000*0.8</f>
        <v>85.455151863377182</v>
      </c>
      <c r="K124" s="151">
        <f>'Resource Options'!$E$14*INDEX('DATA (Nominal)'!$B$181:$BX$181,1,MATCH(K$1,'DATA (Nominal)'!$B$1:$BX$1,0))*1000*0.8</f>
        <v>86.621404394167087</v>
      </c>
      <c r="L124" s="151">
        <f>'Resource Options'!$E$14*INDEX('DATA (Nominal)'!$B$181:$BX$181,1,MATCH(L$1,'DATA (Nominal)'!$B$1:$BX$1,0))*1000*0.8</f>
        <v>87.797611742809892</v>
      </c>
      <c r="M124" s="151">
        <f>'Resource Options'!$E$14*INDEX('DATA (Nominal)'!$B$181:$BX$181,1,MATCH(M$1,'DATA (Nominal)'!$B$1:$BX$1,0))*1000*0.8</f>
        <v>88.983647455066176</v>
      </c>
      <c r="N124" s="151">
        <f>'Resource Options'!$E$14*INDEX('DATA (Nominal)'!$B$181:$BX$181,1,MATCH(N$1,'DATA (Nominal)'!$B$1:$BX$1,0))*1000*0.8</f>
        <v>90.179374694578243</v>
      </c>
      <c r="O124" s="151">
        <f>'Resource Options'!$E$14*INDEX('DATA (Nominal)'!$B$181:$BX$181,1,MATCH(O$1,'DATA (Nominal)'!$B$1:$BX$1,0))*1000*0.8</f>
        <v>91.384645847260558</v>
      </c>
      <c r="P124" s="151">
        <f>'Resource Options'!$E$14*INDEX('DATA (Nominal)'!$B$181:$BX$181,1,MATCH(P$1,'DATA (Nominal)'!$B$1:$BX$1,0))*1000*0.8</f>
        <v>92.599302113308738</v>
      </c>
      <c r="Q124" s="151">
        <f>'Resource Options'!$E$14*INDEX('DATA (Nominal)'!$B$181:$BX$181,1,MATCH(Q$1,'DATA (Nominal)'!$B$1:$BX$1,0))*1000*0.8</f>
        <v>93.823173086472963</v>
      </c>
      <c r="R124" s="151">
        <f>'Resource Options'!$E$14*INDEX('DATA (Nominal)'!$B$181:$BX$181,1,MATCH(R$1,'DATA (Nominal)'!$B$1:$BX$1,0))*1000*0.8</f>
        <v>95.056076320233558</v>
      </c>
      <c r="S124" s="151">
        <f>'Resource Options'!$E$14*INDEX('DATA (Nominal)'!$B$181:$BX$181,1,MATCH(S$1,'DATA (Nominal)'!$B$1:$BX$1,0))*1000*0.8</f>
        <v>96.297816880505806</v>
      </c>
      <c r="T124" s="151">
        <f>'Resource Options'!$E$14*INDEX('DATA (Nominal)'!$B$181:$BX$181,1,MATCH(T$1,'DATA (Nominal)'!$B$1:$BX$1,0))*1000*0.8</f>
        <v>97.548186884491003</v>
      </c>
      <c r="U124" s="151">
        <f>'Resource Options'!$E$14*INDEX('DATA (Nominal)'!$B$181:$BX$181,1,MATCH(U$1,'DATA (Nominal)'!$B$1:$BX$1,0))*1000*0.8</f>
        <v>98.806965025281372</v>
      </c>
      <c r="V124" s="151">
        <f>'Resource Options'!$E$14*INDEX('DATA (Nominal)'!$B$181:$BX$181,1,MATCH(V$1,'DATA (Nominal)'!$B$1:$BX$1,0))*1000*0.8</f>
        <v>100.07391608181446</v>
      </c>
      <c r="W124" s="151">
        <f>'Resource Options'!$E$14*INDEX('DATA (Nominal)'!$B$181:$BX$181,1,MATCH(W$1,'DATA (Nominal)'!$B$1:$BX$1,0))*1000*0.8</f>
        <v>101.34879041376274</v>
      </c>
      <c r="X124" s="152">
        <f>'Resource Options'!$E$14*INDEX('DATA (Nominal)'!$B$181:$BX$181,1,MATCH(X$1,'DATA (Nominal)'!$B$1:$BX$1,0))*1000*0.8</f>
        <v>102.63132344093316</v>
      </c>
      <c r="Y124" s="156"/>
    </row>
    <row r="125" spans="1:25" hidden="1" outlineLevel="1">
      <c r="B125" s="92"/>
      <c r="C125" s="125" t="s">
        <v>159</v>
      </c>
      <c r="D125" s="151"/>
      <c r="E125" s="151">
        <f>'Resource Options'!$E$14*INDEX('DATA (Nominal)'!$B$182:$BX$182,1,MATCH(E$1,'DATA (Nominal)'!$B$1:$BX$1,0))*1000*0.8</f>
        <v>377.00359282616375</v>
      </c>
      <c r="F125" s="151">
        <f>'Resource Options'!$E$14*INDEX('DATA (Nominal)'!$B$182:$BX$182,1,MATCH(F$1,'DATA (Nominal)'!$B$1:$BX$1,0))*1000*0.8</f>
        <v>369.83636010624622</v>
      </c>
      <c r="G125" s="151">
        <f>'Resource Options'!$E$14*INDEX('DATA (Nominal)'!$B$182:$BX$182,1,MATCH(G$1,'DATA (Nominal)'!$B$1:$BX$1,0))*1000*0.8</f>
        <v>363.95367468645526</v>
      </c>
      <c r="H125" s="151">
        <f>'Resource Options'!$E$14*INDEX('DATA (Nominal)'!$B$182:$BX$182,1,MATCH(H$1,'DATA (Nominal)'!$B$1:$BX$1,0))*1000*0.8</f>
        <v>359.55135317948412</v>
      </c>
      <c r="I125" s="151">
        <f>'Resource Options'!$E$14*INDEX('DATA (Nominal)'!$B$182:$BX$182,1,MATCH(I$1,'DATA (Nominal)'!$B$1:$BX$1,0))*1000*0.8</f>
        <v>355.32673748763727</v>
      </c>
      <c r="J125" s="151">
        <f>'Resource Options'!$E$14*INDEX('DATA (Nominal)'!$B$182:$BX$182,1,MATCH(J$1,'DATA (Nominal)'!$B$1:$BX$1,0))*1000*0.8</f>
        <v>351.91843948824726</v>
      </c>
      <c r="K125" s="151">
        <f>'Resource Options'!$E$14*INDEX('DATA (Nominal)'!$B$182:$BX$182,1,MATCH(K$1,'DATA (Nominal)'!$B$1:$BX$1,0))*1000*0.8</f>
        <v>355.26208121229485</v>
      </c>
      <c r="L125" s="151">
        <f>'Resource Options'!$E$14*INDEX('DATA (Nominal)'!$B$182:$BX$182,1,MATCH(L$1,'DATA (Nominal)'!$B$1:$BX$1,0))*1000*0.8</f>
        <v>358.48323612904693</v>
      </c>
      <c r="M125" s="151">
        <f>'Resource Options'!$E$14*INDEX('DATA (Nominal)'!$B$182:$BX$182,1,MATCH(M$1,'DATA (Nominal)'!$B$1:$BX$1,0))*1000*0.8</f>
        <v>361.67417501482919</v>
      </c>
      <c r="N125" s="151">
        <f>'Resource Options'!$E$14*INDEX('DATA (Nominal)'!$B$182:$BX$182,1,MATCH(N$1,'DATA (Nominal)'!$B$1:$BX$1,0))*1000*0.8</f>
        <v>364.83200932529991</v>
      </c>
      <c r="O125" s="151">
        <f>'Resource Options'!$E$14*INDEX('DATA (Nominal)'!$B$182:$BX$182,1,MATCH(O$1,'DATA (Nominal)'!$B$1:$BX$1,0))*1000*0.8</f>
        <v>367.95373804472325</v>
      </c>
      <c r="P125" s="151">
        <f>'Resource Options'!$E$14*INDEX('DATA (Nominal)'!$B$182:$BX$182,1,MATCH(P$1,'DATA (Nominal)'!$B$1:$BX$1,0))*1000*0.8</f>
        <v>371.03624413528894</v>
      </c>
      <c r="Q125" s="151">
        <f>'Resource Options'!$E$14*INDEX('DATA (Nominal)'!$B$182:$BX$182,1,MATCH(Q$1,'DATA (Nominal)'!$B$1:$BX$1,0))*1000*0.8</f>
        <v>374.07629088462471</v>
      </c>
      <c r="R125" s="151">
        <f>'Resource Options'!$E$14*INDEX('DATA (Nominal)'!$B$182:$BX$182,1,MATCH(R$1,'DATA (Nominal)'!$B$1:$BX$1,0))*1000*0.8</f>
        <v>377.07051814877053</v>
      </c>
      <c r="S125" s="151">
        <f>'Resource Options'!$E$14*INDEX('DATA (Nominal)'!$B$182:$BX$182,1,MATCH(S$1,'DATA (Nominal)'!$B$1:$BX$1,0))*1000*0.8</f>
        <v>380.01543848774992</v>
      </c>
      <c r="T125" s="151">
        <f>'Resource Options'!$E$14*INDEX('DATA (Nominal)'!$B$182:$BX$182,1,MATCH(T$1,'DATA (Nominal)'!$B$1:$BX$1,0))*1000*0.8</f>
        <v>382.90743319086113</v>
      </c>
      <c r="U125" s="151">
        <f>'Resource Options'!$E$14*INDEX('DATA (Nominal)'!$B$182:$BX$182,1,MATCH(U$1,'DATA (Nominal)'!$B$1:$BX$1,0))*1000*0.8</f>
        <v>385.74274818868008</v>
      </c>
      <c r="V125" s="151">
        <f>'Resource Options'!$E$14*INDEX('DATA (Nominal)'!$B$182:$BX$182,1,MATCH(V$1,'DATA (Nominal)'!$B$1:$BX$1,0))*1000*0.8</f>
        <v>388.5174898487403</v>
      </c>
      <c r="W125" s="151">
        <f>'Resource Options'!$E$14*INDEX('DATA (Nominal)'!$B$182:$BX$182,1,MATCH(W$1,'DATA (Nominal)'!$B$1:$BX$1,0))*1000*0.8</f>
        <v>391.22762065171821</v>
      </c>
      <c r="X125" s="152">
        <f>'Resource Options'!$E$14*INDEX('DATA (Nominal)'!$B$182:$BX$182,1,MATCH(X$1,'DATA (Nominal)'!$B$1:$BX$1,0))*1000*0.8</f>
        <v>393.86895474494145</v>
      </c>
      <c r="Y125" s="156"/>
    </row>
    <row r="126" spans="1:25" hidden="1" outlineLevel="1">
      <c r="C126" s="125" t="s">
        <v>160</v>
      </c>
      <c r="D126" s="151"/>
      <c r="E126" s="151">
        <f>E119*INDEX('DATA (Nominal)'!$B$109:$BX$109,1,MATCH(E$1,'DATA (Nominal)'!$B$1:$BX$1,0))</f>
        <v>0</v>
      </c>
      <c r="F126" s="151">
        <f>F119*INDEX('DATA (Nominal)'!$B$109:$BX$109,1,MATCH(F$1,'DATA (Nominal)'!$B$1:$BX$1,0))</f>
        <v>0</v>
      </c>
      <c r="G126" s="151">
        <f>G119*INDEX('DATA (Nominal)'!$B$109:$BX$109,1,MATCH(G$1,'DATA (Nominal)'!$B$1:$BX$1,0))</f>
        <v>0</v>
      </c>
      <c r="H126" s="151">
        <f>H119*INDEX('DATA (Nominal)'!$B$109:$BX$109,1,MATCH(H$1,'DATA (Nominal)'!$B$1:$BX$1,0))</f>
        <v>0</v>
      </c>
      <c r="I126" s="151">
        <f>I119*INDEX('DATA (Nominal)'!$B$109:$BX$109,1,MATCH(I$1,'DATA (Nominal)'!$B$1:$BX$1,0))</f>
        <v>0</v>
      </c>
      <c r="J126" s="151">
        <f>J119*INDEX('DATA (Nominal)'!$B$109:$BX$109,1,MATCH(J$1,'DATA (Nominal)'!$B$1:$BX$1,0))</f>
        <v>0</v>
      </c>
      <c r="K126" s="151">
        <f>K119*INDEX('DATA (Nominal)'!$B$109:$BX$109,1,MATCH(K$1,'DATA (Nominal)'!$B$1:$BX$1,0))</f>
        <v>0</v>
      </c>
      <c r="L126" s="151">
        <f>L119*INDEX('DATA (Nominal)'!$B$109:$BX$109,1,MATCH(L$1,'DATA (Nominal)'!$B$1:$BX$1,0))</f>
        <v>0</v>
      </c>
      <c r="M126" s="151">
        <f>M119*INDEX('DATA (Nominal)'!$B$109:$BX$109,1,MATCH(M$1,'DATA (Nominal)'!$B$1:$BX$1,0))</f>
        <v>0</v>
      </c>
      <c r="N126" s="151">
        <f>N119*INDEX('DATA (Nominal)'!$B$109:$BX$109,1,MATCH(N$1,'DATA (Nominal)'!$B$1:$BX$1,0))</f>
        <v>0</v>
      </c>
      <c r="O126" s="151">
        <f>O119*INDEX('DATA (Nominal)'!$B$109:$BX$109,1,MATCH(O$1,'DATA (Nominal)'!$B$1:$BX$1,0))</f>
        <v>0</v>
      </c>
      <c r="P126" s="151">
        <f>P119*INDEX('DATA (Nominal)'!$B$109:$BX$109,1,MATCH(P$1,'DATA (Nominal)'!$B$1:$BX$1,0))</f>
        <v>0</v>
      </c>
      <c r="Q126" s="151">
        <f>Q119*INDEX('DATA (Nominal)'!$B$109:$BX$109,1,MATCH(Q$1,'DATA (Nominal)'!$B$1:$BX$1,0))</f>
        <v>0</v>
      </c>
      <c r="R126" s="151">
        <f>R119*INDEX('DATA (Nominal)'!$B$109:$BX$109,1,MATCH(R$1,'DATA (Nominal)'!$B$1:$BX$1,0))</f>
        <v>0</v>
      </c>
      <c r="S126" s="151">
        <f>S119*INDEX('DATA (Nominal)'!$B$109:$BX$109,1,MATCH(S$1,'DATA (Nominal)'!$B$1:$BX$1,0))</f>
        <v>0</v>
      </c>
      <c r="T126" s="151">
        <f>T119*INDEX('DATA (Nominal)'!$B$109:$BX$109,1,MATCH(T$1,'DATA (Nominal)'!$B$1:$BX$1,0))</f>
        <v>0</v>
      </c>
      <c r="U126" s="151">
        <f>U119*INDEX('DATA (Nominal)'!$B$109:$BX$109,1,MATCH(U$1,'DATA (Nominal)'!$B$1:$BX$1,0))</f>
        <v>0</v>
      </c>
      <c r="V126" s="151">
        <f>V119*INDEX('DATA (Nominal)'!$B$109:$BX$109,1,MATCH(V$1,'DATA (Nominal)'!$B$1:$BX$1,0))</f>
        <v>0</v>
      </c>
      <c r="W126" s="151">
        <f>W119*INDEX('DATA (Nominal)'!$B$109:$BX$109,1,MATCH(W$1,'DATA (Nominal)'!$B$1:$BX$1,0))</f>
        <v>0</v>
      </c>
      <c r="X126" s="152">
        <f>X119*INDEX('DATA (Nominal)'!$B$109:$BX$109,1,MATCH(X$1,'DATA (Nominal)'!$B$1:$BX$1,0))</f>
        <v>0</v>
      </c>
      <c r="Y126" s="156"/>
    </row>
    <row r="127" spans="1:25" hidden="1" outlineLevel="1">
      <c r="C127" s="125" t="s">
        <v>127</v>
      </c>
      <c r="D127" s="151"/>
      <c r="E127" s="151">
        <f>E119*E120*INDEX('DATA (Nominal)'!$B$329:$BX$329,1,MATCH(E$1,'DATA (Nominal)'!$B$1:$BX$1,0))</f>
        <v>0</v>
      </c>
      <c r="F127" s="151">
        <f>F119*F120*INDEX('DATA (Nominal)'!$B$329:$BX$329,1,MATCH(F$1,'DATA (Nominal)'!$B$1:$BX$1,0))</f>
        <v>0</v>
      </c>
      <c r="G127" s="151">
        <f>G119*G120*INDEX('DATA (Nominal)'!$B$329:$BX$329,1,MATCH(G$1,'DATA (Nominal)'!$B$1:$BX$1,0))</f>
        <v>0</v>
      </c>
      <c r="H127" s="151">
        <f>H119*H120*INDEX('DATA (Nominal)'!$B$329:$BX$329,1,MATCH(H$1,'DATA (Nominal)'!$B$1:$BX$1,0))</f>
        <v>0</v>
      </c>
      <c r="I127" s="151">
        <f>I119*I120*INDEX('DATA (Nominal)'!$B$329:$BX$329,1,MATCH(I$1,'DATA (Nominal)'!$B$1:$BX$1,0))</f>
        <v>0</v>
      </c>
      <c r="J127" s="151">
        <f>J119*J120*INDEX('DATA (Nominal)'!$B$329:$BX$329,1,MATCH(J$1,'DATA (Nominal)'!$B$1:$BX$1,0))</f>
        <v>0</v>
      </c>
      <c r="K127" s="151">
        <f>K119*K120*INDEX('DATA (Nominal)'!$B$329:$BX$329,1,MATCH(K$1,'DATA (Nominal)'!$B$1:$BX$1,0))</f>
        <v>0</v>
      </c>
      <c r="L127" s="151">
        <f>L119*L120*INDEX('DATA (Nominal)'!$B$329:$BX$329,1,MATCH(L$1,'DATA (Nominal)'!$B$1:$BX$1,0))</f>
        <v>0</v>
      </c>
      <c r="M127" s="151">
        <f>M119*M120*INDEX('DATA (Nominal)'!$B$329:$BX$329,1,MATCH(M$1,'DATA (Nominal)'!$B$1:$BX$1,0))</f>
        <v>0</v>
      </c>
      <c r="N127" s="151">
        <f>N119*N120*INDEX('DATA (Nominal)'!$B$329:$BX$329,1,MATCH(N$1,'DATA (Nominal)'!$B$1:$BX$1,0))</f>
        <v>0</v>
      </c>
      <c r="O127" s="151">
        <f>O119*O120*INDEX('DATA (Nominal)'!$B$329:$BX$329,1,MATCH(O$1,'DATA (Nominal)'!$B$1:$BX$1,0))</f>
        <v>0</v>
      </c>
      <c r="P127" s="151">
        <f>P119*P120*INDEX('DATA (Nominal)'!$B$329:$BX$329,1,MATCH(P$1,'DATA (Nominal)'!$B$1:$BX$1,0))</f>
        <v>0</v>
      </c>
      <c r="Q127" s="151">
        <f>Q119*Q120*INDEX('DATA (Nominal)'!$B$329:$BX$329,1,MATCH(Q$1,'DATA (Nominal)'!$B$1:$BX$1,0))</f>
        <v>0</v>
      </c>
      <c r="R127" s="151">
        <f>R119*R120*INDEX('DATA (Nominal)'!$B$329:$BX$329,1,MATCH(R$1,'DATA (Nominal)'!$B$1:$BX$1,0))</f>
        <v>0</v>
      </c>
      <c r="S127" s="151">
        <f>S119*S120*INDEX('DATA (Nominal)'!$B$329:$BX$329,1,MATCH(S$1,'DATA (Nominal)'!$B$1:$BX$1,0))</f>
        <v>0</v>
      </c>
      <c r="T127" s="151">
        <f>T119*T120*INDEX('DATA (Nominal)'!$B$329:$BX$329,1,MATCH(T$1,'DATA (Nominal)'!$B$1:$BX$1,0))</f>
        <v>0</v>
      </c>
      <c r="U127" s="151">
        <f>U119*U120*INDEX('DATA (Nominal)'!$B$329:$BX$329,1,MATCH(U$1,'DATA (Nominal)'!$B$1:$BX$1,0))</f>
        <v>0</v>
      </c>
      <c r="V127" s="151">
        <f>V119*V120*INDEX('DATA (Nominal)'!$B$329:$BX$329,1,MATCH(V$1,'DATA (Nominal)'!$B$1:$BX$1,0))</f>
        <v>0</v>
      </c>
      <c r="W127" s="151">
        <f>W119*W120*INDEX('DATA (Nominal)'!$B$329:$BX$329,1,MATCH(W$1,'DATA (Nominal)'!$B$1:$BX$1,0))</f>
        <v>0</v>
      </c>
      <c r="X127" s="152">
        <f>X119*X120*INDEX('DATA (Nominal)'!$B$329:$BX$329,1,MATCH(X$1,'DATA (Nominal)'!$B$1:$BX$1,0))</f>
        <v>0</v>
      </c>
      <c r="Y127" s="156"/>
    </row>
    <row r="128" spans="1:25" hidden="1" outlineLevel="1">
      <c r="A128" s="254"/>
      <c r="C128" s="258" t="s">
        <v>50</v>
      </c>
      <c r="D128" s="151"/>
      <c r="E128" s="151">
        <f t="shared" ref="E128:X128" si="61">SUM(E124:E127)</f>
        <v>504.01868380860634</v>
      </c>
      <c r="F128" s="151">
        <f t="shared" si="61"/>
        <v>489.37889711944985</v>
      </c>
      <c r="G128" s="151">
        <f t="shared" si="61"/>
        <v>475.62653134830276</v>
      </c>
      <c r="H128" s="151">
        <f t="shared" si="61"/>
        <v>462.90968080899222</v>
      </c>
      <c r="I128" s="151">
        <f t="shared" si="61"/>
        <v>449.95064714475876</v>
      </c>
      <c r="J128" s="151">
        <f t="shared" si="61"/>
        <v>437.37359135162444</v>
      </c>
      <c r="K128" s="151">
        <f t="shared" si="61"/>
        <v>441.88348560646193</v>
      </c>
      <c r="L128" s="151">
        <f t="shared" si="61"/>
        <v>446.28084787185685</v>
      </c>
      <c r="M128" s="151">
        <f t="shared" si="61"/>
        <v>450.65782246989534</v>
      </c>
      <c r="N128" s="151">
        <f t="shared" si="61"/>
        <v>455.01138401987816</v>
      </c>
      <c r="O128" s="151">
        <f t="shared" si="61"/>
        <v>459.33838389198382</v>
      </c>
      <c r="P128" s="151">
        <f t="shared" si="61"/>
        <v>463.63554624859768</v>
      </c>
      <c r="Q128" s="151">
        <f t="shared" si="61"/>
        <v>467.8994639710977</v>
      </c>
      <c r="R128" s="151">
        <f t="shared" si="61"/>
        <v>472.12659446900409</v>
      </c>
      <c r="S128" s="151">
        <f t="shared" si="61"/>
        <v>476.31325536825574</v>
      </c>
      <c r="T128" s="151">
        <f t="shared" si="61"/>
        <v>480.45562007535216</v>
      </c>
      <c r="U128" s="151">
        <f t="shared" si="61"/>
        <v>484.54971321396147</v>
      </c>
      <c r="V128" s="151">
        <f t="shared" si="61"/>
        <v>488.59140593055474</v>
      </c>
      <c r="W128" s="151">
        <f t="shared" si="61"/>
        <v>492.57641106548095</v>
      </c>
      <c r="X128" s="152">
        <f t="shared" si="61"/>
        <v>496.50027818587461</v>
      </c>
      <c r="Y128" s="156"/>
    </row>
    <row r="129" spans="2:25" hidden="1" outlineLevel="1">
      <c r="C129" s="258" t="s">
        <v>179</v>
      </c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>
        <f>INDEX('DATA (Nominal)'!$B$63:$BX$63,1,MATCH($O$1,'DATA (Nominal)'!$B$1:$BX$1,0))*1000000*(1+AFUDC!$D$14)*0.5*'Resource Options'!$D$14/1000</f>
        <v>11267.797118618004</v>
      </c>
      <c r="P129" s="151"/>
      <c r="Q129" s="151"/>
      <c r="R129" s="151"/>
      <c r="S129" s="151"/>
      <c r="T129" s="151"/>
      <c r="U129" s="151"/>
      <c r="V129" s="151"/>
      <c r="W129" s="151"/>
      <c r="X129" s="152"/>
      <c r="Y129" s="156"/>
    </row>
    <row r="130" spans="2:25" hidden="1" outlineLevel="1">
      <c r="C130" s="258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2"/>
      <c r="Y130" s="156"/>
    </row>
    <row r="131" spans="2:25" hidden="1" outlineLevel="1">
      <c r="C131" s="125" t="s">
        <v>51</v>
      </c>
      <c r="D131" s="151"/>
      <c r="E131" s="151">
        <f t="shared" ref="E131:X131" si="62">E122-E128</f>
        <v>4331.5725474387982</v>
      </c>
      <c r="F131" s="151">
        <f t="shared" si="62"/>
        <v>4346.2123341279548</v>
      </c>
      <c r="G131" s="151">
        <f t="shared" si="62"/>
        <v>4359.964699899102</v>
      </c>
      <c r="H131" s="151">
        <f t="shared" si="62"/>
        <v>4372.6815504384122</v>
      </c>
      <c r="I131" s="151">
        <f t="shared" si="62"/>
        <v>4385.6405841026462</v>
      </c>
      <c r="J131" s="151">
        <f t="shared" si="62"/>
        <v>4398.2176398957799</v>
      </c>
      <c r="K131" s="151">
        <f t="shared" si="62"/>
        <v>4393.7077456409424</v>
      </c>
      <c r="L131" s="151">
        <f t="shared" si="62"/>
        <v>4389.3103833755476</v>
      </c>
      <c r="M131" s="151">
        <f t="shared" si="62"/>
        <v>4384.9334087775096</v>
      </c>
      <c r="N131" s="151">
        <f t="shared" si="62"/>
        <v>4380.5798472275264</v>
      </c>
      <c r="O131" s="151">
        <f t="shared" si="62"/>
        <v>4376.2528473554212</v>
      </c>
      <c r="P131" s="151">
        <f t="shared" si="62"/>
        <v>4371.9556849988066</v>
      </c>
      <c r="Q131" s="151">
        <f t="shared" si="62"/>
        <v>4367.6917672763066</v>
      </c>
      <c r="R131" s="151">
        <f t="shared" si="62"/>
        <v>4363.4646367784007</v>
      </c>
      <c r="S131" s="151">
        <f t="shared" si="62"/>
        <v>4359.2779758791494</v>
      </c>
      <c r="T131" s="151">
        <f t="shared" si="62"/>
        <v>4355.1356111720524</v>
      </c>
      <c r="U131" s="151">
        <f t="shared" si="62"/>
        <v>4351.041518033443</v>
      </c>
      <c r="V131" s="151">
        <f t="shared" si="62"/>
        <v>4346.9998253168496</v>
      </c>
      <c r="W131" s="151">
        <f t="shared" si="62"/>
        <v>4343.0148201819238</v>
      </c>
      <c r="X131" s="152">
        <f t="shared" si="62"/>
        <v>4339.0909530615299</v>
      </c>
      <c r="Y131" s="156"/>
    </row>
    <row r="132" spans="2:25" hidden="1" outlineLevel="1">
      <c r="C132" s="125" t="s">
        <v>52</v>
      </c>
      <c r="D132" s="151"/>
      <c r="E132" s="151">
        <f t="shared" ref="E132:X132" si="63">E131-E149-E139</f>
        <v>-4827.7343293965541</v>
      </c>
      <c r="F132" s="151">
        <f t="shared" si="63"/>
        <v>-9348.8723028393088</v>
      </c>
      <c r="G132" s="151">
        <f t="shared" si="63"/>
        <v>-4404.0602260295236</v>
      </c>
      <c r="H132" s="151">
        <f t="shared" si="63"/>
        <v>-1411.6897465747227</v>
      </c>
      <c r="I132" s="151">
        <f t="shared" si="63"/>
        <v>-1347.3167801711563</v>
      </c>
      <c r="J132" s="151">
        <f t="shared" si="63"/>
        <v>917.69200719740707</v>
      </c>
      <c r="K132" s="151">
        <f t="shared" si="63"/>
        <v>3168.5971379651992</v>
      </c>
      <c r="L132" s="151">
        <f t="shared" si="63"/>
        <v>3224.5721427737953</v>
      </c>
      <c r="M132" s="151">
        <f t="shared" si="63"/>
        <v>3283.888015438818</v>
      </c>
      <c r="N132" s="151">
        <f t="shared" si="63"/>
        <v>3346.7304077513636</v>
      </c>
      <c r="O132" s="151">
        <f t="shared" si="63"/>
        <v>1333.8231809632739</v>
      </c>
      <c r="P132" s="151">
        <f t="shared" si="63"/>
        <v>291.03555806303052</v>
      </c>
      <c r="Q132" s="151">
        <f t="shared" si="63"/>
        <v>1192.575117829593</v>
      </c>
      <c r="R132" s="151">
        <f t="shared" si="63"/>
        <v>1875.3649646400406</v>
      </c>
      <c r="S132" s="151">
        <f t="shared" si="63"/>
        <v>2404.1030244478684</v>
      </c>
      <c r="T132" s="151">
        <f t="shared" si="63"/>
        <v>2537.8115633096704</v>
      </c>
      <c r="U132" s="151">
        <f t="shared" si="63"/>
        <v>2679.1501734362491</v>
      </c>
      <c r="V132" s="151">
        <f t="shared" si="63"/>
        <v>3331.5344460395368</v>
      </c>
      <c r="W132" s="151">
        <f t="shared" si="63"/>
        <v>3992.0761049178964</v>
      </c>
      <c r="X132" s="152">
        <f t="shared" si="63"/>
        <v>4158.9253352495844</v>
      </c>
      <c r="Y132" s="156"/>
    </row>
    <row r="133" spans="2:25" hidden="1" outlineLevel="1">
      <c r="C133" s="125" t="s">
        <v>53</v>
      </c>
      <c r="D133" s="151"/>
      <c r="E133" s="93">
        <f>INDEX('DATA (Nominal)'!$B$255:$BX$255,1,MATCH($B$1,'DATA (Nominal)'!$B$1:$BX$1,0))*INDEX('DATA (Nominal)'!$B$302:$BX$302,1,MATCH(E$1,'DATA (Nominal)'!$B$1:$BX$1,0))*E119</f>
        <v>242.58535245520446</v>
      </c>
      <c r="F133" s="93">
        <f>INDEX('DATA (Nominal)'!$B$255:$BX$255,1,MATCH($B$1,'DATA (Nominal)'!$B$1:$BX$1,0))*INDEX('DATA (Nominal)'!$B$302:$BX$302,1,MATCH(F$1,'DATA (Nominal)'!$B$1:$BX$1,0))*F119</f>
        <v>248.00309199337073</v>
      </c>
      <c r="G133" s="93">
        <f>INDEX('DATA (Nominal)'!$B$255:$BX$255,1,MATCH($B$1,'DATA (Nominal)'!$B$1:$BX$1,0))*INDEX('DATA (Nominal)'!$B$302:$BX$302,1,MATCH(G$1,'DATA (Nominal)'!$B$1:$BX$1,0))*G119</f>
        <v>253.54182771455598</v>
      </c>
      <c r="H133" s="93">
        <f>INDEX('DATA (Nominal)'!$B$255:$BX$255,1,MATCH($B$1,'DATA (Nominal)'!$B$1:$BX$1,0))*INDEX('DATA (Nominal)'!$B$302:$BX$302,1,MATCH(H$1,'DATA (Nominal)'!$B$1:$BX$1,0))*H119</f>
        <v>259.11974792427623</v>
      </c>
      <c r="I133" s="93">
        <f>INDEX('DATA (Nominal)'!$B$255:$BX$255,1,MATCH($B$1,'DATA (Nominal)'!$B$1:$BX$1,0))*INDEX('DATA (Nominal)'!$B$302:$BX$302,1,MATCH(I$1,'DATA (Nominal)'!$B$1:$BX$1,0))*I119</f>
        <v>264.8203823786103</v>
      </c>
      <c r="J133" s="93">
        <f>INDEX('DATA (Nominal)'!$B$255:$BX$255,1,MATCH($B$1,'DATA (Nominal)'!$B$1:$BX$1,0))*INDEX('DATA (Nominal)'!$B$302:$BX$302,1,MATCH(J$1,'DATA (Nominal)'!$B$1:$BX$1,0))*J119</f>
        <v>270.64643079093975</v>
      </c>
      <c r="K133" s="93">
        <f>INDEX('DATA (Nominal)'!$B$255:$BX$255,1,MATCH($B$1,'DATA (Nominal)'!$B$1:$BX$1,0))*INDEX('DATA (Nominal)'!$B$302:$BX$302,1,MATCH(K$1,'DATA (Nominal)'!$B$1:$BX$1,0))*K119</f>
        <v>276.60065226834035</v>
      </c>
      <c r="L133" s="93">
        <f>INDEX('DATA (Nominal)'!$B$255:$BX$255,1,MATCH($B$1,'DATA (Nominal)'!$B$1:$BX$1,0))*INDEX('DATA (Nominal)'!$B$302:$BX$302,1,MATCH(L$1,'DATA (Nominal)'!$B$1:$BX$1,0))*L119</f>
        <v>282.68586661824389</v>
      </c>
      <c r="M133" s="93">
        <f>INDEX('DATA (Nominal)'!$B$255:$BX$255,1,MATCH($B$1,'DATA (Nominal)'!$B$1:$BX$1,0))*INDEX('DATA (Nominal)'!$B$302:$BX$302,1,MATCH(M$1,'DATA (Nominal)'!$B$1:$BX$1,0))*M119</f>
        <v>288.90495568384529</v>
      </c>
      <c r="N133" s="93">
        <f>INDEX('DATA (Nominal)'!$B$255:$BX$255,1,MATCH($B$1,'DATA (Nominal)'!$B$1:$BX$1,0))*INDEX('DATA (Nominal)'!$B$302:$BX$302,1,MATCH(N$1,'DATA (Nominal)'!$B$1:$BX$1,0))*N119</f>
        <v>295.26086470888987</v>
      </c>
      <c r="O133" s="151"/>
      <c r="P133" s="151"/>
      <c r="Q133" s="151"/>
      <c r="R133" s="151"/>
      <c r="S133" s="151"/>
      <c r="T133" s="151"/>
      <c r="U133" s="151"/>
      <c r="V133" s="151"/>
      <c r="W133" s="151"/>
      <c r="X133" s="152"/>
      <c r="Y133" s="156"/>
    </row>
    <row r="134" spans="2:25" hidden="1" outlineLevel="1">
      <c r="C134" s="258" t="s">
        <v>54</v>
      </c>
      <c r="D134" s="151"/>
      <c r="E134" s="151">
        <f>E132*Federal_Tax_Rate-E133</f>
        <v>-1256.4095616284808</v>
      </c>
      <c r="F134" s="151">
        <f>F132*Federal_Tax_Rate-F133</f>
        <v>-2211.2662755896254</v>
      </c>
      <c r="G134" s="151">
        <f t="shared" ref="G134:N134" si="64">G132*Federal_Tax_Rate-G133</f>
        <v>-1178.3944751807558</v>
      </c>
      <c r="H134" s="151">
        <f t="shared" si="64"/>
        <v>-555.57459470496792</v>
      </c>
      <c r="I134" s="151">
        <f t="shared" si="64"/>
        <v>-547.75690621455306</v>
      </c>
      <c r="J134" s="151">
        <f t="shared" si="64"/>
        <v>-77.931109279484275</v>
      </c>
      <c r="K134" s="151">
        <f t="shared" si="64"/>
        <v>388.80474670435149</v>
      </c>
      <c r="L134" s="151">
        <f t="shared" si="64"/>
        <v>394.47428336425315</v>
      </c>
      <c r="M134" s="151">
        <f t="shared" si="64"/>
        <v>400.71152755830644</v>
      </c>
      <c r="N134" s="151">
        <f t="shared" si="64"/>
        <v>407.55252091889651</v>
      </c>
      <c r="O134" s="151">
        <f>O132*Federal_Tax_Rate-O133</f>
        <v>280.10286800228749</v>
      </c>
      <c r="P134" s="151">
        <f t="shared" ref="P134:X134" si="65">P132*Federal_Tax_Rate-P133</f>
        <v>61.117467193236408</v>
      </c>
      <c r="Q134" s="151">
        <f t="shared" si="65"/>
        <v>250.44077474421451</v>
      </c>
      <c r="R134" s="151">
        <f t="shared" si="65"/>
        <v>393.82664257440854</v>
      </c>
      <c r="S134" s="151">
        <f t="shared" si="65"/>
        <v>504.86163513405234</v>
      </c>
      <c r="T134" s="151">
        <f t="shared" si="65"/>
        <v>532.94042829503076</v>
      </c>
      <c r="U134" s="151">
        <f t="shared" si="65"/>
        <v>562.62153642161229</v>
      </c>
      <c r="V134" s="151">
        <f t="shared" si="65"/>
        <v>699.62223366830267</v>
      </c>
      <c r="W134" s="151">
        <f t="shared" si="65"/>
        <v>838.33598203275824</v>
      </c>
      <c r="X134" s="152">
        <f t="shared" si="65"/>
        <v>873.37432040241265</v>
      </c>
      <c r="Y134" s="156"/>
    </row>
    <row r="135" spans="2:25" hidden="1" outlineLevel="1">
      <c r="C135" s="258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2"/>
      <c r="Y135" s="156"/>
    </row>
    <row r="136" spans="2:25" hidden="1" outlineLevel="1">
      <c r="B136" s="37">
        <f>IRR(D136:Y136,0.1)</f>
        <v>7.5000005656363333E-2</v>
      </c>
      <c r="C136" s="125" t="s">
        <v>55</v>
      </c>
      <c r="D136" s="155">
        <f>SUM(D145:D146)</f>
        <v>-44897.672233158373</v>
      </c>
      <c r="E136" s="156">
        <f t="shared" ref="E136:K136" si="66">E131-E134</f>
        <v>5587.9821090672795</v>
      </c>
      <c r="F136" s="151">
        <f t="shared" si="66"/>
        <v>6557.4786097175802</v>
      </c>
      <c r="G136" s="151">
        <f t="shared" si="66"/>
        <v>5538.3591750798578</v>
      </c>
      <c r="H136" s="151">
        <f t="shared" si="66"/>
        <v>4928.2561451433803</v>
      </c>
      <c r="I136" s="151">
        <f t="shared" si="66"/>
        <v>4933.3974903171993</v>
      </c>
      <c r="J136" s="151">
        <f t="shared" si="66"/>
        <v>4476.1487491752641</v>
      </c>
      <c r="K136" s="151">
        <f t="shared" si="66"/>
        <v>4004.9029989365908</v>
      </c>
      <c r="L136" s="151">
        <f>L131-L134</f>
        <v>3994.8361000112945</v>
      </c>
      <c r="M136" s="151">
        <f t="shared" ref="M136:N136" si="67">M131-M134</f>
        <v>3984.2218812192032</v>
      </c>
      <c r="N136" s="151">
        <f t="shared" si="67"/>
        <v>3973.0273263086301</v>
      </c>
      <c r="O136" s="151">
        <f>O131-O134-O129</f>
        <v>-7171.64713926487</v>
      </c>
      <c r="P136" s="151">
        <f>P131-P134</f>
        <v>4310.8382178055699</v>
      </c>
      <c r="Q136" s="151">
        <f t="shared" ref="Q136:X136" si="68">Q131-Q134</f>
        <v>4117.2509925320919</v>
      </c>
      <c r="R136" s="151">
        <f t="shared" si="68"/>
        <v>3969.6379942039921</v>
      </c>
      <c r="S136" s="151">
        <f t="shared" si="68"/>
        <v>3854.4163407450969</v>
      </c>
      <c r="T136" s="151">
        <f t="shared" si="68"/>
        <v>3822.1951828770216</v>
      </c>
      <c r="U136" s="151">
        <f t="shared" si="68"/>
        <v>3788.4199816118307</v>
      </c>
      <c r="V136" s="151">
        <f t="shared" si="68"/>
        <v>3647.377591648547</v>
      </c>
      <c r="W136" s="151">
        <f t="shared" si="68"/>
        <v>3504.6788381491656</v>
      </c>
      <c r="X136" s="152">
        <f t="shared" si="68"/>
        <v>3465.7166326591173</v>
      </c>
      <c r="Y136" s="156">
        <f>D136*-0.3</f>
        <v>13469.301669947512</v>
      </c>
    </row>
    <row r="137" spans="2:25" hidden="1" outlineLevel="1">
      <c r="B137" s="37">
        <f>IRR(D137:Y137,0.1)</f>
        <v>0.13280064877445086</v>
      </c>
      <c r="C137" s="125" t="s">
        <v>56</v>
      </c>
      <c r="D137" s="155">
        <f>-D154</f>
        <v>-8862.1258940278203</v>
      </c>
      <c r="E137" s="156">
        <f t="shared" ref="E137:N137" si="69">E136-E139-E142-E150-E133</f>
        <v>1419.7598488672843</v>
      </c>
      <c r="F137" s="151">
        <f t="shared" si="69"/>
        <v>1422.1304707451663</v>
      </c>
      <c r="G137" s="151">
        <f t="shared" si="69"/>
        <v>1423.2943155694618</v>
      </c>
      <c r="H137" s="151">
        <f t="shared" si="69"/>
        <v>1423.106574533185</v>
      </c>
      <c r="I137" s="151">
        <f t="shared" si="69"/>
        <v>1422.54728525267</v>
      </c>
      <c r="J137" s="151">
        <f t="shared" si="69"/>
        <v>1421.0924025308464</v>
      </c>
      <c r="K137" s="151">
        <f t="shared" si="69"/>
        <v>1405.5123376472138</v>
      </c>
      <c r="L137" s="151">
        <f t="shared" si="69"/>
        <v>1389.3602243720138</v>
      </c>
      <c r="M137" s="151">
        <f t="shared" si="69"/>
        <v>1372.5269165143209</v>
      </c>
      <c r="N137" s="151">
        <f t="shared" si="69"/>
        <v>1354.9764525787032</v>
      </c>
      <c r="O137" s="151">
        <f>O136-O139-O142-O150-O133+O129</f>
        <v>302.20518163262932</v>
      </c>
      <c r="P137" s="151">
        <f t="shared" ref="P137:X137" si="70">P136-P139-P142-P150-P133</f>
        <v>275.44255630846953</v>
      </c>
      <c r="Q137" s="151">
        <f t="shared" si="70"/>
        <v>247.42096155682896</v>
      </c>
      <c r="R137" s="151">
        <f t="shared" si="70"/>
        <v>218.07250822632</v>
      </c>
      <c r="S137" s="151">
        <f t="shared" si="70"/>
        <v>187.325529765704</v>
      </c>
      <c r="T137" s="151">
        <f t="shared" si="70"/>
        <v>155.10437189762865</v>
      </c>
      <c r="U137" s="151">
        <f t="shared" si="70"/>
        <v>121.32917063243781</v>
      </c>
      <c r="V137" s="151">
        <f t="shared" si="70"/>
        <v>85.915617977926658</v>
      </c>
      <c r="W137" s="151">
        <f t="shared" si="70"/>
        <v>48.774714665470583</v>
      </c>
      <c r="X137" s="152">
        <f t="shared" si="70"/>
        <v>9.8125091754218374</v>
      </c>
      <c r="Y137" s="156">
        <f>Y136</f>
        <v>13469.301669947512</v>
      </c>
    </row>
    <row r="138" spans="2:25" hidden="1" outlineLevel="1">
      <c r="B138" s="21"/>
      <c r="C138" s="125"/>
      <c r="D138" s="155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2"/>
      <c r="Y138" s="156"/>
    </row>
    <row r="139" spans="2:25" hidden="1" outlineLevel="1">
      <c r="B139" s="452"/>
      <c r="C139" s="258" t="s">
        <v>57</v>
      </c>
      <c r="D139" s="151"/>
      <c r="E139" s="151">
        <f t="shared" ref="E139:W139" si="71">D143*Debt_Rate</f>
        <v>1526.7025971984292</v>
      </c>
      <c r="F139" s="151">
        <f t="shared" si="71"/>
        <v>1482.9177895481857</v>
      </c>
      <c r="G139" s="151">
        <f t="shared" si="71"/>
        <v>1436.7248174771789</v>
      </c>
      <c r="H139" s="151">
        <f t="shared" si="71"/>
        <v>1387.9912319422667</v>
      </c>
      <c r="I139" s="151">
        <f t="shared" si="71"/>
        <v>1336.5772992029345</v>
      </c>
      <c r="J139" s="151">
        <f t="shared" si="71"/>
        <v>1282.3356001629388</v>
      </c>
      <c r="K139" s="151">
        <f t="shared" si="71"/>
        <v>1225.1106076757435</v>
      </c>
      <c r="L139" s="151">
        <f t="shared" si="71"/>
        <v>1164.7382406017523</v>
      </c>
      <c r="M139" s="151">
        <f t="shared" si="71"/>
        <v>1101.0453933386916</v>
      </c>
      <c r="N139" s="151">
        <f t="shared" si="71"/>
        <v>1033.8494394761626</v>
      </c>
      <c r="O139" s="151">
        <f t="shared" si="71"/>
        <v>1432.7121700263792</v>
      </c>
      <c r="P139" s="151">
        <f t="shared" si="71"/>
        <v>1321.4366125862268</v>
      </c>
      <c r="Q139" s="151">
        <f t="shared" si="71"/>
        <v>1204.040899486866</v>
      </c>
      <c r="R139" s="151">
        <f t="shared" si="71"/>
        <v>1080.1884221670405</v>
      </c>
      <c r="S139" s="151">
        <f t="shared" si="71"/>
        <v>949.52405859462453</v>
      </c>
      <c r="T139" s="151">
        <f t="shared" si="71"/>
        <v>811.67315502572569</v>
      </c>
      <c r="U139" s="151">
        <f t="shared" si="71"/>
        <v>666.24045176053744</v>
      </c>
      <c r="V139" s="151">
        <f t="shared" si="71"/>
        <v>512.80894981576375</v>
      </c>
      <c r="W139" s="151">
        <f t="shared" si="71"/>
        <v>350.93871526402751</v>
      </c>
      <c r="X139" s="152">
        <f>W143*Debt_Rate</f>
        <v>180.16561781194582</v>
      </c>
      <c r="Y139" s="156"/>
    </row>
    <row r="140" spans="2:25" hidden="1" outlineLevel="1">
      <c r="B140" s="452"/>
      <c r="C140" s="258" t="s">
        <v>113</v>
      </c>
      <c r="D140" s="151"/>
      <c r="E140" s="151">
        <f t="shared" ref="E140:X140" si="72">-PMT(Debt_Rate,20,$D153)</f>
        <v>2322.7900090210369</v>
      </c>
      <c r="F140" s="151">
        <f t="shared" si="72"/>
        <v>2322.7900090210369</v>
      </c>
      <c r="G140" s="151">
        <f t="shared" si="72"/>
        <v>2322.7900090210369</v>
      </c>
      <c r="H140" s="151">
        <f t="shared" si="72"/>
        <v>2322.7900090210369</v>
      </c>
      <c r="I140" s="151">
        <f t="shared" si="72"/>
        <v>2322.7900090210369</v>
      </c>
      <c r="J140" s="151">
        <f t="shared" si="72"/>
        <v>2322.7900090210369</v>
      </c>
      <c r="K140" s="151">
        <f t="shared" si="72"/>
        <v>2322.7900090210369</v>
      </c>
      <c r="L140" s="151">
        <f t="shared" si="72"/>
        <v>2322.7900090210369</v>
      </c>
      <c r="M140" s="151">
        <f t="shared" si="72"/>
        <v>2322.7900090210369</v>
      </c>
      <c r="N140" s="151">
        <f t="shared" si="72"/>
        <v>2322.7900090210369</v>
      </c>
      <c r="O140" s="151">
        <f t="shared" si="72"/>
        <v>2322.7900090210369</v>
      </c>
      <c r="P140" s="151">
        <f t="shared" si="72"/>
        <v>2322.7900090210369</v>
      </c>
      <c r="Q140" s="151">
        <f t="shared" si="72"/>
        <v>2322.7900090210369</v>
      </c>
      <c r="R140" s="151">
        <f t="shared" si="72"/>
        <v>2322.7900090210369</v>
      </c>
      <c r="S140" s="151">
        <f t="shared" si="72"/>
        <v>2322.7900090210369</v>
      </c>
      <c r="T140" s="151">
        <f t="shared" si="72"/>
        <v>2322.7900090210369</v>
      </c>
      <c r="U140" s="151">
        <f t="shared" si="72"/>
        <v>2322.7900090210369</v>
      </c>
      <c r="V140" s="151">
        <f t="shared" si="72"/>
        <v>2322.7900090210369</v>
      </c>
      <c r="W140" s="151">
        <f t="shared" si="72"/>
        <v>2322.7900090210369</v>
      </c>
      <c r="X140" s="152">
        <f t="shared" si="72"/>
        <v>2322.7900090210369</v>
      </c>
      <c r="Y140" s="156"/>
    </row>
    <row r="141" spans="2:25" hidden="1" outlineLevel="1">
      <c r="B141" s="452"/>
      <c r="C141" s="258" t="s">
        <v>161</v>
      </c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>
        <f t="shared" ref="O141:X141" si="73">-PMT(Debt_Rate,10,$O129)*$B153</f>
        <v>1133.1141144626583</v>
      </c>
      <c r="P141" s="151">
        <f t="shared" si="73"/>
        <v>1133.1141144626583</v>
      </c>
      <c r="Q141" s="151">
        <f t="shared" si="73"/>
        <v>1133.1141144626583</v>
      </c>
      <c r="R141" s="151">
        <f t="shared" si="73"/>
        <v>1133.1141144626583</v>
      </c>
      <c r="S141" s="151">
        <f t="shared" si="73"/>
        <v>1133.1141144626583</v>
      </c>
      <c r="T141" s="151">
        <f t="shared" si="73"/>
        <v>1133.1141144626583</v>
      </c>
      <c r="U141" s="151">
        <f t="shared" si="73"/>
        <v>1133.1141144626583</v>
      </c>
      <c r="V141" s="151">
        <f t="shared" si="73"/>
        <v>1133.1141144626583</v>
      </c>
      <c r="W141" s="151">
        <f t="shared" si="73"/>
        <v>1133.1141144626583</v>
      </c>
      <c r="X141" s="152">
        <f t="shared" si="73"/>
        <v>1133.1141144626583</v>
      </c>
      <c r="Y141" s="156"/>
    </row>
    <row r="142" spans="2:25" hidden="1" outlineLevel="1">
      <c r="B142" s="452"/>
      <c r="C142" s="258" t="s">
        <v>59</v>
      </c>
      <c r="D142" s="151"/>
      <c r="E142" s="156">
        <f>E141+E140-E139</f>
        <v>796.08741182260769</v>
      </c>
      <c r="F142" s="151">
        <f t="shared" ref="F142:L142" si="74">F141+F140-F139</f>
        <v>839.87221947285116</v>
      </c>
      <c r="G142" s="151">
        <f t="shared" si="74"/>
        <v>886.06519154385796</v>
      </c>
      <c r="H142" s="151">
        <f t="shared" si="74"/>
        <v>934.79877707877017</v>
      </c>
      <c r="I142" s="151">
        <f t="shared" si="74"/>
        <v>986.21270981810244</v>
      </c>
      <c r="J142" s="151">
        <f t="shared" si="74"/>
        <v>1040.4544088580981</v>
      </c>
      <c r="K142" s="151">
        <f t="shared" si="74"/>
        <v>1097.6794013452934</v>
      </c>
      <c r="L142" s="151">
        <f t="shared" si="74"/>
        <v>1158.0517684192846</v>
      </c>
      <c r="M142" s="151">
        <f>M141+M140-M139</f>
        <v>1221.7446156823453</v>
      </c>
      <c r="N142" s="151">
        <f>N141+N140-N139</f>
        <v>1288.9405695448743</v>
      </c>
      <c r="O142" s="151">
        <f>O141+O140-O139</f>
        <v>2023.1919534573158</v>
      </c>
      <c r="P142" s="151">
        <f>P141+P140-P139</f>
        <v>2134.4675108974679</v>
      </c>
      <c r="Q142" s="151">
        <f t="shared" ref="Q142:X142" si="75">Q141+Q140-Q139</f>
        <v>2251.8632239968292</v>
      </c>
      <c r="R142" s="151">
        <f t="shared" si="75"/>
        <v>2375.7157013166543</v>
      </c>
      <c r="S142" s="151">
        <f t="shared" si="75"/>
        <v>2506.3800648890706</v>
      </c>
      <c r="T142" s="151">
        <f t="shared" si="75"/>
        <v>2644.2309684579695</v>
      </c>
      <c r="U142" s="151">
        <f t="shared" si="75"/>
        <v>2789.6636717231577</v>
      </c>
      <c r="V142" s="151">
        <f t="shared" si="75"/>
        <v>2943.0951736679312</v>
      </c>
      <c r="W142" s="151">
        <f t="shared" si="75"/>
        <v>3104.9654082196676</v>
      </c>
      <c r="X142" s="152">
        <f t="shared" si="75"/>
        <v>3275.7385056717494</v>
      </c>
      <c r="Y142" s="156"/>
    </row>
    <row r="143" spans="2:25" hidden="1" outlineLevel="1">
      <c r="B143" s="452"/>
      <c r="C143" s="258" t="s">
        <v>60</v>
      </c>
      <c r="D143" s="151">
        <f>D153</f>
        <v>27758.22903997144</v>
      </c>
      <c r="E143" s="151">
        <f>D143-E142+(F129*$B$76)</f>
        <v>26962.141628148831</v>
      </c>
      <c r="F143" s="151">
        <f t="shared" ref="F143:L143" si="76">E143-F142+(G129*$B$76)</f>
        <v>26122.26940867598</v>
      </c>
      <c r="G143" s="151">
        <f t="shared" si="76"/>
        <v>25236.204217132123</v>
      </c>
      <c r="H143" s="151">
        <f t="shared" si="76"/>
        <v>24301.405440053353</v>
      </c>
      <c r="I143" s="151">
        <f t="shared" si="76"/>
        <v>23315.192730235252</v>
      </c>
      <c r="J143" s="151">
        <f t="shared" si="76"/>
        <v>22274.738321377154</v>
      </c>
      <c r="K143" s="151">
        <f t="shared" si="76"/>
        <v>21177.058920031861</v>
      </c>
      <c r="L143" s="151">
        <f t="shared" si="76"/>
        <v>20019.007151612575</v>
      </c>
      <c r="M143" s="151">
        <f>L143-M142+(N129*$B$76)</f>
        <v>18797.262535930229</v>
      </c>
      <c r="N143" s="151">
        <f>M143-N142+(O129*$B$76)</f>
        <v>26049.312182297803</v>
      </c>
      <c r="O143" s="151">
        <f t="shared" ref="O143:X143" si="77">N143-O142+(P129*$B$76)</f>
        <v>24026.120228840486</v>
      </c>
      <c r="P143" s="151">
        <f t="shared" si="77"/>
        <v>21891.65271794302</v>
      </c>
      <c r="Q143" s="151">
        <f t="shared" si="77"/>
        <v>19639.789493946191</v>
      </c>
      <c r="R143" s="151">
        <f t="shared" si="77"/>
        <v>17264.073792629537</v>
      </c>
      <c r="S143" s="151">
        <f t="shared" si="77"/>
        <v>14757.693727740467</v>
      </c>
      <c r="T143" s="151">
        <f t="shared" si="77"/>
        <v>12113.462759282498</v>
      </c>
      <c r="U143" s="151">
        <f t="shared" si="77"/>
        <v>9323.7990875593405</v>
      </c>
      <c r="V143" s="151">
        <f t="shared" si="77"/>
        <v>6380.7039138914097</v>
      </c>
      <c r="W143" s="151">
        <f t="shared" si="77"/>
        <v>3275.7385056717421</v>
      </c>
      <c r="X143" s="152">
        <f t="shared" si="77"/>
        <v>-7.2759576141834259E-12</v>
      </c>
      <c r="Y143" s="156"/>
    </row>
    <row r="144" spans="2:25" hidden="1" outlineLevel="1">
      <c r="B144" s="452"/>
      <c r="C144" s="125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2"/>
      <c r="Y144" s="156"/>
    </row>
    <row r="145" spans="2:25" s="146" customFormat="1" hidden="1" outlineLevel="1">
      <c r="B145" s="458"/>
      <c r="C145" s="258" t="s">
        <v>162</v>
      </c>
      <c r="D145" s="151">
        <f>-INDEX('DATA (Nominal)'!$B$62:$BX$62,1,MATCH($B$1,'DATA (Nominal)'!$B$1:$BX$1,0))*1000000*(1+AFUDC!$C$14)*'Resource Options'!$E$14/1000</f>
        <v>-26781.067647848857</v>
      </c>
      <c r="E145" s="151">
        <f t="shared" ref="E145:X145" si="78">-$D145/20</f>
        <v>1339.0533823924429</v>
      </c>
      <c r="F145" s="151">
        <f t="shared" si="78"/>
        <v>1339.0533823924429</v>
      </c>
      <c r="G145" s="151">
        <f t="shared" si="78"/>
        <v>1339.0533823924429</v>
      </c>
      <c r="H145" s="151">
        <f t="shared" si="78"/>
        <v>1339.0533823924429</v>
      </c>
      <c r="I145" s="151">
        <f t="shared" si="78"/>
        <v>1339.0533823924429</v>
      </c>
      <c r="J145" s="151">
        <f t="shared" si="78"/>
        <v>1339.0533823924429</v>
      </c>
      <c r="K145" s="151">
        <f t="shared" si="78"/>
        <v>1339.0533823924429</v>
      </c>
      <c r="L145" s="151">
        <f t="shared" si="78"/>
        <v>1339.0533823924429</v>
      </c>
      <c r="M145" s="151">
        <f t="shared" si="78"/>
        <v>1339.0533823924429</v>
      </c>
      <c r="N145" s="151">
        <f t="shared" si="78"/>
        <v>1339.0533823924429</v>
      </c>
      <c r="O145" s="151">
        <f t="shared" si="78"/>
        <v>1339.0533823924429</v>
      </c>
      <c r="P145" s="151">
        <f t="shared" si="78"/>
        <v>1339.0533823924429</v>
      </c>
      <c r="Q145" s="151">
        <f t="shared" si="78"/>
        <v>1339.0533823924429</v>
      </c>
      <c r="R145" s="151">
        <f t="shared" si="78"/>
        <v>1339.0533823924429</v>
      </c>
      <c r="S145" s="151">
        <f t="shared" si="78"/>
        <v>1339.0533823924429</v>
      </c>
      <c r="T145" s="151">
        <f t="shared" si="78"/>
        <v>1339.0533823924429</v>
      </c>
      <c r="U145" s="151">
        <f t="shared" si="78"/>
        <v>1339.0533823924429</v>
      </c>
      <c r="V145" s="151">
        <f t="shared" si="78"/>
        <v>1339.0533823924429</v>
      </c>
      <c r="W145" s="151">
        <f t="shared" si="78"/>
        <v>1339.0533823924429</v>
      </c>
      <c r="X145" s="152">
        <f t="shared" si="78"/>
        <v>1339.0533823924429</v>
      </c>
      <c r="Y145" s="156"/>
    </row>
    <row r="146" spans="2:25" s="146" customFormat="1" hidden="1" outlineLevel="1">
      <c r="B146" s="458"/>
      <c r="C146" s="258" t="s">
        <v>163</v>
      </c>
      <c r="D146" s="151">
        <f>-INDEX('DATA (Nominal)'!$B$63:$BX$63,1,MATCH($B$1,'DATA (Nominal)'!$B$1:$BX$1,0))*1000000*(1+AFUDC!$D$14)*'Resource Options'!$D$14/1000</f>
        <v>-18116.604585309517</v>
      </c>
      <c r="E146" s="151">
        <f t="shared" ref="E146:N146" si="79">-$D146/10</f>
        <v>1811.6604585309517</v>
      </c>
      <c r="F146" s="151">
        <f t="shared" si="79"/>
        <v>1811.6604585309517</v>
      </c>
      <c r="G146" s="151">
        <f t="shared" si="79"/>
        <v>1811.6604585309517</v>
      </c>
      <c r="H146" s="151">
        <f t="shared" si="79"/>
        <v>1811.6604585309517</v>
      </c>
      <c r="I146" s="151">
        <f t="shared" si="79"/>
        <v>1811.6604585309517</v>
      </c>
      <c r="J146" s="151">
        <f t="shared" si="79"/>
        <v>1811.6604585309517</v>
      </c>
      <c r="K146" s="151">
        <f t="shared" si="79"/>
        <v>1811.6604585309517</v>
      </c>
      <c r="L146" s="151">
        <f t="shared" si="79"/>
        <v>1811.6604585309517</v>
      </c>
      <c r="M146" s="151">
        <f t="shared" si="79"/>
        <v>1811.6604585309517</v>
      </c>
      <c r="N146" s="151">
        <f t="shared" si="79"/>
        <v>1811.6604585309517</v>
      </c>
      <c r="O146" s="151">
        <f>$O129/10</f>
        <v>1126.7797118618005</v>
      </c>
      <c r="P146" s="151">
        <f t="shared" ref="P146:X146" si="80">$O129/10</f>
        <v>1126.7797118618005</v>
      </c>
      <c r="Q146" s="151">
        <f t="shared" si="80"/>
        <v>1126.7797118618005</v>
      </c>
      <c r="R146" s="151">
        <f t="shared" si="80"/>
        <v>1126.7797118618005</v>
      </c>
      <c r="S146" s="151">
        <f t="shared" si="80"/>
        <v>1126.7797118618005</v>
      </c>
      <c r="T146" s="151">
        <f t="shared" si="80"/>
        <v>1126.7797118618005</v>
      </c>
      <c r="U146" s="151">
        <f t="shared" si="80"/>
        <v>1126.7797118618005</v>
      </c>
      <c r="V146" s="151">
        <f t="shared" si="80"/>
        <v>1126.7797118618005</v>
      </c>
      <c r="W146" s="151">
        <f t="shared" si="80"/>
        <v>1126.7797118618005</v>
      </c>
      <c r="X146" s="152">
        <f t="shared" si="80"/>
        <v>1126.7797118618005</v>
      </c>
      <c r="Y146" s="156"/>
    </row>
    <row r="147" spans="2:25" s="146" customFormat="1" hidden="1" outlineLevel="1">
      <c r="B147" s="458"/>
      <c r="C147" s="125" t="s">
        <v>62</v>
      </c>
      <c r="D147" s="151"/>
      <c r="E147" s="151">
        <f>SUM($E145:E146)</f>
        <v>3150.7138409233949</v>
      </c>
      <c r="F147" s="151">
        <f>SUM($E145:F146)</f>
        <v>6301.4276818467888</v>
      </c>
      <c r="G147" s="151">
        <f>SUM($E145:G146)</f>
        <v>9452.1415227701837</v>
      </c>
      <c r="H147" s="151">
        <f>SUM($E145:H146)</f>
        <v>12602.855363693579</v>
      </c>
      <c r="I147" s="151">
        <f>SUM($E145:I146)</f>
        <v>15753.569204616977</v>
      </c>
      <c r="J147" s="151">
        <f>SUM($E145:J146)</f>
        <v>18904.283045540371</v>
      </c>
      <c r="K147" s="151">
        <f>SUM($E145:K146)</f>
        <v>22054.996886463763</v>
      </c>
      <c r="L147" s="151">
        <f>SUM($E145:L146)</f>
        <v>25205.710727387155</v>
      </c>
      <c r="M147" s="151">
        <f>SUM($E145:M146)</f>
        <v>28356.424568310547</v>
      </c>
      <c r="N147" s="151">
        <f>SUM($E145:N146)</f>
        <v>31507.138409233939</v>
      </c>
      <c r="O147" s="151">
        <f>SUM($E145:O146)</f>
        <v>33972.971503488188</v>
      </c>
      <c r="P147" s="151">
        <f>SUM($E145:P146)</f>
        <v>36438.804597742434</v>
      </c>
      <c r="Q147" s="151">
        <f>SUM($E145:Q146)</f>
        <v>38904.637691996686</v>
      </c>
      <c r="R147" s="151">
        <f>SUM($E145:R146)</f>
        <v>41370.470786250931</v>
      </c>
      <c r="S147" s="151">
        <f>SUM($E145:S146)</f>
        <v>43836.303880505176</v>
      </c>
      <c r="T147" s="151">
        <f>SUM($E145:T146)</f>
        <v>46302.136974759429</v>
      </c>
      <c r="U147" s="151">
        <f>SUM($E145:U146)</f>
        <v>48767.970069013674</v>
      </c>
      <c r="V147" s="151">
        <f>SUM($E145:V146)</f>
        <v>51233.803163267927</v>
      </c>
      <c r="W147" s="151">
        <f>SUM($E145:W146)</f>
        <v>53699.636257522172</v>
      </c>
      <c r="X147" s="152">
        <f>SUM($E145:X146)</f>
        <v>56165.469351776417</v>
      </c>
      <c r="Y147" s="156"/>
    </row>
    <row r="148" spans="2:25" s="146" customFormat="1" hidden="1" outlineLevel="1">
      <c r="B148" s="458"/>
      <c r="C148" s="125" t="s">
        <v>63</v>
      </c>
      <c r="D148" s="151"/>
      <c r="E148" s="151">
        <f>-$D136-E147</f>
        <v>41746.958392234978</v>
      </c>
      <c r="F148" s="151">
        <f t="shared" ref="F148:G148" si="81">-$D136-F147</f>
        <v>38596.244551311582</v>
      </c>
      <c r="G148" s="151">
        <f t="shared" si="81"/>
        <v>35445.530710388193</v>
      </c>
      <c r="H148" s="156">
        <f>-$D136-H147</f>
        <v>32294.816869464794</v>
      </c>
      <c r="I148" s="151">
        <f t="shared" ref="I148:L148" si="82">-$D136-I147</f>
        <v>29144.103028541394</v>
      </c>
      <c r="J148" s="151">
        <f t="shared" si="82"/>
        <v>25993.389187618002</v>
      </c>
      <c r="K148" s="151">
        <f t="shared" si="82"/>
        <v>22842.67534669461</v>
      </c>
      <c r="L148" s="151">
        <f t="shared" si="82"/>
        <v>19691.961505771218</v>
      </c>
      <c r="M148" s="151">
        <f>-$D136-M147</f>
        <v>16541.247664847826</v>
      </c>
      <c r="N148" s="151">
        <f>-$D136-N147</f>
        <v>13390.533823924434</v>
      </c>
      <c r="O148" s="151">
        <f>-$D136-O147+$O129</f>
        <v>22192.497848288189</v>
      </c>
      <c r="P148" s="151">
        <f t="shared" ref="P148:X148" si="83">-$D136-P147+$O129</f>
        <v>19726.664754033944</v>
      </c>
      <c r="Q148" s="151">
        <f t="shared" si="83"/>
        <v>17260.831659779691</v>
      </c>
      <c r="R148" s="151">
        <f t="shared" si="83"/>
        <v>14794.998565525446</v>
      </c>
      <c r="S148" s="151">
        <f t="shared" si="83"/>
        <v>12329.165471271201</v>
      </c>
      <c r="T148" s="151">
        <f t="shared" si="83"/>
        <v>9863.3323770169482</v>
      </c>
      <c r="U148" s="151">
        <f t="shared" si="83"/>
        <v>7397.4992827627029</v>
      </c>
      <c r="V148" s="151">
        <f t="shared" si="83"/>
        <v>4931.6661885084504</v>
      </c>
      <c r="W148" s="151">
        <f t="shared" si="83"/>
        <v>2465.8330942542052</v>
      </c>
      <c r="X148" s="152">
        <f t="shared" si="83"/>
        <v>-4.0017766878008842E-11</v>
      </c>
      <c r="Y148" s="156"/>
    </row>
    <row r="149" spans="2:25" s="146" customFormat="1" hidden="1" outlineLevel="1">
      <c r="B149" s="458"/>
      <c r="C149" s="258" t="s">
        <v>65</v>
      </c>
      <c r="D149" s="151"/>
      <c r="E149" s="151">
        <f>-$D136*Assumptions!J$14*INDEX('DATA (Nominal)'!$B$344:$BX$344,1,MATCH($B$1,'DATA (Nominal)'!$B$1:$BX$1,0))</f>
        <v>7632.6042796369229</v>
      </c>
      <c r="F149" s="151">
        <f>-$D136*Assumptions!K$14*INDEX('DATA (Nominal)'!$B$344:$BX$344,1,MATCH($B$1,'DATA (Nominal)'!$B$1:$BX$1,0))</f>
        <v>12212.166847419077</v>
      </c>
      <c r="G149" s="151">
        <f>-$D136*Assumptions!L$14*INDEX('DATA (Nominal)'!$B$344:$BX$344,1,MATCH($B$1,'DATA (Nominal)'!$B$1:$BX$1,0))</f>
        <v>7327.3001084514462</v>
      </c>
      <c r="H149" s="151">
        <f>-$D136*Assumptions!M$14*INDEX('DATA (Nominal)'!$B$344:$BX$344,1,MATCH($B$1,'DATA (Nominal)'!$B$1:$BX$1,0))</f>
        <v>4396.3800650708681</v>
      </c>
      <c r="I149" s="151">
        <f>-$D136*Assumptions!N$14*INDEX('DATA (Nominal)'!$B$344:$BX$344,1,MATCH($B$1,'DATA (Nominal)'!$B$1:$BX$1,0))</f>
        <v>4396.3800650708681</v>
      </c>
      <c r="J149" s="151">
        <f>-$D136*Assumptions!O$14*INDEX('DATA (Nominal)'!$B$344:$BX$344,1,MATCH($B$1,'DATA (Nominal)'!$B$1:$BX$1,0))</f>
        <v>2198.1900325354341</v>
      </c>
      <c r="K149" s="151">
        <f>-$D136*Assumptions!P$14*INDEX('DATA (Nominal)'!$B$344:$BX$344,1,MATCH($B$1,'DATA (Nominal)'!$B$1:$BX$1,0))</f>
        <v>0</v>
      </c>
      <c r="L149" s="151">
        <f>-$D136*Assumptions!Q$14*INDEX('DATA (Nominal)'!$B$344:$BX$344,1,MATCH($B$1,'DATA (Nominal)'!$B$1:$BX$1,0))</f>
        <v>0</v>
      </c>
      <c r="M149" s="151">
        <f>-$D136*Assumptions!R$14*INDEX('DATA (Nominal)'!$B$344:$BX$344,1,MATCH($B$1,'DATA (Nominal)'!$B$1:$BX$1,0))</f>
        <v>0</v>
      </c>
      <c r="N149" s="151">
        <f>-$D136*Assumptions!S$14*INDEX('DATA (Nominal)'!$B$344:$BX$344,1,MATCH($B$1,'DATA (Nominal)'!$B$1:$BX$1,0))</f>
        <v>0</v>
      </c>
      <c r="O149" s="151">
        <f>$O129*Assumptions!T$14</f>
        <v>1609.7174963657678</v>
      </c>
      <c r="P149" s="151">
        <f>$O129*Assumptions!U$14</f>
        <v>2759.4835143495493</v>
      </c>
      <c r="Q149" s="151">
        <f>$O129*Assumptions!V$14</f>
        <v>1971.0757499598474</v>
      </c>
      <c r="R149" s="151">
        <f>$O129*Assumptions!W$14</f>
        <v>1407.9112499713196</v>
      </c>
      <c r="S149" s="151">
        <f>$O129*Assumptions!X$14</f>
        <v>1005.6508928366568</v>
      </c>
      <c r="T149" s="151">
        <f>$O129*Assumptions!Y$14</f>
        <v>1005.6508928366568</v>
      </c>
      <c r="U149" s="151">
        <f>$O129*Assumptions!Z$14</f>
        <v>1005.6508928366568</v>
      </c>
      <c r="V149" s="151">
        <f>$O129*Assumptions!AA$14</f>
        <v>502.65642946154912</v>
      </c>
      <c r="W149" s="151">
        <f>$O129*Assumptions!AB$14</f>
        <v>0</v>
      </c>
      <c r="X149" s="160">
        <f>$O129*Assumptions!AC$14</f>
        <v>0</v>
      </c>
      <c r="Y149" s="156"/>
    </row>
    <row r="150" spans="2:25" ht="15.75" hidden="1" outlineLevel="1" thickBot="1">
      <c r="B150" s="452"/>
      <c r="C150" s="127" t="s">
        <v>66</v>
      </c>
      <c r="D150" s="157"/>
      <c r="E150" s="157">
        <f>E149*Federal_Tax_Rate</f>
        <v>1602.8468987237538</v>
      </c>
      <c r="F150" s="157">
        <f>F149*Federal_Tax_Rate</f>
        <v>2564.5550379580063</v>
      </c>
      <c r="G150" s="157">
        <f t="shared" ref="G150:M150" si="84">G149*Federal_Tax_Rate</f>
        <v>1538.7330227748037</v>
      </c>
      <c r="H150" s="157">
        <f t="shared" si="84"/>
        <v>923.23981366488226</v>
      </c>
      <c r="I150" s="157">
        <f t="shared" si="84"/>
        <v>923.23981366488226</v>
      </c>
      <c r="J150" s="157">
        <f t="shared" si="84"/>
        <v>461.61990683244113</v>
      </c>
      <c r="K150" s="157">
        <f t="shared" si="84"/>
        <v>0</v>
      </c>
      <c r="L150" s="157">
        <f t="shared" si="84"/>
        <v>0</v>
      </c>
      <c r="M150" s="157">
        <f t="shared" si="84"/>
        <v>0</v>
      </c>
      <c r="N150" s="157">
        <f>N149*Federal_Tax_Rate</f>
        <v>0</v>
      </c>
      <c r="O150" s="157">
        <f>O149*Federal_Tax_Rate</f>
        <v>338.04067423681124</v>
      </c>
      <c r="P150" s="157">
        <f t="shared" ref="P150:X150" si="85">P149*Federal_Tax_Rate</f>
        <v>579.49153801340537</v>
      </c>
      <c r="Q150" s="157">
        <f t="shared" si="85"/>
        <v>413.92590749156795</v>
      </c>
      <c r="R150" s="157">
        <f t="shared" si="85"/>
        <v>295.66136249397709</v>
      </c>
      <c r="S150" s="157">
        <f t="shared" si="85"/>
        <v>211.18668749569792</v>
      </c>
      <c r="T150" s="157">
        <f t="shared" si="85"/>
        <v>211.18668749569792</v>
      </c>
      <c r="U150" s="157">
        <f t="shared" si="85"/>
        <v>211.18668749569792</v>
      </c>
      <c r="V150" s="157">
        <f t="shared" si="85"/>
        <v>105.55785018692531</v>
      </c>
      <c r="W150" s="157">
        <f t="shared" si="85"/>
        <v>0</v>
      </c>
      <c r="X150" s="158">
        <f t="shared" si="85"/>
        <v>0</v>
      </c>
      <c r="Y150" s="156"/>
    </row>
    <row r="151" spans="2:25" hidden="1" outlineLevel="1">
      <c r="B151" s="452"/>
      <c r="C151" s="128" t="s">
        <v>67</v>
      </c>
      <c r="D151" s="104">
        <f>NPV(Tax_Equity_Rate,E150:N150)</f>
        <v>6502.155146258493</v>
      </c>
      <c r="E151" s="105">
        <f>D151/D155</f>
        <v>0.14482165383746648</v>
      </c>
      <c r="F151" s="254"/>
      <c r="G151" s="254"/>
      <c r="H151" s="254"/>
      <c r="I151" s="254"/>
      <c r="J151" s="254"/>
      <c r="K151" s="254"/>
      <c r="L151" s="254"/>
      <c r="M151" s="261"/>
      <c r="N151" s="261"/>
      <c r="O151" s="261"/>
      <c r="P151" s="261"/>
      <c r="Q151" s="261"/>
      <c r="R151" s="261"/>
      <c r="S151" s="261"/>
      <c r="T151" s="261"/>
      <c r="U151" s="261"/>
      <c r="V151" s="261"/>
      <c r="W151" s="261"/>
      <c r="X151" s="261"/>
      <c r="Y151" s="261"/>
    </row>
    <row r="152" spans="2:25" hidden="1" outlineLevel="1">
      <c r="B152" s="452"/>
      <c r="C152" s="125" t="s">
        <v>79</v>
      </c>
      <c r="D152" s="106">
        <f>NPV(Tax_Equity_Rate,E133:X133)</f>
        <v>1775.1621529006252</v>
      </c>
      <c r="E152" s="107">
        <f>D152/D155</f>
        <v>3.9537955190238366E-2</v>
      </c>
    </row>
    <row r="153" spans="2:25" hidden="1" outlineLevel="1">
      <c r="B153" s="22">
        <f>Assumptions!F14</f>
        <v>0.75800000000000001</v>
      </c>
      <c r="C153" s="125" t="s">
        <v>68</v>
      </c>
      <c r="D153" s="106">
        <f>(D155-D151-D152)*$B153</f>
        <v>27758.22903997144</v>
      </c>
      <c r="E153" s="107">
        <f>D153/D155</f>
        <v>0.61825541635699988</v>
      </c>
    </row>
    <row r="154" spans="2:25" hidden="1" outlineLevel="1">
      <c r="B154" s="22">
        <f>1-B153</f>
        <v>0.24199999999999999</v>
      </c>
      <c r="C154" s="125" t="s">
        <v>69</v>
      </c>
      <c r="D154" s="106">
        <f>(D155-D151-D152)*$B154</f>
        <v>8862.1258940278203</v>
      </c>
      <c r="E154" s="107">
        <f>D154/D155</f>
        <v>0.19738497461529544</v>
      </c>
    </row>
    <row r="155" spans="2:25" hidden="1" outlineLevel="1">
      <c r="C155" s="125" t="s">
        <v>70</v>
      </c>
      <c r="D155" s="106">
        <f>-D136</f>
        <v>44897.672233158373</v>
      </c>
      <c r="E155" s="108"/>
    </row>
    <row r="156" spans="2:25" ht="15.75" hidden="1" outlineLevel="1" thickBot="1">
      <c r="C156" s="127" t="s">
        <v>71</v>
      </c>
      <c r="D156" s="109">
        <f>SUM(D151:D154)-D155</f>
        <v>0</v>
      </c>
      <c r="E156" s="110"/>
    </row>
    <row r="157" spans="2:25" hidden="1" outlineLevel="1"/>
    <row r="158" spans="2:25" ht="15.75" collapsed="1" thickBot="1"/>
    <row r="159" spans="2:25" ht="18.75" thickBot="1">
      <c r="B159" s="82"/>
      <c r="C159" s="484" t="s">
        <v>133</v>
      </c>
      <c r="D159" s="485"/>
      <c r="E159" s="485"/>
      <c r="F159" s="485"/>
      <c r="G159" s="485"/>
      <c r="H159" s="486"/>
      <c r="Y159" s="261"/>
    </row>
    <row r="160" spans="2:25" hidden="1" outlineLevel="1">
      <c r="C160" s="124" t="s">
        <v>44</v>
      </c>
      <c r="D160" s="98"/>
      <c r="E160" s="98">
        <f>'Resource Options'!$E$15*INDEX('DATA (Nominal)'!$B$15:$BX$15,1,MATCH($B$1,'DATA (Nominal)'!$B$1:$BX$1,0))*8760</f>
        <v>1504.8640932333544</v>
      </c>
      <c r="F160" s="98">
        <f>E160</f>
        <v>1504.8640932333544</v>
      </c>
      <c r="G160" s="98">
        <f t="shared" ref="G160:X161" si="86">F160</f>
        <v>1504.8640932333544</v>
      </c>
      <c r="H160" s="98">
        <f t="shared" si="86"/>
        <v>1504.8640932333544</v>
      </c>
      <c r="I160" s="98">
        <f t="shared" si="86"/>
        <v>1504.8640932333544</v>
      </c>
      <c r="J160" s="98">
        <f t="shared" si="86"/>
        <v>1504.8640932333544</v>
      </c>
      <c r="K160" s="98">
        <f t="shared" si="86"/>
        <v>1504.8640932333544</v>
      </c>
      <c r="L160" s="98">
        <f t="shared" si="86"/>
        <v>1504.8640932333544</v>
      </c>
      <c r="M160" s="142">
        <f t="shared" si="86"/>
        <v>1504.8640932333544</v>
      </c>
      <c r="N160" s="142">
        <f t="shared" si="86"/>
        <v>1504.8640932333544</v>
      </c>
      <c r="O160" s="142">
        <f t="shared" si="86"/>
        <v>1504.8640932333544</v>
      </c>
      <c r="P160" s="142">
        <f t="shared" si="86"/>
        <v>1504.8640932333544</v>
      </c>
      <c r="Q160" s="142">
        <f t="shared" si="86"/>
        <v>1504.8640932333544</v>
      </c>
      <c r="R160" s="142">
        <f t="shared" si="86"/>
        <v>1504.8640932333544</v>
      </c>
      <c r="S160" s="142">
        <f t="shared" si="86"/>
        <v>1504.8640932333544</v>
      </c>
      <c r="T160" s="142">
        <f t="shared" si="86"/>
        <v>1504.8640932333544</v>
      </c>
      <c r="U160" s="142">
        <f t="shared" si="86"/>
        <v>1504.8640932333544</v>
      </c>
      <c r="V160" s="142">
        <f t="shared" si="86"/>
        <v>1504.8640932333544</v>
      </c>
      <c r="W160" s="142">
        <f t="shared" si="86"/>
        <v>1504.8640932333544</v>
      </c>
      <c r="X160" s="454">
        <f t="shared" si="86"/>
        <v>1504.8640932333544</v>
      </c>
      <c r="Y160" s="261"/>
    </row>
    <row r="161" spans="2:25" hidden="1" outlineLevel="1">
      <c r="C161" s="125" t="s">
        <v>45</v>
      </c>
      <c r="D161" s="114"/>
      <c r="E161" s="117">
        <f>INDEX('PPA Summary'!$3:$34,MATCH(_xlfn.CONCAT($C159,$C$1),'PPA Summary'!$D$3:$D$34,0),MATCH(B$1,'PPA Summary'!$2:$2,0))</f>
        <v>165.38038523043093</v>
      </c>
      <c r="F161" s="112">
        <f>E161</f>
        <v>165.38038523043093</v>
      </c>
      <c r="G161" s="112">
        <f t="shared" si="86"/>
        <v>165.38038523043093</v>
      </c>
      <c r="H161" s="112">
        <f t="shared" si="86"/>
        <v>165.38038523043093</v>
      </c>
      <c r="I161" s="112">
        <f t="shared" si="86"/>
        <v>165.38038523043093</v>
      </c>
      <c r="J161" s="112">
        <f t="shared" si="86"/>
        <v>165.38038523043093</v>
      </c>
      <c r="K161" s="112">
        <f t="shared" si="86"/>
        <v>165.38038523043093</v>
      </c>
      <c r="L161" s="112">
        <f t="shared" si="86"/>
        <v>165.38038523043093</v>
      </c>
      <c r="M161" s="117">
        <f t="shared" si="86"/>
        <v>165.38038523043093</v>
      </c>
      <c r="N161" s="117">
        <f t="shared" si="86"/>
        <v>165.38038523043093</v>
      </c>
      <c r="O161" s="117">
        <f t="shared" si="86"/>
        <v>165.38038523043093</v>
      </c>
      <c r="P161" s="117">
        <f t="shared" si="86"/>
        <v>165.38038523043093</v>
      </c>
      <c r="Q161" s="117">
        <f t="shared" si="86"/>
        <v>165.38038523043093</v>
      </c>
      <c r="R161" s="117">
        <f t="shared" si="86"/>
        <v>165.38038523043093</v>
      </c>
      <c r="S161" s="117">
        <f t="shared" si="86"/>
        <v>165.38038523043093</v>
      </c>
      <c r="T161" s="117">
        <f t="shared" si="86"/>
        <v>165.38038523043093</v>
      </c>
      <c r="U161" s="117">
        <f t="shared" si="86"/>
        <v>165.38038523043093</v>
      </c>
      <c r="V161" s="117">
        <f t="shared" si="86"/>
        <v>165.38038523043093</v>
      </c>
      <c r="W161" s="117">
        <f t="shared" si="86"/>
        <v>165.38038523043093</v>
      </c>
      <c r="X161" s="161">
        <f t="shared" si="86"/>
        <v>165.38038523043093</v>
      </c>
      <c r="Y161" s="261"/>
    </row>
    <row r="162" spans="2:25" hidden="1" outlineLevel="1">
      <c r="C162" s="258" t="s">
        <v>46</v>
      </c>
      <c r="D162" s="114"/>
      <c r="E162" s="114">
        <f>E161*E160</f>
        <v>248875.00345837529</v>
      </c>
      <c r="F162" s="114">
        <f t="shared" ref="F162:X162" si="87">F161*F160</f>
        <v>248875.00345837529</v>
      </c>
      <c r="G162" s="114">
        <f t="shared" si="87"/>
        <v>248875.00345837529</v>
      </c>
      <c r="H162" s="114">
        <f t="shared" si="87"/>
        <v>248875.00345837529</v>
      </c>
      <c r="I162" s="114">
        <f t="shared" si="87"/>
        <v>248875.00345837529</v>
      </c>
      <c r="J162" s="114">
        <f t="shared" si="87"/>
        <v>248875.00345837529</v>
      </c>
      <c r="K162" s="114">
        <f t="shared" si="87"/>
        <v>248875.00345837529</v>
      </c>
      <c r="L162" s="114">
        <f t="shared" si="87"/>
        <v>248875.00345837529</v>
      </c>
      <c r="M162" s="93">
        <f t="shared" si="87"/>
        <v>248875.00345837529</v>
      </c>
      <c r="N162" s="93">
        <f t="shared" si="87"/>
        <v>248875.00345837529</v>
      </c>
      <c r="O162" s="93">
        <f t="shared" si="87"/>
        <v>248875.00345837529</v>
      </c>
      <c r="P162" s="93">
        <f t="shared" si="87"/>
        <v>248875.00345837529</v>
      </c>
      <c r="Q162" s="93">
        <f t="shared" si="87"/>
        <v>248875.00345837529</v>
      </c>
      <c r="R162" s="93">
        <f t="shared" si="87"/>
        <v>248875.00345837529</v>
      </c>
      <c r="S162" s="93">
        <f t="shared" si="87"/>
        <v>248875.00345837529</v>
      </c>
      <c r="T162" s="93">
        <f t="shared" si="87"/>
        <v>248875.00345837529</v>
      </c>
      <c r="U162" s="93">
        <f t="shared" si="87"/>
        <v>248875.00345837529</v>
      </c>
      <c r="V162" s="93">
        <f t="shared" si="87"/>
        <v>248875.00345837529</v>
      </c>
      <c r="W162" s="93">
        <f t="shared" si="87"/>
        <v>248875.00345837529</v>
      </c>
      <c r="X162" s="161">
        <f t="shared" si="87"/>
        <v>248875.00345837529</v>
      </c>
      <c r="Y162" s="261"/>
    </row>
    <row r="163" spans="2:25" hidden="1" outlineLevel="1">
      <c r="C163" s="258"/>
      <c r="D163" s="114"/>
      <c r="E163" s="114"/>
      <c r="F163" s="114"/>
      <c r="G163" s="114"/>
      <c r="H163" s="114"/>
      <c r="I163" s="114"/>
      <c r="J163" s="114"/>
      <c r="K163" s="114"/>
      <c r="L163" s="114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161"/>
      <c r="Y163" s="261"/>
    </row>
    <row r="164" spans="2:25" hidden="1" outlineLevel="1">
      <c r="B164" s="92"/>
      <c r="C164" s="125" t="s">
        <v>47</v>
      </c>
      <c r="D164" s="114"/>
      <c r="E164" s="114">
        <f>'Resource Options'!$E$15*INDEX('DATA (Nominal)'!$B$183:$BX$183,1,MATCH(E$1,'DATA (Nominal)'!$B$1:$BX$1,0))*1000</f>
        <v>17932.267701786364</v>
      </c>
      <c r="F164" s="114">
        <f>'Resource Options'!$E$15*INDEX('DATA (Nominal)'!$B$183:$BX$183,1,MATCH(F$1,'DATA (Nominal)'!$B$1:$BX$1,0))*1000</f>
        <v>17483.373376603078</v>
      </c>
      <c r="G164" s="114">
        <f>'Resource Options'!$E$15*INDEX('DATA (Nominal)'!$B$183:$BX$183,1,MATCH(G$1,'DATA (Nominal)'!$B$1:$BX$1,0))*1000</f>
        <v>17005.484221593462</v>
      </c>
      <c r="H164" s="114">
        <f>'Resource Options'!$E$15*INDEX('DATA (Nominal)'!$B$183:$BX$183,1,MATCH(H$1,'DATA (Nominal)'!$B$1:$BX$1,0))*1000</f>
        <v>16492.149988518853</v>
      </c>
      <c r="I164" s="114">
        <f>'Resource Options'!$E$15*INDEX('DATA (Nominal)'!$B$183:$BX$183,1,MATCH(I$1,'DATA (Nominal)'!$B$1:$BX$1,0))*1000</f>
        <v>15947.998394825707</v>
      </c>
      <c r="J164" s="114">
        <f>'Resource Options'!$E$15*INDEX('DATA (Nominal)'!$B$183:$BX$183,1,MATCH(J$1,'DATA (Nominal)'!$B$1:$BX$1,0))*1000</f>
        <v>15371.921930415625</v>
      </c>
      <c r="K164" s="114">
        <f>'Resource Options'!$E$15*INDEX('DATA (Nominal)'!$B$183:$BX$183,1,MATCH(K$1,'DATA (Nominal)'!$B$1:$BX$1,0))*1000</f>
        <v>15574.540925662383</v>
      </c>
      <c r="L164" s="114">
        <f>'Resource Options'!$E$15*INDEX('DATA (Nominal)'!$B$183:$BX$183,1,MATCH(L$1,'DATA (Nominal)'!$B$1:$BX$1,0))*1000</f>
        <v>15778.635146485687</v>
      </c>
      <c r="M164" s="93">
        <f>'Resource Options'!$E$15*INDEX('DATA (Nominal)'!$B$183:$BX$183,1,MATCH(M$1,'DATA (Nominal)'!$B$1:$BX$1,0))*1000</f>
        <v>15984.171435217191</v>
      </c>
      <c r="N164" s="93">
        <f>'Resource Options'!$E$15*INDEX('DATA (Nominal)'!$B$183:$BX$183,1,MATCH(N$1,'DATA (Nominal)'!$B$1:$BX$1,0))*1000</f>
        <v>16191.114461241987</v>
      </c>
      <c r="O164" s="93">
        <f>'Resource Options'!$E$15*INDEX('DATA (Nominal)'!$B$183:$BX$183,1,MATCH(O$1,'DATA (Nominal)'!$B$1:$BX$1,0))*1000</f>
        <v>16399.426641437225</v>
      </c>
      <c r="P164" s="93">
        <f>'Resource Options'!$E$15*INDEX('DATA (Nominal)'!$B$183:$BX$183,1,MATCH(P$1,'DATA (Nominal)'!$B$1:$BX$1,0))*1000</f>
        <v>16609.068058161814</v>
      </c>
      <c r="Q164" s="93">
        <f>'Resource Options'!$E$15*INDEX('DATA (Nominal)'!$B$183:$BX$183,1,MATCH(Q$1,'DATA (Nominal)'!$B$1:$BX$1,0))*1000</f>
        <v>16819.996374727831</v>
      </c>
      <c r="R164" s="93">
        <f>'Resource Options'!$E$15*INDEX('DATA (Nominal)'!$B$183:$BX$183,1,MATCH(R$1,'DATA (Nominal)'!$B$1:$BX$1,0))*1000</f>
        <v>17032.166748282598</v>
      </c>
      <c r="S164" s="93">
        <f>'Resource Options'!$E$15*INDEX('DATA (Nominal)'!$B$183:$BX$183,1,MATCH(S$1,'DATA (Nominal)'!$B$1:$BX$1,0))*1000</f>
        <v>17245.531740028404</v>
      </c>
      <c r="T164" s="93">
        <f>'Resource Options'!$E$15*INDEX('DATA (Nominal)'!$B$183:$BX$183,1,MATCH(T$1,'DATA (Nominal)'!$B$1:$BX$1,0))*1000</f>
        <v>17460.041222704862</v>
      </c>
      <c r="U164" s="93">
        <f>'Resource Options'!$E$15*INDEX('DATA (Nominal)'!$B$183:$BX$183,1,MATCH(U$1,'DATA (Nominal)'!$B$1:$BX$1,0))*1000</f>
        <v>17675.642285256909</v>
      </c>
      <c r="V164" s="93">
        <f>'Resource Options'!$E$15*INDEX('DATA (Nominal)'!$B$183:$BX$183,1,MATCH(V$1,'DATA (Nominal)'!$B$1:$BX$1,0))*1000</f>
        <v>17892.279134609456</v>
      </c>
      <c r="W164" s="93">
        <f>'Resource Options'!$E$15*INDEX('DATA (Nominal)'!$B$183:$BX$183,1,MATCH(W$1,'DATA (Nominal)'!$B$1:$BX$1,0))*1000</f>
        <v>18109.892994467449</v>
      </c>
      <c r="X164" s="161">
        <f>'Resource Options'!$E$15*INDEX('DATA (Nominal)'!$B$183:$BX$183,1,MATCH(X$1,'DATA (Nominal)'!$B$1:$BX$1,0))*1000</f>
        <v>18328.42200105805</v>
      </c>
      <c r="Y164" s="261"/>
    </row>
    <row r="165" spans="2:25" hidden="1" outlineLevel="1">
      <c r="C165" s="125" t="s">
        <v>48</v>
      </c>
      <c r="D165" s="114"/>
      <c r="E165" s="114">
        <f>E160*INDEX('DATA (Nominal)'!$B$110:$BX$110,1,MATCH(E$1,'DATA (Nominal)'!$B$1:$BX$1,0))</f>
        <v>0</v>
      </c>
      <c r="F165" s="114">
        <f>F160*INDEX('DATA (Nominal)'!$B$110:$BX$110,1,MATCH(F$1,'DATA (Nominal)'!$B$1:$BX$1,0))</f>
        <v>0</v>
      </c>
      <c r="G165" s="114">
        <f>G160*INDEX('DATA (Nominal)'!$B$110:$BX$110,1,MATCH(G$1,'DATA (Nominal)'!$B$1:$BX$1,0))</f>
        <v>0</v>
      </c>
      <c r="H165" s="114">
        <f>H160*INDEX('DATA (Nominal)'!$B$110:$BX$110,1,MATCH(H$1,'DATA (Nominal)'!$B$1:$BX$1,0))</f>
        <v>0</v>
      </c>
      <c r="I165" s="114">
        <f>I160*INDEX('DATA (Nominal)'!$B$110:$BX$110,1,MATCH(I$1,'DATA (Nominal)'!$B$1:$BX$1,0))</f>
        <v>0</v>
      </c>
      <c r="J165" s="114">
        <f>J160*INDEX('DATA (Nominal)'!$B$110:$BX$110,1,MATCH(J$1,'DATA (Nominal)'!$B$1:$BX$1,0))</f>
        <v>0</v>
      </c>
      <c r="K165" s="114">
        <f>K160*INDEX('DATA (Nominal)'!$B$110:$BX$110,1,MATCH(K$1,'DATA (Nominal)'!$B$1:$BX$1,0))</f>
        <v>0</v>
      </c>
      <c r="L165" s="114">
        <f>L160*INDEX('DATA (Nominal)'!$B$110:$BX$110,1,MATCH(L$1,'DATA (Nominal)'!$B$1:$BX$1,0))</f>
        <v>0</v>
      </c>
      <c r="M165" s="93">
        <f>M160*INDEX('DATA (Nominal)'!$B$110:$BX$110,1,MATCH(M$1,'DATA (Nominal)'!$B$1:$BX$1,0))</f>
        <v>0</v>
      </c>
      <c r="N165" s="93">
        <f>N160*INDEX('DATA (Nominal)'!$B$110:$BX$110,1,MATCH(N$1,'DATA (Nominal)'!$B$1:$BX$1,0))</f>
        <v>0</v>
      </c>
      <c r="O165" s="93">
        <f>O160*INDEX('DATA (Nominal)'!$B$110:$BX$110,1,MATCH(O$1,'DATA (Nominal)'!$B$1:$BX$1,0))</f>
        <v>0</v>
      </c>
      <c r="P165" s="93">
        <f>P160*INDEX('DATA (Nominal)'!$B$110:$BX$110,1,MATCH(P$1,'DATA (Nominal)'!$B$1:$BX$1,0))</f>
        <v>0</v>
      </c>
      <c r="Q165" s="93">
        <f>Q160*INDEX('DATA (Nominal)'!$B$110:$BX$110,1,MATCH(Q$1,'DATA (Nominal)'!$B$1:$BX$1,0))</f>
        <v>0</v>
      </c>
      <c r="R165" s="93">
        <f>R160*INDEX('DATA (Nominal)'!$B$110:$BX$110,1,MATCH(R$1,'DATA (Nominal)'!$B$1:$BX$1,0))</f>
        <v>0</v>
      </c>
      <c r="S165" s="93">
        <f>S160*INDEX('DATA (Nominal)'!$B$110:$BX$110,1,MATCH(S$1,'DATA (Nominal)'!$B$1:$BX$1,0))</f>
        <v>0</v>
      </c>
      <c r="T165" s="93">
        <f>T160*INDEX('DATA (Nominal)'!$B$110:$BX$110,1,MATCH(T$1,'DATA (Nominal)'!$B$1:$BX$1,0))</f>
        <v>0</v>
      </c>
      <c r="U165" s="93">
        <f>U160*INDEX('DATA (Nominal)'!$B$110:$BX$110,1,MATCH(U$1,'DATA (Nominal)'!$B$1:$BX$1,0))</f>
        <v>0</v>
      </c>
      <c r="V165" s="93">
        <f>V160*INDEX('DATA (Nominal)'!$B$110:$BX$110,1,MATCH(V$1,'DATA (Nominal)'!$B$1:$BX$1,0))</f>
        <v>0</v>
      </c>
      <c r="W165" s="93">
        <f>W160*INDEX('DATA (Nominal)'!$B$110:$BX$110,1,MATCH(W$1,'DATA (Nominal)'!$B$1:$BX$1,0))</f>
        <v>0</v>
      </c>
      <c r="X165" s="161">
        <f>X160*INDEX('DATA (Nominal)'!$B$110:$BX$110,1,MATCH(X$1,'DATA (Nominal)'!$B$1:$BX$1,0))</f>
        <v>0</v>
      </c>
      <c r="Y165" s="261"/>
    </row>
    <row r="166" spans="2:25" hidden="1" outlineLevel="1">
      <c r="C166" s="125" t="s">
        <v>127</v>
      </c>
      <c r="D166" s="114"/>
      <c r="E166" s="93">
        <f>E162*INDEX('DATA (Nominal)'!$B$330:$BX$330,1,MATCH(E$1,'DATA (Nominal)'!$B$1:$BX$1,0))</f>
        <v>0</v>
      </c>
      <c r="F166" s="114">
        <f>F162*INDEX('DATA (Nominal)'!$B$330:$BX$330,1,MATCH(F$1,'DATA (Nominal)'!$B$1:$BX$1,0))</f>
        <v>0</v>
      </c>
      <c r="G166" s="114">
        <f>G162*INDEX('DATA (Nominal)'!$B$330:$BX$330,1,MATCH(G$1,'DATA (Nominal)'!$B$1:$BX$1,0))</f>
        <v>0</v>
      </c>
      <c r="H166" s="114">
        <f>H162*INDEX('DATA (Nominal)'!$B$330:$BX$330,1,MATCH(H$1,'DATA (Nominal)'!$B$1:$BX$1,0))</f>
        <v>0</v>
      </c>
      <c r="I166" s="114">
        <f>I162*INDEX('DATA (Nominal)'!$B$330:$BX$330,1,MATCH(I$1,'DATA (Nominal)'!$B$1:$BX$1,0))</f>
        <v>0</v>
      </c>
      <c r="J166" s="114">
        <f>J162*INDEX('DATA (Nominal)'!$B$330:$BX$330,1,MATCH(J$1,'DATA (Nominal)'!$B$1:$BX$1,0))</f>
        <v>0</v>
      </c>
      <c r="K166" s="114">
        <f>K162*INDEX('DATA (Nominal)'!$B$330:$BX$330,1,MATCH(K$1,'DATA (Nominal)'!$B$1:$BX$1,0))</f>
        <v>0</v>
      </c>
      <c r="L166" s="114">
        <f>L162*INDEX('DATA (Nominal)'!$B$330:$BX$330,1,MATCH(L$1,'DATA (Nominal)'!$B$1:$BX$1,0))</f>
        <v>0</v>
      </c>
      <c r="M166" s="93">
        <f>M162*INDEX('DATA (Nominal)'!$B$330:$BX$330,1,MATCH(M$1,'DATA (Nominal)'!$B$1:$BX$1,0))</f>
        <v>0</v>
      </c>
      <c r="N166" s="93">
        <f>N162*INDEX('DATA (Nominal)'!$B$330:$BX$330,1,MATCH(N$1,'DATA (Nominal)'!$B$1:$BX$1,0))</f>
        <v>0</v>
      </c>
      <c r="O166" s="93">
        <f>O162*INDEX('DATA (Nominal)'!$B$330:$BX$330,1,MATCH(O$1,'DATA (Nominal)'!$B$1:$BX$1,0))</f>
        <v>0</v>
      </c>
      <c r="P166" s="93">
        <f>P162*INDEX('DATA (Nominal)'!$B$330:$BX$330,1,MATCH(P$1,'DATA (Nominal)'!$B$1:$BX$1,0))</f>
        <v>0</v>
      </c>
      <c r="Q166" s="93">
        <f>Q162*INDEX('DATA (Nominal)'!$B$330:$BX$330,1,MATCH(Q$1,'DATA (Nominal)'!$B$1:$BX$1,0))</f>
        <v>0</v>
      </c>
      <c r="R166" s="93">
        <f>R162*INDEX('DATA (Nominal)'!$B$330:$BX$330,1,MATCH(R$1,'DATA (Nominal)'!$B$1:$BX$1,0))</f>
        <v>0</v>
      </c>
      <c r="S166" s="93">
        <f>S162*INDEX('DATA (Nominal)'!$B$330:$BX$330,1,MATCH(S$1,'DATA (Nominal)'!$B$1:$BX$1,0))</f>
        <v>0</v>
      </c>
      <c r="T166" s="93">
        <f>T162*INDEX('DATA (Nominal)'!$B$330:$BX$330,1,MATCH(T$1,'DATA (Nominal)'!$B$1:$BX$1,0))</f>
        <v>0</v>
      </c>
      <c r="U166" s="93">
        <f>U162*INDEX('DATA (Nominal)'!$B$330:$BX$330,1,MATCH(U$1,'DATA (Nominal)'!$B$1:$BX$1,0))</f>
        <v>0</v>
      </c>
      <c r="V166" s="93">
        <f>V162*INDEX('DATA (Nominal)'!$B$330:$BX$330,1,MATCH(V$1,'DATA (Nominal)'!$B$1:$BX$1,0))</f>
        <v>0</v>
      </c>
      <c r="W166" s="93">
        <f>W162*INDEX('DATA (Nominal)'!$B$330:$BX$330,1,MATCH(W$1,'DATA (Nominal)'!$B$1:$BX$1,0))</f>
        <v>0</v>
      </c>
      <c r="X166" s="161">
        <f>X162*INDEX('DATA (Nominal)'!$B$330:$BX$330,1,MATCH(X$1,'DATA (Nominal)'!$B$1:$BX$1,0))</f>
        <v>0</v>
      </c>
      <c r="Y166" s="261"/>
    </row>
    <row r="167" spans="2:25" hidden="1" outlineLevel="1">
      <c r="C167" s="258" t="s">
        <v>49</v>
      </c>
      <c r="D167" s="114"/>
      <c r="E167" s="114">
        <f t="shared" ref="E167:X167" si="88">D186*Property_Tax_Rate</f>
        <v>29866.516702067409</v>
      </c>
      <c r="F167" s="114">
        <f t="shared" si="88"/>
        <v>28202.368727986177</v>
      </c>
      <c r="G167" s="114">
        <f t="shared" si="88"/>
        <v>26630.946280194621</v>
      </c>
      <c r="H167" s="114">
        <f t="shared" si="88"/>
        <v>25147.082736878088</v>
      </c>
      <c r="I167" s="114">
        <f t="shared" si="88"/>
        <v>23745.899357909355</v>
      </c>
      <c r="J167" s="114">
        <f t="shared" si="88"/>
        <v>22422.789244219188</v>
      </c>
      <c r="K167" s="114">
        <f t="shared" si="88"/>
        <v>21173.40219094307</v>
      </c>
      <c r="L167" s="114">
        <f t="shared" si="88"/>
        <v>19993.630384543365</v>
      </c>
      <c r="M167" s="93">
        <f t="shared" si="88"/>
        <v>18879.594896880899</v>
      </c>
      <c r="N167" s="93">
        <f t="shared" si="88"/>
        <v>17827.632931830452</v>
      </c>
      <c r="O167" s="93">
        <f t="shared" si="88"/>
        <v>16834.285782508687</v>
      </c>
      <c r="P167" s="93">
        <f t="shared" si="88"/>
        <v>15896.287459519548</v>
      </c>
      <c r="Q167" s="93">
        <f t="shared" si="88"/>
        <v>15010.553952828383</v>
      </c>
      <c r="R167" s="93">
        <f t="shared" si="88"/>
        <v>14174.173091959285</v>
      </c>
      <c r="S167" s="93">
        <f t="shared" si="88"/>
        <v>13384.39497117736</v>
      </c>
      <c r="T167" s="93">
        <f t="shared" si="88"/>
        <v>12638.622908175246</v>
      </c>
      <c r="U167" s="93">
        <f t="shared" si="88"/>
        <v>11934.404906537291</v>
      </c>
      <c r="V167" s="93">
        <f t="shared" si="88"/>
        <v>11269.42559391111</v>
      </c>
      <c r="W167" s="93">
        <f t="shared" si="88"/>
        <v>10641.498609380362</v>
      </c>
      <c r="X167" s="161">
        <f t="shared" si="88"/>
        <v>10048.559415009469</v>
      </c>
      <c r="Y167" s="261"/>
    </row>
    <row r="168" spans="2:25" hidden="1" outlineLevel="1">
      <c r="C168" s="258" t="s">
        <v>50</v>
      </c>
      <c r="D168" s="114"/>
      <c r="E168" s="114">
        <f>SUM(E164:E167)</f>
        <v>47798.784403853773</v>
      </c>
      <c r="F168" s="114">
        <f t="shared" ref="F168:X168" si="89">SUM(F164:F167)</f>
        <v>45685.742104589255</v>
      </c>
      <c r="G168" s="114">
        <f t="shared" si="89"/>
        <v>43636.430501788083</v>
      </c>
      <c r="H168" s="114">
        <f t="shared" si="89"/>
        <v>41639.232725396942</v>
      </c>
      <c r="I168" s="114">
        <f t="shared" si="89"/>
        <v>39693.897752735065</v>
      </c>
      <c r="J168" s="114">
        <f t="shared" si="89"/>
        <v>37794.711174634809</v>
      </c>
      <c r="K168" s="114">
        <f t="shared" si="89"/>
        <v>36747.943116605456</v>
      </c>
      <c r="L168" s="114">
        <f t="shared" si="89"/>
        <v>35772.26553102905</v>
      </c>
      <c r="M168" s="93">
        <f t="shared" si="89"/>
        <v>34863.766332098094</v>
      </c>
      <c r="N168" s="93">
        <f t="shared" si="89"/>
        <v>34018.747393072437</v>
      </c>
      <c r="O168" s="93">
        <f t="shared" si="89"/>
        <v>33233.712423945908</v>
      </c>
      <c r="P168" s="93">
        <f t="shared" si="89"/>
        <v>32505.355517681361</v>
      </c>
      <c r="Q168" s="93">
        <f t="shared" si="89"/>
        <v>31830.550327556215</v>
      </c>
      <c r="R168" s="93">
        <f t="shared" si="89"/>
        <v>31206.339840241882</v>
      </c>
      <c r="S168" s="93">
        <f t="shared" si="89"/>
        <v>30629.926711205764</v>
      </c>
      <c r="T168" s="93">
        <f t="shared" si="89"/>
        <v>30098.664130880108</v>
      </c>
      <c r="U168" s="93">
        <f t="shared" si="89"/>
        <v>29610.047191794198</v>
      </c>
      <c r="V168" s="93">
        <f t="shared" si="89"/>
        <v>29161.704728520566</v>
      </c>
      <c r="W168" s="93">
        <f t="shared" si="89"/>
        <v>28751.391603847813</v>
      </c>
      <c r="X168" s="161">
        <f t="shared" si="89"/>
        <v>28376.98141606752</v>
      </c>
      <c r="Y168" s="261"/>
    </row>
    <row r="169" spans="2:25" hidden="1" outlineLevel="1">
      <c r="C169" s="258"/>
      <c r="D169" s="114"/>
      <c r="E169" s="114"/>
      <c r="F169" s="114"/>
      <c r="G169" s="114"/>
      <c r="H169" s="114"/>
      <c r="I169" s="114"/>
      <c r="J169" s="114"/>
      <c r="K169" s="114"/>
      <c r="L169" s="114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161"/>
      <c r="Y169" s="261"/>
    </row>
    <row r="170" spans="2:25" hidden="1" outlineLevel="1">
      <c r="C170" s="125" t="s">
        <v>51</v>
      </c>
      <c r="D170" s="114"/>
      <c r="E170" s="114">
        <f>E162-E168</f>
        <v>201076.21905452153</v>
      </c>
      <c r="F170" s="114">
        <f t="shared" ref="F170:X170" si="90">F162-F168</f>
        <v>203189.26135378605</v>
      </c>
      <c r="G170" s="114">
        <f t="shared" si="90"/>
        <v>205238.57295658719</v>
      </c>
      <c r="H170" s="114">
        <f t="shared" si="90"/>
        <v>207235.77073297836</v>
      </c>
      <c r="I170" s="114">
        <f t="shared" si="90"/>
        <v>209181.10570564022</v>
      </c>
      <c r="J170" s="114">
        <f t="shared" si="90"/>
        <v>211080.29228374048</v>
      </c>
      <c r="K170" s="114">
        <f t="shared" si="90"/>
        <v>212127.06034176983</v>
      </c>
      <c r="L170" s="114">
        <f t="shared" si="90"/>
        <v>213102.73792734623</v>
      </c>
      <c r="M170" s="93">
        <f t="shared" si="90"/>
        <v>214011.23712627718</v>
      </c>
      <c r="N170" s="93">
        <f t="shared" si="90"/>
        <v>214856.25606530285</v>
      </c>
      <c r="O170" s="93">
        <f t="shared" si="90"/>
        <v>215641.29103442939</v>
      </c>
      <c r="P170" s="93">
        <f t="shared" si="90"/>
        <v>216369.64794069392</v>
      </c>
      <c r="Q170" s="93">
        <f t="shared" si="90"/>
        <v>217044.45313081908</v>
      </c>
      <c r="R170" s="93">
        <f t="shared" si="90"/>
        <v>217668.6636181334</v>
      </c>
      <c r="S170" s="93">
        <f t="shared" si="90"/>
        <v>218245.07674716951</v>
      </c>
      <c r="T170" s="93">
        <f t="shared" si="90"/>
        <v>218776.33932749517</v>
      </c>
      <c r="U170" s="93">
        <f t="shared" si="90"/>
        <v>219264.95626658108</v>
      </c>
      <c r="V170" s="93">
        <f t="shared" si="90"/>
        <v>219713.29872985472</v>
      </c>
      <c r="W170" s="93">
        <f t="shared" si="90"/>
        <v>220123.61185452747</v>
      </c>
      <c r="X170" s="161">
        <f t="shared" si="90"/>
        <v>220498.02204230777</v>
      </c>
      <c r="Y170" s="261"/>
    </row>
    <row r="171" spans="2:25" hidden="1" outlineLevel="1">
      <c r="C171" s="125" t="s">
        <v>52</v>
      </c>
      <c r="D171" s="114"/>
      <c r="E171" s="93">
        <f>E170-E187-E178</f>
        <v>-392475.66942791949</v>
      </c>
      <c r="F171" s="114">
        <f t="shared" ref="F171:X171" si="91">F170-F187-F178</f>
        <v>-692539.80570846819</v>
      </c>
      <c r="G171" s="114">
        <f t="shared" si="91"/>
        <v>-362946.12955792912</v>
      </c>
      <c r="H171" s="114">
        <f t="shared" si="91"/>
        <v>-163240.83146558906</v>
      </c>
      <c r="I171" s="114">
        <f t="shared" si="91"/>
        <v>-158405.34584740736</v>
      </c>
      <c r="J171" s="114">
        <f t="shared" si="91"/>
        <v>-7230.5845649616385</v>
      </c>
      <c r="K171" s="114">
        <f t="shared" si="91"/>
        <v>143259.45918861945</v>
      </c>
      <c r="L171" s="114">
        <f t="shared" si="91"/>
        <v>147628.87124214819</v>
      </c>
      <c r="M171" s="93">
        <f t="shared" si="91"/>
        <v>152117.76030476886</v>
      </c>
      <c r="N171" s="93">
        <f t="shared" si="91"/>
        <v>156740.09054998719</v>
      </c>
      <c r="O171" s="93">
        <f t="shared" si="91"/>
        <v>-201161.91001772773</v>
      </c>
      <c r="P171" s="93">
        <f t="shared" si="91"/>
        <v>-455273.55715859972</v>
      </c>
      <c r="Q171" s="93">
        <f t="shared" si="91"/>
        <v>-272533.66198677698</v>
      </c>
      <c r="R171" s="93">
        <f t="shared" si="91"/>
        <v>-140348.10223487375</v>
      </c>
      <c r="S171" s="93">
        <f t="shared" si="91"/>
        <v>-44204.949364462256</v>
      </c>
      <c r="T171" s="93">
        <f t="shared" si="91"/>
        <v>-38465.368260692499</v>
      </c>
      <c r="U171" s="93">
        <f t="shared" si="91"/>
        <v>-32481.975279373062</v>
      </c>
      <c r="V171" s="93">
        <f t="shared" si="91"/>
        <v>87088.866882781527</v>
      </c>
      <c r="W171" s="93">
        <f t="shared" si="91"/>
        <v>206864.35446859553</v>
      </c>
      <c r="X171" s="161">
        <f t="shared" si="91"/>
        <v>213690.95803152517</v>
      </c>
      <c r="Y171" s="261"/>
    </row>
    <row r="172" spans="2:25" hidden="1" outlineLevel="1">
      <c r="C172" s="125" t="s">
        <v>53</v>
      </c>
      <c r="D172" s="114"/>
      <c r="E172" s="93">
        <f>INDEX('DATA (Nominal)'!$B$256:$BX$256,1,MATCH($B$1,'DATA (Nominal)'!$B$1:$BX$1,0))*INDEX('DATA (Nominal)'!$B$303:$BX$303,1,MATCH(E$1,'DATA (Nominal)'!$B$1:$BX$1,0))*E160</f>
        <v>42239.869668112748</v>
      </c>
      <c r="F172" s="93">
        <f>INDEX('DATA (Nominal)'!$B$256:$BX$256,1,MATCH($B$1,'DATA (Nominal)'!$B$1:$BX$1,0))*INDEX('DATA (Nominal)'!$B$303:$BX$303,1,MATCH(F$1,'DATA (Nominal)'!$B$1:$BX$1,0))*F160</f>
        <v>43183.226757367273</v>
      </c>
      <c r="G172" s="93">
        <f>INDEX('DATA (Nominal)'!$B$256:$BX$256,1,MATCH($B$1,'DATA (Nominal)'!$B$1:$BX$1,0))*INDEX('DATA (Nominal)'!$B$303:$BX$303,1,MATCH(G$1,'DATA (Nominal)'!$B$1:$BX$1,0))*G160</f>
        <v>44147.652154948468</v>
      </c>
      <c r="H172" s="93">
        <f>INDEX('DATA (Nominal)'!$B$256:$BX$256,1,MATCH($B$1,'DATA (Nominal)'!$B$1:$BX$1,0))*INDEX('DATA (Nominal)'!$B$303:$BX$303,1,MATCH(H$1,'DATA (Nominal)'!$B$1:$BX$1,0))*H160</f>
        <v>45118.900502357341</v>
      </c>
      <c r="I172" s="93">
        <f>INDEX('DATA (Nominal)'!$B$256:$BX$256,1,MATCH($B$1,'DATA (Nominal)'!$B$1:$BX$1,0))*INDEX('DATA (Nominal)'!$B$303:$BX$303,1,MATCH(I$1,'DATA (Nominal)'!$B$1:$BX$1,0))*I160</f>
        <v>46111.5163134092</v>
      </c>
      <c r="J172" s="93">
        <f>INDEX('DATA (Nominal)'!$B$256:$BX$256,1,MATCH($B$1,'DATA (Nominal)'!$B$1:$BX$1,0))*INDEX('DATA (Nominal)'!$B$303:$BX$303,1,MATCH(J$1,'DATA (Nominal)'!$B$1:$BX$1,0))*J160</f>
        <v>47125.969672304207</v>
      </c>
      <c r="K172" s="93">
        <f>INDEX('DATA (Nominal)'!$B$256:$BX$256,1,MATCH($B$1,'DATA (Nominal)'!$B$1:$BX$1,0))*INDEX('DATA (Nominal)'!$B$303:$BX$303,1,MATCH(K$1,'DATA (Nominal)'!$B$1:$BX$1,0))*K160</f>
        <v>48162.741005094889</v>
      </c>
      <c r="L172" s="93">
        <f>INDEX('DATA (Nominal)'!$B$256:$BX$256,1,MATCH($B$1,'DATA (Nominal)'!$B$1:$BX$1,0))*INDEX('DATA (Nominal)'!$B$303:$BX$303,1,MATCH(L$1,'DATA (Nominal)'!$B$1:$BX$1,0))*L160</f>
        <v>49222.321307206985</v>
      </c>
      <c r="M172" s="93">
        <f>INDEX('DATA (Nominal)'!$B$256:$BX$256,1,MATCH($B$1,'DATA (Nominal)'!$B$1:$BX$1,0))*INDEX('DATA (Nominal)'!$B$303:$BX$303,1,MATCH(M$1,'DATA (Nominal)'!$B$1:$BX$1,0))*M160</f>
        <v>50305.212375965544</v>
      </c>
      <c r="N172" s="93">
        <f>INDEX('DATA (Nominal)'!$B$256:$BX$256,1,MATCH($B$1,'DATA (Nominal)'!$B$1:$BX$1,0))*INDEX('DATA (Nominal)'!$B$303:$BX$303,1,MATCH(N$1,'DATA (Nominal)'!$B$1:$BX$1,0))*N160</f>
        <v>51411.927048236779</v>
      </c>
      <c r="O172" s="93"/>
      <c r="P172" s="93"/>
      <c r="Q172" s="93"/>
      <c r="R172" s="93"/>
      <c r="S172" s="93"/>
      <c r="T172" s="93"/>
      <c r="U172" s="93"/>
      <c r="V172" s="93"/>
      <c r="W172" s="93"/>
      <c r="X172" s="161"/>
      <c r="Y172" s="261"/>
    </row>
    <row r="173" spans="2:25" hidden="1" outlineLevel="1">
      <c r="C173" s="258" t="s">
        <v>54</v>
      </c>
      <c r="D173" s="114"/>
      <c r="E173" s="114">
        <f t="shared" ref="E173:X173" si="92">E171*Federal_Tax_Rate-E172</f>
        <v>-124659.76024797584</v>
      </c>
      <c r="F173" s="114">
        <f t="shared" si="92"/>
        <v>-188616.5859561456</v>
      </c>
      <c r="G173" s="114">
        <f t="shared" si="92"/>
        <v>-120366.33936211359</v>
      </c>
      <c r="H173" s="114">
        <f t="shared" si="92"/>
        <v>-79399.475110131039</v>
      </c>
      <c r="I173" s="114">
        <f t="shared" si="92"/>
        <v>-79376.638941364741</v>
      </c>
      <c r="J173" s="114">
        <f t="shared" si="92"/>
        <v>-48644.392430946151</v>
      </c>
      <c r="K173" s="114">
        <f t="shared" si="92"/>
        <v>-18078.254575484803</v>
      </c>
      <c r="L173" s="114">
        <f t="shared" si="92"/>
        <v>-18220.258346355866</v>
      </c>
      <c r="M173" s="93">
        <f t="shared" si="92"/>
        <v>-18360.482711964083</v>
      </c>
      <c r="N173" s="93">
        <f t="shared" si="92"/>
        <v>-18496.508032739468</v>
      </c>
      <c r="O173" s="93">
        <f t="shared" si="92"/>
        <v>-42244.001103722825</v>
      </c>
      <c r="P173" s="93">
        <f t="shared" si="92"/>
        <v>-95607.447003305933</v>
      </c>
      <c r="Q173" s="93">
        <f t="shared" si="92"/>
        <v>-57232.069017223163</v>
      </c>
      <c r="R173" s="93">
        <f t="shared" si="92"/>
        <v>-29473.101469323487</v>
      </c>
      <c r="S173" s="93">
        <f t="shared" si="92"/>
        <v>-9283.0393665370739</v>
      </c>
      <c r="T173" s="93">
        <f t="shared" si="92"/>
        <v>-8077.7273347454247</v>
      </c>
      <c r="U173" s="93">
        <f t="shared" si="92"/>
        <v>-6821.2148086683428</v>
      </c>
      <c r="V173" s="93">
        <f t="shared" si="92"/>
        <v>18288.662045384121</v>
      </c>
      <c r="W173" s="93">
        <f t="shared" si="92"/>
        <v>43441.514438405058</v>
      </c>
      <c r="X173" s="161">
        <f t="shared" si="92"/>
        <v>44875.101186620283</v>
      </c>
      <c r="Y173" s="261"/>
    </row>
    <row r="174" spans="2:25" hidden="1" outlineLevel="1">
      <c r="C174" s="258"/>
      <c r="D174" s="114"/>
      <c r="E174" s="114"/>
      <c r="F174" s="114"/>
      <c r="G174" s="114"/>
      <c r="H174" s="114"/>
      <c r="I174" s="114"/>
      <c r="J174" s="114"/>
      <c r="K174" s="114"/>
      <c r="L174" s="114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161"/>
      <c r="Y174" s="261"/>
    </row>
    <row r="175" spans="2:25" hidden="1" outlineLevel="1">
      <c r="B175" s="37">
        <f>IRR(D175:Y175,0.1)</f>
        <v>7.500000547021779E-2</v>
      </c>
      <c r="C175" s="125" t="s">
        <v>55</v>
      </c>
      <c r="D175" s="255">
        <f>-(1+AFUDC!$C$15)*INDEX('DATA (Nominal)'!$B$64:$BX$64,1,MATCH($B$1,'DATA (Nominal)'!$B$1:$BX$1,0))*1000000*'Resource Options'!$E$15/1000</f>
        <v>-2986651.670206741</v>
      </c>
      <c r="E175" s="254">
        <f t="shared" ref="E175:X175" si="93">E170-E173</f>
        <v>325735.97930249735</v>
      </c>
      <c r="F175" s="114">
        <f t="shared" si="93"/>
        <v>391805.84730993165</v>
      </c>
      <c r="G175" s="114">
        <f t="shared" si="93"/>
        <v>325604.91231870081</v>
      </c>
      <c r="H175" s="114">
        <f t="shared" si="93"/>
        <v>286635.24584310938</v>
      </c>
      <c r="I175" s="114">
        <f t="shared" si="93"/>
        <v>288557.74464700499</v>
      </c>
      <c r="J175" s="114">
        <f t="shared" si="93"/>
        <v>259724.68471468662</v>
      </c>
      <c r="K175" s="114">
        <f t="shared" si="93"/>
        <v>230205.31491725464</v>
      </c>
      <c r="L175" s="114">
        <f t="shared" si="93"/>
        <v>231322.9962737021</v>
      </c>
      <c r="M175" s="93">
        <f t="shared" si="93"/>
        <v>232371.71983824126</v>
      </c>
      <c r="N175" s="93">
        <f t="shared" si="93"/>
        <v>233352.76409804233</v>
      </c>
      <c r="O175" s="93">
        <f t="shared" si="93"/>
        <v>257885.29213815223</v>
      </c>
      <c r="P175" s="93">
        <f t="shared" si="93"/>
        <v>311977.09494399984</v>
      </c>
      <c r="Q175" s="93">
        <f t="shared" si="93"/>
        <v>274276.52214804222</v>
      </c>
      <c r="R175" s="93">
        <f t="shared" si="93"/>
        <v>247141.76508745688</v>
      </c>
      <c r="S175" s="93">
        <f t="shared" si="93"/>
        <v>227528.11611370658</v>
      </c>
      <c r="T175" s="93">
        <f t="shared" si="93"/>
        <v>226854.0666622406</v>
      </c>
      <c r="U175" s="93">
        <f t="shared" si="93"/>
        <v>226086.17107524941</v>
      </c>
      <c r="V175" s="93">
        <f t="shared" si="93"/>
        <v>201424.63668447061</v>
      </c>
      <c r="W175" s="93">
        <f t="shared" si="93"/>
        <v>176682.09741612241</v>
      </c>
      <c r="X175" s="161">
        <f t="shared" si="93"/>
        <v>175622.92085568749</v>
      </c>
      <c r="Y175" s="261">
        <f>D175*-0.3</f>
        <v>895995.50106202229</v>
      </c>
    </row>
    <row r="176" spans="2:25" hidden="1" outlineLevel="1">
      <c r="B176" s="37">
        <f>IRR(D176:Y176,0.1)</f>
        <v>0.10952127585390192</v>
      </c>
      <c r="C176" s="125" t="s">
        <v>56</v>
      </c>
      <c r="D176" s="102">
        <f>-D192</f>
        <v>-495457.80802247243</v>
      </c>
      <c r="E176" s="254">
        <f t="shared" ref="E176:X176" si="94">E175-E178-E180-E188-E172</f>
        <v>46300.780801174667</v>
      </c>
      <c r="F176" s="114">
        <f t="shared" si="94"/>
        <v>47453.212943526058</v>
      </c>
      <c r="G176" s="114">
        <f t="shared" si="94"/>
        <v>48526.869915597643</v>
      </c>
      <c r="H176" s="114">
        <f t="shared" si="94"/>
        <v>49529.3655091275</v>
      </c>
      <c r="I176" s="114">
        <f t="shared" si="94"/>
        <v>50459.248501971248</v>
      </c>
      <c r="J176" s="114">
        <f t="shared" si="94"/>
        <v>51319.293023155515</v>
      </c>
      <c r="K176" s="114">
        <f t="shared" si="94"/>
        <v>51470.709705330482</v>
      </c>
      <c r="L176" s="114">
        <f t="shared" si="94"/>
        <v>51528.81075966583</v>
      </c>
      <c r="M176" s="93">
        <f t="shared" si="94"/>
        <v>51494.643255446448</v>
      </c>
      <c r="N176" s="93">
        <f t="shared" si="94"/>
        <v>51368.972842976298</v>
      </c>
      <c r="O176" s="93">
        <f t="shared" si="94"/>
        <v>51152.287148699266</v>
      </c>
      <c r="P176" s="93">
        <f t="shared" si="94"/>
        <v>50844.798302167474</v>
      </c>
      <c r="Q176" s="93">
        <f t="shared" si="94"/>
        <v>50446.44460574913</v>
      </c>
      <c r="R176" s="93">
        <f t="shared" si="94"/>
        <v>49956.891355296277</v>
      </c>
      <c r="S176" s="93">
        <f t="shared" si="94"/>
        <v>49375.530817354949</v>
      </c>
      <c r="T176" s="93">
        <f t="shared" si="94"/>
        <v>48701.481365888954</v>
      </c>
      <c r="U176" s="93">
        <f t="shared" si="94"/>
        <v>47933.585778897781</v>
      </c>
      <c r="V176" s="93">
        <f t="shared" si="94"/>
        <v>47070.408692727156</v>
      </c>
      <c r="W176" s="93">
        <f t="shared" si="94"/>
        <v>46110.233209293161</v>
      </c>
      <c r="X176" s="161">
        <f t="shared" si="94"/>
        <v>45051.056648858212</v>
      </c>
      <c r="Y176" s="261">
        <f>Y175</f>
        <v>895995.50106202229</v>
      </c>
    </row>
    <row r="177" spans="2:25" hidden="1" outlineLevel="1">
      <c r="B177" s="21"/>
      <c r="C177" s="125"/>
      <c r="D177" s="102"/>
      <c r="E177" s="114"/>
      <c r="F177" s="114"/>
      <c r="G177" s="114"/>
      <c r="H177" s="114"/>
      <c r="I177" s="114"/>
      <c r="J177" s="114"/>
      <c r="K177" s="114"/>
      <c r="L177" s="114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161"/>
      <c r="Y177" s="261"/>
    </row>
    <row r="178" spans="2:25" hidden="1" outlineLevel="1">
      <c r="B178" s="452"/>
      <c r="C178" s="258" t="s">
        <v>57</v>
      </c>
      <c r="D178" s="114"/>
      <c r="E178" s="114">
        <f t="shared" ref="E178:X178" si="95">D181*Debt_Rate</f>
        <v>85821.104547295079</v>
      </c>
      <c r="F178" s="114">
        <f t="shared" si="95"/>
        <v>83359.812766020696</v>
      </c>
      <c r="G178" s="114">
        <f t="shared" si="95"/>
        <v>80763.14993677623</v>
      </c>
      <c r="H178" s="114">
        <f t="shared" si="95"/>
        <v>78023.670651923327</v>
      </c>
      <c r="I178" s="114">
        <f t="shared" si="95"/>
        <v>75133.520006403502</v>
      </c>
      <c r="J178" s="114">
        <f t="shared" si="95"/>
        <v>72084.411075380078</v>
      </c>
      <c r="K178" s="114">
        <f t="shared" si="95"/>
        <v>68867.601153150375</v>
      </c>
      <c r="L178" s="114">
        <f t="shared" si="95"/>
        <v>65473.866685198031</v>
      </c>
      <c r="M178" s="93">
        <f t="shared" si="95"/>
        <v>61893.476821508317</v>
      </c>
      <c r="N178" s="93">
        <f t="shared" si="95"/>
        <v>58116.165515315668</v>
      </c>
      <c r="O178" s="93">
        <f t="shared" si="95"/>
        <v>54131.102087282423</v>
      </c>
      <c r="P178" s="93">
        <f t="shared" si="95"/>
        <v>49926.860170707347</v>
      </c>
      <c r="Q178" s="93">
        <f t="shared" si="95"/>
        <v>45491.384948720639</v>
      </c>
      <c r="R178" s="93">
        <f t="shared" si="95"/>
        <v>40811.958589524664</v>
      </c>
      <c r="S178" s="93">
        <f t="shared" si="95"/>
        <v>35875.163780572911</v>
      </c>
      <c r="T178" s="93">
        <f t="shared" si="95"/>
        <v>30666.845257128807</v>
      </c>
      <c r="U178" s="93">
        <f t="shared" si="95"/>
        <v>25172.069214895284</v>
      </c>
      <c r="V178" s="93">
        <f t="shared" si="95"/>
        <v>19375.080490338914</v>
      </c>
      <c r="W178" s="93">
        <f t="shared" si="95"/>
        <v>13259.257385931945</v>
      </c>
      <c r="X178" s="161">
        <f t="shared" si="95"/>
        <v>6807.064010782593</v>
      </c>
      <c r="Y178" s="261"/>
    </row>
    <row r="179" spans="2:25" hidden="1" outlineLevel="1">
      <c r="B179" s="452"/>
      <c r="C179" s="258" t="s">
        <v>58</v>
      </c>
      <c r="D179" s="114"/>
      <c r="E179" s="114">
        <f t="shared" ref="E179:X179" si="96">-PMT(Debt_Rate,20,$D191)</f>
        <v>130571.86420682927</v>
      </c>
      <c r="F179" s="114">
        <f t="shared" si="96"/>
        <v>130571.86420682927</v>
      </c>
      <c r="G179" s="114">
        <f t="shared" si="96"/>
        <v>130571.86420682927</v>
      </c>
      <c r="H179" s="114">
        <f t="shared" si="96"/>
        <v>130571.86420682927</v>
      </c>
      <c r="I179" s="114">
        <f t="shared" si="96"/>
        <v>130571.86420682927</v>
      </c>
      <c r="J179" s="114">
        <f t="shared" si="96"/>
        <v>130571.86420682927</v>
      </c>
      <c r="K179" s="114">
        <f t="shared" si="96"/>
        <v>130571.86420682927</v>
      </c>
      <c r="L179" s="114">
        <f t="shared" si="96"/>
        <v>130571.86420682927</v>
      </c>
      <c r="M179" s="93">
        <f t="shared" si="96"/>
        <v>130571.86420682927</v>
      </c>
      <c r="N179" s="93">
        <f t="shared" si="96"/>
        <v>130571.86420682927</v>
      </c>
      <c r="O179" s="93">
        <f t="shared" si="96"/>
        <v>130571.86420682927</v>
      </c>
      <c r="P179" s="93">
        <f t="shared" si="96"/>
        <v>130571.86420682927</v>
      </c>
      <c r="Q179" s="93">
        <f t="shared" si="96"/>
        <v>130571.86420682927</v>
      </c>
      <c r="R179" s="93">
        <f t="shared" si="96"/>
        <v>130571.86420682927</v>
      </c>
      <c r="S179" s="93">
        <f t="shared" si="96"/>
        <v>130571.86420682927</v>
      </c>
      <c r="T179" s="93">
        <f t="shared" si="96"/>
        <v>130571.86420682927</v>
      </c>
      <c r="U179" s="93">
        <f t="shared" si="96"/>
        <v>130571.86420682927</v>
      </c>
      <c r="V179" s="93">
        <f t="shared" si="96"/>
        <v>130571.86420682927</v>
      </c>
      <c r="W179" s="93">
        <f t="shared" si="96"/>
        <v>130571.86420682927</v>
      </c>
      <c r="X179" s="161">
        <f t="shared" si="96"/>
        <v>130571.86420682927</v>
      </c>
      <c r="Y179" s="261"/>
    </row>
    <row r="180" spans="2:25" hidden="1" outlineLevel="1">
      <c r="B180" s="452"/>
      <c r="C180" s="258" t="s">
        <v>59</v>
      </c>
      <c r="D180" s="114"/>
      <c r="E180" s="254">
        <f>E179-E178</f>
        <v>44750.759659534189</v>
      </c>
      <c r="F180" s="114">
        <f t="shared" ref="F180:X180" si="97">F179-F178</f>
        <v>47212.051440808573</v>
      </c>
      <c r="G180" s="114">
        <f t="shared" si="97"/>
        <v>49808.714270053038</v>
      </c>
      <c r="H180" s="114">
        <f t="shared" si="97"/>
        <v>52548.193554905942</v>
      </c>
      <c r="I180" s="114">
        <f t="shared" si="97"/>
        <v>55438.344200425767</v>
      </c>
      <c r="J180" s="114">
        <f t="shared" si="97"/>
        <v>58487.453131449191</v>
      </c>
      <c r="K180" s="114">
        <f t="shared" si="97"/>
        <v>61704.263053678893</v>
      </c>
      <c r="L180" s="114">
        <f t="shared" si="97"/>
        <v>65097.997521631238</v>
      </c>
      <c r="M180" s="93">
        <f t="shared" si="97"/>
        <v>68678.387385320952</v>
      </c>
      <c r="N180" s="93">
        <f t="shared" si="97"/>
        <v>72455.698691513593</v>
      </c>
      <c r="O180" s="93">
        <f t="shared" si="97"/>
        <v>76440.762119546853</v>
      </c>
      <c r="P180" s="93">
        <f t="shared" si="97"/>
        <v>80645.004036121914</v>
      </c>
      <c r="Q180" s="93">
        <f t="shared" si="97"/>
        <v>85080.479258108622</v>
      </c>
      <c r="R180" s="93">
        <f t="shared" si="97"/>
        <v>89759.905617304612</v>
      </c>
      <c r="S180" s="93">
        <f t="shared" si="97"/>
        <v>94696.700426256357</v>
      </c>
      <c r="T180" s="93">
        <f t="shared" si="97"/>
        <v>99905.018949700461</v>
      </c>
      <c r="U180" s="93">
        <f t="shared" si="97"/>
        <v>105399.79499193399</v>
      </c>
      <c r="V180" s="93">
        <f t="shared" si="97"/>
        <v>111196.78371649035</v>
      </c>
      <c r="W180" s="93">
        <f t="shared" si="97"/>
        <v>117312.60682089732</v>
      </c>
      <c r="X180" s="161">
        <f t="shared" si="97"/>
        <v>123764.80019604668</v>
      </c>
      <c r="Y180" s="261"/>
    </row>
    <row r="181" spans="2:25" hidden="1" outlineLevel="1">
      <c r="B181" s="452"/>
      <c r="C181" s="258" t="s">
        <v>60</v>
      </c>
      <c r="D181" s="114">
        <f>D191</f>
        <v>1560383.7190417286</v>
      </c>
      <c r="E181" s="114">
        <f>D181-E180</f>
        <v>1515632.9593821946</v>
      </c>
      <c r="F181" s="114">
        <f>E181-F180</f>
        <v>1468420.9079413861</v>
      </c>
      <c r="G181" s="114">
        <f t="shared" ref="G181:X181" si="98">F181-G180</f>
        <v>1418612.1936713331</v>
      </c>
      <c r="H181" s="114">
        <f t="shared" si="98"/>
        <v>1366064.0001164272</v>
      </c>
      <c r="I181" s="114">
        <f t="shared" si="98"/>
        <v>1310625.6559160014</v>
      </c>
      <c r="J181" s="114">
        <f t="shared" si="98"/>
        <v>1252138.2027845522</v>
      </c>
      <c r="K181" s="114">
        <f t="shared" si="98"/>
        <v>1190433.9397308733</v>
      </c>
      <c r="L181" s="114">
        <f t="shared" si="98"/>
        <v>1125335.9422092421</v>
      </c>
      <c r="M181" s="93">
        <f t="shared" si="98"/>
        <v>1056657.5548239213</v>
      </c>
      <c r="N181" s="93">
        <f t="shared" si="98"/>
        <v>984201.85613240767</v>
      </c>
      <c r="O181" s="93">
        <f t="shared" si="98"/>
        <v>907761.09401286079</v>
      </c>
      <c r="P181" s="93">
        <f t="shared" si="98"/>
        <v>827116.08997673891</v>
      </c>
      <c r="Q181" s="93">
        <f t="shared" si="98"/>
        <v>742035.61071863025</v>
      </c>
      <c r="R181" s="93">
        <f t="shared" si="98"/>
        <v>652275.70510132564</v>
      </c>
      <c r="S181" s="93">
        <f t="shared" si="98"/>
        <v>557579.00467506924</v>
      </c>
      <c r="T181" s="93">
        <f t="shared" si="98"/>
        <v>457673.98572536878</v>
      </c>
      <c r="U181" s="93">
        <f t="shared" si="98"/>
        <v>352274.19073343481</v>
      </c>
      <c r="V181" s="93">
        <f t="shared" si="98"/>
        <v>241077.40701694446</v>
      </c>
      <c r="W181" s="93">
        <f t="shared" si="98"/>
        <v>123764.80019604714</v>
      </c>
      <c r="X181" s="161">
        <f t="shared" si="98"/>
        <v>4.6566128730773926E-10</v>
      </c>
      <c r="Y181" s="261"/>
    </row>
    <row r="182" spans="2:25" hidden="1" outlineLevel="1">
      <c r="B182" s="452"/>
      <c r="C182" s="125"/>
      <c r="D182" s="114"/>
      <c r="E182" s="114"/>
      <c r="F182" s="114"/>
      <c r="G182" s="114"/>
      <c r="H182" s="114"/>
      <c r="I182" s="114"/>
      <c r="J182" s="114"/>
      <c r="K182" s="114"/>
      <c r="L182" s="114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161"/>
      <c r="Y182" s="261"/>
    </row>
    <row r="183" spans="2:25" hidden="1" outlineLevel="1">
      <c r="B183" s="452"/>
      <c r="C183" s="258" t="s">
        <v>61</v>
      </c>
      <c r="D183" s="114"/>
      <c r="E183" s="114">
        <f t="shared" ref="E183:X183" si="99">-$D175/20</f>
        <v>149332.58351033705</v>
      </c>
      <c r="F183" s="114">
        <f t="shared" si="99"/>
        <v>149332.58351033705</v>
      </c>
      <c r="G183" s="114">
        <f t="shared" si="99"/>
        <v>149332.58351033705</v>
      </c>
      <c r="H183" s="114">
        <f t="shared" si="99"/>
        <v>149332.58351033705</v>
      </c>
      <c r="I183" s="114">
        <f t="shared" si="99"/>
        <v>149332.58351033705</v>
      </c>
      <c r="J183" s="114">
        <f t="shared" si="99"/>
        <v>149332.58351033705</v>
      </c>
      <c r="K183" s="114">
        <f t="shared" si="99"/>
        <v>149332.58351033705</v>
      </c>
      <c r="L183" s="114">
        <f t="shared" si="99"/>
        <v>149332.58351033705</v>
      </c>
      <c r="M183" s="93">
        <f t="shared" si="99"/>
        <v>149332.58351033705</v>
      </c>
      <c r="N183" s="93">
        <f t="shared" si="99"/>
        <v>149332.58351033705</v>
      </c>
      <c r="O183" s="93">
        <f t="shared" si="99"/>
        <v>149332.58351033705</v>
      </c>
      <c r="P183" s="93">
        <f t="shared" si="99"/>
        <v>149332.58351033705</v>
      </c>
      <c r="Q183" s="93">
        <f t="shared" si="99"/>
        <v>149332.58351033705</v>
      </c>
      <c r="R183" s="93">
        <f t="shared" si="99"/>
        <v>149332.58351033705</v>
      </c>
      <c r="S183" s="93">
        <f t="shared" si="99"/>
        <v>149332.58351033705</v>
      </c>
      <c r="T183" s="93">
        <f t="shared" si="99"/>
        <v>149332.58351033705</v>
      </c>
      <c r="U183" s="93">
        <f t="shared" si="99"/>
        <v>149332.58351033705</v>
      </c>
      <c r="V183" s="93">
        <f t="shared" si="99"/>
        <v>149332.58351033705</v>
      </c>
      <c r="W183" s="93">
        <f t="shared" si="99"/>
        <v>149332.58351033705</v>
      </c>
      <c r="X183" s="161">
        <f t="shared" si="99"/>
        <v>149332.58351033705</v>
      </c>
      <c r="Y183" s="261"/>
    </row>
    <row r="184" spans="2:25" hidden="1" outlineLevel="1">
      <c r="B184" s="452"/>
      <c r="C184" s="125" t="s">
        <v>62</v>
      </c>
      <c r="D184" s="114"/>
      <c r="E184" s="114">
        <f>SUM($E183:E183)</f>
        <v>149332.58351033705</v>
      </c>
      <c r="F184" s="114">
        <f>SUM($E183:F183)</f>
        <v>298665.1670206741</v>
      </c>
      <c r="G184" s="114">
        <f>SUM($E183:G183)</f>
        <v>447997.75053101114</v>
      </c>
      <c r="H184" s="114">
        <f>SUM($E183:H183)</f>
        <v>597330.33404134819</v>
      </c>
      <c r="I184" s="114">
        <f>SUM($E183:I183)</f>
        <v>746662.91755168524</v>
      </c>
      <c r="J184" s="114">
        <f>SUM($E183:J183)</f>
        <v>895995.50106202229</v>
      </c>
      <c r="K184" s="114">
        <f>SUM($E183:K183)</f>
        <v>1045328.0845723593</v>
      </c>
      <c r="L184" s="114">
        <f>SUM($E183:L183)</f>
        <v>1194660.6680826964</v>
      </c>
      <c r="M184" s="93">
        <f>SUM($E183:M183)</f>
        <v>1343993.2515930333</v>
      </c>
      <c r="N184" s="93">
        <f>SUM($E183:N183)</f>
        <v>1493325.8351033702</v>
      </c>
      <c r="O184" s="93">
        <f>SUM($E183:O183)</f>
        <v>1642658.4186137072</v>
      </c>
      <c r="P184" s="93">
        <f>SUM($E183:P183)</f>
        <v>1791991.0021240441</v>
      </c>
      <c r="Q184" s="93">
        <f>SUM($E183:Q183)</f>
        <v>1941323.585634381</v>
      </c>
      <c r="R184" s="93">
        <f>SUM($E183:R183)</f>
        <v>2090656.169144718</v>
      </c>
      <c r="S184" s="93">
        <f>SUM($E183:S183)</f>
        <v>2239988.7526550549</v>
      </c>
      <c r="T184" s="93">
        <f>SUM($E183:T183)</f>
        <v>2389321.3361653918</v>
      </c>
      <c r="U184" s="93">
        <f>SUM($E183:U183)</f>
        <v>2538653.9196757288</v>
      </c>
      <c r="V184" s="93">
        <f>SUM($E183:V183)</f>
        <v>2687986.5031860657</v>
      </c>
      <c r="W184" s="93">
        <f>SUM($E183:W183)</f>
        <v>2837319.0866964026</v>
      </c>
      <c r="X184" s="161">
        <f>SUM($E183:X183)</f>
        <v>2986651.6702067396</v>
      </c>
      <c r="Y184" s="261"/>
    </row>
    <row r="185" spans="2:25" hidden="1" outlineLevel="1">
      <c r="B185" s="452"/>
      <c r="C185" s="125" t="s">
        <v>63</v>
      </c>
      <c r="D185" s="114"/>
      <c r="E185" s="114">
        <f t="shared" ref="E185:G185" si="100">-$D175-E184</f>
        <v>2837319.086696404</v>
      </c>
      <c r="F185" s="114">
        <f t="shared" si="100"/>
        <v>2687986.5031860666</v>
      </c>
      <c r="G185" s="114">
        <f t="shared" si="100"/>
        <v>2538653.9196757297</v>
      </c>
      <c r="H185" s="254">
        <f>-$D175-H184</f>
        <v>2389321.3361653928</v>
      </c>
      <c r="I185" s="114">
        <f t="shared" ref="I185:X185" si="101">-$D175-I184</f>
        <v>2239988.7526550558</v>
      </c>
      <c r="J185" s="114">
        <f t="shared" si="101"/>
        <v>2090656.1691447187</v>
      </c>
      <c r="K185" s="114">
        <f t="shared" si="101"/>
        <v>1941323.5856343815</v>
      </c>
      <c r="L185" s="114">
        <f t="shared" si="101"/>
        <v>1791991.0021240446</v>
      </c>
      <c r="M185" s="93">
        <f t="shared" si="101"/>
        <v>1642658.4186137076</v>
      </c>
      <c r="N185" s="93">
        <f t="shared" si="101"/>
        <v>1493325.8351033707</v>
      </c>
      <c r="O185" s="93">
        <f t="shared" si="101"/>
        <v>1343993.2515930338</v>
      </c>
      <c r="P185" s="93">
        <f t="shared" si="101"/>
        <v>1194660.6680826969</v>
      </c>
      <c r="Q185" s="93">
        <f t="shared" si="101"/>
        <v>1045328.0845723599</v>
      </c>
      <c r="R185" s="93">
        <f t="shared" si="101"/>
        <v>895995.50106202299</v>
      </c>
      <c r="S185" s="93">
        <f t="shared" si="101"/>
        <v>746662.91755168606</v>
      </c>
      <c r="T185" s="93">
        <f t="shared" si="101"/>
        <v>597330.33404134912</v>
      </c>
      <c r="U185" s="93">
        <f t="shared" si="101"/>
        <v>447997.75053101219</v>
      </c>
      <c r="V185" s="93">
        <f t="shared" si="101"/>
        <v>298665.16702067526</v>
      </c>
      <c r="W185" s="93">
        <f t="shared" si="101"/>
        <v>149332.58351033833</v>
      </c>
      <c r="X185" s="161">
        <f t="shared" si="101"/>
        <v>0</v>
      </c>
      <c r="Y185" s="261"/>
    </row>
    <row r="186" spans="2:25" hidden="1" outlineLevel="1">
      <c r="B186" s="452"/>
      <c r="C186" s="125" t="s">
        <v>64</v>
      </c>
      <c r="D186" s="114">
        <f>-D175</f>
        <v>2986651.670206741</v>
      </c>
      <c r="E186" s="114">
        <f>D186/(($D186/$Y186)^(1/21))</f>
        <v>2820236.8727986175</v>
      </c>
      <c r="F186" s="114">
        <f t="shared" ref="F186:J186" si="102">E186/(($D186/$Y186)^(1/21))</f>
        <v>2663094.6280194619</v>
      </c>
      <c r="G186" s="114">
        <f t="shared" si="102"/>
        <v>2514708.2736878088</v>
      </c>
      <c r="H186" s="114">
        <f t="shared" si="102"/>
        <v>2374589.9357909355</v>
      </c>
      <c r="I186" s="114">
        <f t="shared" si="102"/>
        <v>2242278.9244219186</v>
      </c>
      <c r="J186" s="254">
        <f t="shared" si="102"/>
        <v>2117340.2190943072</v>
      </c>
      <c r="K186" s="254">
        <f>J186/(($D186/$Y186)^(1/21))</f>
        <v>1999363.0384543363</v>
      </c>
      <c r="L186" s="114">
        <f t="shared" ref="L186:V186" si="103">K186/(($D186/$Y186)^(1/21))</f>
        <v>1887959.4896880898</v>
      </c>
      <c r="M186" s="93">
        <f t="shared" si="103"/>
        <v>1782763.2931830452</v>
      </c>
      <c r="N186" s="93">
        <f t="shared" si="103"/>
        <v>1683428.5782508687</v>
      </c>
      <c r="O186" s="93">
        <f t="shared" si="103"/>
        <v>1589628.7459519547</v>
      </c>
      <c r="P186" s="93">
        <f t="shared" si="103"/>
        <v>1501055.3952828383</v>
      </c>
      <c r="Q186" s="93">
        <f t="shared" si="103"/>
        <v>1417417.3091959285</v>
      </c>
      <c r="R186" s="93">
        <f t="shared" si="103"/>
        <v>1338439.4971177359</v>
      </c>
      <c r="S186" s="93">
        <f t="shared" si="103"/>
        <v>1263862.2908175245</v>
      </c>
      <c r="T186" s="93">
        <f t="shared" si="103"/>
        <v>1193440.4906537291</v>
      </c>
      <c r="U186" s="93">
        <f t="shared" si="103"/>
        <v>1126942.5593911109</v>
      </c>
      <c r="V186" s="93">
        <f t="shared" si="103"/>
        <v>1064149.8609380361</v>
      </c>
      <c r="W186" s="93">
        <f>V186/(($D186/$Y186)^(1/21))</f>
        <v>1004855.941500947</v>
      </c>
      <c r="X186" s="161">
        <f t="shared" ref="X186" si="104">W186/(($D186/$Y186)^(1/21))</f>
        <v>948865.85079256049</v>
      </c>
      <c r="Y186" s="261">
        <f>Y175</f>
        <v>895995.50106202229</v>
      </c>
    </row>
    <row r="187" spans="2:25" hidden="1" outlineLevel="1">
      <c r="B187" s="452"/>
      <c r="C187" s="258" t="s">
        <v>65</v>
      </c>
      <c r="D187" s="114"/>
      <c r="E187" s="114">
        <f>-$D175*Assumptions!J$15*INDEX('DATA (Nominal)'!$B$345:$BX$345,1,MATCH($B$1,'DATA (Nominal)'!$B$1:$BX$1,0))</f>
        <v>507730.78393514594</v>
      </c>
      <c r="F187" s="114">
        <f>-$D175*Assumptions!K$15*INDEX('DATA (Nominal)'!$B$345:$BX$345,1,MATCH($B$1,'DATA (Nominal)'!$B$1:$BX$1,0))</f>
        <v>812369.25429623353</v>
      </c>
      <c r="G187" s="114">
        <f>-$D175*Assumptions!L$15*INDEX('DATA (Nominal)'!$B$345:$BX$345,1,MATCH($B$1,'DATA (Nominal)'!$B$1:$BX$1,0))</f>
        <v>487421.55257774011</v>
      </c>
      <c r="H187" s="114">
        <f>-$D175*Assumptions!M$15*INDEX('DATA (Nominal)'!$B$345:$BX$345,1,MATCH($B$1,'DATA (Nominal)'!$B$1:$BX$1,0))</f>
        <v>292452.93154664407</v>
      </c>
      <c r="I187" s="114">
        <f>-$D175*Assumptions!N$15*INDEX('DATA (Nominal)'!$B$345:$BX$345,1,MATCH($B$1,'DATA (Nominal)'!$B$1:$BX$1,0))</f>
        <v>292452.93154664407</v>
      </c>
      <c r="J187" s="114">
        <f>-$D175*Assumptions!O$15*INDEX('DATA (Nominal)'!$B$345:$BX$345,1,MATCH($B$1,'DATA (Nominal)'!$B$1:$BX$1,0))</f>
        <v>146226.46577332204</v>
      </c>
      <c r="K187" s="114">
        <f>-$D175*Assumptions!P$15*INDEX('DATA (Nominal)'!$B$345:$BX$345,1,MATCH($B$1,'DATA (Nominal)'!$B$1:$BX$1,0))</f>
        <v>0</v>
      </c>
      <c r="L187" s="114">
        <f>-$D175*Assumptions!Q$15*INDEX('DATA (Nominal)'!$B$345:$BX$345,1,MATCH($B$1,'DATA (Nominal)'!$B$1:$BX$1,0))</f>
        <v>0</v>
      </c>
      <c r="M187" s="93">
        <f>-$D175*Assumptions!R$15*INDEX('DATA (Nominal)'!$B$345:$BX$345,1,MATCH($B$1,'DATA (Nominal)'!$B$1:$BX$1,0))</f>
        <v>0</v>
      </c>
      <c r="N187" s="93">
        <f>-$D175*Assumptions!S$15*INDEX('DATA (Nominal)'!$B$345:$BX$345,1,MATCH($B$1,'DATA (Nominal)'!$B$1:$BX$1,0))</f>
        <v>0</v>
      </c>
      <c r="O187" s="93">
        <f>-$D175*Assumptions!T$14*INDEX('DATA (Nominal)'!$B$345:$BX$345,1,MATCH($B$1,'DATA (Nominal)'!$B$1:$BX$1,0))</f>
        <v>362672.09896487469</v>
      </c>
      <c r="P187" s="93">
        <f>-$D175*Assumptions!U$14*INDEX('DATA (Nominal)'!$B$345:$BX$345,1,MATCH($B$1,'DATA (Nominal)'!$B$1:$BX$1,0))</f>
        <v>621716.34492858627</v>
      </c>
      <c r="Q187" s="93">
        <f>-$D175*Assumptions!V$14*INDEX('DATA (Nominal)'!$B$345:$BX$345,1,MATCH($B$1,'DATA (Nominal)'!$B$1:$BX$1,0))</f>
        <v>444086.73016887542</v>
      </c>
      <c r="R187" s="93">
        <f>-$D175*Assumptions!W$14*INDEX('DATA (Nominal)'!$B$345:$BX$345,1,MATCH($B$1,'DATA (Nominal)'!$B$1:$BX$1,0))</f>
        <v>317204.80726348248</v>
      </c>
      <c r="S187" s="93">
        <f>-$D175*Assumptions!X$14*INDEX('DATA (Nominal)'!$B$345:$BX$345,1,MATCH($B$1,'DATA (Nominal)'!$B$1:$BX$1,0))</f>
        <v>226574.86233105886</v>
      </c>
      <c r="T187" s="93">
        <f>-$D175*Assumptions!Y$14*INDEX('DATA (Nominal)'!$B$345:$BX$345,1,MATCH($B$1,'DATA (Nominal)'!$B$1:$BX$1,0))</f>
        <v>226574.86233105886</v>
      </c>
      <c r="U187" s="93">
        <f>-$D175*Assumptions!Z$14*INDEX('DATA (Nominal)'!$B$345:$BX$345,1,MATCH($B$1,'DATA (Nominal)'!$B$1:$BX$1,0))</f>
        <v>226574.86233105886</v>
      </c>
      <c r="V187" s="93">
        <f>-$D175*Assumptions!AA$14*INDEX('DATA (Nominal)'!$B$345:$BX$345,1,MATCH($B$1,'DATA (Nominal)'!$B$1:$BX$1,0))</f>
        <v>113249.35135673429</v>
      </c>
      <c r="W187" s="93">
        <f>-$D175*Assumptions!AB$15*INDEX('DATA (Nominal)'!$B$345:$BX$345,1,MATCH($B$1,'DATA (Nominal)'!$B$1:$BX$1,0))</f>
        <v>0</v>
      </c>
      <c r="X187" s="455">
        <f>-$D175*Assumptions!AC$15*INDEX('DATA (Nominal)'!$B$345:$BX$345,1,MATCH($B$1,'DATA (Nominal)'!$B$1:$BX$1,0))</f>
        <v>0</v>
      </c>
      <c r="Y187" s="261"/>
    </row>
    <row r="188" spans="2:25" ht="15.75" hidden="1" outlineLevel="1" thickBot="1">
      <c r="B188" s="452"/>
      <c r="C188" s="127" t="s">
        <v>66</v>
      </c>
      <c r="D188" s="103"/>
      <c r="E188" s="103">
        <f t="shared" ref="E188:X188" si="105">E187*Federal_Tax_Rate</f>
        <v>106623.46462638065</v>
      </c>
      <c r="F188" s="103">
        <f t="shared" si="105"/>
        <v>170597.54340220903</v>
      </c>
      <c r="G188" s="103">
        <f t="shared" si="105"/>
        <v>102358.52604132541</v>
      </c>
      <c r="H188" s="103">
        <f t="shared" si="105"/>
        <v>61415.115624795253</v>
      </c>
      <c r="I188" s="103">
        <f t="shared" si="105"/>
        <v>61415.115624795253</v>
      </c>
      <c r="J188" s="103">
        <f t="shared" si="105"/>
        <v>30707.557812397627</v>
      </c>
      <c r="K188" s="103">
        <f t="shared" si="105"/>
        <v>0</v>
      </c>
      <c r="L188" s="103">
        <f t="shared" si="105"/>
        <v>0</v>
      </c>
      <c r="M188" s="456">
        <f t="shared" si="105"/>
        <v>0</v>
      </c>
      <c r="N188" s="456">
        <f t="shared" si="105"/>
        <v>0</v>
      </c>
      <c r="O188" s="456">
        <f t="shared" si="105"/>
        <v>76161.140782623683</v>
      </c>
      <c r="P188" s="456">
        <f t="shared" si="105"/>
        <v>130560.43243500311</v>
      </c>
      <c r="Q188" s="456">
        <f t="shared" si="105"/>
        <v>93258.213335463835</v>
      </c>
      <c r="R188" s="456">
        <f t="shared" si="105"/>
        <v>66613.009525331319</v>
      </c>
      <c r="S188" s="456">
        <f t="shared" si="105"/>
        <v>47580.721089522362</v>
      </c>
      <c r="T188" s="456">
        <f t="shared" si="105"/>
        <v>47580.721089522362</v>
      </c>
      <c r="U188" s="456">
        <f t="shared" si="105"/>
        <v>47580.721089522362</v>
      </c>
      <c r="V188" s="456">
        <f t="shared" si="105"/>
        <v>23782.3637849142</v>
      </c>
      <c r="W188" s="456">
        <f t="shared" si="105"/>
        <v>0</v>
      </c>
      <c r="X188" s="457">
        <f t="shared" si="105"/>
        <v>0</v>
      </c>
      <c r="Y188" s="261"/>
    </row>
    <row r="189" spans="2:25" hidden="1" outlineLevel="1">
      <c r="B189" s="452"/>
      <c r="C189" s="128" t="s">
        <v>67</v>
      </c>
      <c r="D189" s="104">
        <f>NPV(Tax_Equity_Rate,E188:X188)</f>
        <v>621712.26390378829</v>
      </c>
      <c r="E189" s="105">
        <f>D189/D193</f>
        <v>0.20816363357858614</v>
      </c>
      <c r="F189" s="254"/>
      <c r="G189" s="254"/>
      <c r="H189" s="254"/>
      <c r="I189" s="254"/>
      <c r="J189" s="254"/>
      <c r="K189" s="254"/>
      <c r="L189" s="254"/>
      <c r="M189" s="261"/>
      <c r="N189" s="261"/>
      <c r="O189" s="261"/>
      <c r="P189" s="261"/>
      <c r="Q189" s="261"/>
      <c r="R189" s="261"/>
      <c r="S189" s="261"/>
      <c r="T189" s="261"/>
      <c r="U189" s="261"/>
      <c r="V189" s="261"/>
      <c r="W189" s="261"/>
      <c r="X189" s="261"/>
      <c r="Y189" s="261"/>
    </row>
    <row r="190" spans="2:25" hidden="1" outlineLevel="1">
      <c r="B190" s="452"/>
      <c r="C190" s="125" t="s">
        <v>79</v>
      </c>
      <c r="D190" s="106">
        <f>NPV(Tax_Equity_Rate,E172:X172)</f>
        <v>309097.87923875183</v>
      </c>
      <c r="E190" s="107">
        <f>D190/D193</f>
        <v>0.10349311314812804</v>
      </c>
    </row>
    <row r="191" spans="2:25" hidden="1" outlineLevel="1">
      <c r="B191" s="22">
        <f>Assumptions!F15</f>
        <v>0.75900000000000001</v>
      </c>
      <c r="C191" s="125" t="s">
        <v>68</v>
      </c>
      <c r="D191" s="106">
        <f>(D193-D189-D190)*$B191</f>
        <v>1560383.7190417286</v>
      </c>
      <c r="E191" s="107">
        <f>D191/D193</f>
        <v>0.52245252923442398</v>
      </c>
    </row>
    <row r="192" spans="2:25" hidden="1" outlineLevel="1">
      <c r="B192" s="22">
        <f>1-B191</f>
        <v>0.24099999999999999</v>
      </c>
      <c r="C192" s="125" t="s">
        <v>69</v>
      </c>
      <c r="D192" s="106">
        <f>(D193-D189-D190)*$B192</f>
        <v>495457.80802247243</v>
      </c>
      <c r="E192" s="107">
        <f>D192/D193</f>
        <v>0.1658907240388619</v>
      </c>
    </row>
    <row r="193" spans="1:25" hidden="1" outlineLevel="1">
      <c r="C193" s="125" t="s">
        <v>70</v>
      </c>
      <c r="D193" s="106">
        <f>-D175</f>
        <v>2986651.670206741</v>
      </c>
      <c r="E193" s="108"/>
    </row>
    <row r="194" spans="1:25" ht="15.75" hidden="1" outlineLevel="1" thickBot="1">
      <c r="C194" s="127" t="s">
        <v>71</v>
      </c>
      <c r="D194" s="109">
        <f>SUM(D189:D192)-D193</f>
        <v>0</v>
      </c>
      <c r="E194" s="110"/>
    </row>
    <row r="195" spans="1:25" hidden="1" outlineLevel="1"/>
    <row r="196" spans="1:25" ht="15.75" collapsed="1" thickBot="1"/>
    <row r="197" spans="1:25" ht="18.75" thickBot="1">
      <c r="A197" s="86"/>
      <c r="B197" s="82"/>
      <c r="C197" s="484" t="s">
        <v>134</v>
      </c>
      <c r="D197" s="485"/>
      <c r="E197" s="485"/>
      <c r="F197" s="485"/>
      <c r="G197" s="485"/>
      <c r="H197" s="486"/>
      <c r="Y197" s="261"/>
    </row>
    <row r="198" spans="1:25" hidden="1" outlineLevel="1">
      <c r="C198" s="124" t="s">
        <v>44</v>
      </c>
      <c r="D198" s="153"/>
      <c r="E198" s="153">
        <f>'Resource Options'!$E$16*INDEX('DATA (Nominal)'!$B$16:$BX$16,1,MATCH($B$1,'DATA (Nominal)'!$B$1:$BX$1,0))*8760</f>
        <v>1504.8640932333544</v>
      </c>
      <c r="F198" s="153">
        <f>'Resource Options'!$E$16*INDEX('DATA (Nominal)'!$B$16:$BX$16,1,MATCH($B$1,'DATA (Nominal)'!$B$1:$BX$1,0))*8760</f>
        <v>1504.8640932333544</v>
      </c>
      <c r="G198" s="153">
        <f>'Resource Options'!$E$16*INDEX('DATA (Nominal)'!$B$16:$BX$16,1,MATCH($B$1,'DATA (Nominal)'!$B$1:$BX$1,0))*8760</f>
        <v>1504.8640932333544</v>
      </c>
      <c r="H198" s="153">
        <f>'Resource Options'!$E$16*INDEX('DATA (Nominal)'!$B$16:$BX$16,1,MATCH($B$1,'DATA (Nominal)'!$B$1:$BX$1,0))*8760</f>
        <v>1504.8640932333544</v>
      </c>
      <c r="I198" s="153">
        <f>'Resource Options'!$E$16*INDEX('DATA (Nominal)'!$B$16:$BX$16,1,MATCH($B$1,'DATA (Nominal)'!$B$1:$BX$1,0))*8760</f>
        <v>1504.8640932333544</v>
      </c>
      <c r="J198" s="153">
        <f>'Resource Options'!$E$16*INDEX('DATA (Nominal)'!$B$16:$BX$16,1,MATCH($B$1,'DATA (Nominal)'!$B$1:$BX$1,0))*8760</f>
        <v>1504.8640932333544</v>
      </c>
      <c r="K198" s="153">
        <f>'Resource Options'!$E$16*INDEX('DATA (Nominal)'!$B$16:$BX$16,1,MATCH($B$1,'DATA (Nominal)'!$B$1:$BX$1,0))*8760</f>
        <v>1504.8640932333544</v>
      </c>
      <c r="L198" s="153">
        <f>'Resource Options'!$E$16*INDEX('DATA (Nominal)'!$B$16:$BX$16,1,MATCH($B$1,'DATA (Nominal)'!$B$1:$BX$1,0))*8760</f>
        <v>1504.8640932333544</v>
      </c>
      <c r="M198" s="153">
        <f>'Resource Options'!$E$16*INDEX('DATA (Nominal)'!$B$16:$BX$16,1,MATCH($B$1,'DATA (Nominal)'!$B$1:$BX$1,0))*8760</f>
        <v>1504.8640932333544</v>
      </c>
      <c r="N198" s="153">
        <f>'Resource Options'!$E$16*INDEX('DATA (Nominal)'!$B$16:$BX$16,1,MATCH($B$1,'DATA (Nominal)'!$B$1:$BX$1,0))*8760</f>
        <v>1504.8640932333544</v>
      </c>
      <c r="O198" s="153">
        <f>'Resource Options'!$E$16*INDEX('DATA (Nominal)'!$B$16:$BX$16,1,MATCH($B$1,'DATA (Nominal)'!$B$1:$BX$1,0))*8760</f>
        <v>1504.8640932333544</v>
      </c>
      <c r="P198" s="153">
        <f>'Resource Options'!$E$16*INDEX('DATA (Nominal)'!$B$16:$BX$16,1,MATCH($B$1,'DATA (Nominal)'!$B$1:$BX$1,0))*8760</f>
        <v>1504.8640932333544</v>
      </c>
      <c r="Q198" s="153">
        <f>'Resource Options'!$E$16*INDEX('DATA (Nominal)'!$B$16:$BX$16,1,MATCH($B$1,'DATA (Nominal)'!$B$1:$BX$1,0))*8760</f>
        <v>1504.8640932333544</v>
      </c>
      <c r="R198" s="153">
        <f>'Resource Options'!$E$16*INDEX('DATA (Nominal)'!$B$16:$BX$16,1,MATCH($B$1,'DATA (Nominal)'!$B$1:$BX$1,0))*8760</f>
        <v>1504.8640932333544</v>
      </c>
      <c r="S198" s="153">
        <f>'Resource Options'!$E$16*INDEX('DATA (Nominal)'!$B$16:$BX$16,1,MATCH($B$1,'DATA (Nominal)'!$B$1:$BX$1,0))*8760</f>
        <v>1504.8640932333544</v>
      </c>
      <c r="T198" s="153">
        <f>'Resource Options'!$E$16*INDEX('DATA (Nominal)'!$B$16:$BX$16,1,MATCH($B$1,'DATA (Nominal)'!$B$1:$BX$1,0))*8760</f>
        <v>1504.8640932333544</v>
      </c>
      <c r="U198" s="153">
        <f>'Resource Options'!$E$16*INDEX('DATA (Nominal)'!$B$16:$BX$16,1,MATCH($B$1,'DATA (Nominal)'!$B$1:$BX$1,0))*8760</f>
        <v>1504.8640932333544</v>
      </c>
      <c r="V198" s="153">
        <f>'Resource Options'!$E$16*INDEX('DATA (Nominal)'!$B$16:$BX$16,1,MATCH($B$1,'DATA (Nominal)'!$B$1:$BX$1,0))*8760</f>
        <v>1504.8640932333544</v>
      </c>
      <c r="W198" s="153">
        <f>'Resource Options'!$E$16*INDEX('DATA (Nominal)'!$B$16:$BX$16,1,MATCH($B$1,'DATA (Nominal)'!$B$1:$BX$1,0))*8760</f>
        <v>1504.8640932333544</v>
      </c>
      <c r="X198" s="159">
        <f>'Resource Options'!$E$16*INDEX('DATA (Nominal)'!$B$16:$BX$16,1,MATCH($B$1,'DATA (Nominal)'!$B$1:$BX$1,0))*8760</f>
        <v>1504.8640932333544</v>
      </c>
      <c r="Y198" s="156"/>
    </row>
    <row r="199" spans="1:25" hidden="1" outlineLevel="1">
      <c r="C199" s="125" t="s">
        <v>45</v>
      </c>
      <c r="D199" s="151"/>
      <c r="E199" s="154">
        <f>PPA_SOLAR_Commercial_PTC</f>
        <v>165.38038523043093</v>
      </c>
      <c r="F199" s="154">
        <f>E199</f>
        <v>165.38038523043093</v>
      </c>
      <c r="G199" s="154">
        <f t="shared" ref="G199:V200" si="106">F199</f>
        <v>165.38038523043093</v>
      </c>
      <c r="H199" s="154">
        <f t="shared" si="106"/>
        <v>165.38038523043093</v>
      </c>
      <c r="I199" s="154">
        <f t="shared" si="106"/>
        <v>165.38038523043093</v>
      </c>
      <c r="J199" s="154">
        <f t="shared" si="106"/>
        <v>165.38038523043093</v>
      </c>
      <c r="K199" s="154">
        <f t="shared" si="106"/>
        <v>165.38038523043093</v>
      </c>
      <c r="L199" s="154">
        <f t="shared" si="106"/>
        <v>165.38038523043093</v>
      </c>
      <c r="M199" s="154">
        <f t="shared" si="106"/>
        <v>165.38038523043093</v>
      </c>
      <c r="N199" s="154">
        <f t="shared" si="106"/>
        <v>165.38038523043093</v>
      </c>
      <c r="O199" s="154">
        <f t="shared" si="106"/>
        <v>165.38038523043093</v>
      </c>
      <c r="P199" s="154">
        <f t="shared" si="106"/>
        <v>165.38038523043093</v>
      </c>
      <c r="Q199" s="154">
        <f t="shared" si="106"/>
        <v>165.38038523043093</v>
      </c>
      <c r="R199" s="154">
        <f t="shared" si="106"/>
        <v>165.38038523043093</v>
      </c>
      <c r="S199" s="154">
        <f t="shared" si="106"/>
        <v>165.38038523043093</v>
      </c>
      <c r="T199" s="154">
        <f t="shared" si="106"/>
        <v>165.38038523043093</v>
      </c>
      <c r="U199" s="154">
        <f t="shared" si="106"/>
        <v>165.38038523043093</v>
      </c>
      <c r="V199" s="154">
        <f t="shared" si="106"/>
        <v>165.38038523043093</v>
      </c>
      <c r="W199" s="154">
        <f t="shared" ref="W199:X200" si="107">V199</f>
        <v>165.38038523043093</v>
      </c>
      <c r="X199" s="152">
        <f t="shared" si="107"/>
        <v>165.38038523043093</v>
      </c>
      <c r="Y199" s="156"/>
    </row>
    <row r="200" spans="1:25" hidden="1" outlineLevel="1">
      <c r="C200" s="125" t="s">
        <v>111</v>
      </c>
      <c r="D200" s="151"/>
      <c r="E200" s="154">
        <f>INDEX('PPA Summary'!$75:$106,MATCH(_xlfn.CONCAT($C197,$C$1),'PPA Summary'!$D$75:$D$106,0),MATCH($B$1,'PPA Summary'!$74:$74,0))</f>
        <v>34.842276563356819</v>
      </c>
      <c r="F200" s="154">
        <f>E200</f>
        <v>34.842276563356819</v>
      </c>
      <c r="G200" s="154">
        <f t="shared" si="106"/>
        <v>34.842276563356819</v>
      </c>
      <c r="H200" s="154">
        <f t="shared" si="106"/>
        <v>34.842276563356819</v>
      </c>
      <c r="I200" s="154">
        <f t="shared" si="106"/>
        <v>34.842276563356819</v>
      </c>
      <c r="J200" s="154">
        <f t="shared" si="106"/>
        <v>34.842276563356819</v>
      </c>
      <c r="K200" s="154">
        <f t="shared" si="106"/>
        <v>34.842276563356819</v>
      </c>
      <c r="L200" s="154">
        <f t="shared" si="106"/>
        <v>34.842276563356819</v>
      </c>
      <c r="M200" s="154">
        <f t="shared" si="106"/>
        <v>34.842276563356819</v>
      </c>
      <c r="N200" s="154">
        <f t="shared" si="106"/>
        <v>34.842276563356819</v>
      </c>
      <c r="O200" s="154">
        <f t="shared" si="106"/>
        <v>34.842276563356819</v>
      </c>
      <c r="P200" s="154">
        <f t="shared" si="106"/>
        <v>34.842276563356819</v>
      </c>
      <c r="Q200" s="154">
        <f t="shared" si="106"/>
        <v>34.842276563356819</v>
      </c>
      <c r="R200" s="154">
        <f t="shared" si="106"/>
        <v>34.842276563356819</v>
      </c>
      <c r="S200" s="154">
        <f t="shared" si="106"/>
        <v>34.842276563356819</v>
      </c>
      <c r="T200" s="154">
        <f t="shared" si="106"/>
        <v>34.842276563356819</v>
      </c>
      <c r="U200" s="154">
        <f t="shared" si="106"/>
        <v>34.842276563356819</v>
      </c>
      <c r="V200" s="154">
        <f t="shared" si="106"/>
        <v>34.842276563356819</v>
      </c>
      <c r="W200" s="154">
        <f t="shared" si="107"/>
        <v>34.842276563356819</v>
      </c>
      <c r="X200" s="152">
        <f t="shared" si="107"/>
        <v>34.842276563356819</v>
      </c>
      <c r="Y200" s="156"/>
    </row>
    <row r="201" spans="1:25" hidden="1" outlineLevel="1">
      <c r="C201" s="258" t="s">
        <v>46</v>
      </c>
      <c r="D201" s="151"/>
      <c r="E201" s="151">
        <f>E199*E198+E200*12*'Resource Options'!$E$16*1000</f>
        <v>666982.32221865712</v>
      </c>
      <c r="F201" s="151">
        <f>F199*F198+F200*12*'Resource Options'!$E$16*1000</f>
        <v>666982.32221865712</v>
      </c>
      <c r="G201" s="151">
        <f>G199*G198+G200*12*'Resource Options'!$E$16*1000</f>
        <v>666982.32221865712</v>
      </c>
      <c r="H201" s="151">
        <f>H199*H198+H200*12*'Resource Options'!$E$16*1000</f>
        <v>666982.32221865712</v>
      </c>
      <c r="I201" s="151">
        <f>I199*I198+I200*12*'Resource Options'!$E$16*1000</f>
        <v>666982.32221865712</v>
      </c>
      <c r="J201" s="151">
        <f>J199*J198+J200*12*'Resource Options'!$E$16*1000</f>
        <v>666982.32221865712</v>
      </c>
      <c r="K201" s="151">
        <f>K199*K198+K200*12*'Resource Options'!$E$16*1000</f>
        <v>666982.32221865712</v>
      </c>
      <c r="L201" s="151">
        <f>L199*L198+L200*12*'Resource Options'!$E$16*1000</f>
        <v>666982.32221865712</v>
      </c>
      <c r="M201" s="151">
        <f>M199*M198+M200*12*'Resource Options'!$E$16*1000</f>
        <v>666982.32221865712</v>
      </c>
      <c r="N201" s="151">
        <f>N199*N198+N200*12*'Resource Options'!$E$16*1000</f>
        <v>666982.32221865712</v>
      </c>
      <c r="O201" s="151">
        <f>O199*O198+O200*12*'Resource Options'!$E$16*1000</f>
        <v>666982.32221865712</v>
      </c>
      <c r="P201" s="151">
        <f>P199*P198+P200*12*'Resource Options'!$E$16*1000</f>
        <v>666982.32221865712</v>
      </c>
      <c r="Q201" s="151">
        <f>Q199*Q198+Q200*12*'Resource Options'!$E$16*1000</f>
        <v>666982.32221865712</v>
      </c>
      <c r="R201" s="151">
        <f>R199*R198+R200*12*'Resource Options'!$E$16*1000</f>
        <v>666982.32221865712</v>
      </c>
      <c r="S201" s="151">
        <f>S199*S198+S200*12*'Resource Options'!$E$16*1000</f>
        <v>666982.32221865712</v>
      </c>
      <c r="T201" s="151">
        <f>T199*T198+T200*12*'Resource Options'!$E$16*1000</f>
        <v>666982.32221865712</v>
      </c>
      <c r="U201" s="151">
        <f>U199*U198+U200*12*'Resource Options'!$E$16*1000</f>
        <v>666982.32221865712</v>
      </c>
      <c r="V201" s="151">
        <f>V199*V198+V200*12*'Resource Options'!$E$16*1000</f>
        <v>666982.32221865712</v>
      </c>
      <c r="W201" s="151">
        <f>W199*W198+W200*12*'Resource Options'!$E$16*1000</f>
        <v>666982.32221865712</v>
      </c>
      <c r="X201" s="152">
        <f>X199*X198+X200*12*'Resource Options'!$E$16*1000</f>
        <v>666982.32221865712</v>
      </c>
      <c r="Y201" s="156"/>
    </row>
    <row r="202" spans="1:25" hidden="1" outlineLevel="1">
      <c r="C202" s="258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2"/>
      <c r="Y202" s="156"/>
    </row>
    <row r="203" spans="1:25" hidden="1" outlineLevel="1">
      <c r="B203" s="92"/>
      <c r="C203" s="125" t="s">
        <v>158</v>
      </c>
      <c r="D203" s="151"/>
      <c r="E203" s="151">
        <f>'Resource Options'!$E$16*INDEX('DATA (Nominal)'!$B$184:$BX$184,1,MATCH(E$1,'DATA (Nominal)'!$B$1:$BX$1,0))*1000*0.8</f>
        <v>14345.814161429093</v>
      </c>
      <c r="F203" s="151">
        <f>'Resource Options'!$E$16*INDEX('DATA (Nominal)'!$B$184:$BX$184,1,MATCH(F$1,'DATA (Nominal)'!$B$1:$BX$1,0))*1000*0.8</f>
        <v>13986.698701282463</v>
      </c>
      <c r="G203" s="151">
        <f>'Resource Options'!$E$16*INDEX('DATA (Nominal)'!$B$184:$BX$184,1,MATCH(G$1,'DATA (Nominal)'!$B$1:$BX$1,0))*1000*0.8</f>
        <v>13604.38737727477</v>
      </c>
      <c r="H203" s="151">
        <f>'Resource Options'!$E$16*INDEX('DATA (Nominal)'!$B$184:$BX$184,1,MATCH(H$1,'DATA (Nominal)'!$B$1:$BX$1,0))*1000*0.8</f>
        <v>13193.719990815083</v>
      </c>
      <c r="I203" s="151">
        <f>'Resource Options'!$E$16*INDEX('DATA (Nominal)'!$B$184:$BX$184,1,MATCH(I$1,'DATA (Nominal)'!$B$1:$BX$1,0))*1000*0.8</f>
        <v>12758.398715860567</v>
      </c>
      <c r="J203" s="151">
        <f>'Resource Options'!$E$16*INDEX('DATA (Nominal)'!$B$184:$BX$184,1,MATCH(J$1,'DATA (Nominal)'!$B$1:$BX$1,0))*1000*0.8</f>
        <v>12297.537544332501</v>
      </c>
      <c r="K203" s="151">
        <f>'Resource Options'!$E$16*INDEX('DATA (Nominal)'!$B$184:$BX$184,1,MATCH(K$1,'DATA (Nominal)'!$B$1:$BX$1,0))*1000*0.8</f>
        <v>12459.632740529907</v>
      </c>
      <c r="L203" s="151">
        <f>'Resource Options'!$E$16*INDEX('DATA (Nominal)'!$B$184:$BX$184,1,MATCH(L$1,'DATA (Nominal)'!$B$1:$BX$1,0))*1000*0.8</f>
        <v>12622.90811718855</v>
      </c>
      <c r="M203" s="151">
        <f>'Resource Options'!$E$16*INDEX('DATA (Nominal)'!$B$184:$BX$184,1,MATCH(M$1,'DATA (Nominal)'!$B$1:$BX$1,0))*1000*0.8</f>
        <v>12787.337148173754</v>
      </c>
      <c r="N203" s="151">
        <f>'Resource Options'!$E$16*INDEX('DATA (Nominal)'!$B$184:$BX$184,1,MATCH(N$1,'DATA (Nominal)'!$B$1:$BX$1,0))*1000*0.8</f>
        <v>12952.891568993589</v>
      </c>
      <c r="O203" s="151">
        <f>'Resource Options'!$E$16*INDEX('DATA (Nominal)'!$B$184:$BX$184,1,MATCH(O$1,'DATA (Nominal)'!$B$1:$BX$1,0))*1000*0.8</f>
        <v>13119.541313149781</v>
      </c>
      <c r="P203" s="151">
        <f>'Resource Options'!$E$16*INDEX('DATA (Nominal)'!$B$184:$BX$184,1,MATCH(P$1,'DATA (Nominal)'!$B$1:$BX$1,0))*1000*0.8</f>
        <v>13287.254446529452</v>
      </c>
      <c r="Q203" s="151">
        <f>'Resource Options'!$E$16*INDEX('DATA (Nominal)'!$B$184:$BX$184,1,MATCH(Q$1,'DATA (Nominal)'!$B$1:$BX$1,0))*1000*0.8</f>
        <v>13455.997099782266</v>
      </c>
      <c r="R203" s="151">
        <f>'Resource Options'!$E$16*INDEX('DATA (Nominal)'!$B$184:$BX$184,1,MATCH(R$1,'DATA (Nominal)'!$B$1:$BX$1,0))*1000*0.8</f>
        <v>13625.733398626078</v>
      </c>
      <c r="S203" s="151">
        <f>'Resource Options'!$E$16*INDEX('DATA (Nominal)'!$B$184:$BX$184,1,MATCH(S$1,'DATA (Nominal)'!$B$1:$BX$1,0))*1000*0.8</f>
        <v>13796.425392022724</v>
      </c>
      <c r="T203" s="151">
        <f>'Resource Options'!$E$16*INDEX('DATA (Nominal)'!$B$184:$BX$184,1,MATCH(T$1,'DATA (Nominal)'!$B$1:$BX$1,0))*1000*0.8</f>
        <v>13968.03297816389</v>
      </c>
      <c r="U203" s="151">
        <f>'Resource Options'!$E$16*INDEX('DATA (Nominal)'!$B$184:$BX$184,1,MATCH(U$1,'DATA (Nominal)'!$B$1:$BX$1,0))*1000*0.8</f>
        <v>14140.513828205527</v>
      </c>
      <c r="V203" s="151">
        <f>'Resource Options'!$E$16*INDEX('DATA (Nominal)'!$B$184:$BX$184,1,MATCH(V$1,'DATA (Nominal)'!$B$1:$BX$1,0))*1000*0.8</f>
        <v>14313.823307687566</v>
      </c>
      <c r="W203" s="151">
        <f>'Resource Options'!$E$16*INDEX('DATA (Nominal)'!$B$184:$BX$184,1,MATCH(W$1,'DATA (Nominal)'!$B$1:$BX$1,0))*1000*0.8</f>
        <v>14487.91439557396</v>
      </c>
      <c r="X203" s="152">
        <f>'Resource Options'!$E$16*INDEX('DATA (Nominal)'!$B$184:$BX$184,1,MATCH(X$1,'DATA (Nominal)'!$B$1:$BX$1,0))*1000*0.8</f>
        <v>14662.737600846442</v>
      </c>
      <c r="Y203" s="156"/>
    </row>
    <row r="204" spans="1:25" hidden="1" outlineLevel="1">
      <c r="B204" s="92"/>
      <c r="C204" s="125" t="s">
        <v>159</v>
      </c>
      <c r="D204" s="151"/>
      <c r="E204" s="151">
        <f>'Resource Options'!$E$16*INDEX('DATA (Nominal)'!$B$185:$BX$185,1,MATCH(E$1,'DATA (Nominal)'!$B$1:$BX$1,0))*1000*0.8</f>
        <v>31811.659893390526</v>
      </c>
      <c r="F204" s="151">
        <f>'Resource Options'!$E$16*INDEX('DATA (Nominal)'!$B$185:$BX$185,1,MATCH(F$1,'DATA (Nominal)'!$B$1:$BX$1,0))*1000*0.8</f>
        <v>31159.941768580764</v>
      </c>
      <c r="G204" s="151">
        <f>'Resource Options'!$E$16*INDEX('DATA (Nominal)'!$B$185:$BX$185,1,MATCH(G$1,'DATA (Nominal)'!$B$1:$BX$1,0))*1000*0.8</f>
        <v>30623.194426634403</v>
      </c>
      <c r="H204" s="151">
        <f>'Resource Options'!$E$16*INDEX('DATA (Nominal)'!$B$185:$BX$185,1,MATCH(H$1,'DATA (Nominal)'!$B$1:$BX$1,0))*1000*0.8</f>
        <v>30226.827778965511</v>
      </c>
      <c r="I204" s="151">
        <f>'Resource Options'!$E$16*INDEX('DATA (Nominal)'!$B$185:$BX$185,1,MATCH(I$1,'DATA (Nominal)'!$B$1:$BX$1,0))*1000*0.8</f>
        <v>29858.134570725619</v>
      </c>
      <c r="J204" s="151">
        <f>'Resource Options'!$E$16*INDEX('DATA (Nominal)'!$B$185:$BX$185,1,MATCH(J$1,'DATA (Nominal)'!$B$1:$BX$1,0))*1000*0.8</f>
        <v>29558.528464359144</v>
      </c>
      <c r="K204" s="151">
        <f>'Resource Options'!$E$16*INDEX('DATA (Nominal)'!$B$185:$BX$185,1,MATCH(K$1,'DATA (Nominal)'!$B$1:$BX$1,0))*1000*0.8</f>
        <v>29833.117536542093</v>
      </c>
      <c r="L204" s="151">
        <f>'Resource Options'!$E$16*INDEX('DATA (Nominal)'!$B$185:$BX$185,1,MATCH(L$1,'DATA (Nominal)'!$B$1:$BX$1,0))*1000*0.8</f>
        <v>30103.532219759392</v>
      </c>
      <c r="M204" s="151">
        <f>'Resource Options'!$E$16*INDEX('DATA (Nominal)'!$B$185:$BX$185,1,MATCH(M$1,'DATA (Nominal)'!$B$1:$BX$1,0))*1000*0.8</f>
        <v>30371.405920150559</v>
      </c>
      <c r="N204" s="151">
        <f>'Resource Options'!$E$16*INDEX('DATA (Nominal)'!$B$185:$BX$185,1,MATCH(N$1,'DATA (Nominal)'!$B$1:$BX$1,0))*1000*0.8</f>
        <v>30636.495953764639</v>
      </c>
      <c r="O204" s="151">
        <f>'Resource Options'!$E$16*INDEX('DATA (Nominal)'!$B$185:$BX$185,1,MATCH(O$1,'DATA (Nominal)'!$B$1:$BX$1,0))*1000*0.8</f>
        <v>30898.550188392244</v>
      </c>
      <c r="P204" s="151">
        <f>'Resource Options'!$E$16*INDEX('DATA (Nominal)'!$B$185:$BX$185,1,MATCH(P$1,'DATA (Nominal)'!$B$1:$BX$1,0))*1000*0.8</f>
        <v>31157.306745301979</v>
      </c>
      <c r="Q204" s="151">
        <f>'Resource Options'!$E$16*INDEX('DATA (Nominal)'!$B$185:$BX$185,1,MATCH(Q$1,'DATA (Nominal)'!$B$1:$BX$1,0))*1000*0.8</f>
        <v>31412.493692424447</v>
      </c>
      <c r="R204" s="151">
        <f>'Resource Options'!$E$16*INDEX('DATA (Nominal)'!$B$185:$BX$185,1,MATCH(R$1,'DATA (Nominal)'!$B$1:$BX$1,0))*1000*0.8</f>
        <v>31663.828728755689</v>
      </c>
      <c r="S204" s="151">
        <f>'Resource Options'!$E$16*INDEX('DATA (Nominal)'!$B$185:$BX$185,1,MATCH(S$1,'DATA (Nominal)'!$B$1:$BX$1,0))*1000*0.8</f>
        <v>31911.018859738266</v>
      </c>
      <c r="T204" s="151">
        <f>'Resource Options'!$E$16*INDEX('DATA (Nominal)'!$B$185:$BX$185,1,MATCH(T$1,'DATA (Nominal)'!$B$1:$BX$1,0))*1000*0.8</f>
        <v>32153.76006337945</v>
      </c>
      <c r="U204" s="151">
        <f>'Resource Options'!$E$16*INDEX('DATA (Nominal)'!$B$185:$BX$185,1,MATCH(U$1,'DATA (Nominal)'!$B$1:$BX$1,0))*1000*0.8</f>
        <v>32391.736946852623</v>
      </c>
      <c r="V204" s="151">
        <f>'Resource Options'!$E$16*INDEX('DATA (Nominal)'!$B$185:$BX$185,1,MATCH(V$1,'DATA (Nominal)'!$B$1:$BX$1,0))*1000*0.8</f>
        <v>32624.622393328071</v>
      </c>
      <c r="W204" s="151">
        <f>'Resource Options'!$E$16*INDEX('DATA (Nominal)'!$B$185:$BX$185,1,MATCH(W$1,'DATA (Nominal)'!$B$1:$BX$1,0))*1000*0.8</f>
        <v>32852.077198766012</v>
      </c>
      <c r="X204" s="152">
        <f>'Resource Options'!$E$16*INDEX('DATA (Nominal)'!$B$185:$BX$185,1,MATCH(X$1,'DATA (Nominal)'!$B$1:$BX$1,0))*1000*0.8</f>
        <v>33073.749698405001</v>
      </c>
      <c r="Y204" s="156"/>
    </row>
    <row r="205" spans="1:25" hidden="1" outlineLevel="1">
      <c r="C205" s="125" t="s">
        <v>160</v>
      </c>
      <c r="D205" s="151"/>
      <c r="E205" s="151">
        <f>E198*INDEX('DATA (Nominal)'!$B$111:$BX$111,1,MATCH(E$1,'DATA (Nominal)'!$B$1:$BX$1,0))</f>
        <v>0</v>
      </c>
      <c r="F205" s="151">
        <f>F198*INDEX('DATA (Nominal)'!$B$111:$BX$111,1,MATCH(F$1,'DATA (Nominal)'!$B$1:$BX$1,0))</f>
        <v>0</v>
      </c>
      <c r="G205" s="151">
        <f>G198*INDEX('DATA (Nominal)'!$B$111:$BX$111,1,MATCH(G$1,'DATA (Nominal)'!$B$1:$BX$1,0))</f>
        <v>0</v>
      </c>
      <c r="H205" s="151">
        <f>H198*INDEX('DATA (Nominal)'!$B$111:$BX$111,1,MATCH(H$1,'DATA (Nominal)'!$B$1:$BX$1,0))</f>
        <v>0</v>
      </c>
      <c r="I205" s="151">
        <f>I198*INDEX('DATA (Nominal)'!$B$111:$BX$111,1,MATCH(I$1,'DATA (Nominal)'!$B$1:$BX$1,0))</f>
        <v>0</v>
      </c>
      <c r="J205" s="151">
        <f>J198*INDEX('DATA (Nominal)'!$B$111:$BX$111,1,MATCH(J$1,'DATA (Nominal)'!$B$1:$BX$1,0))</f>
        <v>0</v>
      </c>
      <c r="K205" s="151">
        <f>K198*INDEX('DATA (Nominal)'!$B$111:$BX$111,1,MATCH(K$1,'DATA (Nominal)'!$B$1:$BX$1,0))</f>
        <v>0</v>
      </c>
      <c r="L205" s="151">
        <f>L198*INDEX('DATA (Nominal)'!$B$111:$BX$111,1,MATCH(L$1,'DATA (Nominal)'!$B$1:$BX$1,0))</f>
        <v>0</v>
      </c>
      <c r="M205" s="151">
        <f>M198*INDEX('DATA (Nominal)'!$B$111:$BX$111,1,MATCH(M$1,'DATA (Nominal)'!$B$1:$BX$1,0))</f>
        <v>0</v>
      </c>
      <c r="N205" s="151">
        <f>N198*INDEX('DATA (Nominal)'!$B$111:$BX$111,1,MATCH(N$1,'DATA (Nominal)'!$B$1:$BX$1,0))</f>
        <v>0</v>
      </c>
      <c r="O205" s="151">
        <f>O198*INDEX('DATA (Nominal)'!$B$111:$BX$111,1,MATCH(O$1,'DATA (Nominal)'!$B$1:$BX$1,0))</f>
        <v>0</v>
      </c>
      <c r="P205" s="151">
        <f>P198*INDEX('DATA (Nominal)'!$B$111:$BX$111,1,MATCH(P$1,'DATA (Nominal)'!$B$1:$BX$1,0))</f>
        <v>0</v>
      </c>
      <c r="Q205" s="151">
        <f>Q198*INDEX('DATA (Nominal)'!$B$111:$BX$111,1,MATCH(Q$1,'DATA (Nominal)'!$B$1:$BX$1,0))</f>
        <v>0</v>
      </c>
      <c r="R205" s="151">
        <f>R198*INDEX('DATA (Nominal)'!$B$111:$BX$111,1,MATCH(R$1,'DATA (Nominal)'!$B$1:$BX$1,0))</f>
        <v>0</v>
      </c>
      <c r="S205" s="151">
        <f>S198*INDEX('DATA (Nominal)'!$B$111:$BX$111,1,MATCH(S$1,'DATA (Nominal)'!$B$1:$BX$1,0))</f>
        <v>0</v>
      </c>
      <c r="T205" s="151">
        <f>T198*INDEX('DATA (Nominal)'!$B$111:$BX$111,1,MATCH(T$1,'DATA (Nominal)'!$B$1:$BX$1,0))</f>
        <v>0</v>
      </c>
      <c r="U205" s="151">
        <f>U198*INDEX('DATA (Nominal)'!$B$111:$BX$111,1,MATCH(U$1,'DATA (Nominal)'!$B$1:$BX$1,0))</f>
        <v>0</v>
      </c>
      <c r="V205" s="151">
        <f>V198*INDEX('DATA (Nominal)'!$B$111:$BX$111,1,MATCH(V$1,'DATA (Nominal)'!$B$1:$BX$1,0))</f>
        <v>0</v>
      </c>
      <c r="W205" s="151">
        <f>W198*INDEX('DATA (Nominal)'!$B$111:$BX$111,1,MATCH(W$1,'DATA (Nominal)'!$B$1:$BX$1,0))</f>
        <v>0</v>
      </c>
      <c r="X205" s="152">
        <f>X198*INDEX('DATA (Nominal)'!$B$111:$BX$111,1,MATCH(X$1,'DATA (Nominal)'!$B$1:$BX$1,0))</f>
        <v>0</v>
      </c>
      <c r="Y205" s="156"/>
    </row>
    <row r="206" spans="1:25" hidden="1" outlineLevel="1">
      <c r="C206" s="125" t="s">
        <v>127</v>
      </c>
      <c r="D206" s="151"/>
      <c r="E206" s="151">
        <f>E198*E199*INDEX('DATA (Nominal)'!$B$331:$BX$331,1,MATCH(E$1,'DATA (Nominal)'!$B$1:$BX$1,0))</f>
        <v>0</v>
      </c>
      <c r="F206" s="151">
        <f>F198*F199*INDEX('DATA (Nominal)'!$B$331:$BX$331,1,MATCH(F$1,'DATA (Nominal)'!$B$1:$BX$1,0))</f>
        <v>0</v>
      </c>
      <c r="G206" s="151">
        <f>G198*G199*INDEX('DATA (Nominal)'!$B$331:$BX$331,1,MATCH(G$1,'DATA (Nominal)'!$B$1:$BX$1,0))</f>
        <v>0</v>
      </c>
      <c r="H206" s="151">
        <f>H198*H199*INDEX('DATA (Nominal)'!$B$331:$BX$331,1,MATCH(H$1,'DATA (Nominal)'!$B$1:$BX$1,0))</f>
        <v>0</v>
      </c>
      <c r="I206" s="151">
        <f>I198*I199*INDEX('DATA (Nominal)'!$B$331:$BX$331,1,MATCH(I$1,'DATA (Nominal)'!$B$1:$BX$1,0))</f>
        <v>0</v>
      </c>
      <c r="J206" s="151">
        <f>J198*J199*INDEX('DATA (Nominal)'!$B$331:$BX$331,1,MATCH(J$1,'DATA (Nominal)'!$B$1:$BX$1,0))</f>
        <v>0</v>
      </c>
      <c r="K206" s="151">
        <f>K198*K199*INDEX('DATA (Nominal)'!$B$331:$BX$331,1,MATCH(K$1,'DATA (Nominal)'!$B$1:$BX$1,0))</f>
        <v>0</v>
      </c>
      <c r="L206" s="151">
        <f>L198*L199*INDEX('DATA (Nominal)'!$B$331:$BX$331,1,MATCH(L$1,'DATA (Nominal)'!$B$1:$BX$1,0))</f>
        <v>0</v>
      </c>
      <c r="M206" s="151">
        <f>M198*M199*INDEX('DATA (Nominal)'!$B$331:$BX$331,1,MATCH(M$1,'DATA (Nominal)'!$B$1:$BX$1,0))</f>
        <v>0</v>
      </c>
      <c r="N206" s="151">
        <f>N198*N199*INDEX('DATA (Nominal)'!$B$331:$BX$331,1,MATCH(N$1,'DATA (Nominal)'!$B$1:$BX$1,0))</f>
        <v>0</v>
      </c>
      <c r="O206" s="151">
        <f>O198*O199*INDEX('DATA (Nominal)'!$B$331:$BX$331,1,MATCH(O$1,'DATA (Nominal)'!$B$1:$BX$1,0))</f>
        <v>0</v>
      </c>
      <c r="P206" s="151">
        <f>P198*P199*INDEX('DATA (Nominal)'!$B$331:$BX$331,1,MATCH(P$1,'DATA (Nominal)'!$B$1:$BX$1,0))</f>
        <v>0</v>
      </c>
      <c r="Q206" s="151">
        <f>Q198*Q199*INDEX('DATA (Nominal)'!$B$331:$BX$331,1,MATCH(Q$1,'DATA (Nominal)'!$B$1:$BX$1,0))</f>
        <v>0</v>
      </c>
      <c r="R206" s="151">
        <f>R198*R199*INDEX('DATA (Nominal)'!$B$331:$BX$331,1,MATCH(R$1,'DATA (Nominal)'!$B$1:$BX$1,0))</f>
        <v>0</v>
      </c>
      <c r="S206" s="151">
        <f>S198*S199*INDEX('DATA (Nominal)'!$B$331:$BX$331,1,MATCH(S$1,'DATA (Nominal)'!$B$1:$BX$1,0))</f>
        <v>0</v>
      </c>
      <c r="T206" s="151">
        <f>T198*T199*INDEX('DATA (Nominal)'!$B$331:$BX$331,1,MATCH(T$1,'DATA (Nominal)'!$B$1:$BX$1,0))</f>
        <v>0</v>
      </c>
      <c r="U206" s="151">
        <f>U198*U199*INDEX('DATA (Nominal)'!$B$331:$BX$331,1,MATCH(U$1,'DATA (Nominal)'!$B$1:$BX$1,0))</f>
        <v>0</v>
      </c>
      <c r="V206" s="151">
        <f>V198*V199*INDEX('DATA (Nominal)'!$B$331:$BX$331,1,MATCH(V$1,'DATA (Nominal)'!$B$1:$BX$1,0))</f>
        <v>0</v>
      </c>
      <c r="W206" s="151">
        <f>W198*W199*INDEX('DATA (Nominal)'!$B$331:$BX$331,1,MATCH(W$1,'DATA (Nominal)'!$B$1:$BX$1,0))</f>
        <v>0</v>
      </c>
      <c r="X206" s="152">
        <f>X198*X199*INDEX('DATA (Nominal)'!$B$331:$BX$331,1,MATCH(X$1,'DATA (Nominal)'!$B$1:$BX$1,0))</f>
        <v>0</v>
      </c>
      <c r="Y206" s="156"/>
    </row>
    <row r="207" spans="1:25" hidden="1" outlineLevel="1">
      <c r="C207" s="258" t="s">
        <v>49</v>
      </c>
      <c r="D207" s="151"/>
      <c r="E207" s="151">
        <f>D229*Property_Tax_Rate</f>
        <v>58853.084038562636</v>
      </c>
      <c r="F207" s="151">
        <f t="shared" ref="F207:M207" si="108">E229*Property_Tax_Rate</f>
        <v>55573.81844665559</v>
      </c>
      <c r="G207" s="151">
        <f t="shared" si="108"/>
        <v>52477.271959412959</v>
      </c>
      <c r="H207" s="151">
        <f t="shared" si="108"/>
        <v>49553.263556031859</v>
      </c>
      <c r="I207" s="151">
        <f t="shared" si="108"/>
        <v>46792.17949730144</v>
      </c>
      <c r="J207" s="151">
        <f t="shared" si="108"/>
        <v>44184.941716944901</v>
      </c>
      <c r="K207" s="151">
        <f t="shared" si="108"/>
        <v>41722.977974180707</v>
      </c>
      <c r="L207" s="151">
        <f t="shared" si="108"/>
        <v>39398.193669368804</v>
      </c>
      <c r="M207" s="151">
        <f t="shared" si="108"/>
        <v>37202.945230075522</v>
      </c>
      <c r="N207" s="151">
        <f>M229*Property_Tax_Rate</f>
        <v>35130.014980054104</v>
      </c>
      <c r="O207" s="151">
        <f>N229*Property_Tax_Rate</f>
        <v>33172.587408513646</v>
      </c>
      <c r="P207" s="151">
        <f t="shared" ref="P207:X207" si="109">O229*Property_Tax_Rate</f>
        <v>49995.601064340699</v>
      </c>
      <c r="Q207" s="151">
        <f t="shared" si="109"/>
        <v>45481.746067859807</v>
      </c>
      <c r="R207" s="151">
        <f t="shared" si="109"/>
        <v>41375.424664245111</v>
      </c>
      <c r="S207" s="151">
        <f t="shared" si="109"/>
        <v>37639.842665503442</v>
      </c>
      <c r="T207" s="151">
        <f t="shared" si="109"/>
        <v>34241.527848490092</v>
      </c>
      <c r="U207" s="151">
        <f t="shared" si="109"/>
        <v>31150.030031169383</v>
      </c>
      <c r="V207" s="151">
        <f t="shared" si="109"/>
        <v>28337.648227502839</v>
      </c>
      <c r="W207" s="151">
        <f t="shared" si="109"/>
        <v>25779.182436170158</v>
      </c>
      <c r="X207" s="152">
        <f t="shared" si="109"/>
        <v>23451.707839056151</v>
      </c>
      <c r="Y207" s="156"/>
    </row>
    <row r="208" spans="1:25" hidden="1" outlineLevel="1">
      <c r="C208" s="258" t="s">
        <v>50</v>
      </c>
      <c r="D208" s="151"/>
      <c r="E208" s="151">
        <f>SUM(E203:E207)</f>
        <v>105010.55809338225</v>
      </c>
      <c r="F208" s="151">
        <f>SUM(F203:F207)</f>
        <v>100720.45891651881</v>
      </c>
      <c r="G208" s="151">
        <f t="shared" ref="G208:N208" si="110">SUM(G203:G207)</f>
        <v>96704.853763322142</v>
      </c>
      <c r="H208" s="151">
        <f t="shared" si="110"/>
        <v>92973.81132581245</v>
      </c>
      <c r="I208" s="151">
        <f t="shared" si="110"/>
        <v>89408.712783887633</v>
      </c>
      <c r="J208" s="151">
        <f t="shared" si="110"/>
        <v>86041.007725636548</v>
      </c>
      <c r="K208" s="151">
        <f t="shared" si="110"/>
        <v>84015.728251252702</v>
      </c>
      <c r="L208" s="151">
        <f t="shared" si="110"/>
        <v>82124.634006316744</v>
      </c>
      <c r="M208" s="151">
        <f t="shared" si="110"/>
        <v>80361.688298399837</v>
      </c>
      <c r="N208" s="151">
        <f t="shared" si="110"/>
        <v>78719.402502812329</v>
      </c>
      <c r="O208" s="151">
        <f>SUM(O203:O207)</f>
        <v>77190.678910055663</v>
      </c>
      <c r="P208" s="151">
        <f t="shared" ref="P208:X208" si="111">SUM(P203:P207)</f>
        <v>94440.162256172131</v>
      </c>
      <c r="Q208" s="151">
        <f t="shared" si="111"/>
        <v>90350.236860066521</v>
      </c>
      <c r="R208" s="151">
        <f t="shared" si="111"/>
        <v>86664.98679162687</v>
      </c>
      <c r="S208" s="151">
        <f t="shared" si="111"/>
        <v>83347.286917264428</v>
      </c>
      <c r="T208" s="151">
        <f t="shared" si="111"/>
        <v>80363.320890033428</v>
      </c>
      <c r="U208" s="151">
        <f t="shared" si="111"/>
        <v>77682.280806227529</v>
      </c>
      <c r="V208" s="151">
        <f t="shared" si="111"/>
        <v>75276.093928518472</v>
      </c>
      <c r="W208" s="151">
        <f t="shared" si="111"/>
        <v>73119.174030510127</v>
      </c>
      <c r="X208" s="152">
        <f t="shared" si="111"/>
        <v>71188.195138307594</v>
      </c>
      <c r="Y208" s="156"/>
    </row>
    <row r="209" spans="2:25" hidden="1" outlineLevel="1">
      <c r="C209" s="258" t="s">
        <v>179</v>
      </c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>
        <f>INDEX('DATA (Nominal)'!$B$66:$BX$66,1,MATCH($O$1,'DATA (Nominal)'!$B$1:$BX$1,0))*1000000*(1+AFUDC!$D$16)*0.5*'Resource Options'!$D$16/1000</f>
        <v>1802847.538978881</v>
      </c>
      <c r="P209" s="151"/>
      <c r="Q209" s="151"/>
      <c r="R209" s="151"/>
      <c r="S209" s="151"/>
      <c r="T209" s="151"/>
      <c r="U209" s="151"/>
      <c r="V209" s="151"/>
      <c r="W209" s="151"/>
      <c r="X209" s="152"/>
      <c r="Y209" s="156"/>
    </row>
    <row r="210" spans="2:25" hidden="1" outlineLevel="1">
      <c r="C210" s="258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2"/>
      <c r="Y210" s="156"/>
    </row>
    <row r="211" spans="2:25" hidden="1" outlineLevel="1">
      <c r="C211" s="125" t="s">
        <v>51</v>
      </c>
      <c r="D211" s="151"/>
      <c r="E211" s="151">
        <f>E201-E208</f>
        <v>561971.76412527484</v>
      </c>
      <c r="F211" s="151">
        <f t="shared" ref="F211:N211" si="112">F201-F208</f>
        <v>566261.86330213828</v>
      </c>
      <c r="G211" s="151">
        <f t="shared" si="112"/>
        <v>570277.46845533501</v>
      </c>
      <c r="H211" s="151">
        <f t="shared" si="112"/>
        <v>574008.51089284464</v>
      </c>
      <c r="I211" s="151">
        <f t="shared" si="112"/>
        <v>577573.60943476949</v>
      </c>
      <c r="J211" s="151">
        <f t="shared" si="112"/>
        <v>580941.31449302053</v>
      </c>
      <c r="K211" s="151">
        <f t="shared" si="112"/>
        <v>582966.59396740445</v>
      </c>
      <c r="L211" s="151">
        <f t="shared" si="112"/>
        <v>584857.68821234035</v>
      </c>
      <c r="M211" s="151">
        <f t="shared" si="112"/>
        <v>586620.63392025733</v>
      </c>
      <c r="N211" s="151">
        <f t="shared" si="112"/>
        <v>588262.91971584479</v>
      </c>
      <c r="O211" s="151">
        <f>O201-O208</f>
        <v>589791.64330860146</v>
      </c>
      <c r="P211" s="151">
        <f t="shared" ref="P211:X211" si="113">P201-P208</f>
        <v>572542.15996248496</v>
      </c>
      <c r="Q211" s="151">
        <f t="shared" si="113"/>
        <v>576632.08535859059</v>
      </c>
      <c r="R211" s="151">
        <f t="shared" si="113"/>
        <v>580317.33542703022</v>
      </c>
      <c r="S211" s="151">
        <f t="shared" si="113"/>
        <v>583635.03530139267</v>
      </c>
      <c r="T211" s="151">
        <f t="shared" si="113"/>
        <v>586619.00132862374</v>
      </c>
      <c r="U211" s="151">
        <f t="shared" si="113"/>
        <v>589300.04141242965</v>
      </c>
      <c r="V211" s="151">
        <f t="shared" si="113"/>
        <v>591706.22829013865</v>
      </c>
      <c r="W211" s="151">
        <f t="shared" si="113"/>
        <v>593863.148188147</v>
      </c>
      <c r="X211" s="152">
        <f t="shared" si="113"/>
        <v>595794.12708034948</v>
      </c>
      <c r="Y211" s="156"/>
    </row>
    <row r="212" spans="2:25" hidden="1" outlineLevel="1">
      <c r="C212" s="125" t="s">
        <v>52</v>
      </c>
      <c r="D212" s="151"/>
      <c r="E212" s="151">
        <f>E211-E230-E219</f>
        <v>-630121.10669963597</v>
      </c>
      <c r="F212" s="151">
        <f t="shared" ref="F212:M212" si="114">F211-F230-F219</f>
        <v>-1220637.7791935976</v>
      </c>
      <c r="G212" s="151">
        <f t="shared" si="114"/>
        <v>-570503.72647458804</v>
      </c>
      <c r="H212" s="151">
        <f t="shared" si="114"/>
        <v>-176464.02907964584</v>
      </c>
      <c r="I212" s="151">
        <f t="shared" si="114"/>
        <v>-166446.84345457223</v>
      </c>
      <c r="J212" s="151">
        <f t="shared" si="114"/>
        <v>131872.51292920343</v>
      </c>
      <c r="K212" s="151">
        <f t="shared" si="114"/>
        <v>429223.82608211169</v>
      </c>
      <c r="L212" s="151">
        <f t="shared" si="114"/>
        <v>438691.22793518397</v>
      </c>
      <c r="M212" s="151">
        <f t="shared" si="114"/>
        <v>448447.17816968483</v>
      </c>
      <c r="N212" s="151">
        <f>N211-N230-N219</f>
        <v>458522.08374081831</v>
      </c>
      <c r="O212" s="151">
        <f>O211-O230-O219</f>
        <v>136231.7078782235</v>
      </c>
      <c r="P212" s="151">
        <f>P211-P230-P219</f>
        <v>-49743.901890034176</v>
      </c>
      <c r="Q212" s="151">
        <f t="shared" ref="Q212:W212" si="115">Q211-Q230-Q219</f>
        <v>96565.706268727052</v>
      </c>
      <c r="R212" s="151">
        <f t="shared" si="115"/>
        <v>207315.81102095117</v>
      </c>
      <c r="S212" s="151">
        <f t="shared" si="115"/>
        <v>292886.42213018879</v>
      </c>
      <c r="T212" s="151">
        <f t="shared" si="115"/>
        <v>314745.66122588213</v>
      </c>
      <c r="U212" s="151">
        <f t="shared" si="115"/>
        <v>337340.11439691565</v>
      </c>
      <c r="V212" s="151">
        <f t="shared" si="115"/>
        <v>441234.06622166705</v>
      </c>
      <c r="W212" s="151">
        <f t="shared" si="115"/>
        <v>545980.14143493481</v>
      </c>
      <c r="X212" s="152">
        <f>X211-X230-X219</f>
        <v>571294.27389162651</v>
      </c>
      <c r="Y212" s="156"/>
    </row>
    <row r="213" spans="2:25" hidden="1" outlineLevel="1">
      <c r="C213" s="125" t="s">
        <v>53</v>
      </c>
      <c r="D213" s="151"/>
      <c r="E213" s="93">
        <f>INDEX('DATA (Nominal)'!$B$257:$BX$257,1,MATCH($B$1,'DATA (Nominal)'!$B$1:$BX$1,0))*INDEX('DATA (Nominal)'!$B$304:$BX$304,1,MATCH(E$1,'DATA (Nominal)'!$B$1:$BX$1,0))*E198</f>
        <v>42239.869668112748</v>
      </c>
      <c r="F213" s="93">
        <f>INDEX('DATA (Nominal)'!$B$257:$BX$257,1,MATCH($B$1,'DATA (Nominal)'!$B$1:$BX$1,0))*INDEX('DATA (Nominal)'!$B$304:$BX$304,1,MATCH(F$1,'DATA (Nominal)'!$B$1:$BX$1,0))*F198</f>
        <v>43183.226757367273</v>
      </c>
      <c r="G213" s="93">
        <f>INDEX('DATA (Nominal)'!$B$257:$BX$257,1,MATCH($B$1,'DATA (Nominal)'!$B$1:$BX$1,0))*INDEX('DATA (Nominal)'!$B$304:$BX$304,1,MATCH(G$1,'DATA (Nominal)'!$B$1:$BX$1,0))*G198</f>
        <v>44147.652154948468</v>
      </c>
      <c r="H213" s="93">
        <f>INDEX('DATA (Nominal)'!$B$257:$BX$257,1,MATCH($B$1,'DATA (Nominal)'!$B$1:$BX$1,0))*INDEX('DATA (Nominal)'!$B$304:$BX$304,1,MATCH(H$1,'DATA (Nominal)'!$B$1:$BX$1,0))*H198</f>
        <v>45118.900502357341</v>
      </c>
      <c r="I213" s="93">
        <f>INDEX('DATA (Nominal)'!$B$257:$BX$257,1,MATCH($B$1,'DATA (Nominal)'!$B$1:$BX$1,0))*INDEX('DATA (Nominal)'!$B$304:$BX$304,1,MATCH(I$1,'DATA (Nominal)'!$B$1:$BX$1,0))*I198</f>
        <v>46111.5163134092</v>
      </c>
      <c r="J213" s="93">
        <f>INDEX('DATA (Nominal)'!$B$257:$BX$257,1,MATCH($B$1,'DATA (Nominal)'!$B$1:$BX$1,0))*INDEX('DATA (Nominal)'!$B$304:$BX$304,1,MATCH(J$1,'DATA (Nominal)'!$B$1:$BX$1,0))*J198</f>
        <v>47125.969672304207</v>
      </c>
      <c r="K213" s="93">
        <f>INDEX('DATA (Nominal)'!$B$257:$BX$257,1,MATCH($B$1,'DATA (Nominal)'!$B$1:$BX$1,0))*INDEX('DATA (Nominal)'!$B$304:$BX$304,1,MATCH(K$1,'DATA (Nominal)'!$B$1:$BX$1,0))*K198</f>
        <v>48162.741005094889</v>
      </c>
      <c r="L213" s="93">
        <f>INDEX('DATA (Nominal)'!$B$257:$BX$257,1,MATCH($B$1,'DATA (Nominal)'!$B$1:$BX$1,0))*INDEX('DATA (Nominal)'!$B$304:$BX$304,1,MATCH(L$1,'DATA (Nominal)'!$B$1:$BX$1,0))*L198</f>
        <v>49222.321307206985</v>
      </c>
      <c r="M213" s="93">
        <f>INDEX('DATA (Nominal)'!$B$257:$BX$257,1,MATCH($B$1,'DATA (Nominal)'!$B$1:$BX$1,0))*INDEX('DATA (Nominal)'!$B$304:$BX$304,1,MATCH(M$1,'DATA (Nominal)'!$B$1:$BX$1,0))*M198</f>
        <v>50305.212375965544</v>
      </c>
      <c r="N213" s="93">
        <f>INDEX('DATA (Nominal)'!$B$257:$BX$257,1,MATCH($B$1,'DATA (Nominal)'!$B$1:$BX$1,0))*INDEX('DATA (Nominal)'!$B$304:$BX$304,1,MATCH(N$1,'DATA (Nominal)'!$B$1:$BX$1,0))*N198</f>
        <v>51411.927048236779</v>
      </c>
      <c r="O213" s="151"/>
      <c r="P213" s="151"/>
      <c r="Q213" s="151"/>
      <c r="R213" s="151"/>
      <c r="S213" s="151"/>
      <c r="T213" s="151"/>
      <c r="U213" s="151"/>
      <c r="V213" s="151"/>
      <c r="W213" s="151"/>
      <c r="X213" s="152"/>
      <c r="Y213" s="156"/>
    </row>
    <row r="214" spans="2:25" hidden="1" outlineLevel="1">
      <c r="C214" s="258" t="s">
        <v>54</v>
      </c>
      <c r="D214" s="151"/>
      <c r="E214" s="151">
        <f>E212*Federal_Tax_Rate-E213</f>
        <v>-174565.30207503631</v>
      </c>
      <c r="F214" s="151">
        <f>F212*Federal_Tax_Rate-F213</f>
        <v>-299517.16038802278</v>
      </c>
      <c r="G214" s="151">
        <f t="shared" ref="G214:N214" si="116">G212*Federal_Tax_Rate-G213</f>
        <v>-163953.43471461194</v>
      </c>
      <c r="H214" s="151">
        <f t="shared" si="116"/>
        <v>-82176.346609082975</v>
      </c>
      <c r="I214" s="151">
        <f t="shared" si="116"/>
        <v>-81065.353438869366</v>
      </c>
      <c r="J214" s="151">
        <f t="shared" si="116"/>
        <v>-19432.741957171489</v>
      </c>
      <c r="K214" s="151">
        <f t="shared" si="116"/>
        <v>41974.262472148555</v>
      </c>
      <c r="L214" s="151">
        <f t="shared" si="116"/>
        <v>42902.836559181647</v>
      </c>
      <c r="M214" s="151">
        <f t="shared" si="116"/>
        <v>43868.695039668273</v>
      </c>
      <c r="N214" s="151">
        <f t="shared" si="116"/>
        <v>44877.710537335057</v>
      </c>
      <c r="O214" s="151">
        <f>O212*Federal_Tax_Rate-O213</f>
        <v>28608.658654426934</v>
      </c>
      <c r="P214" s="151">
        <f t="shared" ref="P214:X214" si="117">P212*Federal_Tax_Rate-P213</f>
        <v>-10446.219396907176</v>
      </c>
      <c r="Q214" s="151">
        <f t="shared" si="117"/>
        <v>20278.79831643268</v>
      </c>
      <c r="R214" s="151">
        <f t="shared" si="117"/>
        <v>43536.320314399745</v>
      </c>
      <c r="S214" s="151">
        <f t="shared" si="117"/>
        <v>61506.148647339644</v>
      </c>
      <c r="T214" s="151">
        <f t="shared" si="117"/>
        <v>66096.588857435243</v>
      </c>
      <c r="U214" s="151">
        <f t="shared" si="117"/>
        <v>70841.424023352287</v>
      </c>
      <c r="V214" s="151">
        <f t="shared" si="117"/>
        <v>92659.153906550069</v>
      </c>
      <c r="W214" s="151">
        <f t="shared" si="117"/>
        <v>114655.8297013363</v>
      </c>
      <c r="X214" s="152">
        <f t="shared" si="117"/>
        <v>119971.79751724156</v>
      </c>
      <c r="Y214" s="156"/>
    </row>
    <row r="215" spans="2:25" hidden="1" outlineLevel="1">
      <c r="C215" s="258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2"/>
      <c r="Y215" s="156"/>
    </row>
    <row r="216" spans="2:25" hidden="1" outlineLevel="1">
      <c r="B216" s="37">
        <f>IRR(D216:Y216,0.1)</f>
        <v>7.5000000042889869E-2</v>
      </c>
      <c r="C216" s="125" t="s">
        <v>55</v>
      </c>
      <c r="D216" s="155">
        <f>SUM(D225:D226)</f>
        <v>-5885308.4038562635</v>
      </c>
      <c r="E216" s="156">
        <f t="shared" ref="E216:K216" si="118">E211-E214</f>
        <v>736537.06620031118</v>
      </c>
      <c r="F216" s="151">
        <f t="shared" si="118"/>
        <v>865779.02369016106</v>
      </c>
      <c r="G216" s="151">
        <f t="shared" si="118"/>
        <v>734230.90316994698</v>
      </c>
      <c r="H216" s="151">
        <f t="shared" si="118"/>
        <v>656184.85750192765</v>
      </c>
      <c r="I216" s="151">
        <f t="shared" si="118"/>
        <v>658638.96287363884</v>
      </c>
      <c r="J216" s="151">
        <f t="shared" si="118"/>
        <v>600374.056450192</v>
      </c>
      <c r="K216" s="151">
        <f t="shared" si="118"/>
        <v>540992.33149525593</v>
      </c>
      <c r="L216" s="151">
        <f>L211-L214</f>
        <v>541954.85165315866</v>
      </c>
      <c r="M216" s="151">
        <f t="shared" ref="M216:N216" si="119">M211-M214</f>
        <v>542751.93888058909</v>
      </c>
      <c r="N216" s="151">
        <f t="shared" si="119"/>
        <v>543385.20917850977</v>
      </c>
      <c r="O216" s="151">
        <f>O211-O214-O209</f>
        <v>-1241664.5543247066</v>
      </c>
      <c r="P216" s="151">
        <f>P211-P214</f>
        <v>582988.3793593921</v>
      </c>
      <c r="Q216" s="151">
        <f t="shared" ref="Q216:X216" si="120">Q211-Q214</f>
        <v>556353.28704215796</v>
      </c>
      <c r="R216" s="151">
        <f t="shared" si="120"/>
        <v>536781.01511263044</v>
      </c>
      <c r="S216" s="151">
        <f t="shared" si="120"/>
        <v>522128.886654053</v>
      </c>
      <c r="T216" s="151">
        <f t="shared" si="120"/>
        <v>520522.41247118847</v>
      </c>
      <c r="U216" s="151">
        <f t="shared" si="120"/>
        <v>518458.61738907738</v>
      </c>
      <c r="V216" s="151">
        <f t="shared" si="120"/>
        <v>499047.07438358857</v>
      </c>
      <c r="W216" s="151">
        <f t="shared" si="120"/>
        <v>479207.31848681066</v>
      </c>
      <c r="X216" s="152">
        <f t="shared" si="120"/>
        <v>475822.32956310792</v>
      </c>
      <c r="Y216" s="156">
        <f>D216*-0.3</f>
        <v>1765592.5211568789</v>
      </c>
    </row>
    <row r="217" spans="2:25" hidden="1" outlineLevel="1">
      <c r="B217" s="37">
        <f>IRR(D217:Y217,0.1)</f>
        <v>0.15029157777442625</v>
      </c>
      <c r="C217" s="125" t="s">
        <v>56</v>
      </c>
      <c r="D217" s="155">
        <f>-D235</f>
        <v>-1106079.6876946306</v>
      </c>
      <c r="E217" s="156">
        <f t="shared" ref="E217:M217" si="121">E216-E219-E222-E231-E213</f>
        <v>192697.87120857573</v>
      </c>
      <c r="F217" s="151">
        <f t="shared" si="121"/>
        <v>194933.16559856996</v>
      </c>
      <c r="G217" s="151">
        <f t="shared" si="121"/>
        <v>196888.14609208255</v>
      </c>
      <c r="H217" s="151">
        <f t="shared" si="121"/>
        <v>198551.36792343913</v>
      </c>
      <c r="I217" s="151">
        <f t="shared" si="121"/>
        <v>200012.85748409847</v>
      </c>
      <c r="J217" s="151">
        <f t="shared" si="121"/>
        <v>201243.88458684518</v>
      </c>
      <c r="K217" s="151">
        <f t="shared" si="121"/>
        <v>201335.77518420693</v>
      </c>
      <c r="L217" s="151">
        <f t="shared" si="121"/>
        <v>201238.71503999759</v>
      </c>
      <c r="M217" s="151">
        <f t="shared" si="121"/>
        <v>200952.91119866946</v>
      </c>
      <c r="N217" s="151">
        <f>N216-N219-N222-N231-N213</f>
        <v>200479.46682431895</v>
      </c>
      <c r="O217" s="151">
        <f>O216-O219-O222-O231-O213+O209</f>
        <v>34065.223395996494</v>
      </c>
      <c r="P217" s="151">
        <f>P216-P219-P222-P231-P213</f>
        <v>17238.479896959092</v>
      </c>
      <c r="Q217" s="151">
        <f>Q216-Q219-Q222-Q231-Q213</f>
        <v>17093.888463218929</v>
      </c>
      <c r="R217" s="151">
        <f t="shared" ref="R217:X217" si="122">R216-R219-R222-R231-R213</f>
        <v>16443.943733305954</v>
      </c>
      <c r="S217" s="151">
        <f t="shared" si="122"/>
        <v>15307.763274453187</v>
      </c>
      <c r="T217" s="151">
        <f t="shared" si="122"/>
        <v>13701.289091588653</v>
      </c>
      <c r="U217" s="151">
        <f t="shared" si="122"/>
        <v>11637.494009477567</v>
      </c>
      <c r="V217" s="151">
        <f t="shared" si="122"/>
        <v>9126.5649733923747</v>
      </c>
      <c r="W217" s="151">
        <f t="shared" si="122"/>
        <v>6176.0651065225247</v>
      </c>
      <c r="X217" s="152">
        <f t="shared" si="122"/>
        <v>2791.0761828197865</v>
      </c>
      <c r="Y217" s="156">
        <f>Y216</f>
        <v>1765592.5211568789</v>
      </c>
    </row>
    <row r="218" spans="2:25" hidden="1" outlineLevel="1">
      <c r="B218" s="21"/>
      <c r="C218" s="125"/>
      <c r="D218" s="155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2"/>
      <c r="Y218" s="156"/>
    </row>
    <row r="219" spans="2:25" hidden="1" outlineLevel="1">
      <c r="B219" s="452"/>
      <c r="C219" s="258" t="s">
        <v>57</v>
      </c>
      <c r="D219" s="151"/>
      <c r="E219" s="151">
        <f t="shared" ref="E219:W219" si="123">D223*Debt_Rate</f>
        <v>191590.44216934589</v>
      </c>
      <c r="F219" s="151">
        <f t="shared" si="123"/>
        <v>186095.75664683242</v>
      </c>
      <c r="G219" s="151">
        <f t="shared" si="123"/>
        <v>180298.86342058072</v>
      </c>
      <c r="H219" s="151">
        <f t="shared" si="123"/>
        <v>174183.14106688517</v>
      </c>
      <c r="I219" s="151">
        <f t="shared" si="123"/>
        <v>167731.0539837364</v>
      </c>
      <c r="J219" s="151">
        <f t="shared" si="123"/>
        <v>160924.10211101445</v>
      </c>
      <c r="K219" s="151">
        <f t="shared" si="123"/>
        <v>153742.76788529273</v>
      </c>
      <c r="L219" s="151">
        <f t="shared" si="123"/>
        <v>146166.46027715638</v>
      </c>
      <c r="M219" s="151">
        <f t="shared" si="123"/>
        <v>138173.4557505725</v>
      </c>
      <c r="N219" s="151">
        <f t="shared" si="123"/>
        <v>129740.83597502651</v>
      </c>
      <c r="O219" s="151">
        <f t="shared" si="123"/>
        <v>196005.13601185504</v>
      </c>
      <c r="P219" s="151">
        <f t="shared" si="123"/>
        <v>180768.69955659119</v>
      </c>
      <c r="Q219" s="151">
        <f t="shared" si="123"/>
        <v>164694.25909628786</v>
      </c>
      <c r="R219" s="151">
        <f t="shared" si="123"/>
        <v>147735.72441066787</v>
      </c>
      <c r="S219" s="151">
        <f t="shared" si="123"/>
        <v>129844.47031733874</v>
      </c>
      <c r="T219" s="151">
        <f t="shared" si="123"/>
        <v>110969.19724887653</v>
      </c>
      <c r="U219" s="151">
        <f t="shared" si="123"/>
        <v>91055.784161648888</v>
      </c>
      <c r="V219" s="151">
        <f t="shared" si="123"/>
        <v>70047.133354623729</v>
      </c>
      <c r="W219" s="151">
        <f t="shared" si="123"/>
        <v>47883.006753212198</v>
      </c>
      <c r="X219" s="152">
        <f>W223*Debt_Rate</f>
        <v>24499.853188723017</v>
      </c>
      <c r="Y219" s="156"/>
    </row>
    <row r="220" spans="2:25" hidden="1" outlineLevel="1">
      <c r="B220" s="452"/>
      <c r="C220" s="258" t="s">
        <v>113</v>
      </c>
      <c r="D220" s="151"/>
      <c r="E220" s="151">
        <f t="shared" ref="E220:X220" si="124">-PMT(Debt_Rate,20,$D234)</f>
        <v>291493.81530595408</v>
      </c>
      <c r="F220" s="151">
        <f t="shared" si="124"/>
        <v>291493.81530595408</v>
      </c>
      <c r="G220" s="151">
        <f t="shared" si="124"/>
        <v>291493.81530595408</v>
      </c>
      <c r="H220" s="151">
        <f t="shared" si="124"/>
        <v>291493.81530595408</v>
      </c>
      <c r="I220" s="151">
        <f t="shared" si="124"/>
        <v>291493.81530595408</v>
      </c>
      <c r="J220" s="151">
        <f t="shared" si="124"/>
        <v>291493.81530595408</v>
      </c>
      <c r="K220" s="151">
        <f t="shared" si="124"/>
        <v>291493.81530595408</v>
      </c>
      <c r="L220" s="151">
        <f t="shared" si="124"/>
        <v>291493.81530595408</v>
      </c>
      <c r="M220" s="151">
        <f t="shared" si="124"/>
        <v>291493.81530595408</v>
      </c>
      <c r="N220" s="151">
        <f t="shared" si="124"/>
        <v>291493.81530595408</v>
      </c>
      <c r="O220" s="151">
        <f t="shared" si="124"/>
        <v>291493.81530595408</v>
      </c>
      <c r="P220" s="151">
        <f t="shared" si="124"/>
        <v>291493.81530595408</v>
      </c>
      <c r="Q220" s="151">
        <f t="shared" si="124"/>
        <v>291493.81530595408</v>
      </c>
      <c r="R220" s="151">
        <f t="shared" si="124"/>
        <v>291493.81530595408</v>
      </c>
      <c r="S220" s="151">
        <f t="shared" si="124"/>
        <v>291493.81530595408</v>
      </c>
      <c r="T220" s="151">
        <f t="shared" si="124"/>
        <v>291493.81530595408</v>
      </c>
      <c r="U220" s="151">
        <f t="shared" si="124"/>
        <v>291493.81530595408</v>
      </c>
      <c r="V220" s="151">
        <f t="shared" si="124"/>
        <v>291493.81530595408</v>
      </c>
      <c r="W220" s="151">
        <f t="shared" si="124"/>
        <v>291493.81530595408</v>
      </c>
      <c r="X220" s="152">
        <f t="shared" si="124"/>
        <v>291493.81530595408</v>
      </c>
      <c r="Y220" s="156"/>
    </row>
    <row r="221" spans="2:25" hidden="1" outlineLevel="1">
      <c r="B221" s="452"/>
      <c r="C221" s="258" t="s">
        <v>161</v>
      </c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>
        <f t="shared" ref="O221:X221" si="125">-PMT(Debt_Rate,10,$O209)*$B234</f>
        <v>181537.43807433409</v>
      </c>
      <c r="P221" s="151">
        <f t="shared" si="125"/>
        <v>181537.43807433409</v>
      </c>
      <c r="Q221" s="151">
        <f t="shared" si="125"/>
        <v>181537.43807433409</v>
      </c>
      <c r="R221" s="151">
        <f t="shared" si="125"/>
        <v>181537.43807433409</v>
      </c>
      <c r="S221" s="151">
        <f t="shared" si="125"/>
        <v>181537.43807433409</v>
      </c>
      <c r="T221" s="151">
        <f t="shared" si="125"/>
        <v>181537.43807433409</v>
      </c>
      <c r="U221" s="151">
        <f t="shared" si="125"/>
        <v>181537.43807433409</v>
      </c>
      <c r="V221" s="151">
        <f t="shared" si="125"/>
        <v>181537.43807433409</v>
      </c>
      <c r="W221" s="151">
        <f t="shared" si="125"/>
        <v>181537.43807433409</v>
      </c>
      <c r="X221" s="152">
        <f t="shared" si="125"/>
        <v>181537.43807433409</v>
      </c>
      <c r="Y221" s="156"/>
    </row>
    <row r="222" spans="2:25" hidden="1" outlineLevel="1">
      <c r="B222" s="452"/>
      <c r="C222" s="258" t="s">
        <v>59</v>
      </c>
      <c r="D222" s="151"/>
      <c r="E222" s="156">
        <f>E221+E220-E219</f>
        <v>99903.373136608192</v>
      </c>
      <c r="F222" s="151">
        <f t="shared" ref="F222:L222" si="126">F221+F220-F219</f>
        <v>105398.05865912166</v>
      </c>
      <c r="G222" s="151">
        <f t="shared" si="126"/>
        <v>111194.95188537336</v>
      </c>
      <c r="H222" s="151">
        <f t="shared" si="126"/>
        <v>117310.6742390689</v>
      </c>
      <c r="I222" s="151">
        <f t="shared" si="126"/>
        <v>123762.76132221767</v>
      </c>
      <c r="J222" s="151">
        <f t="shared" si="126"/>
        <v>130569.71319493963</v>
      </c>
      <c r="K222" s="151">
        <f t="shared" si="126"/>
        <v>137751.04742066134</v>
      </c>
      <c r="L222" s="151">
        <f t="shared" si="126"/>
        <v>145327.3550287977</v>
      </c>
      <c r="M222" s="151">
        <f>M221+M220-M219</f>
        <v>153320.35955538158</v>
      </c>
      <c r="N222" s="151">
        <f>N221+N220-N219</f>
        <v>161752.97933092757</v>
      </c>
      <c r="O222" s="151">
        <f>O221+O220-O219</f>
        <v>277026.1173684331</v>
      </c>
      <c r="P222" s="151">
        <f>P221+P220-P219</f>
        <v>292262.55382369692</v>
      </c>
      <c r="Q222" s="151">
        <f t="shared" ref="Q222:X222" si="127">Q221+Q220-Q219</f>
        <v>308336.99428400025</v>
      </c>
      <c r="R222" s="151">
        <f t="shared" si="127"/>
        <v>325295.52896962024</v>
      </c>
      <c r="S222" s="151">
        <f t="shared" si="127"/>
        <v>343186.78306294943</v>
      </c>
      <c r="T222" s="151">
        <f t="shared" si="127"/>
        <v>362062.05613141158</v>
      </c>
      <c r="U222" s="151">
        <f t="shared" si="127"/>
        <v>381975.46921863925</v>
      </c>
      <c r="V222" s="151">
        <f t="shared" si="127"/>
        <v>402984.12002566439</v>
      </c>
      <c r="W222" s="151">
        <f t="shared" si="127"/>
        <v>425148.24662707595</v>
      </c>
      <c r="X222" s="152">
        <f t="shared" si="127"/>
        <v>448531.4001915651</v>
      </c>
      <c r="Y222" s="156"/>
    </row>
    <row r="223" spans="2:25" hidden="1" outlineLevel="1">
      <c r="B223" s="452"/>
      <c r="C223" s="258" t="s">
        <v>60</v>
      </c>
      <c r="D223" s="151">
        <f>D234</f>
        <v>3483462.5848971978</v>
      </c>
      <c r="E223" s="151">
        <f>D223-E222+(F209*$B$76)</f>
        <v>3383559.2117605894</v>
      </c>
      <c r="F223" s="151">
        <f t="shared" ref="F223:L223" si="128">E223-F222+(G209*$B$76)</f>
        <v>3278161.1531014675</v>
      </c>
      <c r="G223" s="151">
        <f t="shared" si="128"/>
        <v>3166966.2012160942</v>
      </c>
      <c r="H223" s="151">
        <f t="shared" si="128"/>
        <v>3049655.5269770254</v>
      </c>
      <c r="I223" s="151">
        <f t="shared" si="128"/>
        <v>2925892.7656548079</v>
      </c>
      <c r="J223" s="151">
        <f t="shared" si="128"/>
        <v>2795323.0524598681</v>
      </c>
      <c r="K223" s="151">
        <f t="shared" si="128"/>
        <v>2657572.0050392067</v>
      </c>
      <c r="L223" s="151">
        <f t="shared" si="128"/>
        <v>2512244.6500104088</v>
      </c>
      <c r="M223" s="151">
        <f>L223-M222+(N209*$B$76)</f>
        <v>2358924.2904550275</v>
      </c>
      <c r="N223" s="151">
        <f>M223-N222+(O209*$B$76)</f>
        <v>3563729.7456700914</v>
      </c>
      <c r="O223" s="151">
        <f t="shared" ref="O223:X223" si="129">N223-O222+(P209*$B$76)</f>
        <v>3286703.6283016582</v>
      </c>
      <c r="P223" s="151">
        <f t="shared" si="129"/>
        <v>2994441.0744779613</v>
      </c>
      <c r="Q223" s="151">
        <f t="shared" si="129"/>
        <v>2686104.080193961</v>
      </c>
      <c r="R223" s="151">
        <f t="shared" si="129"/>
        <v>2360808.5512243407</v>
      </c>
      <c r="S223" s="151">
        <f t="shared" si="129"/>
        <v>2017621.7681613914</v>
      </c>
      <c r="T223" s="151">
        <f t="shared" si="129"/>
        <v>1655559.7120299798</v>
      </c>
      <c r="U223" s="151">
        <f t="shared" si="129"/>
        <v>1273584.2428113406</v>
      </c>
      <c r="V223" s="151">
        <f t="shared" si="129"/>
        <v>870600.12278567627</v>
      </c>
      <c r="W223" s="151">
        <f t="shared" si="129"/>
        <v>445451.87615860032</v>
      </c>
      <c r="X223" s="152">
        <f t="shared" si="129"/>
        <v>-3079.5240329647786</v>
      </c>
      <c r="Y223" s="156"/>
    </row>
    <row r="224" spans="2:25" hidden="1" outlineLevel="1">
      <c r="B224" s="452"/>
      <c r="C224" s="125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2"/>
      <c r="Y224" s="156"/>
    </row>
    <row r="225" spans="2:25" hidden="1" outlineLevel="1">
      <c r="B225" s="452"/>
      <c r="C225" s="258" t="s">
        <v>162</v>
      </c>
      <c r="D225" s="151">
        <f>-INDEX('DATA (Nominal)'!$B$65:$BX$65,1,MATCH($B$1,'DATA (Nominal)'!$B$1:$BX$1,0))*1000000*(1+AFUDC!$C$16)*'Resource Options'!$E$16/1000</f>
        <v>-2986651.6702067405</v>
      </c>
      <c r="E225" s="151">
        <f t="shared" ref="E225:X225" si="130">-$D225/20</f>
        <v>149332.58351033702</v>
      </c>
      <c r="F225" s="151">
        <f t="shared" si="130"/>
        <v>149332.58351033702</v>
      </c>
      <c r="G225" s="151">
        <f t="shared" si="130"/>
        <v>149332.58351033702</v>
      </c>
      <c r="H225" s="151">
        <f t="shared" si="130"/>
        <v>149332.58351033702</v>
      </c>
      <c r="I225" s="151">
        <f t="shared" si="130"/>
        <v>149332.58351033702</v>
      </c>
      <c r="J225" s="151">
        <f t="shared" si="130"/>
        <v>149332.58351033702</v>
      </c>
      <c r="K225" s="151">
        <f t="shared" si="130"/>
        <v>149332.58351033702</v>
      </c>
      <c r="L225" s="151">
        <f t="shared" si="130"/>
        <v>149332.58351033702</v>
      </c>
      <c r="M225" s="151">
        <f t="shared" si="130"/>
        <v>149332.58351033702</v>
      </c>
      <c r="N225" s="151">
        <f t="shared" si="130"/>
        <v>149332.58351033702</v>
      </c>
      <c r="O225" s="151">
        <f t="shared" si="130"/>
        <v>149332.58351033702</v>
      </c>
      <c r="P225" s="151">
        <f t="shared" si="130"/>
        <v>149332.58351033702</v>
      </c>
      <c r="Q225" s="151">
        <f t="shared" si="130"/>
        <v>149332.58351033702</v>
      </c>
      <c r="R225" s="151">
        <f t="shared" si="130"/>
        <v>149332.58351033702</v>
      </c>
      <c r="S225" s="151">
        <f t="shared" si="130"/>
        <v>149332.58351033702</v>
      </c>
      <c r="T225" s="151">
        <f t="shared" si="130"/>
        <v>149332.58351033702</v>
      </c>
      <c r="U225" s="151">
        <f t="shared" si="130"/>
        <v>149332.58351033702</v>
      </c>
      <c r="V225" s="151">
        <f t="shared" si="130"/>
        <v>149332.58351033702</v>
      </c>
      <c r="W225" s="151">
        <f t="shared" si="130"/>
        <v>149332.58351033702</v>
      </c>
      <c r="X225" s="152">
        <f t="shared" si="130"/>
        <v>149332.58351033702</v>
      </c>
      <c r="Y225" s="156"/>
    </row>
    <row r="226" spans="2:25" hidden="1" outlineLevel="1">
      <c r="B226" s="452"/>
      <c r="C226" s="258" t="s">
        <v>163</v>
      </c>
      <c r="D226" s="151">
        <f>-INDEX('DATA (Nominal)'!$B$66:$BX$66,1,MATCH($B$1,'DATA (Nominal)'!$B$1:$BX$1,0))*1000000*(1+AFUDC!$D$16)*'Resource Options'!$D$16/1000</f>
        <v>-2898656.733649523</v>
      </c>
      <c r="E226" s="151">
        <f t="shared" ref="E226:N226" si="131">-$D226/10</f>
        <v>289865.67336495232</v>
      </c>
      <c r="F226" s="151">
        <f t="shared" si="131"/>
        <v>289865.67336495232</v>
      </c>
      <c r="G226" s="151">
        <f t="shared" si="131"/>
        <v>289865.67336495232</v>
      </c>
      <c r="H226" s="151">
        <f t="shared" si="131"/>
        <v>289865.67336495232</v>
      </c>
      <c r="I226" s="151">
        <f t="shared" si="131"/>
        <v>289865.67336495232</v>
      </c>
      <c r="J226" s="151">
        <f t="shared" si="131"/>
        <v>289865.67336495232</v>
      </c>
      <c r="K226" s="151">
        <f t="shared" si="131"/>
        <v>289865.67336495232</v>
      </c>
      <c r="L226" s="151">
        <f t="shared" si="131"/>
        <v>289865.67336495232</v>
      </c>
      <c r="M226" s="151">
        <f t="shared" si="131"/>
        <v>289865.67336495232</v>
      </c>
      <c r="N226" s="151">
        <f t="shared" si="131"/>
        <v>289865.67336495232</v>
      </c>
      <c r="O226" s="151">
        <f t="shared" ref="O226:X226" si="132">$O209/10</f>
        <v>180284.75389788809</v>
      </c>
      <c r="P226" s="151">
        <f t="shared" si="132"/>
        <v>180284.75389788809</v>
      </c>
      <c r="Q226" s="151">
        <f t="shared" si="132"/>
        <v>180284.75389788809</v>
      </c>
      <c r="R226" s="151">
        <f t="shared" si="132"/>
        <v>180284.75389788809</v>
      </c>
      <c r="S226" s="151">
        <f t="shared" si="132"/>
        <v>180284.75389788809</v>
      </c>
      <c r="T226" s="151">
        <f t="shared" si="132"/>
        <v>180284.75389788809</v>
      </c>
      <c r="U226" s="151">
        <f t="shared" si="132"/>
        <v>180284.75389788809</v>
      </c>
      <c r="V226" s="151">
        <f t="shared" si="132"/>
        <v>180284.75389788809</v>
      </c>
      <c r="W226" s="151">
        <f t="shared" si="132"/>
        <v>180284.75389788809</v>
      </c>
      <c r="X226" s="152">
        <f t="shared" si="132"/>
        <v>180284.75389788809</v>
      </c>
      <c r="Y226" s="156"/>
    </row>
    <row r="227" spans="2:25" hidden="1" outlineLevel="1">
      <c r="B227" s="452"/>
      <c r="C227" s="125" t="s">
        <v>62</v>
      </c>
      <c r="D227" s="151"/>
      <c r="E227" s="151">
        <f>SUM($E225:E226)</f>
        <v>439198.25687528937</v>
      </c>
      <c r="F227" s="151">
        <f>SUM($E225:F226)</f>
        <v>878396.51375057863</v>
      </c>
      <c r="G227" s="151">
        <f>SUM($E225:G226)</f>
        <v>1317594.7706258679</v>
      </c>
      <c r="H227" s="151">
        <f>SUM($E225:H226)</f>
        <v>1756793.027501157</v>
      </c>
      <c r="I227" s="151">
        <f>SUM($E225:I226)</f>
        <v>2195991.2843764466</v>
      </c>
      <c r="J227" s="151">
        <f>SUM($E225:J226)</f>
        <v>2635189.5412517358</v>
      </c>
      <c r="K227" s="151">
        <f>SUM($E225:K226)</f>
        <v>3074387.7981270249</v>
      </c>
      <c r="L227" s="151">
        <f>SUM($E225:L226)</f>
        <v>3513586.055002314</v>
      </c>
      <c r="M227" s="151">
        <f>SUM($E225:M226)</f>
        <v>3952784.3118776032</v>
      </c>
      <c r="N227" s="151">
        <f>SUM($E225:N226)</f>
        <v>4391982.5687528923</v>
      </c>
      <c r="O227" s="151">
        <f>SUM($E225:O226)</f>
        <v>4721599.9061611174</v>
      </c>
      <c r="P227" s="151">
        <f>SUM($E225:P226)</f>
        <v>5051217.2435693415</v>
      </c>
      <c r="Q227" s="151">
        <f>SUM($E225:Q226)</f>
        <v>5380834.5809775665</v>
      </c>
      <c r="R227" s="151">
        <f>SUM($E225:R226)</f>
        <v>5710451.9183857907</v>
      </c>
      <c r="S227" s="151">
        <f>SUM($E225:S226)</f>
        <v>6040069.2557940157</v>
      </c>
      <c r="T227" s="151">
        <f>SUM($E225:T226)</f>
        <v>6369686.5932022398</v>
      </c>
      <c r="U227" s="151">
        <f>SUM($E225:U226)</f>
        <v>6699303.9306104649</v>
      </c>
      <c r="V227" s="151">
        <f>SUM($E225:V226)</f>
        <v>7028921.268018689</v>
      </c>
      <c r="W227" s="151">
        <f>SUM($E225:W226)</f>
        <v>7358538.6054269141</v>
      </c>
      <c r="X227" s="152">
        <f>SUM($E225:X226)</f>
        <v>7688155.9428351382</v>
      </c>
      <c r="Y227" s="156"/>
    </row>
    <row r="228" spans="2:25" hidden="1" outlineLevel="1">
      <c r="B228" s="452"/>
      <c r="C228" s="125" t="s">
        <v>63</v>
      </c>
      <c r="D228" s="151"/>
      <c r="E228" s="151">
        <f>-$D216-E227</f>
        <v>5446110.1469809739</v>
      </c>
      <c r="F228" s="151">
        <f t="shared" ref="F228:G228" si="133">-$D216-F227</f>
        <v>5006911.8901056852</v>
      </c>
      <c r="G228" s="151">
        <f t="shared" si="133"/>
        <v>4567713.6332303956</v>
      </c>
      <c r="H228" s="156">
        <f>-$D216-H227</f>
        <v>4128515.3763551065</v>
      </c>
      <c r="I228" s="151">
        <f t="shared" ref="I228:L228" si="134">-$D216-I227</f>
        <v>3689317.1194798169</v>
      </c>
      <c r="J228" s="151">
        <f t="shared" si="134"/>
        <v>3250118.8626045277</v>
      </c>
      <c r="K228" s="151">
        <f t="shared" si="134"/>
        <v>2810920.6057292386</v>
      </c>
      <c r="L228" s="151">
        <f t="shared" si="134"/>
        <v>2371722.3488539495</v>
      </c>
      <c r="M228" s="151">
        <f>-$D216-M227</f>
        <v>1932524.0919786603</v>
      </c>
      <c r="N228" s="151">
        <f>-$D216-N227</f>
        <v>1493325.8351033712</v>
      </c>
      <c r="O228" s="151">
        <f>-$D216-O227+$O209</f>
        <v>2966556.0366740273</v>
      </c>
      <c r="P228" s="151">
        <f t="shared" ref="P228:X228" si="135">-$D216-P227+$O209</f>
        <v>2636938.6992658032</v>
      </c>
      <c r="Q228" s="151">
        <f t="shared" si="135"/>
        <v>2307321.3618575782</v>
      </c>
      <c r="R228" s="151">
        <f t="shared" si="135"/>
        <v>1977704.0244493538</v>
      </c>
      <c r="S228" s="151">
        <f t="shared" si="135"/>
        <v>1648086.6870411288</v>
      </c>
      <c r="T228" s="151">
        <f t="shared" si="135"/>
        <v>1318469.3496329046</v>
      </c>
      <c r="U228" s="151">
        <f t="shared" si="135"/>
        <v>988852.01222467958</v>
      </c>
      <c r="V228" s="151">
        <f t="shared" si="135"/>
        <v>659234.67481645546</v>
      </c>
      <c r="W228" s="151">
        <f t="shared" si="135"/>
        <v>329617.33740823041</v>
      </c>
      <c r="X228" s="152">
        <f t="shared" si="135"/>
        <v>6.28642737865448E-9</v>
      </c>
      <c r="Y228" s="156"/>
    </row>
    <row r="229" spans="2:25" hidden="1" outlineLevel="1">
      <c r="B229" s="452"/>
      <c r="C229" s="125" t="s">
        <v>64</v>
      </c>
      <c r="D229" s="151">
        <f>-D216</f>
        <v>5885308.4038562635</v>
      </c>
      <c r="E229" s="151">
        <f>D229/(($D229/$Y229)^(1/21))</f>
        <v>5557381.844665559</v>
      </c>
      <c r="F229" s="151">
        <f t="shared" ref="F229:J229" si="136">E229/(($D229/$Y229)^(1/21))</f>
        <v>5247727.1959412955</v>
      </c>
      <c r="G229" s="151">
        <f t="shared" si="136"/>
        <v>4955326.3556031855</v>
      </c>
      <c r="H229" s="151">
        <f t="shared" si="136"/>
        <v>4679217.9497301439</v>
      </c>
      <c r="I229" s="151">
        <f t="shared" si="136"/>
        <v>4418494.1716944901</v>
      </c>
      <c r="J229" s="156">
        <f t="shared" si="136"/>
        <v>4172297.7974180705</v>
      </c>
      <c r="K229" s="156">
        <f>J229/(($D229/$Y229)^(1/21))</f>
        <v>3939819.3669368802</v>
      </c>
      <c r="L229" s="151">
        <f t="shared" ref="L229:M229" si="137">K229/(($D229/$Y229)^(1/21))</f>
        <v>3720294.5230075521</v>
      </c>
      <c r="M229" s="151">
        <f t="shared" si="137"/>
        <v>3513001.4980054107</v>
      </c>
      <c r="N229" s="151">
        <f>M229/(($D229/$Y229)^(1/21))</f>
        <v>3317258.7408513646</v>
      </c>
      <c r="O229" s="151">
        <f>(N229+O209)/(($D229/($Y229+O209))^(1/21))</f>
        <v>4999560.1064340696</v>
      </c>
      <c r="P229" s="151">
        <f>O229/(($O229/$Y229)^(1/11))</f>
        <v>4548174.606785981</v>
      </c>
      <c r="Q229" s="151">
        <f>P229/(($O229/$Y229)^(1/11))</f>
        <v>4137542.4664245113</v>
      </c>
      <c r="R229" s="151">
        <f t="shared" ref="R229:X229" si="138">Q229/(($O229/$Y229)^(1/11))</f>
        <v>3763984.2665503439</v>
      </c>
      <c r="S229" s="151">
        <f t="shared" si="138"/>
        <v>3424152.7848490095</v>
      </c>
      <c r="T229" s="151">
        <f t="shared" si="138"/>
        <v>3115003.0031169383</v>
      </c>
      <c r="U229" s="151">
        <f t="shared" si="138"/>
        <v>2833764.8227502839</v>
      </c>
      <c r="V229" s="151">
        <f t="shared" si="138"/>
        <v>2577918.2436170159</v>
      </c>
      <c r="W229" s="151">
        <f t="shared" si="138"/>
        <v>2345170.7839056151</v>
      </c>
      <c r="X229" s="152">
        <f t="shared" si="138"/>
        <v>2133436.9386237022</v>
      </c>
      <c r="Y229" s="156">
        <f>Y216</f>
        <v>1765592.5211568789</v>
      </c>
    </row>
    <row r="230" spans="2:25" hidden="1" outlineLevel="1">
      <c r="B230" s="452"/>
      <c r="C230" s="258" t="s">
        <v>65</v>
      </c>
      <c r="D230" s="151"/>
      <c r="E230" s="151">
        <f>-$D216*Assumptions!J$16*INDEX('DATA (Nominal)'!$B$346:$BX$346,1,MATCH($B$1,'DATA (Nominal)'!$B$1:$BX$1,0))</f>
        <v>1000502.4286555649</v>
      </c>
      <c r="F230" s="151">
        <f>-$D216*Assumptions!K$16*INDEX('DATA (Nominal)'!$B$346:$BX$346,1,MATCH($B$1,'DATA (Nominal)'!$B$1:$BX$1,0))</f>
        <v>1600803.8858489036</v>
      </c>
      <c r="G230" s="151">
        <f>-$D216*Assumptions!L$16*INDEX('DATA (Nominal)'!$B$346:$BX$346,1,MATCH($B$1,'DATA (Nominal)'!$B$1:$BX$1,0))</f>
        <v>960482.3315093423</v>
      </c>
      <c r="H230" s="151">
        <f>-$D216*Assumptions!M$16*INDEX('DATA (Nominal)'!$B$346:$BX$346,1,MATCH($B$1,'DATA (Nominal)'!$B$1:$BX$1,0))</f>
        <v>576289.39890560531</v>
      </c>
      <c r="I230" s="151">
        <f>-$D216*Assumptions!N$16*INDEX('DATA (Nominal)'!$B$346:$BX$346,1,MATCH($B$1,'DATA (Nominal)'!$B$1:$BX$1,0))</f>
        <v>576289.39890560531</v>
      </c>
      <c r="J230" s="151">
        <f>-$D216*Assumptions!O$16*INDEX('DATA (Nominal)'!$B$346:$BX$346,1,MATCH($B$1,'DATA (Nominal)'!$B$1:$BX$1,0))</f>
        <v>288144.69945280266</v>
      </c>
      <c r="K230" s="151">
        <f>-$D216*Assumptions!P$16*INDEX('DATA (Nominal)'!$B$346:$BX$346,1,MATCH($B$1,'DATA (Nominal)'!$B$1:$BX$1,0))</f>
        <v>0</v>
      </c>
      <c r="L230" s="151">
        <f>-$D216*Assumptions!Q$16*INDEX('DATA (Nominal)'!$B$346:$BX$346,1,MATCH($B$1,'DATA (Nominal)'!$B$1:$BX$1,0))</f>
        <v>0</v>
      </c>
      <c r="M230" s="151">
        <f>-$D216*Assumptions!R$16*INDEX('DATA (Nominal)'!$B$346:$BX$346,1,MATCH($B$1,'DATA (Nominal)'!$B$1:$BX$1,0))</f>
        <v>0</v>
      </c>
      <c r="N230" s="151">
        <f>-$D216*Assumptions!S$16*INDEX('DATA (Nominal)'!$B$346:$BX$346,1,MATCH($B$1,'DATA (Nominal)'!$B$1:$BX$1,0))</f>
        <v>0</v>
      </c>
      <c r="O230" s="151">
        <f>$O209*Assumptions!T$16</f>
        <v>257554.79941852292</v>
      </c>
      <c r="P230" s="151">
        <f>$O209*Assumptions!U$16</f>
        <v>441517.36229592795</v>
      </c>
      <c r="Q230" s="151">
        <f>$O209*Assumptions!V$16</f>
        <v>315372.11999357567</v>
      </c>
      <c r="R230" s="151">
        <f>$O209*Assumptions!W$16</f>
        <v>225265.79999541119</v>
      </c>
      <c r="S230" s="151">
        <f>$O209*Assumptions!X$16</f>
        <v>160904.14285386511</v>
      </c>
      <c r="T230" s="151">
        <f>$O209*Assumptions!Y$16</f>
        <v>160904.14285386511</v>
      </c>
      <c r="U230" s="151">
        <f>$O209*Assumptions!Z$16</f>
        <v>160904.14285386511</v>
      </c>
      <c r="V230" s="151">
        <f>$O209*Assumptions!AA$16</f>
        <v>80425.028713847874</v>
      </c>
      <c r="W230" s="151">
        <f>$O209*Assumptions!AB$16</f>
        <v>0</v>
      </c>
      <c r="X230" s="160">
        <f>$O209*Assumptions!AC$16</f>
        <v>0</v>
      </c>
      <c r="Y230" s="156"/>
    </row>
    <row r="231" spans="2:25" ht="15.75" hidden="1" outlineLevel="1" thickBot="1">
      <c r="B231" s="452"/>
      <c r="C231" s="127" t="s">
        <v>66</v>
      </c>
      <c r="D231" s="157"/>
      <c r="E231" s="157">
        <f>E230*Federal_Tax_Rate</f>
        <v>210105.51001766862</v>
      </c>
      <c r="F231" s="157">
        <f>F230*Federal_Tax_Rate</f>
        <v>336168.81602826976</v>
      </c>
      <c r="G231" s="157">
        <f t="shared" ref="G231:M231" si="139">G230*Federal_Tax_Rate</f>
        <v>201701.28961696188</v>
      </c>
      <c r="H231" s="157">
        <f t="shared" si="139"/>
        <v>121020.77377017711</v>
      </c>
      <c r="I231" s="157">
        <f t="shared" si="139"/>
        <v>121020.77377017711</v>
      </c>
      <c r="J231" s="157">
        <f t="shared" si="139"/>
        <v>60510.386885088556</v>
      </c>
      <c r="K231" s="157">
        <f t="shared" si="139"/>
        <v>0</v>
      </c>
      <c r="L231" s="157">
        <f t="shared" si="139"/>
        <v>0</v>
      </c>
      <c r="M231" s="157">
        <f t="shared" si="139"/>
        <v>0</v>
      </c>
      <c r="N231" s="157">
        <f>N230*Federal_Tax_Rate</f>
        <v>0</v>
      </c>
      <c r="O231" s="157">
        <f>O230*Federal_Tax_Rate</f>
        <v>54086.50787788981</v>
      </c>
      <c r="P231" s="157">
        <f t="shared" ref="P231:X231" si="140">P230*Federal_Tax_Rate</f>
        <v>92718.646082144871</v>
      </c>
      <c r="Q231" s="157">
        <f t="shared" si="140"/>
        <v>66228.145198650891</v>
      </c>
      <c r="R231" s="157">
        <f t="shared" si="140"/>
        <v>47305.81799903635</v>
      </c>
      <c r="S231" s="157">
        <f t="shared" si="140"/>
        <v>33789.869999311675</v>
      </c>
      <c r="T231" s="157">
        <f t="shared" si="140"/>
        <v>33789.869999311675</v>
      </c>
      <c r="U231" s="157">
        <f t="shared" si="140"/>
        <v>33789.869999311675</v>
      </c>
      <c r="V231" s="157">
        <f t="shared" si="140"/>
        <v>16889.256029908054</v>
      </c>
      <c r="W231" s="157">
        <f t="shared" si="140"/>
        <v>0</v>
      </c>
      <c r="X231" s="158">
        <f t="shared" si="140"/>
        <v>0</v>
      </c>
      <c r="Y231" s="156"/>
    </row>
    <row r="232" spans="2:25" hidden="1" outlineLevel="1">
      <c r="B232" s="452"/>
      <c r="C232" s="128" t="s">
        <v>67</v>
      </c>
      <c r="D232" s="104">
        <f>NPV(Tax_Equity_Rate,E231:X231)</f>
        <v>986668.25202568388</v>
      </c>
      <c r="E232" s="105">
        <f>D232/D236</f>
        <v>0.16764937099629032</v>
      </c>
      <c r="F232" s="254"/>
      <c r="G232" s="254"/>
      <c r="H232" s="254"/>
      <c r="I232" s="254"/>
      <c r="J232" s="254"/>
      <c r="K232" s="254"/>
      <c r="L232" s="254"/>
      <c r="M232" s="261"/>
      <c r="N232" s="261"/>
      <c r="O232" s="261"/>
      <c r="P232" s="261"/>
      <c r="Q232" s="261"/>
      <c r="R232" s="261"/>
      <c r="S232" s="261"/>
      <c r="T232" s="261"/>
      <c r="U232" s="261"/>
      <c r="V232" s="261"/>
      <c r="W232" s="261"/>
      <c r="X232" s="261"/>
      <c r="Y232" s="261"/>
    </row>
    <row r="233" spans="2:25" hidden="1" outlineLevel="1">
      <c r="B233" s="452"/>
      <c r="C233" s="125" t="s">
        <v>79</v>
      </c>
      <c r="D233" s="106">
        <f>NPV(Tax_Equity_Rate,E213:X213)</f>
        <v>309097.87923875183</v>
      </c>
      <c r="E233" s="107">
        <f>D233/D236</f>
        <v>5.2520251791090489E-2</v>
      </c>
    </row>
    <row r="234" spans="2:25" hidden="1" outlineLevel="1">
      <c r="B234" s="22">
        <f>Assumptions!F16</f>
        <v>0.75900000000000001</v>
      </c>
      <c r="C234" s="125" t="s">
        <v>68</v>
      </c>
      <c r="D234" s="106">
        <f>(D236-D232-D233)*$B234</f>
        <v>3483462.5848971978</v>
      </c>
      <c r="E234" s="107">
        <f>D234/D236</f>
        <v>0.59189125630437811</v>
      </c>
    </row>
    <row r="235" spans="2:25" hidden="1" outlineLevel="1">
      <c r="B235" s="22">
        <f>1-B234</f>
        <v>0.24099999999999999</v>
      </c>
      <c r="C235" s="125" t="s">
        <v>69</v>
      </c>
      <c r="D235" s="106">
        <f>(D236-D232-D233)*$B235</f>
        <v>1106079.6876946306</v>
      </c>
      <c r="E235" s="107">
        <f>D235/D236</f>
        <v>0.18793912090824125</v>
      </c>
    </row>
    <row r="236" spans="2:25" hidden="1" outlineLevel="1">
      <c r="C236" s="125" t="s">
        <v>70</v>
      </c>
      <c r="D236" s="106">
        <f>-D216</f>
        <v>5885308.4038562635</v>
      </c>
      <c r="E236" s="108"/>
    </row>
    <row r="237" spans="2:25" ht="15.75" hidden="1" outlineLevel="1" thickBot="1">
      <c r="C237" s="127" t="s">
        <v>71</v>
      </c>
      <c r="D237" s="109">
        <f>SUM(D232:D235)-D236</f>
        <v>0</v>
      </c>
      <c r="E237" s="110"/>
    </row>
    <row r="238" spans="2:25" hidden="1" outlineLevel="1"/>
    <row r="239" spans="2:25" ht="15.75" collapsed="1" thickBot="1"/>
    <row r="240" spans="2:25" ht="18.75" thickBot="1">
      <c r="B240" s="82"/>
      <c r="C240" s="484" t="s">
        <v>8</v>
      </c>
      <c r="D240" s="485"/>
      <c r="E240" s="485"/>
      <c r="F240" s="485"/>
      <c r="G240" s="485"/>
      <c r="H240" s="486"/>
      <c r="Y240" s="261"/>
    </row>
    <row r="241" spans="2:25" hidden="1" outlineLevel="1">
      <c r="C241" s="124" t="s">
        <v>44</v>
      </c>
      <c r="D241" s="98"/>
      <c r="E241" s="98">
        <f>'Resource Options'!$E$17*INDEX('DATA (Nominal)'!$B$17:$BX$17,1,MATCH($B$1,'DATA (Nominal)'!$B$1:$BX$1,0))*8760</f>
        <v>12034.754758988021</v>
      </c>
      <c r="F241" s="98">
        <f>E241</f>
        <v>12034.754758988021</v>
      </c>
      <c r="G241" s="98">
        <f t="shared" ref="G241:X242" si="141">F241</f>
        <v>12034.754758988021</v>
      </c>
      <c r="H241" s="98">
        <f t="shared" si="141"/>
        <v>12034.754758988021</v>
      </c>
      <c r="I241" s="98">
        <f t="shared" si="141"/>
        <v>12034.754758988021</v>
      </c>
      <c r="J241" s="98">
        <f t="shared" si="141"/>
        <v>12034.754758988021</v>
      </c>
      <c r="K241" s="98">
        <f t="shared" si="141"/>
        <v>12034.754758988021</v>
      </c>
      <c r="L241" s="98">
        <f t="shared" si="141"/>
        <v>12034.754758988021</v>
      </c>
      <c r="M241" s="142">
        <f t="shared" si="141"/>
        <v>12034.754758988021</v>
      </c>
      <c r="N241" s="142">
        <f t="shared" si="141"/>
        <v>12034.754758988021</v>
      </c>
      <c r="O241" s="142">
        <f t="shared" si="141"/>
        <v>12034.754758988021</v>
      </c>
      <c r="P241" s="142">
        <f t="shared" si="141"/>
        <v>12034.754758988021</v>
      </c>
      <c r="Q241" s="142">
        <f t="shared" si="141"/>
        <v>12034.754758988021</v>
      </c>
      <c r="R241" s="142">
        <f t="shared" si="141"/>
        <v>12034.754758988021</v>
      </c>
      <c r="S241" s="142">
        <f t="shared" si="141"/>
        <v>12034.754758988021</v>
      </c>
      <c r="T241" s="142">
        <f t="shared" si="141"/>
        <v>12034.754758988021</v>
      </c>
      <c r="U241" s="142">
        <f t="shared" si="141"/>
        <v>12034.754758988021</v>
      </c>
      <c r="V241" s="142">
        <f t="shared" si="141"/>
        <v>12034.754758988021</v>
      </c>
      <c r="W241" s="142">
        <f t="shared" si="141"/>
        <v>12034.754758988021</v>
      </c>
      <c r="X241" s="454">
        <f t="shared" si="141"/>
        <v>12034.754758988021</v>
      </c>
      <c r="Y241" s="261"/>
    </row>
    <row r="242" spans="2:25" hidden="1" outlineLevel="1">
      <c r="C242" s="125" t="s">
        <v>45</v>
      </c>
      <c r="D242" s="114"/>
      <c r="E242" s="117">
        <f>INDEX('PPA Summary'!$3:$34,MATCH(_xlfn.CONCAT($C240,$C$1),'PPA Summary'!$D$3:$D$34,0),MATCH(B$1,'PPA Summary'!$2:$2,0))</f>
        <v>60.953136818214794</v>
      </c>
      <c r="F242" s="112">
        <f>E242</f>
        <v>60.953136818214794</v>
      </c>
      <c r="G242" s="112">
        <f t="shared" si="141"/>
        <v>60.953136818214794</v>
      </c>
      <c r="H242" s="112">
        <f t="shared" si="141"/>
        <v>60.953136818214794</v>
      </c>
      <c r="I242" s="112">
        <f t="shared" si="141"/>
        <v>60.953136818214794</v>
      </c>
      <c r="J242" s="112">
        <f t="shared" si="141"/>
        <v>60.953136818214794</v>
      </c>
      <c r="K242" s="112">
        <f t="shared" si="141"/>
        <v>60.953136818214794</v>
      </c>
      <c r="L242" s="112">
        <f t="shared" si="141"/>
        <v>60.953136818214794</v>
      </c>
      <c r="M242" s="117">
        <f t="shared" si="141"/>
        <v>60.953136818214794</v>
      </c>
      <c r="N242" s="117">
        <f t="shared" si="141"/>
        <v>60.953136818214794</v>
      </c>
      <c r="O242" s="117">
        <f t="shared" si="141"/>
        <v>60.953136818214794</v>
      </c>
      <c r="P242" s="117">
        <f t="shared" si="141"/>
        <v>60.953136818214794</v>
      </c>
      <c r="Q242" s="117">
        <f t="shared" si="141"/>
        <v>60.953136818214794</v>
      </c>
      <c r="R242" s="117">
        <f t="shared" si="141"/>
        <v>60.953136818214794</v>
      </c>
      <c r="S242" s="117">
        <f t="shared" si="141"/>
        <v>60.953136818214794</v>
      </c>
      <c r="T242" s="117">
        <f t="shared" si="141"/>
        <v>60.953136818214794</v>
      </c>
      <c r="U242" s="117">
        <f t="shared" si="141"/>
        <v>60.953136818214794</v>
      </c>
      <c r="V242" s="117">
        <f t="shared" si="141"/>
        <v>60.953136818214794</v>
      </c>
      <c r="W242" s="117">
        <f t="shared" si="141"/>
        <v>60.953136818214794</v>
      </c>
      <c r="X242" s="161">
        <f t="shared" si="141"/>
        <v>60.953136818214794</v>
      </c>
      <c r="Y242" s="261"/>
    </row>
    <row r="243" spans="2:25" hidden="1" outlineLevel="1">
      <c r="C243" s="258" t="s">
        <v>46</v>
      </c>
      <c r="D243" s="114"/>
      <c r="E243" s="114">
        <f>E242*E241</f>
        <v>733556.05339825852</v>
      </c>
      <c r="F243" s="114">
        <f t="shared" ref="F243:X243" si="142">F242*F241</f>
        <v>733556.05339825852</v>
      </c>
      <c r="G243" s="114">
        <f t="shared" si="142"/>
        <v>733556.05339825852</v>
      </c>
      <c r="H243" s="114">
        <f t="shared" si="142"/>
        <v>733556.05339825852</v>
      </c>
      <c r="I243" s="114">
        <f t="shared" si="142"/>
        <v>733556.05339825852</v>
      </c>
      <c r="J243" s="114">
        <f t="shared" si="142"/>
        <v>733556.05339825852</v>
      </c>
      <c r="K243" s="114">
        <f t="shared" si="142"/>
        <v>733556.05339825852</v>
      </c>
      <c r="L243" s="114">
        <f t="shared" si="142"/>
        <v>733556.05339825852</v>
      </c>
      <c r="M243" s="93">
        <f t="shared" si="142"/>
        <v>733556.05339825852</v>
      </c>
      <c r="N243" s="93">
        <f t="shared" si="142"/>
        <v>733556.05339825852</v>
      </c>
      <c r="O243" s="93">
        <f t="shared" si="142"/>
        <v>733556.05339825852</v>
      </c>
      <c r="P243" s="93">
        <f t="shared" si="142"/>
        <v>733556.05339825852</v>
      </c>
      <c r="Q243" s="93">
        <f t="shared" si="142"/>
        <v>733556.05339825852</v>
      </c>
      <c r="R243" s="93">
        <f t="shared" si="142"/>
        <v>733556.05339825852</v>
      </c>
      <c r="S243" s="93">
        <f t="shared" si="142"/>
        <v>733556.05339825852</v>
      </c>
      <c r="T243" s="93">
        <f t="shared" si="142"/>
        <v>733556.05339825852</v>
      </c>
      <c r="U243" s="93">
        <f t="shared" si="142"/>
        <v>733556.05339825852</v>
      </c>
      <c r="V243" s="93">
        <f t="shared" si="142"/>
        <v>733556.05339825852</v>
      </c>
      <c r="W243" s="93">
        <f t="shared" si="142"/>
        <v>733556.05339825852</v>
      </c>
      <c r="X243" s="161">
        <f t="shared" si="142"/>
        <v>733556.05339825852</v>
      </c>
      <c r="Y243" s="261"/>
    </row>
    <row r="244" spans="2:25" hidden="1" outlineLevel="1">
      <c r="C244" s="258"/>
      <c r="D244" s="114"/>
      <c r="E244" s="114"/>
      <c r="F244" s="114"/>
      <c r="G244" s="114"/>
      <c r="H244" s="114"/>
      <c r="I244" s="114"/>
      <c r="J244" s="114"/>
      <c r="K244" s="114"/>
      <c r="L244" s="114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161"/>
      <c r="Y244" s="261"/>
    </row>
    <row r="245" spans="2:25" hidden="1" outlineLevel="1">
      <c r="B245" s="92"/>
      <c r="C245" s="125" t="s">
        <v>47</v>
      </c>
      <c r="D245" s="114"/>
      <c r="E245" s="114">
        <f>'Resource Options'!$E$17*INDEX('DATA (Nominal)'!$B$186:$BX$186,1,MATCH(E$1,'DATA (Nominal)'!$B$1:$BX$1,0))*1000</f>
        <v>134067.63545900746</v>
      </c>
      <c r="F245" s="114">
        <f>'Resource Options'!$E$17*INDEX('DATA (Nominal)'!$B$186:$BX$186,1,MATCH(F$1,'DATA (Nominal)'!$B$1:$BX$1,0))*1000</f>
        <v>132595.59006809295</v>
      </c>
      <c r="G245" s="114">
        <f>'Resource Options'!$E$17*INDEX('DATA (Nominal)'!$B$186:$BX$186,1,MATCH(G$1,'DATA (Nominal)'!$B$1:$BX$1,0))*1000</f>
        <v>131003.64089781277</v>
      </c>
      <c r="H245" s="114">
        <f>'Resource Options'!$E$17*INDEX('DATA (Nominal)'!$B$186:$BX$186,1,MATCH(H$1,'DATA (Nominal)'!$B$1:$BX$1,0))*1000</f>
        <v>129244.7822929351</v>
      </c>
      <c r="I245" s="114">
        <f>'Resource Options'!$E$17*INDEX('DATA (Nominal)'!$B$186:$BX$186,1,MATCH(I$1,'DATA (Nominal)'!$B$1:$BX$1,0))*1000</f>
        <v>127357.38846030811</v>
      </c>
      <c r="J245" s="114">
        <f>'Resource Options'!$E$17*INDEX('DATA (Nominal)'!$B$186:$BX$186,1,MATCH(J$1,'DATA (Nominal)'!$B$1:$BX$1,0))*1000</f>
        <v>125336.44222578709</v>
      </c>
      <c r="K245" s="114">
        <f>'Resource Options'!$E$17*INDEX('DATA (Nominal)'!$B$186:$BX$186,1,MATCH(K$1,'DATA (Nominal)'!$B$1:$BX$1,0))*1000</f>
        <v>127246.40499359855</v>
      </c>
      <c r="L245" s="114">
        <f>'Resource Options'!$E$17*INDEX('DATA (Nominal)'!$B$186:$BX$186,1,MATCH(L$1,'DATA (Nominal)'!$B$1:$BX$1,0))*1000</f>
        <v>129181.97191730843</v>
      </c>
      <c r="M245" s="93">
        <f>'Resource Options'!$E$17*INDEX('DATA (Nominal)'!$B$186:$BX$186,1,MATCH(M$1,'DATA (Nominal)'!$B$1:$BX$1,0))*1000</f>
        <v>131143.35684898184</v>
      </c>
      <c r="N245" s="93">
        <f>'Resource Options'!$E$17*INDEX('DATA (Nominal)'!$B$186:$BX$186,1,MATCH(N$1,'DATA (Nominal)'!$B$1:$BX$1,0))*1000</f>
        <v>133130.77092308627</v>
      </c>
      <c r="O245" s="93">
        <f>'Resource Options'!$E$17*INDEX('DATA (Nominal)'!$B$186:$BX$186,1,MATCH(O$1,'DATA (Nominal)'!$B$1:$BX$1,0))*1000</f>
        <v>135144.42233476535</v>
      </c>
      <c r="P245" s="93">
        <f>'Resource Options'!$E$17*INDEX('DATA (Nominal)'!$B$186:$BX$186,1,MATCH(P$1,'DATA (Nominal)'!$B$1:$BX$1,0))*1000</f>
        <v>137184.51610975136</v>
      </c>
      <c r="Q245" s="93">
        <f>'Resource Options'!$E$17*INDEX('DATA (Nominal)'!$B$186:$BX$186,1,MATCH(Q$1,'DATA (Nominal)'!$B$1:$BX$1,0))*1000</f>
        <v>139251.25386565601</v>
      </c>
      <c r="R245" s="93">
        <f>'Resource Options'!$E$17*INDEX('DATA (Nominal)'!$B$186:$BX$186,1,MATCH(R$1,'DATA (Nominal)'!$B$1:$BX$1,0))*1000</f>
        <v>141344.83356437011</v>
      </c>
      <c r="S245" s="93">
        <f>'Resource Options'!$E$17*INDEX('DATA (Nominal)'!$B$186:$BX$186,1,MATCH(S$1,'DATA (Nominal)'!$B$1:$BX$1,0))*1000</f>
        <v>143465.4492552969</v>
      </c>
      <c r="T245" s="93">
        <f>'Resource Options'!$E$17*INDEX('DATA (Nominal)'!$B$186:$BX$186,1,MATCH(T$1,'DATA (Nominal)'!$B$1:$BX$1,0))*1000</f>
        <v>145613.29080913472</v>
      </c>
      <c r="U245" s="93">
        <f>'Resource Options'!$E$17*INDEX('DATA (Nominal)'!$B$186:$BX$186,1,MATCH(U$1,'DATA (Nominal)'!$B$1:$BX$1,0))*1000</f>
        <v>147788.54364191659</v>
      </c>
      <c r="V245" s="93">
        <f>'Resource Options'!$E$17*INDEX('DATA (Nominal)'!$B$186:$BX$186,1,MATCH(V$1,'DATA (Nominal)'!$B$1:$BX$1,0))*1000</f>
        <v>149991.38842900743</v>
      </c>
      <c r="W245" s="93">
        <f>'Resource Options'!$E$17*INDEX('DATA (Nominal)'!$B$186:$BX$186,1,MATCH(W$1,'DATA (Nominal)'!$B$1:$BX$1,0))*1000</f>
        <v>152222.0008087492</v>
      </c>
      <c r="X245" s="161">
        <f>'Resource Options'!$E$17*INDEX('DATA (Nominal)'!$B$186:$BX$186,1,MATCH(X$1,'DATA (Nominal)'!$B$1:$BX$1,0))*1000</f>
        <v>154480.55107543824</v>
      </c>
      <c r="Y245" s="261"/>
    </row>
    <row r="246" spans="2:25" hidden="1" outlineLevel="1">
      <c r="C246" s="125" t="s">
        <v>48</v>
      </c>
      <c r="D246" s="114"/>
      <c r="E246" s="114">
        <f>E241*INDEX('DATA (Nominal)'!$B$112:$BX$112,1,MATCH(E$1,'DATA (Nominal)'!$B$1:$BX$1,0))</f>
        <v>0</v>
      </c>
      <c r="F246" s="114">
        <f>F241*INDEX('DATA (Nominal)'!$B$112:$BX$112,1,MATCH(F$1,'DATA (Nominal)'!$B$1:$BX$1,0))</f>
        <v>0</v>
      </c>
      <c r="G246" s="114">
        <f>G241*INDEX('DATA (Nominal)'!$B$112:$BX$112,1,MATCH(G$1,'DATA (Nominal)'!$B$1:$BX$1,0))</f>
        <v>0</v>
      </c>
      <c r="H246" s="114">
        <f>H241*INDEX('DATA (Nominal)'!$B$112:$BX$112,1,MATCH(H$1,'DATA (Nominal)'!$B$1:$BX$1,0))</f>
        <v>0</v>
      </c>
      <c r="I246" s="114">
        <f>I241*INDEX('DATA (Nominal)'!$B$112:$BX$112,1,MATCH(I$1,'DATA (Nominal)'!$B$1:$BX$1,0))</f>
        <v>0</v>
      </c>
      <c r="J246" s="114">
        <f>J241*INDEX('DATA (Nominal)'!$B$112:$BX$112,1,MATCH(J$1,'DATA (Nominal)'!$B$1:$BX$1,0))</f>
        <v>0</v>
      </c>
      <c r="K246" s="114">
        <f>K241*INDEX('DATA (Nominal)'!$B$112:$BX$112,1,MATCH(K$1,'DATA (Nominal)'!$B$1:$BX$1,0))</f>
        <v>0</v>
      </c>
      <c r="L246" s="114">
        <f>L241*INDEX('DATA (Nominal)'!$B$112:$BX$112,1,MATCH(L$1,'DATA (Nominal)'!$B$1:$BX$1,0))</f>
        <v>0</v>
      </c>
      <c r="M246" s="93">
        <f>M241*INDEX('DATA (Nominal)'!$B$112:$BX$112,1,MATCH(M$1,'DATA (Nominal)'!$B$1:$BX$1,0))</f>
        <v>0</v>
      </c>
      <c r="N246" s="93">
        <f>N241*INDEX('DATA (Nominal)'!$B$112:$BX$112,1,MATCH(N$1,'DATA (Nominal)'!$B$1:$BX$1,0))</f>
        <v>0</v>
      </c>
      <c r="O246" s="93">
        <f>O241*INDEX('DATA (Nominal)'!$B$112:$BX$112,1,MATCH(O$1,'DATA (Nominal)'!$B$1:$BX$1,0))</f>
        <v>0</v>
      </c>
      <c r="P246" s="93">
        <f>P241*INDEX('DATA (Nominal)'!$B$112:$BX$112,1,MATCH(P$1,'DATA (Nominal)'!$B$1:$BX$1,0))</f>
        <v>0</v>
      </c>
      <c r="Q246" s="93">
        <f>Q241*INDEX('DATA (Nominal)'!$B$112:$BX$112,1,MATCH(Q$1,'DATA (Nominal)'!$B$1:$BX$1,0))</f>
        <v>0</v>
      </c>
      <c r="R246" s="93">
        <f>R241*INDEX('DATA (Nominal)'!$B$112:$BX$112,1,MATCH(R$1,'DATA (Nominal)'!$B$1:$BX$1,0))</f>
        <v>0</v>
      </c>
      <c r="S246" s="93">
        <f>S241*INDEX('DATA (Nominal)'!$B$112:$BX$112,1,MATCH(S$1,'DATA (Nominal)'!$B$1:$BX$1,0))</f>
        <v>0</v>
      </c>
      <c r="T246" s="93">
        <f>T241*INDEX('DATA (Nominal)'!$B$112:$BX$112,1,MATCH(T$1,'DATA (Nominal)'!$B$1:$BX$1,0))</f>
        <v>0</v>
      </c>
      <c r="U246" s="93">
        <f>U241*INDEX('DATA (Nominal)'!$B$112:$BX$112,1,MATCH(U$1,'DATA (Nominal)'!$B$1:$BX$1,0))</f>
        <v>0</v>
      </c>
      <c r="V246" s="93">
        <f>V241*INDEX('DATA (Nominal)'!$B$112:$BX$112,1,MATCH(V$1,'DATA (Nominal)'!$B$1:$BX$1,0))</f>
        <v>0</v>
      </c>
      <c r="W246" s="93">
        <f>W241*INDEX('DATA (Nominal)'!$B$112:$BX$112,1,MATCH(W$1,'DATA (Nominal)'!$B$1:$BX$1,0))</f>
        <v>0</v>
      </c>
      <c r="X246" s="161">
        <f>X241*INDEX('DATA (Nominal)'!$B$112:$BX$112,1,MATCH(X$1,'DATA (Nominal)'!$B$1:$BX$1,0))</f>
        <v>0</v>
      </c>
      <c r="Y246" s="261"/>
    </row>
    <row r="247" spans="2:25" hidden="1" outlineLevel="1">
      <c r="C247" s="125" t="s">
        <v>127</v>
      </c>
      <c r="D247" s="114"/>
      <c r="E247" s="93">
        <f>E243*INDEX('DATA (Nominal)'!$B$332:$BX$332,1,MATCH(E$1,'DATA (Nominal)'!$B$1:$BX$1,0))</f>
        <v>2017.2791468452108</v>
      </c>
      <c r="F247" s="114">
        <f>F243*INDEX('DATA (Nominal)'!$B$332:$BX$332,1,MATCH(F$1,'DATA (Nominal)'!$B$1:$BX$1,0))</f>
        <v>2017.2791468452108</v>
      </c>
      <c r="G247" s="114">
        <f>G243*INDEX('DATA (Nominal)'!$B$332:$BX$332,1,MATCH(G$1,'DATA (Nominal)'!$B$1:$BX$1,0))</f>
        <v>2017.2791468452108</v>
      </c>
      <c r="H247" s="114">
        <f>H243*INDEX('DATA (Nominal)'!$B$332:$BX$332,1,MATCH(H$1,'DATA (Nominal)'!$B$1:$BX$1,0))</f>
        <v>2017.2791468452108</v>
      </c>
      <c r="I247" s="114">
        <f>I243*INDEX('DATA (Nominal)'!$B$332:$BX$332,1,MATCH(I$1,'DATA (Nominal)'!$B$1:$BX$1,0))</f>
        <v>2017.2791468452108</v>
      </c>
      <c r="J247" s="114">
        <f>J243*INDEX('DATA (Nominal)'!$B$332:$BX$332,1,MATCH(J$1,'DATA (Nominal)'!$B$1:$BX$1,0))</f>
        <v>2017.2791468452108</v>
      </c>
      <c r="K247" s="114">
        <f>K243*INDEX('DATA (Nominal)'!$B$332:$BX$332,1,MATCH(K$1,'DATA (Nominal)'!$B$1:$BX$1,0))</f>
        <v>2017.2791468452108</v>
      </c>
      <c r="L247" s="114">
        <f>L243*INDEX('DATA (Nominal)'!$B$332:$BX$332,1,MATCH(L$1,'DATA (Nominal)'!$B$1:$BX$1,0))</f>
        <v>2017.2791468452108</v>
      </c>
      <c r="M247" s="93">
        <f>M243*INDEX('DATA (Nominal)'!$B$332:$BX$332,1,MATCH(M$1,'DATA (Nominal)'!$B$1:$BX$1,0))</f>
        <v>2017.2791468452108</v>
      </c>
      <c r="N247" s="93">
        <f>N243*INDEX('DATA (Nominal)'!$B$332:$BX$332,1,MATCH(N$1,'DATA (Nominal)'!$B$1:$BX$1,0))</f>
        <v>2017.2791468452108</v>
      </c>
      <c r="O247" s="93">
        <f>O243*INDEX('DATA (Nominal)'!$B$332:$BX$332,1,MATCH(O$1,'DATA (Nominal)'!$B$1:$BX$1,0))</f>
        <v>2017.2791468452108</v>
      </c>
      <c r="P247" s="93">
        <f>P243*INDEX('DATA (Nominal)'!$B$332:$BX$332,1,MATCH(P$1,'DATA (Nominal)'!$B$1:$BX$1,0))</f>
        <v>2017.2791468452108</v>
      </c>
      <c r="Q247" s="93">
        <f>Q243*INDEX('DATA (Nominal)'!$B$332:$BX$332,1,MATCH(Q$1,'DATA (Nominal)'!$B$1:$BX$1,0))</f>
        <v>2017.2791468452108</v>
      </c>
      <c r="R247" s="93">
        <f>R243*INDEX('DATA (Nominal)'!$B$332:$BX$332,1,MATCH(R$1,'DATA (Nominal)'!$B$1:$BX$1,0))</f>
        <v>2017.2791468452108</v>
      </c>
      <c r="S247" s="93">
        <f>S243*INDEX('DATA (Nominal)'!$B$332:$BX$332,1,MATCH(S$1,'DATA (Nominal)'!$B$1:$BX$1,0))</f>
        <v>2017.2791468452108</v>
      </c>
      <c r="T247" s="93">
        <f>T243*INDEX('DATA (Nominal)'!$B$332:$BX$332,1,MATCH(T$1,'DATA (Nominal)'!$B$1:$BX$1,0))</f>
        <v>2017.2791468452108</v>
      </c>
      <c r="U247" s="93">
        <f>U243*INDEX('DATA (Nominal)'!$B$332:$BX$332,1,MATCH(U$1,'DATA (Nominal)'!$B$1:$BX$1,0))</f>
        <v>2017.2791468452108</v>
      </c>
      <c r="V247" s="93">
        <f>V243*INDEX('DATA (Nominal)'!$B$332:$BX$332,1,MATCH(V$1,'DATA (Nominal)'!$B$1:$BX$1,0))</f>
        <v>2017.2791468452108</v>
      </c>
      <c r="W247" s="93">
        <f>W243*INDEX('DATA (Nominal)'!$B$332:$BX$332,1,MATCH(W$1,'DATA (Nominal)'!$B$1:$BX$1,0))</f>
        <v>2017.2791468452108</v>
      </c>
      <c r="X247" s="161">
        <f>X243*INDEX('DATA (Nominal)'!$B$332:$BX$332,1,MATCH(X$1,'DATA (Nominal)'!$B$1:$BX$1,0))</f>
        <v>2017.2791468452108</v>
      </c>
      <c r="Y247" s="261"/>
    </row>
    <row r="248" spans="2:25" hidden="1" outlineLevel="1">
      <c r="C248" s="258" t="s">
        <v>49</v>
      </c>
      <c r="D248" s="114"/>
      <c r="E248" s="114">
        <f t="shared" ref="E248:X248" si="143">D267*Property_Tax_Rate</f>
        <v>90915.575462310895</v>
      </c>
      <c r="F248" s="114">
        <f t="shared" si="143"/>
        <v>85849.803238944747</v>
      </c>
      <c r="G248" s="114">
        <f t="shared" si="143"/>
        <v>81066.293412187049</v>
      </c>
      <c r="H248" s="114">
        <f t="shared" si="143"/>
        <v>76549.318456790672</v>
      </c>
      <c r="I248" s="114">
        <f t="shared" si="143"/>
        <v>72284.027177665732</v>
      </c>
      <c r="J248" s="114">
        <f t="shared" si="143"/>
        <v>68256.395881183853</v>
      </c>
      <c r="K248" s="114">
        <f t="shared" si="143"/>
        <v>64453.182267193981</v>
      </c>
      <c r="L248" s="114">
        <f t="shared" si="143"/>
        <v>60861.881890152872</v>
      </c>
      <c r="M248" s="93">
        <f t="shared" si="143"/>
        <v>57470.687046220555</v>
      </c>
      <c r="N248" s="93">
        <f t="shared" si="143"/>
        <v>54268.4479511471</v>
      </c>
      <c r="O248" s="93">
        <f t="shared" si="143"/>
        <v>51244.636081308825</v>
      </c>
      <c r="P248" s="93">
        <f t="shared" si="143"/>
        <v>48389.309557364475</v>
      </c>
      <c r="Q248" s="93">
        <f t="shared" si="143"/>
        <v>45693.08045671734</v>
      </c>
      <c r="R248" s="93">
        <f t="shared" si="143"/>
        <v>43147.083947311425</v>
      </c>
      <c r="S248" s="93">
        <f t="shared" si="143"/>
        <v>40742.94914127759</v>
      </c>
      <c r="T248" s="93">
        <f t="shared" si="143"/>
        <v>38472.771572600541</v>
      </c>
      <c r="U248" s="93">
        <f t="shared" si="143"/>
        <v>36329.087208317062</v>
      </c>
      <c r="V248" s="93">
        <f t="shared" si="143"/>
        <v>34304.847907797739</v>
      </c>
      <c r="W248" s="93">
        <f t="shared" si="143"/>
        <v>32393.398249425805</v>
      </c>
      <c r="X248" s="161">
        <f t="shared" si="143"/>
        <v>30588.453648482198</v>
      </c>
      <c r="Y248" s="261"/>
    </row>
    <row r="249" spans="2:25" hidden="1" outlineLevel="1">
      <c r="C249" s="258" t="s">
        <v>50</v>
      </c>
      <c r="D249" s="114"/>
      <c r="E249" s="114">
        <f>SUM(E245:E248)</f>
        <v>227000.49006816358</v>
      </c>
      <c r="F249" s="114">
        <f t="shared" ref="F249:X249" si="144">SUM(F245:F248)</f>
        <v>220462.67245388293</v>
      </c>
      <c r="G249" s="114">
        <f t="shared" si="144"/>
        <v>214087.21345684503</v>
      </c>
      <c r="H249" s="114">
        <f t="shared" si="144"/>
        <v>207811.37989657099</v>
      </c>
      <c r="I249" s="114">
        <f t="shared" si="144"/>
        <v>201658.69478481903</v>
      </c>
      <c r="J249" s="114">
        <f t="shared" si="144"/>
        <v>195610.11725381616</v>
      </c>
      <c r="K249" s="114">
        <f t="shared" si="144"/>
        <v>193716.86640763775</v>
      </c>
      <c r="L249" s="114">
        <f t="shared" si="144"/>
        <v>192061.13295430652</v>
      </c>
      <c r="M249" s="93">
        <f t="shared" si="144"/>
        <v>190631.32304204762</v>
      </c>
      <c r="N249" s="93">
        <f t="shared" si="144"/>
        <v>189416.49802107859</v>
      </c>
      <c r="O249" s="93">
        <f t="shared" si="144"/>
        <v>188406.33756291939</v>
      </c>
      <c r="P249" s="93">
        <f t="shared" si="144"/>
        <v>187591.10481396105</v>
      </c>
      <c r="Q249" s="93">
        <f t="shared" si="144"/>
        <v>186961.61346921857</v>
      </c>
      <c r="R249" s="93">
        <f t="shared" si="144"/>
        <v>186509.19665852675</v>
      </c>
      <c r="S249" s="93">
        <f t="shared" si="144"/>
        <v>186225.6775434197</v>
      </c>
      <c r="T249" s="93">
        <f t="shared" si="144"/>
        <v>186103.34152858047</v>
      </c>
      <c r="U249" s="93">
        <f t="shared" si="144"/>
        <v>186134.90999707888</v>
      </c>
      <c r="V249" s="93">
        <f t="shared" si="144"/>
        <v>186313.51548365038</v>
      </c>
      <c r="W249" s="93">
        <f t="shared" si="144"/>
        <v>186632.67820502023</v>
      </c>
      <c r="X249" s="161">
        <f t="shared" si="144"/>
        <v>187086.28387076565</v>
      </c>
      <c r="Y249" s="261"/>
    </row>
    <row r="250" spans="2:25" hidden="1" outlineLevel="1">
      <c r="C250" s="258"/>
      <c r="D250" s="114"/>
      <c r="E250" s="114"/>
      <c r="F250" s="114"/>
      <c r="G250" s="114"/>
      <c r="H250" s="114"/>
      <c r="I250" s="114"/>
      <c r="J250" s="114"/>
      <c r="K250" s="114"/>
      <c r="L250" s="114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161"/>
      <c r="Y250" s="261"/>
    </row>
    <row r="251" spans="2:25" hidden="1" outlineLevel="1">
      <c r="C251" s="125" t="s">
        <v>51</v>
      </c>
      <c r="D251" s="114"/>
      <c r="E251" s="114">
        <f>E243-E249</f>
        <v>506555.56333009491</v>
      </c>
      <c r="F251" s="114">
        <f t="shared" ref="F251:X251" si="145">F243-F249</f>
        <v>513093.38094437559</v>
      </c>
      <c r="G251" s="114">
        <f t="shared" si="145"/>
        <v>519468.83994141349</v>
      </c>
      <c r="H251" s="114">
        <f t="shared" si="145"/>
        <v>525744.67350168759</v>
      </c>
      <c r="I251" s="114">
        <f t="shared" si="145"/>
        <v>531897.35861343949</v>
      </c>
      <c r="J251" s="114">
        <f t="shared" si="145"/>
        <v>537945.9361444423</v>
      </c>
      <c r="K251" s="114">
        <f t="shared" si="145"/>
        <v>539839.1869906208</v>
      </c>
      <c r="L251" s="114">
        <f t="shared" si="145"/>
        <v>541494.92044395197</v>
      </c>
      <c r="M251" s="93">
        <f t="shared" si="145"/>
        <v>542924.73035621084</v>
      </c>
      <c r="N251" s="93">
        <f t="shared" si="145"/>
        <v>544139.55537717999</v>
      </c>
      <c r="O251" s="93">
        <f t="shared" si="145"/>
        <v>545149.71583533916</v>
      </c>
      <c r="P251" s="93">
        <f t="shared" si="145"/>
        <v>545964.94858429744</v>
      </c>
      <c r="Q251" s="93">
        <f t="shared" si="145"/>
        <v>546594.43992903992</v>
      </c>
      <c r="R251" s="93">
        <f t="shared" si="145"/>
        <v>547046.85673973174</v>
      </c>
      <c r="S251" s="93">
        <f t="shared" si="145"/>
        <v>547330.37585483887</v>
      </c>
      <c r="T251" s="93">
        <f t="shared" si="145"/>
        <v>547452.71186967799</v>
      </c>
      <c r="U251" s="93">
        <f t="shared" si="145"/>
        <v>547421.1434011797</v>
      </c>
      <c r="V251" s="93">
        <f t="shared" si="145"/>
        <v>547242.53791460814</v>
      </c>
      <c r="W251" s="93">
        <f t="shared" si="145"/>
        <v>546923.37519323826</v>
      </c>
      <c r="X251" s="161">
        <f t="shared" si="145"/>
        <v>546469.76952749281</v>
      </c>
      <c r="Y251" s="261"/>
    </row>
    <row r="252" spans="2:25" hidden="1" outlineLevel="1">
      <c r="C252" s="125" t="s">
        <v>52</v>
      </c>
      <c r="D252" s="114"/>
      <c r="E252" s="93">
        <f>E251-E268-E259</f>
        <v>-1253381.9499347166</v>
      </c>
      <c r="F252" s="114">
        <f t="shared" ref="F252:X252" si="146">F251-F268-F259</f>
        <v>-2168034.9357502172</v>
      </c>
      <c r="G252" s="114">
        <f t="shared" si="146"/>
        <v>-1166011.8057917282</v>
      </c>
      <c r="H252" s="114">
        <f t="shared" si="146"/>
        <v>-559396.14413574734</v>
      </c>
      <c r="I252" s="114">
        <f t="shared" si="146"/>
        <v>-546024.14521497849</v>
      </c>
      <c r="J252" s="114">
        <f t="shared" si="146"/>
        <v>-87236.534151988599</v>
      </c>
      <c r="K252" s="114">
        <f t="shared" si="146"/>
        <v>367814.65090994514</v>
      </c>
      <c r="L252" s="114">
        <f t="shared" si="146"/>
        <v>377947.60133693292</v>
      </c>
      <c r="M252" s="93">
        <f t="shared" si="146"/>
        <v>388320.8751563995</v>
      </c>
      <c r="N252" s="93">
        <f t="shared" si="146"/>
        <v>398971.05459947279</v>
      </c>
      <c r="O252" s="93">
        <f t="shared" si="146"/>
        <v>409935.51397295191</v>
      </c>
      <c r="P252" s="93">
        <f t="shared" si="146"/>
        <v>421252.53207757266</v>
      </c>
      <c r="Q252" s="93">
        <f t="shared" si="146"/>
        <v>432961.40697253903</v>
      </c>
      <c r="R252" s="93">
        <f t="shared" si="146"/>
        <v>445102.57342871709</v>
      </c>
      <c r="S252" s="93">
        <f t="shared" si="146"/>
        <v>457717.72341981222</v>
      </c>
      <c r="T252" s="93">
        <f t="shared" si="146"/>
        <v>470849.93000881863</v>
      </c>
      <c r="U252" s="93">
        <f t="shared" si="146"/>
        <v>484543.77499606687</v>
      </c>
      <c r="V252" s="93">
        <f t="shared" si="146"/>
        <v>498845.48070530785</v>
      </c>
      <c r="W252" s="93">
        <f t="shared" si="146"/>
        <v>513803.04629552027</v>
      </c>
      <c r="X252" s="161">
        <f t="shared" si="146"/>
        <v>529466.38899849413</v>
      </c>
      <c r="Y252" s="261"/>
    </row>
    <row r="253" spans="2:25" hidden="1" outlineLevel="1">
      <c r="C253" s="125" t="s">
        <v>53</v>
      </c>
      <c r="D253" s="114"/>
      <c r="E253" s="93">
        <f>INDEX('DATA (Nominal)'!$B$258:$BX$258,1,MATCH($B$1,'DATA (Nominal)'!$B$1:$BX$1,0))*INDEX('DATA (Nominal)'!$B$305:$BX$305,1,MATCH(E$1,'DATA (Nominal)'!$B$1:$BX$1,0))*E241</f>
        <v>337802.24725484627</v>
      </c>
      <c r="F253" s="93">
        <f>INDEX('DATA (Nominal)'!$B$258:$BX$258,1,MATCH($B$1,'DATA (Nominal)'!$B$1:$BX$1,0))*INDEX('DATA (Nominal)'!$B$305:$BX$305,1,MATCH(F$1,'DATA (Nominal)'!$B$1:$BX$1,0))*F241</f>
        <v>345346.49744353793</v>
      </c>
      <c r="G253" s="93">
        <f>INDEX('DATA (Nominal)'!$B$258:$BX$258,1,MATCH($B$1,'DATA (Nominal)'!$B$1:$BX$1,0))*INDEX('DATA (Nominal)'!$B$305:$BX$305,1,MATCH(G$1,'DATA (Nominal)'!$B$1:$BX$1,0))*G241</f>
        <v>353059.23588644358</v>
      </c>
      <c r="H253" s="93">
        <f>INDEX('DATA (Nominal)'!$B$258:$BX$258,1,MATCH($B$1,'DATA (Nominal)'!$B$1:$BX$1,0))*INDEX('DATA (Nominal)'!$B$305:$BX$305,1,MATCH(H$1,'DATA (Nominal)'!$B$1:$BX$1,0))*H241</f>
        <v>360826.53907594533</v>
      </c>
      <c r="I253" s="93">
        <f>INDEX('DATA (Nominal)'!$B$258:$BX$258,1,MATCH($B$1,'DATA (Nominal)'!$B$1:$BX$1,0))*INDEX('DATA (Nominal)'!$B$305:$BX$305,1,MATCH(I$1,'DATA (Nominal)'!$B$1:$BX$1,0))*I241</f>
        <v>368764.7229356161</v>
      </c>
      <c r="J253" s="93">
        <f>INDEX('DATA (Nominal)'!$B$258:$BX$258,1,MATCH($B$1,'DATA (Nominal)'!$B$1:$BX$1,0))*INDEX('DATA (Nominal)'!$B$305:$BX$305,1,MATCH(J$1,'DATA (Nominal)'!$B$1:$BX$1,0))*J241</f>
        <v>376877.54684019974</v>
      </c>
      <c r="K253" s="93">
        <f>INDEX('DATA (Nominal)'!$B$258:$BX$258,1,MATCH($B$1,'DATA (Nominal)'!$B$1:$BX$1,0))*INDEX('DATA (Nominal)'!$B$305:$BX$305,1,MATCH(K$1,'DATA (Nominal)'!$B$1:$BX$1,0))*K241</f>
        <v>385168.85287068406</v>
      </c>
      <c r="L253" s="93">
        <f>INDEX('DATA (Nominal)'!$B$258:$BX$258,1,MATCH($B$1,'DATA (Nominal)'!$B$1:$BX$1,0))*INDEX('DATA (Nominal)'!$B$305:$BX$305,1,MATCH(L$1,'DATA (Nominal)'!$B$1:$BX$1,0))*L241</f>
        <v>393642.56763383915</v>
      </c>
      <c r="M253" s="93">
        <f>INDEX('DATA (Nominal)'!$B$258:$BX$258,1,MATCH($B$1,'DATA (Nominal)'!$B$1:$BX$1,0))*INDEX('DATA (Nominal)'!$B$305:$BX$305,1,MATCH(M$1,'DATA (Nominal)'!$B$1:$BX$1,0))*M241</f>
        <v>402302.70412178367</v>
      </c>
      <c r="N253" s="93">
        <f>INDEX('DATA (Nominal)'!$B$258:$BX$258,1,MATCH($B$1,'DATA (Nominal)'!$B$1:$BX$1,0))*INDEX('DATA (Nominal)'!$B$305:$BX$305,1,MATCH(N$1,'DATA (Nominal)'!$B$1:$BX$1,0))*N241</f>
        <v>411153.36361246288</v>
      </c>
      <c r="O253" s="93"/>
      <c r="P253" s="93"/>
      <c r="Q253" s="93"/>
      <c r="R253" s="93"/>
      <c r="S253" s="93"/>
      <c r="T253" s="93"/>
      <c r="U253" s="93"/>
      <c r="V253" s="93"/>
      <c r="W253" s="93"/>
      <c r="X253" s="161"/>
      <c r="Y253" s="261"/>
    </row>
    <row r="254" spans="2:25" hidden="1" outlineLevel="1">
      <c r="C254" s="258" t="s">
        <v>54</v>
      </c>
      <c r="D254" s="114"/>
      <c r="E254" s="114">
        <f t="shared" ref="E254:X254" si="147">E252*Federal_Tax_Rate-E253</f>
        <v>-601012.45674113673</v>
      </c>
      <c r="F254" s="114">
        <f t="shared" si="147"/>
        <v>-800633.83395108348</v>
      </c>
      <c r="G254" s="114">
        <f t="shared" si="147"/>
        <v>-597921.71510270645</v>
      </c>
      <c r="H254" s="114">
        <f t="shared" si="147"/>
        <v>-478299.72934445227</v>
      </c>
      <c r="I254" s="114">
        <f t="shared" si="147"/>
        <v>-483429.79343076155</v>
      </c>
      <c r="J254" s="114">
        <f t="shared" si="147"/>
        <v>-395197.21901211736</v>
      </c>
      <c r="K254" s="114">
        <f t="shared" si="147"/>
        <v>-307927.77617959562</v>
      </c>
      <c r="L254" s="114">
        <f t="shared" si="147"/>
        <v>-314273.57135308324</v>
      </c>
      <c r="M254" s="93">
        <f t="shared" si="147"/>
        <v>-320755.32033893978</v>
      </c>
      <c r="N254" s="93">
        <f t="shared" si="147"/>
        <v>-327369.44214657356</v>
      </c>
      <c r="O254" s="93">
        <f t="shared" si="147"/>
        <v>86086.4579343199</v>
      </c>
      <c r="P254" s="93">
        <f t="shared" si="147"/>
        <v>88463.031736290257</v>
      </c>
      <c r="Q254" s="93">
        <f t="shared" si="147"/>
        <v>90921.895464233196</v>
      </c>
      <c r="R254" s="93">
        <f t="shared" si="147"/>
        <v>93471.540420030593</v>
      </c>
      <c r="S254" s="93">
        <f t="shared" si="147"/>
        <v>96120.721918160561</v>
      </c>
      <c r="T254" s="93">
        <f t="shared" si="147"/>
        <v>98878.485301851906</v>
      </c>
      <c r="U254" s="93">
        <f t="shared" si="147"/>
        <v>101754.19274917404</v>
      </c>
      <c r="V254" s="93">
        <f t="shared" si="147"/>
        <v>104757.55094811464</v>
      </c>
      <c r="W254" s="93">
        <f t="shared" si="147"/>
        <v>107898.63972205925</v>
      </c>
      <c r="X254" s="161">
        <f t="shared" si="147"/>
        <v>111187.94168968376</v>
      </c>
      <c r="Y254" s="261"/>
    </row>
    <row r="255" spans="2:25" hidden="1" outlineLevel="1">
      <c r="C255" s="258"/>
      <c r="D255" s="114"/>
      <c r="E255" s="114"/>
      <c r="F255" s="114"/>
      <c r="G255" s="114"/>
      <c r="H255" s="114"/>
      <c r="I255" s="114"/>
      <c r="J255" s="114"/>
      <c r="K255" s="114"/>
      <c r="L255" s="114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161"/>
      <c r="Y255" s="261"/>
    </row>
    <row r="256" spans="2:25" hidden="1" outlineLevel="1">
      <c r="B256" s="37">
        <f>IRR(D256:Y256,0.1)</f>
        <v>7.4999996087775633E-2</v>
      </c>
      <c r="C256" s="125" t="s">
        <v>55</v>
      </c>
      <c r="D256" s="255">
        <f>-(1+AFUDC!$C$17)*INDEX('DATA (Nominal)'!$B$67:$BX$67,1,MATCH($B$1,'DATA (Nominal)'!$B$1:$BX$1,0))*1000000*'Resource Options'!$E$17/1000</f>
        <v>-9091557.5462310892</v>
      </c>
      <c r="E256" s="254">
        <f t="shared" ref="E256:X256" si="148">E251-E254</f>
        <v>1107568.0200712318</v>
      </c>
      <c r="F256" s="114">
        <f t="shared" si="148"/>
        <v>1313727.2148954591</v>
      </c>
      <c r="G256" s="114">
        <f t="shared" si="148"/>
        <v>1117390.5550441199</v>
      </c>
      <c r="H256" s="114">
        <f t="shared" si="148"/>
        <v>1004044.4028461399</v>
      </c>
      <c r="I256" s="114">
        <f t="shared" si="148"/>
        <v>1015327.152044201</v>
      </c>
      <c r="J256" s="114">
        <f t="shared" si="148"/>
        <v>933143.15515655966</v>
      </c>
      <c r="K256" s="114">
        <f t="shared" si="148"/>
        <v>847766.96317021642</v>
      </c>
      <c r="L256" s="114">
        <f t="shared" si="148"/>
        <v>855768.49179703521</v>
      </c>
      <c r="M256" s="93">
        <f t="shared" si="148"/>
        <v>863680.05069515062</v>
      </c>
      <c r="N256" s="93">
        <f t="shared" si="148"/>
        <v>871508.99752375355</v>
      </c>
      <c r="O256" s="93">
        <f t="shared" si="148"/>
        <v>459063.25790101924</v>
      </c>
      <c r="P256" s="93">
        <f t="shared" si="148"/>
        <v>457501.91684800718</v>
      </c>
      <c r="Q256" s="93">
        <f t="shared" si="148"/>
        <v>455672.54446480674</v>
      </c>
      <c r="R256" s="93">
        <f t="shared" si="148"/>
        <v>453575.31631970115</v>
      </c>
      <c r="S256" s="93">
        <f t="shared" si="148"/>
        <v>451209.65393667831</v>
      </c>
      <c r="T256" s="93">
        <f t="shared" si="148"/>
        <v>448574.22656782612</v>
      </c>
      <c r="U256" s="93">
        <f t="shared" si="148"/>
        <v>445666.95065200567</v>
      </c>
      <c r="V256" s="93">
        <f t="shared" si="148"/>
        <v>442484.98696649348</v>
      </c>
      <c r="W256" s="93">
        <f t="shared" si="148"/>
        <v>439024.73547117901</v>
      </c>
      <c r="X256" s="161">
        <f t="shared" si="148"/>
        <v>435281.82783780905</v>
      </c>
      <c r="Y256" s="261">
        <f>D256*-0.3</f>
        <v>2727467.2638693266</v>
      </c>
    </row>
    <row r="257" spans="2:25" hidden="1" outlineLevel="1">
      <c r="B257" s="37">
        <f>IRR(D257:Y257,0.1)</f>
        <v>0.10391295697860747</v>
      </c>
      <c r="C257" s="125" t="s">
        <v>56</v>
      </c>
      <c r="D257" s="102">
        <f>-D273</f>
        <v>-1405288.1523182297</v>
      </c>
      <c r="E257" s="254">
        <f t="shared" ref="E257:X257" si="149">E256-E259-E261-E269-E253</f>
        <v>119041.41463241237</v>
      </c>
      <c r="F257" s="114">
        <f t="shared" si="149"/>
        <v>122915.19662767806</v>
      </c>
      <c r="G257" s="114">
        <f t="shared" si="149"/>
        <v>126589.70514972118</v>
      </c>
      <c r="H257" s="114">
        <f t="shared" si="149"/>
        <v>130110.59385201207</v>
      </c>
      <c r="I257" s="114">
        <f t="shared" si="149"/>
        <v>133455.15919040248</v>
      </c>
      <c r="J257" s="114">
        <f t="shared" si="149"/>
        <v>136634.09646550717</v>
      </c>
      <c r="K257" s="114">
        <f t="shared" si="149"/>
        <v>136442.35651600908</v>
      </c>
      <c r="L257" s="114">
        <f t="shared" si="149"/>
        <v>135970.17037967284</v>
      </c>
      <c r="M257" s="93">
        <f t="shared" si="149"/>
        <v>135221.59278984374</v>
      </c>
      <c r="N257" s="93">
        <f t="shared" si="149"/>
        <v>134199.88012776733</v>
      </c>
      <c r="O257" s="93">
        <f t="shared" si="149"/>
        <v>132907.50411749593</v>
      </c>
      <c r="P257" s="93">
        <f t="shared" si="149"/>
        <v>131346.1630644839</v>
      </c>
      <c r="Q257" s="93">
        <f t="shared" si="149"/>
        <v>129516.79068128346</v>
      </c>
      <c r="R257" s="93">
        <f t="shared" si="149"/>
        <v>127419.56253617787</v>
      </c>
      <c r="S257" s="93">
        <f t="shared" si="149"/>
        <v>125053.90015315503</v>
      </c>
      <c r="T257" s="93">
        <f t="shared" si="149"/>
        <v>122418.47278430284</v>
      </c>
      <c r="U257" s="93">
        <f t="shared" si="149"/>
        <v>119511.1968684824</v>
      </c>
      <c r="V257" s="93">
        <f t="shared" si="149"/>
        <v>116329.2331829702</v>
      </c>
      <c r="W257" s="93">
        <f t="shared" si="149"/>
        <v>112868.98168765573</v>
      </c>
      <c r="X257" s="161">
        <f t="shared" si="149"/>
        <v>109126.07405428577</v>
      </c>
      <c r="Y257" s="261">
        <f>Y256</f>
        <v>2727467.2638693266</v>
      </c>
    </row>
    <row r="258" spans="2:25" hidden="1" outlineLevel="1">
      <c r="B258" s="21"/>
      <c r="C258" s="125"/>
      <c r="D258" s="102"/>
      <c r="E258" s="114"/>
      <c r="F258" s="114"/>
      <c r="G258" s="114"/>
      <c r="H258" s="114"/>
      <c r="I258" s="114"/>
      <c r="J258" s="114"/>
      <c r="K258" s="114"/>
      <c r="L258" s="114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161"/>
      <c r="Y258" s="261"/>
    </row>
    <row r="259" spans="2:25" hidden="1" outlineLevel="1">
      <c r="B259" s="452"/>
      <c r="C259" s="258" t="s">
        <v>57</v>
      </c>
      <c r="D259" s="114"/>
      <c r="E259" s="114">
        <f t="shared" ref="E259:X259" si="150">D262*Debt_Rate</f>
        <v>214372.73040552615</v>
      </c>
      <c r="F259" s="114">
        <f t="shared" si="150"/>
        <v>208224.66411973629</v>
      </c>
      <c r="G259" s="114">
        <f t="shared" si="150"/>
        <v>201738.454188228</v>
      </c>
      <c r="H259" s="114">
        <f t="shared" si="150"/>
        <v>194895.50271048676</v>
      </c>
      <c r="I259" s="114">
        <f t="shared" si="150"/>
        <v>187676.18890146978</v>
      </c>
      <c r="J259" s="114">
        <f t="shared" si="150"/>
        <v>180059.81283295681</v>
      </c>
      <c r="K259" s="114">
        <f t="shared" si="150"/>
        <v>172024.53608067567</v>
      </c>
      <c r="L259" s="114">
        <f t="shared" si="150"/>
        <v>163547.31910701905</v>
      </c>
      <c r="M259" s="93">
        <f t="shared" si="150"/>
        <v>154603.85519981134</v>
      </c>
      <c r="N259" s="93">
        <f t="shared" si="150"/>
        <v>145168.50077770717</v>
      </c>
      <c r="O259" s="93">
        <f t="shared" si="150"/>
        <v>135214.20186238727</v>
      </c>
      <c r="P259" s="93">
        <f t="shared" si="150"/>
        <v>124712.41650672478</v>
      </c>
      <c r="Q259" s="93">
        <f t="shared" si="150"/>
        <v>113633.03295650087</v>
      </c>
      <c r="R259" s="93">
        <f t="shared" si="150"/>
        <v>101944.28331101465</v>
      </c>
      <c r="S259" s="93">
        <f t="shared" si="150"/>
        <v>89612.65243502667</v>
      </c>
      <c r="T259" s="93">
        <f t="shared" si="150"/>
        <v>76602.781860859366</v>
      </c>
      <c r="U259" s="93">
        <f t="shared" si="150"/>
        <v>62877.368405112844</v>
      </c>
      <c r="V259" s="93">
        <f t="shared" si="150"/>
        <v>48397.05720930027</v>
      </c>
      <c r="W259" s="93">
        <f t="shared" si="150"/>
        <v>33120.328897718005</v>
      </c>
      <c r="X259" s="161">
        <f t="shared" si="150"/>
        <v>17003.380528998714</v>
      </c>
      <c r="Y259" s="261"/>
    </row>
    <row r="260" spans="2:25" hidden="1" outlineLevel="1">
      <c r="B260" s="452"/>
      <c r="C260" s="258" t="s">
        <v>58</v>
      </c>
      <c r="D260" s="114"/>
      <c r="E260" s="114">
        <f t="shared" ref="E260:X260" si="151">-PMT(Debt_Rate,20,$D272)</f>
        <v>326155.75378352328</v>
      </c>
      <c r="F260" s="114">
        <f t="shared" si="151"/>
        <v>326155.75378352328</v>
      </c>
      <c r="G260" s="114">
        <f t="shared" si="151"/>
        <v>326155.75378352328</v>
      </c>
      <c r="H260" s="114">
        <f t="shared" si="151"/>
        <v>326155.75378352328</v>
      </c>
      <c r="I260" s="114">
        <f t="shared" si="151"/>
        <v>326155.75378352328</v>
      </c>
      <c r="J260" s="114">
        <f t="shared" si="151"/>
        <v>326155.75378352328</v>
      </c>
      <c r="K260" s="114">
        <f t="shared" si="151"/>
        <v>326155.75378352328</v>
      </c>
      <c r="L260" s="114">
        <f t="shared" si="151"/>
        <v>326155.75378352328</v>
      </c>
      <c r="M260" s="93">
        <f t="shared" si="151"/>
        <v>326155.75378352328</v>
      </c>
      <c r="N260" s="93">
        <f t="shared" si="151"/>
        <v>326155.75378352328</v>
      </c>
      <c r="O260" s="93">
        <f t="shared" si="151"/>
        <v>326155.75378352328</v>
      </c>
      <c r="P260" s="93">
        <f t="shared" si="151"/>
        <v>326155.75378352328</v>
      </c>
      <c r="Q260" s="93">
        <f t="shared" si="151"/>
        <v>326155.75378352328</v>
      </c>
      <c r="R260" s="93">
        <f t="shared" si="151"/>
        <v>326155.75378352328</v>
      </c>
      <c r="S260" s="93">
        <f t="shared" si="151"/>
        <v>326155.75378352328</v>
      </c>
      <c r="T260" s="93">
        <f t="shared" si="151"/>
        <v>326155.75378352328</v>
      </c>
      <c r="U260" s="93">
        <f t="shared" si="151"/>
        <v>326155.75378352328</v>
      </c>
      <c r="V260" s="93">
        <f t="shared" si="151"/>
        <v>326155.75378352328</v>
      </c>
      <c r="W260" s="93">
        <f t="shared" si="151"/>
        <v>326155.75378352328</v>
      </c>
      <c r="X260" s="161">
        <f t="shared" si="151"/>
        <v>326155.75378352328</v>
      </c>
      <c r="Y260" s="261"/>
    </row>
    <row r="261" spans="2:25" hidden="1" outlineLevel="1">
      <c r="B261" s="452"/>
      <c r="C261" s="258" t="s">
        <v>59</v>
      </c>
      <c r="D261" s="114"/>
      <c r="E261" s="254">
        <f>E260-E259</f>
        <v>111783.02337799713</v>
      </c>
      <c r="F261" s="114">
        <f t="shared" ref="F261:X261" si="152">F260-F259</f>
        <v>117931.08966378699</v>
      </c>
      <c r="G261" s="114">
        <f t="shared" si="152"/>
        <v>124417.29959529528</v>
      </c>
      <c r="H261" s="114">
        <f t="shared" si="152"/>
        <v>131260.25107303652</v>
      </c>
      <c r="I261" s="114">
        <f t="shared" si="152"/>
        <v>138479.5648820535</v>
      </c>
      <c r="J261" s="114">
        <f t="shared" si="152"/>
        <v>146095.94095056647</v>
      </c>
      <c r="K261" s="114">
        <f t="shared" si="152"/>
        <v>154131.21770284761</v>
      </c>
      <c r="L261" s="114">
        <f t="shared" si="152"/>
        <v>162608.43467650423</v>
      </c>
      <c r="M261" s="93">
        <f t="shared" si="152"/>
        <v>171551.89858371194</v>
      </c>
      <c r="N261" s="93">
        <f t="shared" si="152"/>
        <v>180987.25300581611</v>
      </c>
      <c r="O261" s="93">
        <f t="shared" si="152"/>
        <v>190941.55192113601</v>
      </c>
      <c r="P261" s="93">
        <f t="shared" si="152"/>
        <v>201443.3372767985</v>
      </c>
      <c r="Q261" s="93">
        <f t="shared" si="152"/>
        <v>212522.72082702239</v>
      </c>
      <c r="R261" s="93">
        <f t="shared" si="152"/>
        <v>224211.47047250863</v>
      </c>
      <c r="S261" s="93">
        <f t="shared" si="152"/>
        <v>236543.10134849662</v>
      </c>
      <c r="T261" s="93">
        <f t="shared" si="152"/>
        <v>249552.97192266391</v>
      </c>
      <c r="U261" s="93">
        <f t="shared" si="152"/>
        <v>263278.38537841046</v>
      </c>
      <c r="V261" s="93">
        <f t="shared" si="152"/>
        <v>277758.69657422299</v>
      </c>
      <c r="W261" s="93">
        <f t="shared" si="152"/>
        <v>293035.42488580529</v>
      </c>
      <c r="X261" s="161">
        <f t="shared" si="152"/>
        <v>309152.37325452454</v>
      </c>
      <c r="Y261" s="261"/>
    </row>
    <row r="262" spans="2:25" hidden="1" outlineLevel="1">
      <c r="B262" s="452"/>
      <c r="C262" s="258" t="s">
        <v>60</v>
      </c>
      <c r="D262" s="114">
        <f>D272</f>
        <v>3897686.0073732026</v>
      </c>
      <c r="E262" s="114">
        <f>D262-E261</f>
        <v>3785902.9839952053</v>
      </c>
      <c r="F262" s="114">
        <f>E262-F261</f>
        <v>3667971.8943314184</v>
      </c>
      <c r="G262" s="114">
        <f t="shared" ref="G262:X262" si="153">F262-G261</f>
        <v>3543554.594736123</v>
      </c>
      <c r="H262" s="114">
        <f t="shared" si="153"/>
        <v>3412294.3436630866</v>
      </c>
      <c r="I262" s="114">
        <f t="shared" si="153"/>
        <v>3273814.7787810331</v>
      </c>
      <c r="J262" s="114">
        <f t="shared" si="153"/>
        <v>3127718.8378304667</v>
      </c>
      <c r="K262" s="114">
        <f t="shared" si="153"/>
        <v>2973587.6201276192</v>
      </c>
      <c r="L262" s="114">
        <f t="shared" si="153"/>
        <v>2810979.185451115</v>
      </c>
      <c r="M262" s="93">
        <f t="shared" si="153"/>
        <v>2639427.286867403</v>
      </c>
      <c r="N262" s="93">
        <f t="shared" si="153"/>
        <v>2458440.0338615868</v>
      </c>
      <c r="O262" s="93">
        <f t="shared" si="153"/>
        <v>2267498.4819404506</v>
      </c>
      <c r="P262" s="93">
        <f t="shared" si="153"/>
        <v>2066055.1446636522</v>
      </c>
      <c r="Q262" s="93">
        <f t="shared" si="153"/>
        <v>1853532.4238366298</v>
      </c>
      <c r="R262" s="93">
        <f t="shared" si="153"/>
        <v>1629320.9533641213</v>
      </c>
      <c r="S262" s="93">
        <f t="shared" si="153"/>
        <v>1392777.8520156248</v>
      </c>
      <c r="T262" s="93">
        <f t="shared" si="153"/>
        <v>1143224.8800929608</v>
      </c>
      <c r="U262" s="93">
        <f t="shared" si="153"/>
        <v>879946.49471455032</v>
      </c>
      <c r="V262" s="93">
        <f t="shared" si="153"/>
        <v>602187.79814032733</v>
      </c>
      <c r="W262" s="93">
        <f t="shared" si="153"/>
        <v>309152.37325452204</v>
      </c>
      <c r="X262" s="161">
        <f t="shared" si="153"/>
        <v>-2.5029294192790985E-9</v>
      </c>
      <c r="Y262" s="261"/>
    </row>
    <row r="263" spans="2:25" hidden="1" outlineLevel="1">
      <c r="B263" s="452"/>
      <c r="C263" s="125"/>
      <c r="D263" s="114"/>
      <c r="E263" s="114"/>
      <c r="F263" s="114"/>
      <c r="G263" s="114"/>
      <c r="H263" s="114"/>
      <c r="I263" s="114"/>
      <c r="J263" s="114"/>
      <c r="K263" s="114"/>
      <c r="L263" s="114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161"/>
      <c r="Y263" s="261"/>
    </row>
    <row r="264" spans="2:25" hidden="1" outlineLevel="1">
      <c r="B264" s="452"/>
      <c r="C264" s="258" t="s">
        <v>61</v>
      </c>
      <c r="D264" s="114"/>
      <c r="E264" s="114">
        <f t="shared" ref="E264:X264" si="154">-$D256/25</f>
        <v>363662.30184924358</v>
      </c>
      <c r="F264" s="114">
        <f t="shared" si="154"/>
        <v>363662.30184924358</v>
      </c>
      <c r="G264" s="114">
        <f t="shared" si="154"/>
        <v>363662.30184924358</v>
      </c>
      <c r="H264" s="114">
        <f t="shared" si="154"/>
        <v>363662.30184924358</v>
      </c>
      <c r="I264" s="114">
        <f t="shared" si="154"/>
        <v>363662.30184924358</v>
      </c>
      <c r="J264" s="114">
        <f t="shared" si="154"/>
        <v>363662.30184924358</v>
      </c>
      <c r="K264" s="114">
        <f t="shared" si="154"/>
        <v>363662.30184924358</v>
      </c>
      <c r="L264" s="114">
        <f t="shared" si="154"/>
        <v>363662.30184924358</v>
      </c>
      <c r="M264" s="93">
        <f t="shared" si="154"/>
        <v>363662.30184924358</v>
      </c>
      <c r="N264" s="93">
        <f t="shared" si="154"/>
        <v>363662.30184924358</v>
      </c>
      <c r="O264" s="93">
        <f t="shared" si="154"/>
        <v>363662.30184924358</v>
      </c>
      <c r="P264" s="93">
        <f t="shared" si="154"/>
        <v>363662.30184924358</v>
      </c>
      <c r="Q264" s="93">
        <f t="shared" si="154"/>
        <v>363662.30184924358</v>
      </c>
      <c r="R264" s="93">
        <f t="shared" si="154"/>
        <v>363662.30184924358</v>
      </c>
      <c r="S264" s="93">
        <f t="shared" si="154"/>
        <v>363662.30184924358</v>
      </c>
      <c r="T264" s="93">
        <f t="shared" si="154"/>
        <v>363662.30184924358</v>
      </c>
      <c r="U264" s="93">
        <f t="shared" si="154"/>
        <v>363662.30184924358</v>
      </c>
      <c r="V264" s="93">
        <f t="shared" si="154"/>
        <v>363662.30184924358</v>
      </c>
      <c r="W264" s="93">
        <f t="shared" si="154"/>
        <v>363662.30184924358</v>
      </c>
      <c r="X264" s="161">
        <f t="shared" si="154"/>
        <v>363662.30184924358</v>
      </c>
      <c r="Y264" s="261"/>
    </row>
    <row r="265" spans="2:25" hidden="1" outlineLevel="1">
      <c r="B265" s="452"/>
      <c r="C265" s="125" t="s">
        <v>62</v>
      </c>
      <c r="D265" s="114"/>
      <c r="E265" s="114">
        <f>SUM($E264:E264)</f>
        <v>363662.30184924358</v>
      </c>
      <c r="F265" s="114">
        <f>SUM($E264:F264)</f>
        <v>727324.60369848716</v>
      </c>
      <c r="G265" s="114">
        <f>SUM($E264:G264)</f>
        <v>1090986.9055477306</v>
      </c>
      <c r="H265" s="114">
        <f>SUM($E264:H264)</f>
        <v>1454649.2073969743</v>
      </c>
      <c r="I265" s="114">
        <f>SUM($E264:I264)</f>
        <v>1818311.509246218</v>
      </c>
      <c r="J265" s="114">
        <f>SUM($E264:J264)</f>
        <v>2181973.8110954617</v>
      </c>
      <c r="K265" s="114">
        <f>SUM($E264:K264)</f>
        <v>2545636.1129447054</v>
      </c>
      <c r="L265" s="114">
        <f>SUM($E264:L264)</f>
        <v>2909298.4147939491</v>
      </c>
      <c r="M265" s="93">
        <f>SUM($E264:M264)</f>
        <v>3272960.7166431928</v>
      </c>
      <c r="N265" s="93">
        <f>SUM($E264:N264)</f>
        <v>3636623.0184924365</v>
      </c>
      <c r="O265" s="93">
        <f>SUM($E264:O264)</f>
        <v>4000285.3203416802</v>
      </c>
      <c r="P265" s="93">
        <f>SUM($E264:P264)</f>
        <v>4363947.6221909234</v>
      </c>
      <c r="Q265" s="93">
        <f>SUM($E264:Q264)</f>
        <v>4727609.9240401667</v>
      </c>
      <c r="R265" s="93">
        <f>SUM($E264:R264)</f>
        <v>5091272.2258894099</v>
      </c>
      <c r="S265" s="93">
        <f>SUM($E264:S264)</f>
        <v>5454934.5277386531</v>
      </c>
      <c r="T265" s="93">
        <f>SUM($E264:T264)</f>
        <v>5818596.8295878964</v>
      </c>
      <c r="U265" s="93">
        <f>SUM($E264:U264)</f>
        <v>6182259.1314371396</v>
      </c>
      <c r="V265" s="93">
        <f>SUM($E264:V264)</f>
        <v>6545921.4332863828</v>
      </c>
      <c r="W265" s="93">
        <f>SUM($E264:W264)</f>
        <v>6909583.735135626</v>
      </c>
      <c r="X265" s="161">
        <f>SUM($E264:X264)</f>
        <v>7273246.0369848693</v>
      </c>
      <c r="Y265" s="261"/>
    </row>
    <row r="266" spans="2:25" hidden="1" outlineLevel="1">
      <c r="B266" s="452"/>
      <c r="C266" s="125" t="s">
        <v>63</v>
      </c>
      <c r="D266" s="114"/>
      <c r="E266" s="114">
        <f t="shared" ref="E266:G266" si="155">-$D256-E265</f>
        <v>8727895.244381845</v>
      </c>
      <c r="F266" s="114">
        <f t="shared" si="155"/>
        <v>8364232.9425326018</v>
      </c>
      <c r="G266" s="114">
        <f t="shared" si="155"/>
        <v>8000570.6406833585</v>
      </c>
      <c r="H266" s="254">
        <f>-$D256-H265</f>
        <v>7636908.3388341144</v>
      </c>
      <c r="I266" s="114">
        <f t="shared" ref="I266:X266" si="156">-$D256-I265</f>
        <v>7273246.0369848711</v>
      </c>
      <c r="J266" s="114">
        <f t="shared" si="156"/>
        <v>6909583.7351356279</v>
      </c>
      <c r="K266" s="114">
        <f t="shared" si="156"/>
        <v>6545921.4332863837</v>
      </c>
      <c r="L266" s="114">
        <f t="shared" si="156"/>
        <v>6182259.1314371396</v>
      </c>
      <c r="M266" s="93">
        <f t="shared" si="156"/>
        <v>5818596.8295878964</v>
      </c>
      <c r="N266" s="93">
        <f t="shared" si="156"/>
        <v>5454934.5277386531</v>
      </c>
      <c r="O266" s="93">
        <f t="shared" si="156"/>
        <v>5091272.225889409</v>
      </c>
      <c r="P266" s="93">
        <f t="shared" si="156"/>
        <v>4727609.9240401657</v>
      </c>
      <c r="Q266" s="93">
        <f t="shared" si="156"/>
        <v>4363947.6221909225</v>
      </c>
      <c r="R266" s="93">
        <f t="shared" si="156"/>
        <v>4000285.3203416793</v>
      </c>
      <c r="S266" s="93">
        <f t="shared" si="156"/>
        <v>3636623.018492436</v>
      </c>
      <c r="T266" s="93">
        <f t="shared" si="156"/>
        <v>3272960.7166431928</v>
      </c>
      <c r="U266" s="93">
        <f t="shared" si="156"/>
        <v>2909298.4147939496</v>
      </c>
      <c r="V266" s="93">
        <f t="shared" si="156"/>
        <v>2545636.1129447063</v>
      </c>
      <c r="W266" s="93">
        <f t="shared" si="156"/>
        <v>2181973.8110954631</v>
      </c>
      <c r="X266" s="161">
        <f t="shared" si="156"/>
        <v>1818311.5092462199</v>
      </c>
      <c r="Y266" s="261"/>
    </row>
    <row r="267" spans="2:25" hidden="1" outlineLevel="1">
      <c r="B267" s="452"/>
      <c r="C267" s="125" t="s">
        <v>64</v>
      </c>
      <c r="D267" s="114">
        <f>-D256</f>
        <v>9091557.5462310892</v>
      </c>
      <c r="E267" s="114">
        <f>D267/(($D267/$Y267)^(1/21))</f>
        <v>8584980.3238944747</v>
      </c>
      <c r="F267" s="114">
        <f t="shared" ref="F267:J267" si="157">E267/(($D267/$Y267)^(1/21))</f>
        <v>8106629.3412187044</v>
      </c>
      <c r="G267" s="114">
        <f t="shared" si="157"/>
        <v>7654931.8456790671</v>
      </c>
      <c r="H267" s="114">
        <f t="shared" si="157"/>
        <v>7228402.7177665727</v>
      </c>
      <c r="I267" s="114">
        <f t="shared" si="157"/>
        <v>6825639.5881183855</v>
      </c>
      <c r="J267" s="254">
        <f t="shared" si="157"/>
        <v>6445318.2267193981</v>
      </c>
      <c r="K267" s="254">
        <f>J267/(($D267/$Y267)^(1/21))</f>
        <v>6086188.189015287</v>
      </c>
      <c r="L267" s="114">
        <f t="shared" ref="L267:V267" si="158">K267/(($D267/$Y267)^(1/21))</f>
        <v>5747068.7046220554</v>
      </c>
      <c r="M267" s="93">
        <f t="shared" si="158"/>
        <v>5426844.79511471</v>
      </c>
      <c r="N267" s="93">
        <f t="shared" si="158"/>
        <v>5124463.6081308825</v>
      </c>
      <c r="O267" s="93">
        <f t="shared" si="158"/>
        <v>4838930.9557364471</v>
      </c>
      <c r="P267" s="93">
        <f t="shared" si="158"/>
        <v>4569308.045671734</v>
      </c>
      <c r="Q267" s="93">
        <f t="shared" si="158"/>
        <v>4314708.3947311426</v>
      </c>
      <c r="R267" s="93">
        <f t="shared" si="158"/>
        <v>4074294.9141277587</v>
      </c>
      <c r="S267" s="93">
        <f t="shared" si="158"/>
        <v>3847277.1572600538</v>
      </c>
      <c r="T267" s="93">
        <f t="shared" si="158"/>
        <v>3632908.7208317057</v>
      </c>
      <c r="U267" s="93">
        <f t="shared" si="158"/>
        <v>3430484.7907797741</v>
      </c>
      <c r="V267" s="93">
        <f t="shared" si="158"/>
        <v>3239339.8249425804</v>
      </c>
      <c r="W267" s="93">
        <f>V267/(($D267/$Y267)^(1/21))</f>
        <v>3058845.3648482198</v>
      </c>
      <c r="X267" s="161">
        <f t="shared" ref="X267" si="159">W267/(($D267/$Y267)^(1/21))</f>
        <v>2888407.9694291693</v>
      </c>
      <c r="Y267" s="261">
        <f>Y256</f>
        <v>2727467.2638693266</v>
      </c>
    </row>
    <row r="268" spans="2:25" hidden="1" outlineLevel="1">
      <c r="B268" s="452"/>
      <c r="C268" s="258" t="s">
        <v>65</v>
      </c>
      <c r="D268" s="114"/>
      <c r="E268" s="114">
        <f>-$D256*Assumptions!J$17*INDEX('DATA (Nominal)'!$B$347:$BX$347,1,MATCH($B$1,'DATA (Nominal)'!$B$1:$BX$1,0))</f>
        <v>1545564.7828592854</v>
      </c>
      <c r="F268" s="114">
        <f>-$D256*Assumptions!K$17*INDEX('DATA (Nominal)'!$B$347:$BX$347,1,MATCH($B$1,'DATA (Nominal)'!$B$1:$BX$1,0))</f>
        <v>2472903.6525748563</v>
      </c>
      <c r="G268" s="114">
        <f>-$D256*Assumptions!L$17*INDEX('DATA (Nominal)'!$B$347:$BX$347,1,MATCH($B$1,'DATA (Nominal)'!$B$1:$BX$1,0))</f>
        <v>1483742.1915449137</v>
      </c>
      <c r="H268" s="114">
        <f>-$D256*Assumptions!M$17*INDEX('DATA (Nominal)'!$B$347:$BX$347,1,MATCH($B$1,'DATA (Nominal)'!$B$1:$BX$1,0))</f>
        <v>890245.31492694817</v>
      </c>
      <c r="I268" s="114">
        <f>-$D256*Assumptions!N$17*INDEX('DATA (Nominal)'!$B$347:$BX$347,1,MATCH($B$1,'DATA (Nominal)'!$B$1:$BX$1,0))</f>
        <v>890245.31492694817</v>
      </c>
      <c r="J268" s="114">
        <f>-$D256*Assumptions!O$17*INDEX('DATA (Nominal)'!$B$347:$BX$347,1,MATCH($B$1,'DATA (Nominal)'!$B$1:$BX$1,0))</f>
        <v>445122.65746347408</v>
      </c>
      <c r="K268" s="114">
        <f>-$D256*Assumptions!P$17*INDEX('DATA (Nominal)'!$B$347:$BX$347,1,MATCH($B$1,'DATA (Nominal)'!$B$1:$BX$1,0))</f>
        <v>0</v>
      </c>
      <c r="L268" s="114">
        <f>-$D256*Assumptions!Q$17*INDEX('DATA (Nominal)'!$B$347:$BX$347,1,MATCH($B$1,'DATA (Nominal)'!$B$1:$BX$1,0))</f>
        <v>0</v>
      </c>
      <c r="M268" s="93">
        <f>-$D256*Assumptions!R$17*INDEX('DATA (Nominal)'!$B$347:$BX$347,1,MATCH($B$1,'DATA (Nominal)'!$B$1:$BX$1,0))</f>
        <v>0</v>
      </c>
      <c r="N268" s="93">
        <f>-$D256*Assumptions!S$17*INDEX('DATA (Nominal)'!$B$347:$BX$347,1,MATCH($B$1,'DATA (Nominal)'!$B$1:$BX$1,0))</f>
        <v>0</v>
      </c>
      <c r="O268" s="93">
        <f>-$D256*Assumptions!T$17*INDEX('DATA (Nominal)'!$B$347:$BX$347,1,MATCH($B$1,'DATA (Nominal)'!$B$1:$BX$1,0))</f>
        <v>0</v>
      </c>
      <c r="P268" s="93">
        <f>-$D256*Assumptions!U$17*INDEX('DATA (Nominal)'!$B$347:$BX$347,1,MATCH($B$1,'DATA (Nominal)'!$B$1:$BX$1,0))</f>
        <v>0</v>
      </c>
      <c r="Q268" s="93">
        <f>-$D256*Assumptions!V$17*INDEX('DATA (Nominal)'!$B$347:$BX$347,1,MATCH($B$1,'DATA (Nominal)'!$B$1:$BX$1,0))</f>
        <v>0</v>
      </c>
      <c r="R268" s="93">
        <f>-$D256*Assumptions!W$17*INDEX('DATA (Nominal)'!$B$347:$BX$347,1,MATCH($B$1,'DATA (Nominal)'!$B$1:$BX$1,0))</f>
        <v>0</v>
      </c>
      <c r="S268" s="93">
        <f>-$D256*Assumptions!X$17*INDEX('DATA (Nominal)'!$B$347:$BX$347,1,MATCH($B$1,'DATA (Nominal)'!$B$1:$BX$1,0))</f>
        <v>0</v>
      </c>
      <c r="T268" s="93">
        <f>-$D256*Assumptions!Y$17*INDEX('DATA (Nominal)'!$B$347:$BX$347,1,MATCH($B$1,'DATA (Nominal)'!$B$1:$BX$1,0))</f>
        <v>0</v>
      </c>
      <c r="U268" s="93">
        <f>-$D256*Assumptions!Z$17*INDEX('DATA (Nominal)'!$B$347:$BX$347,1,MATCH($B$1,'DATA (Nominal)'!$B$1:$BX$1,0))</f>
        <v>0</v>
      </c>
      <c r="V268" s="93">
        <f>-$D256*Assumptions!AA$17*INDEX('DATA (Nominal)'!$B$347:$BX$347,1,MATCH($B$1,'DATA (Nominal)'!$B$1:$BX$1,0))</f>
        <v>0</v>
      </c>
      <c r="W268" s="93">
        <f>-$D256*Assumptions!AB$17*INDEX('DATA (Nominal)'!$B$347:$BX$347,1,MATCH($B$1,'DATA (Nominal)'!$B$1:$BX$1,0))</f>
        <v>0</v>
      </c>
      <c r="X268" s="455">
        <f>-$D256*Assumptions!AC$17*INDEX('DATA (Nominal)'!$B$347:$BX$347,1,MATCH($B$1,'DATA (Nominal)'!$B$1:$BX$1,0))</f>
        <v>0</v>
      </c>
      <c r="Y268" s="261"/>
    </row>
    <row r="269" spans="2:25" ht="15.75" hidden="1" outlineLevel="1" thickBot="1">
      <c r="B269" s="452"/>
      <c r="C269" s="127" t="s">
        <v>66</v>
      </c>
      <c r="D269" s="103"/>
      <c r="E269" s="103">
        <f t="shared" ref="E269:X269" si="160">E268*Federal_Tax_Rate</f>
        <v>324568.6044004499</v>
      </c>
      <c r="F269" s="103">
        <f t="shared" si="160"/>
        <v>519309.7670407198</v>
      </c>
      <c r="G269" s="103">
        <f t="shared" si="160"/>
        <v>311585.86022443185</v>
      </c>
      <c r="H269" s="103">
        <f t="shared" si="160"/>
        <v>186951.51613465912</v>
      </c>
      <c r="I269" s="103">
        <f t="shared" si="160"/>
        <v>186951.51613465912</v>
      </c>
      <c r="J269" s="103">
        <f t="shared" si="160"/>
        <v>93475.75806732956</v>
      </c>
      <c r="K269" s="103">
        <f t="shared" si="160"/>
        <v>0</v>
      </c>
      <c r="L269" s="103">
        <f t="shared" si="160"/>
        <v>0</v>
      </c>
      <c r="M269" s="456">
        <f t="shared" si="160"/>
        <v>0</v>
      </c>
      <c r="N269" s="456">
        <f t="shared" si="160"/>
        <v>0</v>
      </c>
      <c r="O269" s="456">
        <f t="shared" si="160"/>
        <v>0</v>
      </c>
      <c r="P269" s="456">
        <f t="shared" si="160"/>
        <v>0</v>
      </c>
      <c r="Q269" s="456">
        <f t="shared" si="160"/>
        <v>0</v>
      </c>
      <c r="R269" s="456">
        <f t="shared" si="160"/>
        <v>0</v>
      </c>
      <c r="S269" s="456">
        <f t="shared" si="160"/>
        <v>0</v>
      </c>
      <c r="T269" s="456">
        <f t="shared" si="160"/>
        <v>0</v>
      </c>
      <c r="U269" s="456">
        <f t="shared" si="160"/>
        <v>0</v>
      </c>
      <c r="V269" s="456">
        <f t="shared" si="160"/>
        <v>0</v>
      </c>
      <c r="W269" s="456">
        <f t="shared" si="160"/>
        <v>0</v>
      </c>
      <c r="X269" s="457">
        <f t="shared" si="160"/>
        <v>0</v>
      </c>
      <c r="Y269" s="261"/>
    </row>
    <row r="270" spans="2:25" hidden="1" outlineLevel="1">
      <c r="B270" s="452"/>
      <c r="C270" s="128" t="s">
        <v>67</v>
      </c>
      <c r="D270" s="104">
        <f>NPV(Tax_Equity_Rate,E269:X269)</f>
        <v>1316654.399803685</v>
      </c>
      <c r="E270" s="105">
        <f>D270/D274</f>
        <v>0.14482165383746648</v>
      </c>
      <c r="F270" s="254"/>
      <c r="G270" s="254"/>
      <c r="H270" s="254"/>
      <c r="I270" s="254"/>
      <c r="J270" s="254"/>
      <c r="K270" s="254"/>
      <c r="L270" s="254"/>
      <c r="M270" s="261"/>
      <c r="N270" s="261"/>
      <c r="O270" s="261"/>
      <c r="P270" s="261"/>
      <c r="Q270" s="261"/>
      <c r="R270" s="261"/>
      <c r="S270" s="261"/>
      <c r="T270" s="261"/>
      <c r="U270" s="261"/>
      <c r="V270" s="261"/>
      <c r="W270" s="261"/>
      <c r="X270" s="261"/>
      <c r="Y270" s="261"/>
    </row>
    <row r="271" spans="2:25" hidden="1" outlineLevel="1">
      <c r="B271" s="452"/>
      <c r="C271" s="125" t="s">
        <v>79</v>
      </c>
      <c r="D271" s="106">
        <f>NPV(Tax_Equity_Rate,E253:X253)</f>
        <v>2471928.9867359716</v>
      </c>
      <c r="E271" s="107">
        <f>D271/D274</f>
        <v>0.27189279440470698</v>
      </c>
    </row>
    <row r="272" spans="2:25" hidden="1" outlineLevel="1">
      <c r="B272" s="22">
        <f>Assumptions!F17</f>
        <v>0.73499999999999999</v>
      </c>
      <c r="C272" s="125" t="s">
        <v>68</v>
      </c>
      <c r="D272" s="106">
        <f>(D274-D270-D271)*$B272</f>
        <v>3897686.0073732026</v>
      </c>
      <c r="E272" s="107">
        <f>D272/D274</f>
        <v>0.42871488054200246</v>
      </c>
    </row>
    <row r="273" spans="1:25" hidden="1" outlineLevel="1">
      <c r="B273" s="22">
        <f>1-B272</f>
        <v>0.26500000000000001</v>
      </c>
      <c r="C273" s="125" t="s">
        <v>69</v>
      </c>
      <c r="D273" s="106">
        <f>(D274-D270-D271)*$B273</f>
        <v>1405288.1523182297</v>
      </c>
      <c r="E273" s="107">
        <f>D273/D274</f>
        <v>0.15457067121582405</v>
      </c>
    </row>
    <row r="274" spans="1:25" hidden="1" outlineLevel="1">
      <c r="C274" s="125" t="s">
        <v>70</v>
      </c>
      <c r="D274" s="106">
        <f>-D256</f>
        <v>9091557.5462310892</v>
      </c>
      <c r="E274" s="108"/>
    </row>
    <row r="275" spans="1:25" ht="15.75" hidden="1" outlineLevel="1" thickBot="1">
      <c r="C275" s="127" t="s">
        <v>71</v>
      </c>
      <c r="D275" s="109">
        <f>SUM(D270:D273)-D274</f>
        <v>0</v>
      </c>
      <c r="E275" s="110"/>
    </row>
    <row r="276" spans="1:25" hidden="1" outlineLevel="1"/>
    <row r="277" spans="1:25" ht="15.75" collapsed="1" thickBot="1"/>
    <row r="278" spans="1:25" ht="18.75" thickBot="1">
      <c r="A278" s="86"/>
      <c r="B278" s="82"/>
      <c r="C278" s="484" t="s">
        <v>9</v>
      </c>
      <c r="D278" s="485"/>
      <c r="E278" s="485"/>
      <c r="F278" s="485"/>
      <c r="G278" s="485"/>
      <c r="H278" s="486"/>
      <c r="Y278" s="261"/>
    </row>
    <row r="279" spans="1:25" hidden="1" outlineLevel="1">
      <c r="C279" s="124" t="s">
        <v>44</v>
      </c>
      <c r="D279" s="153"/>
      <c r="E279" s="153">
        <f>'Resource Options'!$E$18*INDEX('DATA (Nominal)'!$B$18:$BX$18,1,MATCH($B$1,'DATA (Nominal)'!$B$1:$BX$1,0))*8760</f>
        <v>12034.754758988021</v>
      </c>
      <c r="F279" s="153">
        <f>'Resource Options'!$E$18*INDEX('DATA (Nominal)'!$B$18:$BX$18,1,MATCH($B$1,'DATA (Nominal)'!$B$1:$BX$1,0))*8760</f>
        <v>12034.754758988021</v>
      </c>
      <c r="G279" s="153">
        <f>'Resource Options'!$E$18*INDEX('DATA (Nominal)'!$B$18:$BX$18,1,MATCH($B$1,'DATA (Nominal)'!$B$1:$BX$1,0))*8760</f>
        <v>12034.754758988021</v>
      </c>
      <c r="H279" s="153">
        <f>'Resource Options'!$E$18*INDEX('DATA (Nominal)'!$B$18:$BX$18,1,MATCH($B$1,'DATA (Nominal)'!$B$1:$BX$1,0))*8760</f>
        <v>12034.754758988021</v>
      </c>
      <c r="I279" s="153">
        <f>'Resource Options'!$E$18*INDEX('DATA (Nominal)'!$B$18:$BX$18,1,MATCH($B$1,'DATA (Nominal)'!$B$1:$BX$1,0))*8760</f>
        <v>12034.754758988021</v>
      </c>
      <c r="J279" s="153">
        <f>'Resource Options'!$E$18*INDEX('DATA (Nominal)'!$B$18:$BX$18,1,MATCH($B$1,'DATA (Nominal)'!$B$1:$BX$1,0))*8760</f>
        <v>12034.754758988021</v>
      </c>
      <c r="K279" s="153">
        <f>'Resource Options'!$E$18*INDEX('DATA (Nominal)'!$B$18:$BX$18,1,MATCH($B$1,'DATA (Nominal)'!$B$1:$BX$1,0))*8760</f>
        <v>12034.754758988021</v>
      </c>
      <c r="L279" s="153">
        <f>'Resource Options'!$E$18*INDEX('DATA (Nominal)'!$B$18:$BX$18,1,MATCH($B$1,'DATA (Nominal)'!$B$1:$BX$1,0))*8760</f>
        <v>12034.754758988021</v>
      </c>
      <c r="M279" s="153">
        <f>'Resource Options'!$E$18*INDEX('DATA (Nominal)'!$B$18:$BX$18,1,MATCH($B$1,'DATA (Nominal)'!$B$1:$BX$1,0))*8760</f>
        <v>12034.754758988021</v>
      </c>
      <c r="N279" s="153">
        <f>'Resource Options'!$E$18*INDEX('DATA (Nominal)'!$B$18:$BX$18,1,MATCH($B$1,'DATA (Nominal)'!$B$1:$BX$1,0))*8760</f>
        <v>12034.754758988021</v>
      </c>
      <c r="O279" s="153">
        <f>'Resource Options'!$E$18*INDEX('DATA (Nominal)'!$B$18:$BX$18,1,MATCH($B$1,'DATA (Nominal)'!$B$1:$BX$1,0))*8760</f>
        <v>12034.754758988021</v>
      </c>
      <c r="P279" s="153">
        <f>'Resource Options'!$E$18*INDEX('DATA (Nominal)'!$B$18:$BX$18,1,MATCH($B$1,'DATA (Nominal)'!$B$1:$BX$1,0))*8760</f>
        <v>12034.754758988021</v>
      </c>
      <c r="Q279" s="153">
        <f>'Resource Options'!$E$18*INDEX('DATA (Nominal)'!$B$18:$BX$18,1,MATCH($B$1,'DATA (Nominal)'!$B$1:$BX$1,0))*8760</f>
        <v>12034.754758988021</v>
      </c>
      <c r="R279" s="153">
        <f>'Resource Options'!$E$18*INDEX('DATA (Nominal)'!$B$18:$BX$18,1,MATCH($B$1,'DATA (Nominal)'!$B$1:$BX$1,0))*8760</f>
        <v>12034.754758988021</v>
      </c>
      <c r="S279" s="153">
        <f>'Resource Options'!$E$18*INDEX('DATA (Nominal)'!$B$18:$BX$18,1,MATCH($B$1,'DATA (Nominal)'!$B$1:$BX$1,0))*8760</f>
        <v>12034.754758988021</v>
      </c>
      <c r="T279" s="153">
        <f>'Resource Options'!$E$18*INDEX('DATA (Nominal)'!$B$18:$BX$18,1,MATCH($B$1,'DATA (Nominal)'!$B$1:$BX$1,0))*8760</f>
        <v>12034.754758988021</v>
      </c>
      <c r="U279" s="153">
        <f>'Resource Options'!$E$18*INDEX('DATA (Nominal)'!$B$18:$BX$18,1,MATCH($B$1,'DATA (Nominal)'!$B$1:$BX$1,0))*8760</f>
        <v>12034.754758988021</v>
      </c>
      <c r="V279" s="153">
        <f>'Resource Options'!$E$18*INDEX('DATA (Nominal)'!$B$18:$BX$18,1,MATCH($B$1,'DATA (Nominal)'!$B$1:$BX$1,0))*8760</f>
        <v>12034.754758988021</v>
      </c>
      <c r="W279" s="153">
        <f>'Resource Options'!$E$18*INDEX('DATA (Nominal)'!$B$18:$BX$18,1,MATCH($B$1,'DATA (Nominal)'!$B$1:$BX$1,0))*8760</f>
        <v>12034.754758988021</v>
      </c>
      <c r="X279" s="159">
        <f>'Resource Options'!$E$18*INDEX('DATA (Nominal)'!$B$18:$BX$18,1,MATCH($B$1,'DATA (Nominal)'!$B$1:$BX$1,0))*8760</f>
        <v>12034.754758988021</v>
      </c>
      <c r="Y279" s="156"/>
    </row>
    <row r="280" spans="1:25" hidden="1" outlineLevel="1">
      <c r="C280" s="125" t="s">
        <v>45</v>
      </c>
      <c r="D280" s="151"/>
      <c r="E280" s="154">
        <f>PPA_SOLAR_PV_Fixed_Array_PTC</f>
        <v>60.953136818214794</v>
      </c>
      <c r="F280" s="154">
        <f>E280</f>
        <v>60.953136818214794</v>
      </c>
      <c r="G280" s="154">
        <f t="shared" ref="G280:V281" si="161">F280</f>
        <v>60.953136818214794</v>
      </c>
      <c r="H280" s="154">
        <f t="shared" si="161"/>
        <v>60.953136818214794</v>
      </c>
      <c r="I280" s="154">
        <f t="shared" si="161"/>
        <v>60.953136818214794</v>
      </c>
      <c r="J280" s="154">
        <f t="shared" si="161"/>
        <v>60.953136818214794</v>
      </c>
      <c r="K280" s="154">
        <f t="shared" si="161"/>
        <v>60.953136818214794</v>
      </c>
      <c r="L280" s="154">
        <f t="shared" si="161"/>
        <v>60.953136818214794</v>
      </c>
      <c r="M280" s="154">
        <f t="shared" si="161"/>
        <v>60.953136818214794</v>
      </c>
      <c r="N280" s="154">
        <f t="shared" si="161"/>
        <v>60.953136818214794</v>
      </c>
      <c r="O280" s="154">
        <f t="shared" si="161"/>
        <v>60.953136818214794</v>
      </c>
      <c r="P280" s="154">
        <f t="shared" si="161"/>
        <v>60.953136818214794</v>
      </c>
      <c r="Q280" s="154">
        <f t="shared" si="161"/>
        <v>60.953136818214794</v>
      </c>
      <c r="R280" s="154">
        <f t="shared" si="161"/>
        <v>60.953136818214794</v>
      </c>
      <c r="S280" s="154">
        <f t="shared" si="161"/>
        <v>60.953136818214794</v>
      </c>
      <c r="T280" s="154">
        <f t="shared" si="161"/>
        <v>60.953136818214794</v>
      </c>
      <c r="U280" s="154">
        <f t="shared" si="161"/>
        <v>60.953136818214794</v>
      </c>
      <c r="V280" s="154">
        <f t="shared" si="161"/>
        <v>60.953136818214794</v>
      </c>
      <c r="W280" s="154">
        <f t="shared" ref="W280:X281" si="162">V280</f>
        <v>60.953136818214794</v>
      </c>
      <c r="X280" s="152">
        <f t="shared" si="162"/>
        <v>60.953136818214794</v>
      </c>
      <c r="Y280" s="156"/>
    </row>
    <row r="281" spans="1:25" hidden="1" outlineLevel="1">
      <c r="C281" s="125" t="s">
        <v>111</v>
      </c>
      <c r="D281" s="151"/>
      <c r="E281" s="154">
        <f>INDEX('PPA Summary'!$75:$106,MATCH(_xlfn.CONCAT($C278,$C$1),'PPA Summary'!$D$75:$D$106,0),MATCH($B$1,'PPA Summary'!$74:$74,0))</f>
        <v>18.828985025033305</v>
      </c>
      <c r="F281" s="154">
        <f>E281</f>
        <v>18.828985025033305</v>
      </c>
      <c r="G281" s="154">
        <f t="shared" si="161"/>
        <v>18.828985025033305</v>
      </c>
      <c r="H281" s="154">
        <f t="shared" si="161"/>
        <v>18.828985025033305</v>
      </c>
      <c r="I281" s="154">
        <f t="shared" si="161"/>
        <v>18.828985025033305</v>
      </c>
      <c r="J281" s="154">
        <f t="shared" si="161"/>
        <v>18.828985025033305</v>
      </c>
      <c r="K281" s="154">
        <f t="shared" si="161"/>
        <v>18.828985025033305</v>
      </c>
      <c r="L281" s="154">
        <f t="shared" si="161"/>
        <v>18.828985025033305</v>
      </c>
      <c r="M281" s="154">
        <f t="shared" si="161"/>
        <v>18.828985025033305</v>
      </c>
      <c r="N281" s="154">
        <f t="shared" si="161"/>
        <v>18.828985025033305</v>
      </c>
      <c r="O281" s="154">
        <f t="shared" si="161"/>
        <v>18.828985025033305</v>
      </c>
      <c r="P281" s="154">
        <f t="shared" si="161"/>
        <v>18.828985025033305</v>
      </c>
      <c r="Q281" s="154">
        <f t="shared" si="161"/>
        <v>18.828985025033305</v>
      </c>
      <c r="R281" s="154">
        <f t="shared" si="161"/>
        <v>18.828985025033305</v>
      </c>
      <c r="S281" s="154">
        <f t="shared" si="161"/>
        <v>18.828985025033305</v>
      </c>
      <c r="T281" s="154">
        <f t="shared" si="161"/>
        <v>18.828985025033305</v>
      </c>
      <c r="U281" s="154">
        <f t="shared" si="161"/>
        <v>18.828985025033305</v>
      </c>
      <c r="V281" s="154">
        <f t="shared" si="161"/>
        <v>18.828985025033305</v>
      </c>
      <c r="W281" s="154">
        <f t="shared" si="162"/>
        <v>18.828985025033305</v>
      </c>
      <c r="X281" s="152">
        <f t="shared" si="162"/>
        <v>18.828985025033305</v>
      </c>
      <c r="Y281" s="156"/>
    </row>
    <row r="282" spans="1:25" hidden="1" outlineLevel="1">
      <c r="C282" s="258" t="s">
        <v>46</v>
      </c>
      <c r="D282" s="151"/>
      <c r="E282" s="151">
        <f>E280*E279+E281*12*'Resource Options'!$E$18*1000</f>
        <v>1863295.1549002568</v>
      </c>
      <c r="F282" s="151">
        <f>F280*F279+F281*12*'Resource Options'!$E$18*1000</f>
        <v>1863295.1549002568</v>
      </c>
      <c r="G282" s="151">
        <f>G280*G279+G281*12*'Resource Options'!$E$18*1000</f>
        <v>1863295.1549002568</v>
      </c>
      <c r="H282" s="151">
        <f>H280*H279+H281*12*'Resource Options'!$E$18*1000</f>
        <v>1863295.1549002568</v>
      </c>
      <c r="I282" s="151">
        <f>I280*I279+I281*12*'Resource Options'!$E$18*1000</f>
        <v>1863295.1549002568</v>
      </c>
      <c r="J282" s="151">
        <f>J280*J279+J281*12*'Resource Options'!$E$18*1000</f>
        <v>1863295.1549002568</v>
      </c>
      <c r="K282" s="151">
        <f>K280*K279+K281*12*'Resource Options'!$E$18*1000</f>
        <v>1863295.1549002568</v>
      </c>
      <c r="L282" s="151">
        <f>L280*L279+L281*12*'Resource Options'!$E$18*1000</f>
        <v>1863295.1549002568</v>
      </c>
      <c r="M282" s="151">
        <f>M280*M279+M281*12*'Resource Options'!$E$18*1000</f>
        <v>1863295.1549002568</v>
      </c>
      <c r="N282" s="151">
        <f>N280*N279+N281*12*'Resource Options'!$E$18*1000</f>
        <v>1863295.1549002568</v>
      </c>
      <c r="O282" s="151">
        <f>O280*O279+O281*12*'Resource Options'!$E$18*1000</f>
        <v>1863295.1549002568</v>
      </c>
      <c r="P282" s="151">
        <f>P280*P279+P281*12*'Resource Options'!$E$18*1000</f>
        <v>1863295.1549002568</v>
      </c>
      <c r="Q282" s="151">
        <f>Q280*Q279+Q281*12*'Resource Options'!$E$18*1000</f>
        <v>1863295.1549002568</v>
      </c>
      <c r="R282" s="151">
        <f>R280*R279+R281*12*'Resource Options'!$E$18*1000</f>
        <v>1863295.1549002568</v>
      </c>
      <c r="S282" s="151">
        <f>S280*S279+S281*12*'Resource Options'!$E$18*1000</f>
        <v>1863295.1549002568</v>
      </c>
      <c r="T282" s="151">
        <f>T280*T279+T281*12*'Resource Options'!$E$18*1000</f>
        <v>1863295.1549002568</v>
      </c>
      <c r="U282" s="151">
        <f>U280*U279+U281*12*'Resource Options'!$E$18*1000</f>
        <v>1863295.1549002568</v>
      </c>
      <c r="V282" s="151">
        <f>V280*V279+V281*12*'Resource Options'!$E$18*1000</f>
        <v>1863295.1549002568</v>
      </c>
      <c r="W282" s="151">
        <f>W280*W279+W281*12*'Resource Options'!$E$18*1000</f>
        <v>1863295.1549002568</v>
      </c>
      <c r="X282" s="152">
        <f>X280*X279+X281*12*'Resource Options'!$E$18*1000</f>
        <v>1863295.1549002568</v>
      </c>
      <c r="Y282" s="156"/>
    </row>
    <row r="283" spans="1:25" hidden="1" outlineLevel="1">
      <c r="C283" s="258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2"/>
      <c r="Y283" s="156"/>
    </row>
    <row r="284" spans="1:25" hidden="1" outlineLevel="1">
      <c r="B284" s="92"/>
      <c r="C284" s="125" t="s">
        <v>158</v>
      </c>
      <c r="D284" s="151"/>
      <c r="E284" s="151">
        <f>'Resource Options'!$E$18*INDEX('DATA (Nominal)'!$B$187:$BX$187,1,MATCH(E$1,'DATA (Nominal)'!$B$1:$BX$1,0))*1000*0.8</f>
        <v>107254.10836720598</v>
      </c>
      <c r="F284" s="151">
        <f>'Resource Options'!$E$18*INDEX('DATA (Nominal)'!$B$187:$BX$187,1,MATCH(F$1,'DATA (Nominal)'!$B$1:$BX$1,0))*1000*0.8</f>
        <v>106076.47205447436</v>
      </c>
      <c r="G284" s="151">
        <f>'Resource Options'!$E$18*INDEX('DATA (Nominal)'!$B$187:$BX$187,1,MATCH(G$1,'DATA (Nominal)'!$B$1:$BX$1,0))*1000*0.8</f>
        <v>104802.91271825023</v>
      </c>
      <c r="H284" s="151">
        <f>'Resource Options'!$E$18*INDEX('DATA (Nominal)'!$B$187:$BX$187,1,MATCH(H$1,'DATA (Nominal)'!$B$1:$BX$1,0))*1000*0.8</f>
        <v>103395.82583434808</v>
      </c>
      <c r="I284" s="151">
        <f>'Resource Options'!$E$18*INDEX('DATA (Nominal)'!$B$187:$BX$187,1,MATCH(I$1,'DATA (Nominal)'!$B$1:$BX$1,0))*1000*0.8</f>
        <v>101885.9107682465</v>
      </c>
      <c r="J284" s="151">
        <f>'Resource Options'!$E$18*INDEX('DATA (Nominal)'!$B$187:$BX$187,1,MATCH(J$1,'DATA (Nominal)'!$B$1:$BX$1,0))*1000*0.8</f>
        <v>100269.15378062968</v>
      </c>
      <c r="K284" s="151">
        <f>'Resource Options'!$E$18*INDEX('DATA (Nominal)'!$B$187:$BX$187,1,MATCH(K$1,'DATA (Nominal)'!$B$1:$BX$1,0))*1000*0.8</f>
        <v>101797.12399487884</v>
      </c>
      <c r="L284" s="151">
        <f>'Resource Options'!$E$18*INDEX('DATA (Nominal)'!$B$187:$BX$187,1,MATCH(L$1,'DATA (Nominal)'!$B$1:$BX$1,0))*1000*0.8</f>
        <v>103345.57753384675</v>
      </c>
      <c r="M284" s="151">
        <f>'Resource Options'!$E$18*INDEX('DATA (Nominal)'!$B$187:$BX$187,1,MATCH(M$1,'DATA (Nominal)'!$B$1:$BX$1,0))*1000*0.8</f>
        <v>104914.68547918549</v>
      </c>
      <c r="N284" s="151">
        <f>'Resource Options'!$E$18*INDEX('DATA (Nominal)'!$B$187:$BX$187,1,MATCH(N$1,'DATA (Nominal)'!$B$1:$BX$1,0))*1000*0.8</f>
        <v>106504.61673846902</v>
      </c>
      <c r="O284" s="151">
        <f>'Resource Options'!$E$18*INDEX('DATA (Nominal)'!$B$187:$BX$187,1,MATCH(O$1,'DATA (Nominal)'!$B$1:$BX$1,0))*1000*0.8</f>
        <v>108115.53786781228</v>
      </c>
      <c r="P284" s="151">
        <f>'Resource Options'!$E$18*INDEX('DATA (Nominal)'!$B$187:$BX$187,1,MATCH(P$1,'DATA (Nominal)'!$B$1:$BX$1,0))*1000*0.8</f>
        <v>109747.61288780109</v>
      </c>
      <c r="Q284" s="151">
        <f>'Resource Options'!$E$18*INDEX('DATA (Nominal)'!$B$187:$BX$187,1,MATCH(Q$1,'DATA (Nominal)'!$B$1:$BX$1,0))*1000*0.8</f>
        <v>111401.00309252481</v>
      </c>
      <c r="R284" s="151">
        <f>'Resource Options'!$E$18*INDEX('DATA (Nominal)'!$B$187:$BX$187,1,MATCH(R$1,'DATA (Nominal)'!$B$1:$BX$1,0))*1000*0.8</f>
        <v>113075.8668514961</v>
      </c>
      <c r="S284" s="151">
        <f>'Resource Options'!$E$18*INDEX('DATA (Nominal)'!$B$187:$BX$187,1,MATCH(S$1,'DATA (Nominal)'!$B$1:$BX$1,0))*1000*0.8</f>
        <v>114772.35940423753</v>
      </c>
      <c r="T284" s="151">
        <f>'Resource Options'!$E$18*INDEX('DATA (Nominal)'!$B$187:$BX$187,1,MATCH(T$1,'DATA (Nominal)'!$B$1:$BX$1,0))*1000*0.8</f>
        <v>116490.63264730778</v>
      </c>
      <c r="U284" s="151">
        <f>'Resource Options'!$E$18*INDEX('DATA (Nominal)'!$B$187:$BX$187,1,MATCH(U$1,'DATA (Nominal)'!$B$1:$BX$1,0))*1000*0.8</f>
        <v>118230.83491353328</v>
      </c>
      <c r="V284" s="151">
        <f>'Resource Options'!$E$18*INDEX('DATA (Nominal)'!$B$187:$BX$187,1,MATCH(V$1,'DATA (Nominal)'!$B$1:$BX$1,0))*1000*0.8</f>
        <v>119993.11074320595</v>
      </c>
      <c r="W284" s="151">
        <f>'Resource Options'!$E$18*INDEX('DATA (Nominal)'!$B$187:$BX$187,1,MATCH(W$1,'DATA (Nominal)'!$B$1:$BX$1,0))*1000*0.8</f>
        <v>121777.60064699937</v>
      </c>
      <c r="X284" s="152">
        <f>'Resource Options'!$E$18*INDEX('DATA (Nominal)'!$B$187:$BX$187,1,MATCH(X$1,'DATA (Nominal)'!$B$1:$BX$1,0))*1000*0.8</f>
        <v>123584.4408603506</v>
      </c>
      <c r="Y284" s="156"/>
    </row>
    <row r="285" spans="1:25" hidden="1" outlineLevel="1">
      <c r="B285" s="92"/>
      <c r="C285" s="125" t="s">
        <v>159</v>
      </c>
      <c r="D285" s="151"/>
      <c r="E285" s="151">
        <f>'Resource Options'!$E$18*INDEX('DATA (Nominal)'!$B$188:$BX$188,1,MATCH(E$1,'DATA (Nominal)'!$B$1:$BX$1,0))*1000*0.8</f>
        <v>68092.286200557457</v>
      </c>
      <c r="F285" s="151">
        <f>'Resource Options'!$E$18*INDEX('DATA (Nominal)'!$B$188:$BX$188,1,MATCH(F$1,'DATA (Nominal)'!$B$1:$BX$1,0))*1000*0.8</f>
        <v>66643.738450199293</v>
      </c>
      <c r="G285" s="151">
        <f>'Resource Options'!$E$18*INDEX('DATA (Nominal)'!$B$188:$BX$188,1,MATCH(G$1,'DATA (Nominal)'!$B$1:$BX$1,0))*1000*0.8</f>
        <v>65433.813680514337</v>
      </c>
      <c r="H285" s="151">
        <f>'Resource Options'!$E$18*INDEX('DATA (Nominal)'!$B$188:$BX$188,1,MATCH(H$1,'DATA (Nominal)'!$B$1:$BX$1,0))*1000*0.8</f>
        <v>63770.985322550747</v>
      </c>
      <c r="I285" s="151">
        <f>'Resource Options'!$E$18*INDEX('DATA (Nominal)'!$B$188:$BX$188,1,MATCH(I$1,'DATA (Nominal)'!$B$1:$BX$1,0))*1000*0.8</f>
        <v>62707.905761822396</v>
      </c>
      <c r="J285" s="151">
        <f>'Resource Options'!$E$18*INDEX('DATA (Nominal)'!$B$188:$BX$188,1,MATCH(J$1,'DATA (Nominal)'!$B$1:$BX$1,0))*1000*0.8</f>
        <v>61567.185543525877</v>
      </c>
      <c r="K285" s="151">
        <f>'Resource Options'!$E$18*INDEX('DATA (Nominal)'!$B$188:$BX$188,1,MATCH(K$1,'DATA (Nominal)'!$B$1:$BX$1,0))*1000*0.8</f>
        <v>62166.419680505096</v>
      </c>
      <c r="L285" s="151">
        <f>'Resource Options'!$E$18*INDEX('DATA (Nominal)'!$B$188:$BX$188,1,MATCH(L$1,'DATA (Nominal)'!$B$1:$BX$1,0))*1000*0.8</f>
        <v>62730.256660660547</v>
      </c>
      <c r="M285" s="151">
        <f>'Resource Options'!$E$18*INDEX('DATA (Nominal)'!$B$188:$BX$188,1,MATCH(M$1,'DATA (Nominal)'!$B$1:$BX$1,0))*1000*0.8</f>
        <v>63288.813920817702</v>
      </c>
      <c r="N285" s="151">
        <f>'Resource Options'!$E$18*INDEX('DATA (Nominal)'!$B$188:$BX$188,1,MATCH(N$1,'DATA (Nominal)'!$B$1:$BX$1,0))*1000*0.8</f>
        <v>63841.586256197981</v>
      </c>
      <c r="O285" s="151">
        <f>'Resource Options'!$E$18*INDEX('DATA (Nominal)'!$B$188:$BX$188,1,MATCH(O$1,'DATA (Nominal)'!$B$1:$BX$1,0))*1000*0.8</f>
        <v>64388.0487883971</v>
      </c>
      <c r="P285" s="151">
        <f>'Resource Options'!$E$18*INDEX('DATA (Nominal)'!$B$188:$BX$188,1,MATCH(P$1,'DATA (Nominal)'!$B$1:$BX$1,0))*1000*0.8</f>
        <v>64927.656344265131</v>
      </c>
      <c r="Q285" s="151">
        <f>'Resource Options'!$E$18*INDEX('DATA (Nominal)'!$B$188:$BX$188,1,MATCH(Q$1,'DATA (Nominal)'!$B$1:$BX$1,0))*1000*0.8</f>
        <v>65459.842816977616</v>
      </c>
      <c r="R285" s="151">
        <f>'Resource Options'!$E$18*INDEX('DATA (Nominal)'!$B$188:$BX$188,1,MATCH(R$1,'DATA (Nominal)'!$B$1:$BX$1,0))*1000*0.8</f>
        <v>65984.0205088191</v>
      </c>
      <c r="S285" s="151">
        <f>'Resource Options'!$E$18*INDEX('DATA (Nominal)'!$B$188:$BX$188,1,MATCH(S$1,'DATA (Nominal)'!$B$1:$BX$1,0))*1000*0.8</f>
        <v>66499.579455178158</v>
      </c>
      <c r="T285" s="151">
        <f>'Resource Options'!$E$18*INDEX('DATA (Nominal)'!$B$188:$BX$188,1,MATCH(T$1,'DATA (Nominal)'!$B$1:$BX$1,0))*1000*0.8</f>
        <v>67005.886729250531</v>
      </c>
      <c r="U285" s="151">
        <f>'Resource Options'!$E$18*INDEX('DATA (Nominal)'!$B$188:$BX$188,1,MATCH(U$1,'DATA (Nominal)'!$B$1:$BX$1,0))*1000*0.8</f>
        <v>67502.285726925897</v>
      </c>
      <c r="V285" s="151">
        <f>'Resource Options'!$E$18*INDEX('DATA (Nominal)'!$B$188:$BX$188,1,MATCH(V$1,'DATA (Nominal)'!$B$1:$BX$1,0))*1000*0.8</f>
        <v>67988.095431321897</v>
      </c>
      <c r="W285" s="151">
        <f>'Resource Options'!$E$18*INDEX('DATA (Nominal)'!$B$188:$BX$188,1,MATCH(W$1,'DATA (Nominal)'!$B$1:$BX$1,0))*1000*0.8</f>
        <v>68462.609656419707</v>
      </c>
      <c r="X285" s="152">
        <f>'Resource Options'!$E$18*INDEX('DATA (Nominal)'!$B$188:$BX$188,1,MATCH(X$1,'DATA (Nominal)'!$B$1:$BX$1,0))*1000*0.8</f>
        <v>68925.096269233094</v>
      </c>
      <c r="Y285" s="156"/>
    </row>
    <row r="286" spans="1:25" hidden="1" outlineLevel="1">
      <c r="C286" s="125" t="s">
        <v>160</v>
      </c>
      <c r="D286" s="151"/>
      <c r="E286" s="151">
        <f>E279*INDEX('DATA (Nominal)'!$B$113:$BX$113,1,MATCH(E$1,'DATA (Nominal)'!$B$1:$BX$1,0))</f>
        <v>0</v>
      </c>
      <c r="F286" s="151">
        <f>F279*INDEX('DATA (Nominal)'!$B$113:$BX$113,1,MATCH(F$1,'DATA (Nominal)'!$B$1:$BX$1,0))</f>
        <v>0</v>
      </c>
      <c r="G286" s="151">
        <f>G279*INDEX('DATA (Nominal)'!$B$113:$BX$113,1,MATCH(G$1,'DATA (Nominal)'!$B$1:$BX$1,0))</f>
        <v>0</v>
      </c>
      <c r="H286" s="151">
        <f>H279*INDEX('DATA (Nominal)'!$B$113:$BX$113,1,MATCH(H$1,'DATA (Nominal)'!$B$1:$BX$1,0))</f>
        <v>0</v>
      </c>
      <c r="I286" s="151">
        <f>I279*INDEX('DATA (Nominal)'!$B$113:$BX$113,1,MATCH(I$1,'DATA (Nominal)'!$B$1:$BX$1,0))</f>
        <v>0</v>
      </c>
      <c r="J286" s="151">
        <f>J279*INDEX('DATA (Nominal)'!$B$113:$BX$113,1,MATCH(J$1,'DATA (Nominal)'!$B$1:$BX$1,0))</f>
        <v>0</v>
      </c>
      <c r="K286" s="151">
        <f>K279*INDEX('DATA (Nominal)'!$B$113:$BX$113,1,MATCH(K$1,'DATA (Nominal)'!$B$1:$BX$1,0))</f>
        <v>0</v>
      </c>
      <c r="L286" s="151">
        <f>L279*INDEX('DATA (Nominal)'!$B$113:$BX$113,1,MATCH(L$1,'DATA (Nominal)'!$B$1:$BX$1,0))</f>
        <v>0</v>
      </c>
      <c r="M286" s="151">
        <f>M279*INDEX('DATA (Nominal)'!$B$113:$BX$113,1,MATCH(M$1,'DATA (Nominal)'!$B$1:$BX$1,0))</f>
        <v>0</v>
      </c>
      <c r="N286" s="151">
        <f>N279*INDEX('DATA (Nominal)'!$B$113:$BX$113,1,MATCH(N$1,'DATA (Nominal)'!$B$1:$BX$1,0))</f>
        <v>0</v>
      </c>
      <c r="O286" s="151">
        <f>O279*INDEX('DATA (Nominal)'!$B$113:$BX$113,1,MATCH(O$1,'DATA (Nominal)'!$B$1:$BX$1,0))</f>
        <v>0</v>
      </c>
      <c r="P286" s="151">
        <f>P279*INDEX('DATA (Nominal)'!$B$113:$BX$113,1,MATCH(P$1,'DATA (Nominal)'!$B$1:$BX$1,0))</f>
        <v>0</v>
      </c>
      <c r="Q286" s="151">
        <f>Q279*INDEX('DATA (Nominal)'!$B$113:$BX$113,1,MATCH(Q$1,'DATA (Nominal)'!$B$1:$BX$1,0))</f>
        <v>0</v>
      </c>
      <c r="R286" s="151">
        <f>R279*INDEX('DATA (Nominal)'!$B$113:$BX$113,1,MATCH(R$1,'DATA (Nominal)'!$B$1:$BX$1,0))</f>
        <v>0</v>
      </c>
      <c r="S286" s="151">
        <f>S279*INDEX('DATA (Nominal)'!$B$113:$BX$113,1,MATCH(S$1,'DATA (Nominal)'!$B$1:$BX$1,0))</f>
        <v>0</v>
      </c>
      <c r="T286" s="151">
        <f>T279*INDEX('DATA (Nominal)'!$B$113:$BX$113,1,MATCH(T$1,'DATA (Nominal)'!$B$1:$BX$1,0))</f>
        <v>0</v>
      </c>
      <c r="U286" s="151">
        <f>U279*INDEX('DATA (Nominal)'!$B$113:$BX$113,1,MATCH(U$1,'DATA (Nominal)'!$B$1:$BX$1,0))</f>
        <v>0</v>
      </c>
      <c r="V286" s="151">
        <f>V279*INDEX('DATA (Nominal)'!$B$113:$BX$113,1,MATCH(V$1,'DATA (Nominal)'!$B$1:$BX$1,0))</f>
        <v>0</v>
      </c>
      <c r="W286" s="151">
        <f>W279*INDEX('DATA (Nominal)'!$B$113:$BX$113,1,MATCH(W$1,'DATA (Nominal)'!$B$1:$BX$1,0))</f>
        <v>0</v>
      </c>
      <c r="X286" s="152">
        <f>X279*INDEX('DATA (Nominal)'!$B$113:$BX$113,1,MATCH(X$1,'DATA (Nominal)'!$B$1:$BX$1,0))</f>
        <v>0</v>
      </c>
      <c r="Y286" s="156"/>
    </row>
    <row r="287" spans="1:25" hidden="1" outlineLevel="1">
      <c r="C287" s="125" t="s">
        <v>127</v>
      </c>
      <c r="D287" s="151"/>
      <c r="E287" s="151">
        <f>E279*E280*INDEX('DATA (Nominal)'!$B$333:$BX$333,1,MATCH(E$1,'DATA (Nominal)'!$B$1:$BX$1,0))</f>
        <v>2017.2791468452108</v>
      </c>
      <c r="F287" s="151">
        <f>F279*F280*INDEX('DATA (Nominal)'!$B$333:$BX$333,1,MATCH(F$1,'DATA (Nominal)'!$B$1:$BX$1,0))</f>
        <v>2017.2791468452108</v>
      </c>
      <c r="G287" s="151">
        <f>G279*G280*INDEX('DATA (Nominal)'!$B$333:$BX$333,1,MATCH(G$1,'DATA (Nominal)'!$B$1:$BX$1,0))</f>
        <v>2017.2791468452108</v>
      </c>
      <c r="H287" s="151">
        <f>H279*H280*INDEX('DATA (Nominal)'!$B$333:$BX$333,1,MATCH(H$1,'DATA (Nominal)'!$B$1:$BX$1,0))</f>
        <v>2017.2791468452108</v>
      </c>
      <c r="I287" s="151">
        <f>I279*I280*INDEX('DATA (Nominal)'!$B$333:$BX$333,1,MATCH(I$1,'DATA (Nominal)'!$B$1:$BX$1,0))</f>
        <v>2017.2791468452108</v>
      </c>
      <c r="J287" s="151">
        <f>J279*J280*INDEX('DATA (Nominal)'!$B$333:$BX$333,1,MATCH(J$1,'DATA (Nominal)'!$B$1:$BX$1,0))</f>
        <v>2017.2791468452108</v>
      </c>
      <c r="K287" s="151">
        <f>K279*K280*INDEX('DATA (Nominal)'!$B$333:$BX$333,1,MATCH(K$1,'DATA (Nominal)'!$B$1:$BX$1,0))</f>
        <v>2017.2791468452108</v>
      </c>
      <c r="L287" s="151">
        <f>L279*L280*INDEX('DATA (Nominal)'!$B$333:$BX$333,1,MATCH(L$1,'DATA (Nominal)'!$B$1:$BX$1,0))</f>
        <v>2017.2791468452108</v>
      </c>
      <c r="M287" s="151">
        <f>M279*M280*INDEX('DATA (Nominal)'!$B$333:$BX$333,1,MATCH(M$1,'DATA (Nominal)'!$B$1:$BX$1,0))</f>
        <v>2017.2791468452108</v>
      </c>
      <c r="N287" s="151">
        <f>N279*N280*INDEX('DATA (Nominal)'!$B$333:$BX$333,1,MATCH(N$1,'DATA (Nominal)'!$B$1:$BX$1,0))</f>
        <v>2017.2791468452108</v>
      </c>
      <c r="O287" s="151">
        <f>O279*O280*INDEX('DATA (Nominal)'!$B$333:$BX$333,1,MATCH(O$1,'DATA (Nominal)'!$B$1:$BX$1,0))</f>
        <v>2017.2791468452108</v>
      </c>
      <c r="P287" s="151">
        <f>P279*P280*INDEX('DATA (Nominal)'!$B$333:$BX$333,1,MATCH(P$1,'DATA (Nominal)'!$B$1:$BX$1,0))</f>
        <v>2017.2791468452108</v>
      </c>
      <c r="Q287" s="151">
        <f>Q279*Q280*INDEX('DATA (Nominal)'!$B$333:$BX$333,1,MATCH(Q$1,'DATA (Nominal)'!$B$1:$BX$1,0))</f>
        <v>2017.2791468452108</v>
      </c>
      <c r="R287" s="151">
        <f>R279*R280*INDEX('DATA (Nominal)'!$B$333:$BX$333,1,MATCH(R$1,'DATA (Nominal)'!$B$1:$BX$1,0))</f>
        <v>2017.2791468452108</v>
      </c>
      <c r="S287" s="151">
        <f>S279*S280*INDEX('DATA (Nominal)'!$B$333:$BX$333,1,MATCH(S$1,'DATA (Nominal)'!$B$1:$BX$1,0))</f>
        <v>2017.2791468452108</v>
      </c>
      <c r="T287" s="151">
        <f>T279*T280*INDEX('DATA (Nominal)'!$B$333:$BX$333,1,MATCH(T$1,'DATA (Nominal)'!$B$1:$BX$1,0))</f>
        <v>2017.2791468452108</v>
      </c>
      <c r="U287" s="151">
        <f>U279*U280*INDEX('DATA (Nominal)'!$B$333:$BX$333,1,MATCH(U$1,'DATA (Nominal)'!$B$1:$BX$1,0))</f>
        <v>2017.2791468452108</v>
      </c>
      <c r="V287" s="151">
        <f>V279*V280*INDEX('DATA (Nominal)'!$B$333:$BX$333,1,MATCH(V$1,'DATA (Nominal)'!$B$1:$BX$1,0))</f>
        <v>2017.2791468452108</v>
      </c>
      <c r="W287" s="151">
        <f>W279*W280*INDEX('DATA (Nominal)'!$B$333:$BX$333,1,MATCH(W$1,'DATA (Nominal)'!$B$1:$BX$1,0))</f>
        <v>2017.2791468452108</v>
      </c>
      <c r="X287" s="152">
        <f>X279*X280*INDEX('DATA (Nominal)'!$B$333:$BX$333,1,MATCH(X$1,'DATA (Nominal)'!$B$1:$BX$1,0))</f>
        <v>2017.2791468452108</v>
      </c>
      <c r="Y287" s="156"/>
    </row>
    <row r="288" spans="1:25" hidden="1" outlineLevel="1">
      <c r="C288" s="258" t="s">
        <v>49</v>
      </c>
      <c r="D288" s="151"/>
      <c r="E288" s="151">
        <f>D310*Property_Tax_Rate</f>
        <v>182146.64739673861</v>
      </c>
      <c r="F288" s="151">
        <f t="shared" ref="F288:M288" si="163">E310*Property_Tax_Rate</f>
        <v>171997.52363802493</v>
      </c>
      <c r="G288" s="151">
        <f t="shared" si="163"/>
        <v>162413.9041833533</v>
      </c>
      <c r="H288" s="151">
        <f t="shared" si="163"/>
        <v>153364.27940435649</v>
      </c>
      <c r="I288" s="151">
        <f t="shared" si="163"/>
        <v>144818.89537403462</v>
      </c>
      <c r="J288" s="151">
        <f t="shared" si="163"/>
        <v>136749.65603991773</v>
      </c>
      <c r="K288" s="151">
        <f t="shared" si="163"/>
        <v>129130.03084809272</v>
      </c>
      <c r="L288" s="151">
        <f t="shared" si="163"/>
        <v>121934.96751437541</v>
      </c>
      <c r="M288" s="151">
        <f t="shared" si="163"/>
        <v>115140.80965583067</v>
      </c>
      <c r="N288" s="151">
        <f>M310*Property_Tax_Rate</f>
        <v>108725.21901182497</v>
      </c>
      <c r="O288" s="151">
        <f>N310*Property_Tax_Rate</f>
        <v>102667.10199888443</v>
      </c>
      <c r="P288" s="151">
        <f t="shared" ref="P288:X288" si="164">O310*Property_Tax_Rate</f>
        <v>141545.2223963727</v>
      </c>
      <c r="Q288" s="151">
        <f t="shared" si="164"/>
        <v>129812.85149198803</v>
      </c>
      <c r="R288" s="151">
        <f t="shared" si="164"/>
        <v>119052.95090279767</v>
      </c>
      <c r="S288" s="151">
        <f t="shared" si="164"/>
        <v>109184.91471192081</v>
      </c>
      <c r="T288" s="151">
        <f t="shared" si="164"/>
        <v>100134.81824892151</v>
      </c>
      <c r="U288" s="151">
        <f t="shared" si="164"/>
        <v>91834.86429604546</v>
      </c>
      <c r="V288" s="151">
        <f t="shared" si="164"/>
        <v>84222.875197198635</v>
      </c>
      <c r="W288" s="151">
        <f t="shared" si="164"/>
        <v>77241.827064891215</v>
      </c>
      <c r="X288" s="152">
        <f t="shared" si="164"/>
        <v>70839.422595739277</v>
      </c>
      <c r="Y288" s="156"/>
    </row>
    <row r="289" spans="2:25" hidden="1" outlineLevel="1">
      <c r="C289" s="258" t="s">
        <v>50</v>
      </c>
      <c r="D289" s="151"/>
      <c r="E289" s="151">
        <f>SUM(E284:E288)</f>
        <v>359510.32111134729</v>
      </c>
      <c r="F289" s="151">
        <f>SUM(F284:F288)</f>
        <v>346735.0132895438</v>
      </c>
      <c r="G289" s="151">
        <f t="shared" ref="G289:N289" si="165">SUM(G284:G288)</f>
        <v>334667.90972896304</v>
      </c>
      <c r="H289" s="151">
        <f t="shared" si="165"/>
        <v>322548.36970810057</v>
      </c>
      <c r="I289" s="151">
        <f t="shared" si="165"/>
        <v>311429.99105094874</v>
      </c>
      <c r="J289" s="151">
        <f t="shared" si="165"/>
        <v>300603.27451091853</v>
      </c>
      <c r="K289" s="151">
        <f t="shared" si="165"/>
        <v>295110.85367032187</v>
      </c>
      <c r="L289" s="151">
        <f t="shared" si="165"/>
        <v>290028.08085572795</v>
      </c>
      <c r="M289" s="151">
        <f t="shared" si="165"/>
        <v>285361.58820267906</v>
      </c>
      <c r="N289" s="151">
        <f t="shared" si="165"/>
        <v>281088.7011533372</v>
      </c>
      <c r="O289" s="151">
        <f>SUM(O284:O288)</f>
        <v>277187.967801939</v>
      </c>
      <c r="P289" s="151">
        <f t="shared" ref="P289:X289" si="166">SUM(P284:P288)</f>
        <v>318237.77077528415</v>
      </c>
      <c r="Q289" s="151">
        <f t="shared" si="166"/>
        <v>308690.97654833563</v>
      </c>
      <c r="R289" s="151">
        <f t="shared" si="166"/>
        <v>300130.1174099581</v>
      </c>
      <c r="S289" s="151">
        <f t="shared" si="166"/>
        <v>292474.1327181817</v>
      </c>
      <c r="T289" s="151">
        <f t="shared" si="166"/>
        <v>285648.61677232501</v>
      </c>
      <c r="U289" s="151">
        <f t="shared" si="166"/>
        <v>279585.26408334984</v>
      </c>
      <c r="V289" s="151">
        <f t="shared" si="166"/>
        <v>274221.36051857169</v>
      </c>
      <c r="W289" s="151">
        <f t="shared" si="166"/>
        <v>269499.31651515554</v>
      </c>
      <c r="X289" s="152">
        <f t="shared" si="166"/>
        <v>265366.23887216824</v>
      </c>
      <c r="Y289" s="156"/>
    </row>
    <row r="290" spans="2:25" hidden="1" outlineLevel="1">
      <c r="C290" s="258" t="s">
        <v>179</v>
      </c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>
        <f>INDEX('DATA (Nominal)'!$B$69:$BX$69,1,MATCH($O$1,'DATA (Nominal)'!$B$1:$BX$1,0))*1000000*(1+AFUDC!$D$18)*0.5*'Resource Options'!$D$18/1000</f>
        <v>4313403.9393463666</v>
      </c>
      <c r="P290" s="151"/>
      <c r="Q290" s="151"/>
      <c r="R290" s="151"/>
      <c r="S290" s="151"/>
      <c r="T290" s="151"/>
      <c r="U290" s="151"/>
      <c r="V290" s="151"/>
      <c r="W290" s="151"/>
      <c r="X290" s="152"/>
      <c r="Y290" s="156"/>
    </row>
    <row r="291" spans="2:25" hidden="1" outlineLevel="1">
      <c r="C291" s="258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2"/>
      <c r="Y291" s="156"/>
    </row>
    <row r="292" spans="2:25" hidden="1" outlineLevel="1">
      <c r="C292" s="125" t="s">
        <v>51</v>
      </c>
      <c r="D292" s="151"/>
      <c r="E292" s="151">
        <f>E282-E289</f>
        <v>1503784.8337889095</v>
      </c>
      <c r="F292" s="151">
        <f t="shared" ref="F292:N292" si="167">F282-F289</f>
        <v>1516560.141610713</v>
      </c>
      <c r="G292" s="151">
        <f t="shared" si="167"/>
        <v>1528627.2451712936</v>
      </c>
      <c r="H292" s="151">
        <f t="shared" si="167"/>
        <v>1540746.7851921562</v>
      </c>
      <c r="I292" s="151">
        <f t="shared" si="167"/>
        <v>1551865.1638493082</v>
      </c>
      <c r="J292" s="151">
        <f t="shared" si="167"/>
        <v>1562691.8803893384</v>
      </c>
      <c r="K292" s="151">
        <f t="shared" si="167"/>
        <v>1568184.3012299349</v>
      </c>
      <c r="L292" s="151">
        <f t="shared" si="167"/>
        <v>1573267.0740445289</v>
      </c>
      <c r="M292" s="151">
        <f t="shared" si="167"/>
        <v>1577933.5666975777</v>
      </c>
      <c r="N292" s="151">
        <f t="shared" si="167"/>
        <v>1582206.4537469195</v>
      </c>
      <c r="O292" s="151">
        <f>O282-O289</f>
        <v>1586107.1870983178</v>
      </c>
      <c r="P292" s="151">
        <f t="shared" ref="P292:X292" si="168">P282-P289</f>
        <v>1545057.3841249726</v>
      </c>
      <c r="Q292" s="151">
        <f t="shared" si="168"/>
        <v>1554604.178351921</v>
      </c>
      <c r="R292" s="151">
        <f t="shared" si="168"/>
        <v>1563165.0374902987</v>
      </c>
      <c r="S292" s="151">
        <f t="shared" si="168"/>
        <v>1570821.0221820751</v>
      </c>
      <c r="T292" s="151">
        <f t="shared" si="168"/>
        <v>1577646.5381279318</v>
      </c>
      <c r="U292" s="151">
        <f t="shared" si="168"/>
        <v>1583709.8908169069</v>
      </c>
      <c r="V292" s="151">
        <f t="shared" si="168"/>
        <v>1589073.7943816851</v>
      </c>
      <c r="W292" s="151">
        <f t="shared" si="168"/>
        <v>1593795.8383851012</v>
      </c>
      <c r="X292" s="152">
        <f t="shared" si="168"/>
        <v>1597928.9160280884</v>
      </c>
      <c r="Y292" s="156"/>
    </row>
    <row r="293" spans="2:25" hidden="1" outlineLevel="1">
      <c r="C293" s="125" t="s">
        <v>52</v>
      </c>
      <c r="D293" s="151"/>
      <c r="E293" s="151">
        <f>E292-E311-E300</f>
        <v>-2122472.0518049086</v>
      </c>
      <c r="F293" s="151">
        <f t="shared" ref="F293:M293" si="169">F292-F311-F300</f>
        <v>-3952399.2742790557</v>
      </c>
      <c r="G293" s="151">
        <f t="shared" si="169"/>
        <v>-1942547.7438678814</v>
      </c>
      <c r="H293" s="151">
        <f t="shared" si="169"/>
        <v>-724464.39679245814</v>
      </c>
      <c r="I293" s="151">
        <f t="shared" si="169"/>
        <v>-695505.44817997946</v>
      </c>
      <c r="J293" s="151">
        <f t="shared" si="169"/>
        <v>225933.05531735258</v>
      </c>
      <c r="K293" s="151">
        <f t="shared" si="169"/>
        <v>1143072.4621869088</v>
      </c>
      <c r="L293" s="151">
        <f t="shared" si="169"/>
        <v>1169104.3703966294</v>
      </c>
      <c r="M293" s="151">
        <f t="shared" si="169"/>
        <v>1195872.2008915369</v>
      </c>
      <c r="N293" s="151">
        <f>N292-N311-N300</f>
        <v>1223461.9993640394</v>
      </c>
      <c r="O293" s="151">
        <f>O292-O311-O300</f>
        <v>455923.37726050057</v>
      </c>
      <c r="P293" s="151">
        <f>P292-P311-P300</f>
        <v>13928.915248636215</v>
      </c>
      <c r="Q293" s="151">
        <f t="shared" ref="Q293:W293" si="170">Q292-Q311-Q300</f>
        <v>366635.3913853151</v>
      </c>
      <c r="R293" s="151">
        <f t="shared" si="170"/>
        <v>634405.28214094089</v>
      </c>
      <c r="S293" s="151">
        <f t="shared" si="170"/>
        <v>842074.27084617887</v>
      </c>
      <c r="T293" s="151">
        <f t="shared" si="170"/>
        <v>897455.61675666552</v>
      </c>
      <c r="U293" s="151">
        <f t="shared" si="170"/>
        <v>954745.37005832535</v>
      </c>
      <c r="V293" s="151">
        <f t="shared" si="170"/>
        <v>1206703.4781219075</v>
      </c>
      <c r="W293" s="151">
        <f t="shared" si="170"/>
        <v>1460862.7364014983</v>
      </c>
      <c r="X293" s="152">
        <f>X292-X311-X300</f>
        <v>1525147.9731362252</v>
      </c>
      <c r="Y293" s="156"/>
    </row>
    <row r="294" spans="2:25" hidden="1" outlineLevel="1">
      <c r="C294" s="125" t="s">
        <v>53</v>
      </c>
      <c r="D294" s="151"/>
      <c r="E294" s="93">
        <f>INDEX('DATA (Nominal)'!$B$259:$BX$259,1,MATCH($B$1,'DATA (Nominal)'!$B$1:$BX$1,0))*INDEX('DATA (Nominal)'!$B$306:$BX$306,1,MATCH(E$1,'DATA (Nominal)'!$B$1:$BX$1,0))*E279</f>
        <v>337802.24725484627</v>
      </c>
      <c r="F294" s="93">
        <f>INDEX('DATA (Nominal)'!$B$259:$BX$259,1,MATCH($B$1,'DATA (Nominal)'!$B$1:$BX$1,0))*INDEX('DATA (Nominal)'!$B$306:$BX$306,1,MATCH(F$1,'DATA (Nominal)'!$B$1:$BX$1,0))*F279</f>
        <v>345346.49744353793</v>
      </c>
      <c r="G294" s="93">
        <f>INDEX('DATA (Nominal)'!$B$259:$BX$259,1,MATCH($B$1,'DATA (Nominal)'!$B$1:$BX$1,0))*INDEX('DATA (Nominal)'!$B$306:$BX$306,1,MATCH(G$1,'DATA (Nominal)'!$B$1:$BX$1,0))*G279</f>
        <v>353059.23588644358</v>
      </c>
      <c r="H294" s="93">
        <f>INDEX('DATA (Nominal)'!$B$259:$BX$259,1,MATCH($B$1,'DATA (Nominal)'!$B$1:$BX$1,0))*INDEX('DATA (Nominal)'!$B$306:$BX$306,1,MATCH(H$1,'DATA (Nominal)'!$B$1:$BX$1,0))*H279</f>
        <v>360826.53907594533</v>
      </c>
      <c r="I294" s="93">
        <f>INDEX('DATA (Nominal)'!$B$259:$BX$259,1,MATCH($B$1,'DATA (Nominal)'!$B$1:$BX$1,0))*INDEX('DATA (Nominal)'!$B$306:$BX$306,1,MATCH(I$1,'DATA (Nominal)'!$B$1:$BX$1,0))*I279</f>
        <v>368764.7229356161</v>
      </c>
      <c r="J294" s="93">
        <f>INDEX('DATA (Nominal)'!$B$259:$BX$259,1,MATCH($B$1,'DATA (Nominal)'!$B$1:$BX$1,0))*INDEX('DATA (Nominal)'!$B$306:$BX$306,1,MATCH(J$1,'DATA (Nominal)'!$B$1:$BX$1,0))*J279</f>
        <v>376877.54684019974</v>
      </c>
      <c r="K294" s="93">
        <f>INDEX('DATA (Nominal)'!$B$259:$BX$259,1,MATCH($B$1,'DATA (Nominal)'!$B$1:$BX$1,0))*INDEX('DATA (Nominal)'!$B$306:$BX$306,1,MATCH(K$1,'DATA (Nominal)'!$B$1:$BX$1,0))*K279</f>
        <v>385168.85287068406</v>
      </c>
      <c r="L294" s="93">
        <f>INDEX('DATA (Nominal)'!$B$259:$BX$259,1,MATCH($B$1,'DATA (Nominal)'!$B$1:$BX$1,0))*INDEX('DATA (Nominal)'!$B$306:$BX$306,1,MATCH(L$1,'DATA (Nominal)'!$B$1:$BX$1,0))*L279</f>
        <v>393642.56763383915</v>
      </c>
      <c r="M294" s="93">
        <f>INDEX('DATA (Nominal)'!$B$259:$BX$259,1,MATCH($B$1,'DATA (Nominal)'!$B$1:$BX$1,0))*INDEX('DATA (Nominal)'!$B$306:$BX$306,1,MATCH(M$1,'DATA (Nominal)'!$B$1:$BX$1,0))*M279</f>
        <v>402302.70412178367</v>
      </c>
      <c r="N294" s="93">
        <f>INDEX('DATA (Nominal)'!$B$259:$BX$259,1,MATCH($B$1,'DATA (Nominal)'!$B$1:$BX$1,0))*INDEX('DATA (Nominal)'!$B$306:$BX$306,1,MATCH(N$1,'DATA (Nominal)'!$B$1:$BX$1,0))*N279</f>
        <v>411153.36361246288</v>
      </c>
      <c r="O294" s="151"/>
      <c r="P294" s="151"/>
      <c r="Q294" s="151"/>
      <c r="R294" s="151"/>
      <c r="S294" s="151"/>
      <c r="T294" s="151"/>
      <c r="U294" s="151"/>
      <c r="V294" s="151"/>
      <c r="W294" s="151"/>
      <c r="X294" s="152"/>
      <c r="Y294" s="156"/>
    </row>
    <row r="295" spans="2:25" hidden="1" outlineLevel="1">
      <c r="C295" s="258" t="s">
        <v>54</v>
      </c>
      <c r="D295" s="151"/>
      <c r="E295" s="151">
        <f>E293*Federal_Tax_Rate-E294</f>
        <v>-783521.37813387706</v>
      </c>
      <c r="F295" s="151">
        <f>F293*Federal_Tax_Rate-F294</f>
        <v>-1175350.3450421395</v>
      </c>
      <c r="G295" s="151">
        <f t="shared" ref="G295:N295" si="171">G293*Federal_Tax_Rate-G294</f>
        <v>-760994.26209869864</v>
      </c>
      <c r="H295" s="151">
        <f t="shared" si="171"/>
        <v>-512964.06240236154</v>
      </c>
      <c r="I295" s="151">
        <f t="shared" si="171"/>
        <v>-514820.86705341178</v>
      </c>
      <c r="J295" s="151">
        <f t="shared" si="171"/>
        <v>-329431.6052235557</v>
      </c>
      <c r="K295" s="151">
        <f t="shared" si="171"/>
        <v>-145123.63581143323</v>
      </c>
      <c r="L295" s="151">
        <f t="shared" si="171"/>
        <v>-148130.64985054696</v>
      </c>
      <c r="M295" s="151">
        <f t="shared" si="171"/>
        <v>-151169.54193456093</v>
      </c>
      <c r="N295" s="151">
        <f t="shared" si="171"/>
        <v>-154226.34374601461</v>
      </c>
      <c r="O295" s="151">
        <f>O293*Federal_Tax_Rate-O294</f>
        <v>95743.909224705116</v>
      </c>
      <c r="P295" s="151">
        <f t="shared" ref="P295:X295" si="172">P293*Federal_Tax_Rate-P294</f>
        <v>2925.0722022136051</v>
      </c>
      <c r="Q295" s="151">
        <f t="shared" si="172"/>
        <v>76993.432190916166</v>
      </c>
      <c r="R295" s="151">
        <f t="shared" si="172"/>
        <v>133225.10924959759</v>
      </c>
      <c r="S295" s="151">
        <f t="shared" si="172"/>
        <v>176835.59687769756</v>
      </c>
      <c r="T295" s="151">
        <f t="shared" si="172"/>
        <v>188465.67951889976</v>
      </c>
      <c r="U295" s="151">
        <f t="shared" si="172"/>
        <v>200496.52771224832</v>
      </c>
      <c r="V295" s="151">
        <f t="shared" si="172"/>
        <v>253407.73040560057</v>
      </c>
      <c r="W295" s="151">
        <f t="shared" si="172"/>
        <v>306781.17464431463</v>
      </c>
      <c r="X295" s="152">
        <f t="shared" si="172"/>
        <v>320281.07435860729</v>
      </c>
      <c r="Y295" s="156"/>
    </row>
    <row r="296" spans="2:25" hidden="1" outlineLevel="1">
      <c r="C296" s="258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2"/>
      <c r="Y296" s="156"/>
    </row>
    <row r="297" spans="2:25" hidden="1" outlineLevel="1">
      <c r="B297" s="37">
        <f>IRR(D297:Y297,0.1)</f>
        <v>7.5000000076365758E-2</v>
      </c>
      <c r="C297" s="125" t="s">
        <v>55</v>
      </c>
      <c r="D297" s="155">
        <f>SUM(D306:D307)</f>
        <v>-18214664.73967386</v>
      </c>
      <c r="E297" s="156">
        <f t="shared" ref="E297:K297" si="173">E292-E295</f>
        <v>2287306.2119227867</v>
      </c>
      <c r="F297" s="151">
        <f t="shared" si="173"/>
        <v>2691910.4866528525</v>
      </c>
      <c r="G297" s="151">
        <f t="shared" si="173"/>
        <v>2289621.5072699925</v>
      </c>
      <c r="H297" s="151">
        <f t="shared" si="173"/>
        <v>2053710.8475945177</v>
      </c>
      <c r="I297" s="151">
        <f t="shared" si="173"/>
        <v>2066686.0309027201</v>
      </c>
      <c r="J297" s="151">
        <f t="shared" si="173"/>
        <v>1892123.4856128939</v>
      </c>
      <c r="K297" s="151">
        <f t="shared" si="173"/>
        <v>1713307.9370413681</v>
      </c>
      <c r="L297" s="151">
        <f>L292-L295</f>
        <v>1721397.7238950757</v>
      </c>
      <c r="M297" s="151">
        <f t="shared" ref="M297:N297" si="174">M292-M295</f>
        <v>1729103.1086321387</v>
      </c>
      <c r="N297" s="151">
        <f t="shared" si="174"/>
        <v>1736432.7974929342</v>
      </c>
      <c r="O297" s="151">
        <f>O292-O295-O290</f>
        <v>-2823040.6614727536</v>
      </c>
      <c r="P297" s="151">
        <f>P292-P295</f>
        <v>1542132.3119227591</v>
      </c>
      <c r="Q297" s="151">
        <f t="shared" ref="Q297:X297" si="175">Q292-Q295</f>
        <v>1477610.7461610048</v>
      </c>
      <c r="R297" s="151">
        <f t="shared" si="175"/>
        <v>1429939.9282407011</v>
      </c>
      <c r="S297" s="151">
        <f t="shared" si="175"/>
        <v>1393985.4253043775</v>
      </c>
      <c r="T297" s="151">
        <f t="shared" si="175"/>
        <v>1389180.8586090319</v>
      </c>
      <c r="U297" s="151">
        <f t="shared" si="175"/>
        <v>1383213.3631046587</v>
      </c>
      <c r="V297" s="151">
        <f t="shared" si="175"/>
        <v>1335666.0639760846</v>
      </c>
      <c r="W297" s="151">
        <f t="shared" si="175"/>
        <v>1287014.6637407865</v>
      </c>
      <c r="X297" s="152">
        <f t="shared" si="175"/>
        <v>1277647.8416694812</v>
      </c>
      <c r="Y297" s="156">
        <f>D297*-0.3</f>
        <v>5464399.4219021583</v>
      </c>
    </row>
    <row r="298" spans="2:25" hidden="1" outlineLevel="1">
      <c r="B298" s="37">
        <f>IRR(D298:Y298,0.1)</f>
        <v>0.12355930845612884</v>
      </c>
      <c r="C298" s="125" t="s">
        <v>56</v>
      </c>
      <c r="D298" s="155">
        <f>-D316</f>
        <v>-3472787.3385294834</v>
      </c>
      <c r="E298" s="156">
        <f t="shared" ref="E298:M298" si="176">E297-E300-E303-E312-E294</f>
        <v>493235.22359807359</v>
      </c>
      <c r="F298" s="151">
        <f t="shared" si="176"/>
        <v>500137.12941563316</v>
      </c>
      <c r="G298" s="151">
        <f t="shared" si="176"/>
        <v>506304.07156193623</v>
      </c>
      <c r="H298" s="151">
        <f t="shared" si="176"/>
        <v>512327.3046802007</v>
      </c>
      <c r="I298" s="151">
        <f t="shared" si="176"/>
        <v>517364.30412873247</v>
      </c>
      <c r="J298" s="151">
        <f t="shared" si="176"/>
        <v>521964.83192175324</v>
      </c>
      <c r="K298" s="151">
        <f t="shared" si="176"/>
        <v>522133.87430717383</v>
      </c>
      <c r="L298" s="151">
        <f t="shared" si="176"/>
        <v>521749.94639772637</v>
      </c>
      <c r="M298" s="151">
        <f t="shared" si="176"/>
        <v>520795.19464684481</v>
      </c>
      <c r="N298" s="151">
        <f>N297-N300-N303-N312-N294</f>
        <v>519274.22401696118</v>
      </c>
      <c r="O298" s="151">
        <f>O297-O300-O303-O312-O294+O290</f>
        <v>134349.8498174441</v>
      </c>
      <c r="P298" s="151">
        <f>P297-P300-P303-P312-P294</f>
        <v>93689.538892700133</v>
      </c>
      <c r="Q298" s="151">
        <f>Q297-Q300-Q303-Q312-Q294</f>
        <v>92547.836594519555</v>
      </c>
      <c r="R298" s="151">
        <f t="shared" ref="R298:X298" si="177">R297-R300-R303-R312-R294</f>
        <v>90149.643740807471</v>
      </c>
      <c r="S298" s="151">
        <f t="shared" si="177"/>
        <v>86532.730137763443</v>
      </c>
      <c r="T298" s="151">
        <f t="shared" si="177"/>
        <v>81728.163442417994</v>
      </c>
      <c r="U298" s="151">
        <f t="shared" si="177"/>
        <v>75760.667938044775</v>
      </c>
      <c r="V298" s="151">
        <f t="shared" si="177"/>
        <v>68648.942698479252</v>
      </c>
      <c r="W298" s="151">
        <f t="shared" si="177"/>
        <v>60405.94190737186</v>
      </c>
      <c r="X298" s="152">
        <f t="shared" si="177"/>
        <v>51039.119836066617</v>
      </c>
      <c r="Y298" s="156">
        <f>Y297</f>
        <v>5464399.4219021583</v>
      </c>
    </row>
    <row r="299" spans="2:25" hidden="1" outlineLevel="1">
      <c r="B299" s="21"/>
      <c r="C299" s="125"/>
      <c r="D299" s="155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2"/>
      <c r="Y299" s="156"/>
    </row>
    <row r="300" spans="2:25" hidden="1" outlineLevel="1">
      <c r="B300" s="452"/>
      <c r="C300" s="258" t="s">
        <v>57</v>
      </c>
      <c r="D300" s="151"/>
      <c r="E300" s="151">
        <f t="shared" ref="E300:W300" si="178">D304*Debt_Rate</f>
        <v>529763.87984926172</v>
      </c>
      <c r="F300" s="151">
        <f t="shared" si="178"/>
        <v>514570.60669847799</v>
      </c>
      <c r="G300" s="151">
        <f t="shared" si="178"/>
        <v>498541.70352440118</v>
      </c>
      <c r="H300" s="151">
        <f t="shared" si="178"/>
        <v>481631.21067575022</v>
      </c>
      <c r="I300" s="151">
        <f t="shared" si="178"/>
        <v>463790.64072042343</v>
      </c>
      <c r="J300" s="151">
        <f t="shared" si="178"/>
        <v>444968.83941755368</v>
      </c>
      <c r="K300" s="151">
        <f t="shared" si="178"/>
        <v>425111.83904302603</v>
      </c>
      <c r="L300" s="151">
        <f t="shared" si="178"/>
        <v>404162.70364789944</v>
      </c>
      <c r="M300" s="151">
        <f t="shared" si="178"/>
        <v>382061.36580604082</v>
      </c>
      <c r="N300" s="151">
        <f t="shared" si="178"/>
        <v>358744.45438288001</v>
      </c>
      <c r="O300" s="151">
        <f t="shared" si="178"/>
        <v>513970.92306279531</v>
      </c>
      <c r="P300" s="151">
        <f t="shared" si="178"/>
        <v>474775.84413041122</v>
      </c>
      <c r="Q300" s="151">
        <f t="shared" si="178"/>
        <v>433425.03585674602</v>
      </c>
      <c r="R300" s="151">
        <f t="shared" si="178"/>
        <v>389799.93312802928</v>
      </c>
      <c r="S300" s="151">
        <f t="shared" si="178"/>
        <v>343775.44974923308</v>
      </c>
      <c r="T300" s="151">
        <f t="shared" si="178"/>
        <v>295219.61978460313</v>
      </c>
      <c r="U300" s="151">
        <f t="shared" si="178"/>
        <v>243993.21917191849</v>
      </c>
      <c r="V300" s="151">
        <f t="shared" si="178"/>
        <v>189949.3665255362</v>
      </c>
      <c r="W300" s="151">
        <f t="shared" si="178"/>
        <v>132933.10198360289</v>
      </c>
      <c r="X300" s="152">
        <f>W304*Debt_Rate</f>
        <v>72780.942891863233</v>
      </c>
      <c r="Y300" s="156"/>
    </row>
    <row r="301" spans="2:25" hidden="1" outlineLevel="1">
      <c r="B301" s="452"/>
      <c r="C301" s="258" t="s">
        <v>113</v>
      </c>
      <c r="D301" s="151"/>
      <c r="E301" s="151">
        <f t="shared" ref="E301:X301" si="179">-PMT(Debt_Rate,20,$D315)</f>
        <v>806005.20986351022</v>
      </c>
      <c r="F301" s="151">
        <f t="shared" si="179"/>
        <v>806005.20986351022</v>
      </c>
      <c r="G301" s="151">
        <f t="shared" si="179"/>
        <v>806005.20986351022</v>
      </c>
      <c r="H301" s="151">
        <f t="shared" si="179"/>
        <v>806005.20986351022</v>
      </c>
      <c r="I301" s="151">
        <f t="shared" si="179"/>
        <v>806005.20986351022</v>
      </c>
      <c r="J301" s="151">
        <f t="shared" si="179"/>
        <v>806005.20986351022</v>
      </c>
      <c r="K301" s="151">
        <f t="shared" si="179"/>
        <v>806005.20986351022</v>
      </c>
      <c r="L301" s="151">
        <f t="shared" si="179"/>
        <v>806005.20986351022</v>
      </c>
      <c r="M301" s="151">
        <f t="shared" si="179"/>
        <v>806005.20986351022</v>
      </c>
      <c r="N301" s="151">
        <f t="shared" si="179"/>
        <v>806005.20986351022</v>
      </c>
      <c r="O301" s="151">
        <f t="shared" si="179"/>
        <v>806005.20986351022</v>
      </c>
      <c r="P301" s="151">
        <f t="shared" si="179"/>
        <v>806005.20986351022</v>
      </c>
      <c r="Q301" s="151">
        <f t="shared" si="179"/>
        <v>806005.20986351022</v>
      </c>
      <c r="R301" s="151">
        <f t="shared" si="179"/>
        <v>806005.20986351022</v>
      </c>
      <c r="S301" s="151">
        <f t="shared" si="179"/>
        <v>806005.20986351022</v>
      </c>
      <c r="T301" s="151">
        <f t="shared" si="179"/>
        <v>806005.20986351022</v>
      </c>
      <c r="U301" s="151">
        <f t="shared" si="179"/>
        <v>806005.20986351022</v>
      </c>
      <c r="V301" s="151">
        <f t="shared" si="179"/>
        <v>806005.20986351022</v>
      </c>
      <c r="W301" s="151">
        <f t="shared" si="179"/>
        <v>806005.20986351022</v>
      </c>
      <c r="X301" s="152">
        <f t="shared" si="179"/>
        <v>806005.20986351022</v>
      </c>
      <c r="Y301" s="156"/>
    </row>
    <row r="302" spans="2:25" hidden="1" outlineLevel="1">
      <c r="B302" s="452"/>
      <c r="C302" s="258" t="s">
        <v>161</v>
      </c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>
        <f t="shared" ref="O302:X302" si="180">-PMT(Debt_Rate,10,$O290)*$B315</f>
        <v>420603.51196990436</v>
      </c>
      <c r="P302" s="151">
        <f t="shared" si="180"/>
        <v>420603.51196990436</v>
      </c>
      <c r="Q302" s="151">
        <f t="shared" si="180"/>
        <v>420603.51196990436</v>
      </c>
      <c r="R302" s="151">
        <f t="shared" si="180"/>
        <v>420603.51196990436</v>
      </c>
      <c r="S302" s="151">
        <f t="shared" si="180"/>
        <v>420603.51196990436</v>
      </c>
      <c r="T302" s="151">
        <f t="shared" si="180"/>
        <v>420603.51196990436</v>
      </c>
      <c r="U302" s="151">
        <f t="shared" si="180"/>
        <v>420603.51196990436</v>
      </c>
      <c r="V302" s="151">
        <f t="shared" si="180"/>
        <v>420603.51196990436</v>
      </c>
      <c r="W302" s="151">
        <f t="shared" si="180"/>
        <v>420603.51196990436</v>
      </c>
      <c r="X302" s="152">
        <f t="shared" si="180"/>
        <v>420603.51196990436</v>
      </c>
      <c r="Y302" s="156"/>
    </row>
    <row r="303" spans="2:25" hidden="1" outlineLevel="1">
      <c r="B303" s="452"/>
      <c r="C303" s="258" t="s">
        <v>59</v>
      </c>
      <c r="D303" s="151"/>
      <c r="E303" s="156">
        <f>E302+E301-E300</f>
        <v>276241.33001424849</v>
      </c>
      <c r="F303" s="151">
        <f t="shared" ref="F303:L303" si="181">F302+F301-F300</f>
        <v>291434.60316503223</v>
      </c>
      <c r="G303" s="151">
        <f t="shared" si="181"/>
        <v>307463.50633910904</v>
      </c>
      <c r="H303" s="151">
        <f t="shared" si="181"/>
        <v>324373.99918776</v>
      </c>
      <c r="I303" s="151">
        <f t="shared" si="181"/>
        <v>342214.56914308679</v>
      </c>
      <c r="J303" s="151">
        <f t="shared" si="181"/>
        <v>361036.37044595653</v>
      </c>
      <c r="K303" s="151">
        <f t="shared" si="181"/>
        <v>380893.37082048418</v>
      </c>
      <c r="L303" s="151">
        <f t="shared" si="181"/>
        <v>401842.50621561077</v>
      </c>
      <c r="M303" s="151">
        <f>M302+M301-M300</f>
        <v>423943.8440574694</v>
      </c>
      <c r="N303" s="151">
        <f>N302+N301-N300</f>
        <v>447260.75548063021</v>
      </c>
      <c r="O303" s="151">
        <f>O302+O301-O300</f>
        <v>712637.79877061932</v>
      </c>
      <c r="P303" s="151">
        <f>P302+P301-P300</f>
        <v>751832.87770300335</v>
      </c>
      <c r="Q303" s="151">
        <f t="shared" ref="Q303:X303" si="182">Q302+Q301-Q300</f>
        <v>793183.68597666861</v>
      </c>
      <c r="R303" s="151">
        <f t="shared" si="182"/>
        <v>836808.78870538529</v>
      </c>
      <c r="S303" s="151">
        <f t="shared" si="182"/>
        <v>882833.27208418155</v>
      </c>
      <c r="T303" s="151">
        <f t="shared" si="182"/>
        <v>931389.1020488115</v>
      </c>
      <c r="U303" s="151">
        <f t="shared" si="182"/>
        <v>982615.50266149617</v>
      </c>
      <c r="V303" s="151">
        <f t="shared" si="182"/>
        <v>1036659.3553078785</v>
      </c>
      <c r="W303" s="151">
        <f t="shared" si="182"/>
        <v>1093675.6198498118</v>
      </c>
      <c r="X303" s="152">
        <f t="shared" si="182"/>
        <v>1153827.7789415515</v>
      </c>
      <c r="Y303" s="156"/>
    </row>
    <row r="304" spans="2:25" hidden="1" outlineLevel="1">
      <c r="B304" s="452"/>
      <c r="C304" s="258" t="s">
        <v>60</v>
      </c>
      <c r="D304" s="151">
        <f>D315</f>
        <v>9632070.5427138489</v>
      </c>
      <c r="E304" s="151">
        <f>D304-E303+(F290*$B$76)</f>
        <v>9355829.2126995996</v>
      </c>
      <c r="F304" s="151">
        <f t="shared" ref="F304:L304" si="183">E304-F303+(G290*$B$76)</f>
        <v>9064394.6095345672</v>
      </c>
      <c r="G304" s="151">
        <f t="shared" si="183"/>
        <v>8756931.1031954587</v>
      </c>
      <c r="H304" s="151">
        <f t="shared" si="183"/>
        <v>8432557.1040076986</v>
      </c>
      <c r="I304" s="151">
        <f t="shared" si="183"/>
        <v>8090342.5348646119</v>
      </c>
      <c r="J304" s="151">
        <f t="shared" si="183"/>
        <v>7729306.1644186554</v>
      </c>
      <c r="K304" s="151">
        <f t="shared" si="183"/>
        <v>7348412.7935981713</v>
      </c>
      <c r="L304" s="151">
        <f t="shared" si="183"/>
        <v>6946570.2873825608</v>
      </c>
      <c r="M304" s="151">
        <f>L304-M303+(N290*$B$76)</f>
        <v>6522626.4433250912</v>
      </c>
      <c r="N304" s="151">
        <f>M304-N303+(O290*$B$76)</f>
        <v>9344925.8738690056</v>
      </c>
      <c r="O304" s="151">
        <f t="shared" ref="O304:X304" si="184">N304-O303+(P290*$B$76)</f>
        <v>8632288.075098386</v>
      </c>
      <c r="P304" s="151">
        <f t="shared" si="184"/>
        <v>7880455.1973953824</v>
      </c>
      <c r="Q304" s="151">
        <f t="shared" si="184"/>
        <v>7087271.5114187142</v>
      </c>
      <c r="R304" s="151">
        <f t="shared" si="184"/>
        <v>6250462.7227133289</v>
      </c>
      <c r="S304" s="151">
        <f t="shared" si="184"/>
        <v>5367629.4506291477</v>
      </c>
      <c r="T304" s="151">
        <f t="shared" si="184"/>
        <v>4436240.3485803362</v>
      </c>
      <c r="U304" s="151">
        <f t="shared" si="184"/>
        <v>3453624.8459188398</v>
      </c>
      <c r="V304" s="151">
        <f t="shared" si="184"/>
        <v>2416965.4906109613</v>
      </c>
      <c r="W304" s="151">
        <f t="shared" si="184"/>
        <v>1323289.8707611496</v>
      </c>
      <c r="X304" s="152">
        <f t="shared" si="184"/>
        <v>169462.09181959811</v>
      </c>
      <c r="Y304" s="156"/>
    </row>
    <row r="305" spans="2:25" hidden="1" outlineLevel="1">
      <c r="B305" s="452"/>
      <c r="C305" s="125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2"/>
      <c r="Y305" s="156"/>
    </row>
    <row r="306" spans="2:25" hidden="1" outlineLevel="1">
      <c r="B306" s="452"/>
      <c r="C306" s="258" t="s">
        <v>162</v>
      </c>
      <c r="D306" s="151">
        <f>-INDEX('DATA (Nominal)'!$B$68:$BX$68,1,MATCH($B$1,'DATA (Nominal)'!$B$1:$BX$1,0))*1000000*(1+AFUDC!$C$18)*'Resource Options'!$E$18/1000</f>
        <v>-9091557.5462310873</v>
      </c>
      <c r="E306" s="151">
        <f t="shared" ref="E306:X306" si="185">-$D306/25</f>
        <v>363662.30184924346</v>
      </c>
      <c r="F306" s="151">
        <f t="shared" si="185"/>
        <v>363662.30184924346</v>
      </c>
      <c r="G306" s="151">
        <f t="shared" si="185"/>
        <v>363662.30184924346</v>
      </c>
      <c r="H306" s="151">
        <f t="shared" si="185"/>
        <v>363662.30184924346</v>
      </c>
      <c r="I306" s="151">
        <f t="shared" si="185"/>
        <v>363662.30184924346</v>
      </c>
      <c r="J306" s="151">
        <f t="shared" si="185"/>
        <v>363662.30184924346</v>
      </c>
      <c r="K306" s="151">
        <f t="shared" si="185"/>
        <v>363662.30184924346</v>
      </c>
      <c r="L306" s="151">
        <f t="shared" si="185"/>
        <v>363662.30184924346</v>
      </c>
      <c r="M306" s="151">
        <f t="shared" si="185"/>
        <v>363662.30184924346</v>
      </c>
      <c r="N306" s="151">
        <f t="shared" si="185"/>
        <v>363662.30184924346</v>
      </c>
      <c r="O306" s="151">
        <f t="shared" si="185"/>
        <v>363662.30184924346</v>
      </c>
      <c r="P306" s="151">
        <f t="shared" si="185"/>
        <v>363662.30184924346</v>
      </c>
      <c r="Q306" s="151">
        <f t="shared" si="185"/>
        <v>363662.30184924346</v>
      </c>
      <c r="R306" s="151">
        <f t="shared" si="185"/>
        <v>363662.30184924346</v>
      </c>
      <c r="S306" s="151">
        <f t="shared" si="185"/>
        <v>363662.30184924346</v>
      </c>
      <c r="T306" s="151">
        <f t="shared" si="185"/>
        <v>363662.30184924346</v>
      </c>
      <c r="U306" s="151">
        <f t="shared" si="185"/>
        <v>363662.30184924346</v>
      </c>
      <c r="V306" s="151">
        <f t="shared" si="185"/>
        <v>363662.30184924346</v>
      </c>
      <c r="W306" s="151">
        <f t="shared" si="185"/>
        <v>363662.30184924346</v>
      </c>
      <c r="X306" s="152">
        <f t="shared" si="185"/>
        <v>363662.30184924346</v>
      </c>
      <c r="Y306" s="156"/>
    </row>
    <row r="307" spans="2:25" hidden="1" outlineLevel="1">
      <c r="B307" s="452"/>
      <c r="C307" s="258" t="s">
        <v>163</v>
      </c>
      <c r="D307" s="151">
        <f>-INDEX('DATA (Nominal)'!$B$69:$BX$69,1,MATCH($B$1,'DATA (Nominal)'!$B$1:$BX$1,0))*1000000*(1+AFUDC!$D$18)*'Resource Options'!$D$18/1000</f>
        <v>-9123107.1934427712</v>
      </c>
      <c r="E307" s="151">
        <f t="shared" ref="E307:N307" si="186">-$D307/10</f>
        <v>912310.71934427717</v>
      </c>
      <c r="F307" s="151">
        <f t="shared" si="186"/>
        <v>912310.71934427717</v>
      </c>
      <c r="G307" s="151">
        <f t="shared" si="186"/>
        <v>912310.71934427717</v>
      </c>
      <c r="H307" s="151">
        <f t="shared" si="186"/>
        <v>912310.71934427717</v>
      </c>
      <c r="I307" s="151">
        <f t="shared" si="186"/>
        <v>912310.71934427717</v>
      </c>
      <c r="J307" s="151">
        <f t="shared" si="186"/>
        <v>912310.71934427717</v>
      </c>
      <c r="K307" s="151">
        <f t="shared" si="186"/>
        <v>912310.71934427717</v>
      </c>
      <c r="L307" s="151">
        <f t="shared" si="186"/>
        <v>912310.71934427717</v>
      </c>
      <c r="M307" s="151">
        <f t="shared" si="186"/>
        <v>912310.71934427717</v>
      </c>
      <c r="N307" s="151">
        <f t="shared" si="186"/>
        <v>912310.71934427717</v>
      </c>
      <c r="O307" s="151">
        <f t="shared" ref="O307:X307" si="187">$O290/10</f>
        <v>431340.39393463667</v>
      </c>
      <c r="P307" s="151">
        <f t="shared" si="187"/>
        <v>431340.39393463667</v>
      </c>
      <c r="Q307" s="151">
        <f t="shared" si="187"/>
        <v>431340.39393463667</v>
      </c>
      <c r="R307" s="151">
        <f t="shared" si="187"/>
        <v>431340.39393463667</v>
      </c>
      <c r="S307" s="151">
        <f t="shared" si="187"/>
        <v>431340.39393463667</v>
      </c>
      <c r="T307" s="151">
        <f t="shared" si="187"/>
        <v>431340.39393463667</v>
      </c>
      <c r="U307" s="151">
        <f t="shared" si="187"/>
        <v>431340.39393463667</v>
      </c>
      <c r="V307" s="151">
        <f t="shared" si="187"/>
        <v>431340.39393463667</v>
      </c>
      <c r="W307" s="151">
        <f t="shared" si="187"/>
        <v>431340.39393463667</v>
      </c>
      <c r="X307" s="152">
        <f t="shared" si="187"/>
        <v>431340.39393463667</v>
      </c>
      <c r="Y307" s="156"/>
    </row>
    <row r="308" spans="2:25" hidden="1" outlineLevel="1">
      <c r="B308" s="452"/>
      <c r="C308" s="125" t="s">
        <v>62</v>
      </c>
      <c r="D308" s="151"/>
      <c r="E308" s="151">
        <f>SUM($E306:E307)</f>
        <v>1275973.0211935206</v>
      </c>
      <c r="F308" s="151">
        <f>SUM($E306:F307)</f>
        <v>2551946.0423870413</v>
      </c>
      <c r="G308" s="151">
        <f>SUM($E306:G307)</f>
        <v>3827919.0635805614</v>
      </c>
      <c r="H308" s="151">
        <f>SUM($E306:H307)</f>
        <v>5103892.0847740816</v>
      </c>
      <c r="I308" s="151">
        <f>SUM($E306:I307)</f>
        <v>6379865.1059676027</v>
      </c>
      <c r="J308" s="151">
        <f>SUM($E306:J307)</f>
        <v>7655838.1271611229</v>
      </c>
      <c r="K308" s="151">
        <f>SUM($E306:K307)</f>
        <v>8931811.148354644</v>
      </c>
      <c r="L308" s="151">
        <f>SUM($E306:L307)</f>
        <v>10207784.169548163</v>
      </c>
      <c r="M308" s="151">
        <f>SUM($E306:M307)</f>
        <v>11483757.190741684</v>
      </c>
      <c r="N308" s="151">
        <f>SUM($E306:N307)</f>
        <v>12759730.211935204</v>
      </c>
      <c r="O308" s="151">
        <f>SUM($E306:O307)</f>
        <v>13554732.907719085</v>
      </c>
      <c r="P308" s="151">
        <f>SUM($E306:P307)</f>
        <v>14349735.603502965</v>
      </c>
      <c r="Q308" s="151">
        <f>SUM($E306:Q307)</f>
        <v>15144738.299286846</v>
      </c>
      <c r="R308" s="151">
        <f>SUM($E306:R307)</f>
        <v>15939740.995070726</v>
      </c>
      <c r="S308" s="151">
        <f>SUM($E306:S307)</f>
        <v>16734743.690854607</v>
      </c>
      <c r="T308" s="151">
        <f>SUM($E306:T307)</f>
        <v>17529746.386638485</v>
      </c>
      <c r="U308" s="151">
        <f>SUM($E306:U307)</f>
        <v>18324749.082422368</v>
      </c>
      <c r="V308" s="151">
        <f>SUM($E306:V307)</f>
        <v>19119751.778206248</v>
      </c>
      <c r="W308" s="151">
        <f>SUM($E306:W307)</f>
        <v>19914754.473990127</v>
      </c>
      <c r="X308" s="152">
        <f>SUM($E306:X307)</f>
        <v>20709757.169774007</v>
      </c>
      <c r="Y308" s="156"/>
    </row>
    <row r="309" spans="2:25" hidden="1" outlineLevel="1">
      <c r="B309" s="452"/>
      <c r="C309" s="125" t="s">
        <v>63</v>
      </c>
      <c r="D309" s="151"/>
      <c r="E309" s="151">
        <f>-$D297-E308</f>
        <v>16938691.718480341</v>
      </c>
      <c r="F309" s="151">
        <f t="shared" ref="F309:G309" si="188">-$D297-F308</f>
        <v>15662718.697286818</v>
      </c>
      <c r="G309" s="151">
        <f t="shared" si="188"/>
        <v>14386745.676093299</v>
      </c>
      <c r="H309" s="156">
        <f>-$D297-H308</f>
        <v>13110772.65489978</v>
      </c>
      <c r="I309" s="151">
        <f t="shared" ref="I309:L309" si="189">-$D297-I308</f>
        <v>11834799.633706257</v>
      </c>
      <c r="J309" s="151">
        <f t="shared" si="189"/>
        <v>10558826.612512738</v>
      </c>
      <c r="K309" s="151">
        <f t="shared" si="189"/>
        <v>9282853.5913192164</v>
      </c>
      <c r="L309" s="151">
        <f t="shared" si="189"/>
        <v>8006880.5701256972</v>
      </c>
      <c r="M309" s="151">
        <f>-$D297-M308</f>
        <v>6730907.5489321761</v>
      </c>
      <c r="N309" s="151">
        <f>-$D297-N308</f>
        <v>5454934.5277386568</v>
      </c>
      <c r="O309" s="151">
        <f>-$D297-O308+$O290</f>
        <v>8973335.7713011429</v>
      </c>
      <c r="P309" s="151">
        <f t="shared" ref="P309:X309" si="190">-$D297-P308+$O290</f>
        <v>8178333.0755172623</v>
      </c>
      <c r="Q309" s="151">
        <f t="shared" si="190"/>
        <v>7383330.3797333809</v>
      </c>
      <c r="R309" s="151">
        <f t="shared" si="190"/>
        <v>6588327.6839495013</v>
      </c>
      <c r="S309" s="151">
        <f t="shared" si="190"/>
        <v>5793324.9881656198</v>
      </c>
      <c r="T309" s="151">
        <f t="shared" si="190"/>
        <v>4998322.292381742</v>
      </c>
      <c r="U309" s="151">
        <f t="shared" si="190"/>
        <v>4203319.5965978587</v>
      </c>
      <c r="V309" s="151">
        <f t="shared" si="190"/>
        <v>3408316.9008139791</v>
      </c>
      <c r="W309" s="151">
        <f t="shared" si="190"/>
        <v>2613314.2050300995</v>
      </c>
      <c r="X309" s="152">
        <f t="shared" si="190"/>
        <v>1818311.5092462199</v>
      </c>
      <c r="Y309" s="156"/>
    </row>
    <row r="310" spans="2:25" hidden="1" outlineLevel="1">
      <c r="B310" s="452"/>
      <c r="C310" s="125" t="s">
        <v>64</v>
      </c>
      <c r="D310" s="151">
        <f>-D297</f>
        <v>18214664.73967386</v>
      </c>
      <c r="E310" s="151">
        <f>D310/(($D310/$Y310)^(1/21))</f>
        <v>17199752.363802493</v>
      </c>
      <c r="F310" s="151">
        <f t="shared" ref="F310:J310" si="191">E310/(($D310/$Y310)^(1/21))</f>
        <v>16241390.41833533</v>
      </c>
      <c r="G310" s="151">
        <f t="shared" si="191"/>
        <v>15336427.94043565</v>
      </c>
      <c r="H310" s="151">
        <f t="shared" si="191"/>
        <v>14481889.537403462</v>
      </c>
      <c r="I310" s="151">
        <f t="shared" si="191"/>
        <v>13674965.603991771</v>
      </c>
      <c r="J310" s="156">
        <f t="shared" si="191"/>
        <v>12913003.084809272</v>
      </c>
      <c r="K310" s="156">
        <f>J310/(($D310/$Y310)^(1/21))</f>
        <v>12193496.751437541</v>
      </c>
      <c r="L310" s="151">
        <f t="shared" ref="L310:M310" si="192">K310/(($D310/$Y310)^(1/21))</f>
        <v>11514080.965583067</v>
      </c>
      <c r="M310" s="151">
        <f t="shared" si="192"/>
        <v>10872521.901182497</v>
      </c>
      <c r="N310" s="151">
        <f>M310/(($D310/$Y310)^(1/21))</f>
        <v>10266710.199888444</v>
      </c>
      <c r="O310" s="151">
        <f>(N310+O290)/(($D310/($Y310+O290))^(1/21))</f>
        <v>14154522.239637271</v>
      </c>
      <c r="P310" s="151">
        <f>O310/(($O310/$Y310)^(1/11))</f>
        <v>12981285.149198802</v>
      </c>
      <c r="Q310" s="151">
        <f>P310/(($O310/$Y310)^(1/11))</f>
        <v>11905295.090279767</v>
      </c>
      <c r="R310" s="151">
        <f t="shared" ref="R310:X310" si="193">Q310/(($O310/$Y310)^(1/11))</f>
        <v>10918491.471192081</v>
      </c>
      <c r="S310" s="151">
        <f t="shared" si="193"/>
        <v>10013481.82489215</v>
      </c>
      <c r="T310" s="151">
        <f t="shared" si="193"/>
        <v>9183486.4296045452</v>
      </c>
      <c r="U310" s="151">
        <f t="shared" si="193"/>
        <v>8422287.5197198633</v>
      </c>
      <c r="V310" s="151">
        <f t="shared" si="193"/>
        <v>7724182.7064891215</v>
      </c>
      <c r="W310" s="151">
        <f t="shared" si="193"/>
        <v>7083942.2595739271</v>
      </c>
      <c r="X310" s="152">
        <f t="shared" si="193"/>
        <v>6496769.9294346087</v>
      </c>
      <c r="Y310" s="156">
        <f>Y297</f>
        <v>5464399.4219021583</v>
      </c>
    </row>
    <row r="311" spans="2:25" hidden="1" outlineLevel="1">
      <c r="B311" s="452"/>
      <c r="C311" s="258" t="s">
        <v>65</v>
      </c>
      <c r="D311" s="151"/>
      <c r="E311" s="151">
        <f>-$D297*Assumptions!J$18*INDEX('DATA (Nominal)'!$B$348:$BX$348,1,MATCH($B$1,'DATA (Nominal)'!$B$1:$BX$1,0))</f>
        <v>3096493.0057445564</v>
      </c>
      <c r="F311" s="151">
        <f>-$D297*Assumptions!K$18*INDEX('DATA (Nominal)'!$B$348:$BX$348,1,MATCH($B$1,'DATA (Nominal)'!$B$1:$BX$1,0))</f>
        <v>4954388.8091912903</v>
      </c>
      <c r="G311" s="151">
        <f>-$D297*Assumptions!L$18*INDEX('DATA (Nominal)'!$B$348:$BX$348,1,MATCH($B$1,'DATA (Nominal)'!$B$1:$BX$1,0))</f>
        <v>2972633.2855147738</v>
      </c>
      <c r="H311" s="151">
        <f>-$D297*Assumptions!M$18*INDEX('DATA (Nominal)'!$B$348:$BX$348,1,MATCH($B$1,'DATA (Nominal)'!$B$1:$BX$1,0))</f>
        <v>1783579.9713088642</v>
      </c>
      <c r="I311" s="151">
        <f>-$D297*Assumptions!N$18*INDEX('DATA (Nominal)'!$B$348:$BX$348,1,MATCH($B$1,'DATA (Nominal)'!$B$1:$BX$1,0))</f>
        <v>1783579.9713088642</v>
      </c>
      <c r="J311" s="151">
        <f>-$D297*Assumptions!O$18*INDEX('DATA (Nominal)'!$B$348:$BX$348,1,MATCH($B$1,'DATA (Nominal)'!$B$1:$BX$1,0))</f>
        <v>891789.98565443209</v>
      </c>
      <c r="K311" s="151">
        <f>-$D297*Assumptions!P$18*INDEX('DATA (Nominal)'!$B$348:$BX$348,1,MATCH($B$1,'DATA (Nominal)'!$B$1:$BX$1,0))</f>
        <v>0</v>
      </c>
      <c r="L311" s="151">
        <f>-$D297*Assumptions!Q$18*INDEX('DATA (Nominal)'!$B$348:$BX$348,1,MATCH($B$1,'DATA (Nominal)'!$B$1:$BX$1,0))</f>
        <v>0</v>
      </c>
      <c r="M311" s="151">
        <f>-$D297*Assumptions!R$18*INDEX('DATA (Nominal)'!$B$348:$BX$348,1,MATCH($B$1,'DATA (Nominal)'!$B$1:$BX$1,0))</f>
        <v>0</v>
      </c>
      <c r="N311" s="151">
        <f>-$D297*Assumptions!S$18*INDEX('DATA (Nominal)'!$B$348:$BX$348,1,MATCH($B$1,'DATA (Nominal)'!$B$1:$BX$1,0))</f>
        <v>0</v>
      </c>
      <c r="O311" s="151">
        <f>$O290*Assumptions!T$18</f>
        <v>616212.88677502191</v>
      </c>
      <c r="P311" s="151">
        <f>$O290*Assumptions!U$18</f>
        <v>1056352.6247459252</v>
      </c>
      <c r="Q311" s="151">
        <f>$O290*Assumptions!V$18</f>
        <v>754543.75110985991</v>
      </c>
      <c r="R311" s="151">
        <f>$O290*Assumptions!W$18</f>
        <v>538959.8222213285</v>
      </c>
      <c r="S311" s="151">
        <f>$O290*Assumptions!X$18</f>
        <v>384971.30158666318</v>
      </c>
      <c r="T311" s="151">
        <f>$O290*Assumptions!Y$18</f>
        <v>384971.30158666318</v>
      </c>
      <c r="U311" s="151">
        <f>$O290*Assumptions!Z$18</f>
        <v>384971.30158666318</v>
      </c>
      <c r="V311" s="151">
        <f>$O290*Assumptions!AA$18</f>
        <v>192420.94973424141</v>
      </c>
      <c r="W311" s="151">
        <f>$O290*Assumptions!AB$18</f>
        <v>0</v>
      </c>
      <c r="X311" s="160">
        <f>$O290*Assumptions!AC$18</f>
        <v>0</v>
      </c>
      <c r="Y311" s="156"/>
    </row>
    <row r="312" spans="2:25" ht="15.75" hidden="1" outlineLevel="1" thickBot="1">
      <c r="B312" s="452"/>
      <c r="C312" s="127" t="s">
        <v>66</v>
      </c>
      <c r="D312" s="157"/>
      <c r="E312" s="157">
        <f>E311*Federal_Tax_Rate</f>
        <v>650263.53120635683</v>
      </c>
      <c r="F312" s="157">
        <f>F311*Federal_Tax_Rate</f>
        <v>1040421.649930171</v>
      </c>
      <c r="G312" s="157">
        <f t="shared" ref="G312:M312" si="194">G311*Federal_Tax_Rate</f>
        <v>624252.98995810247</v>
      </c>
      <c r="H312" s="157">
        <f t="shared" si="194"/>
        <v>374551.79397486144</v>
      </c>
      <c r="I312" s="157">
        <f t="shared" si="194"/>
        <v>374551.79397486144</v>
      </c>
      <c r="J312" s="157">
        <f t="shared" si="194"/>
        <v>187275.89698743072</v>
      </c>
      <c r="K312" s="157">
        <f t="shared" si="194"/>
        <v>0</v>
      </c>
      <c r="L312" s="157">
        <f t="shared" si="194"/>
        <v>0</v>
      </c>
      <c r="M312" s="157">
        <f t="shared" si="194"/>
        <v>0</v>
      </c>
      <c r="N312" s="157">
        <f>N311*Federal_Tax_Rate</f>
        <v>0</v>
      </c>
      <c r="O312" s="157">
        <f>O311*Federal_Tax_Rate</f>
        <v>129404.7062227546</v>
      </c>
      <c r="P312" s="157">
        <f t="shared" ref="P312:X312" si="195">P311*Federal_Tax_Rate</f>
        <v>221834.05119664429</v>
      </c>
      <c r="Q312" s="157">
        <f t="shared" si="195"/>
        <v>158454.18773307058</v>
      </c>
      <c r="R312" s="157">
        <f t="shared" si="195"/>
        <v>113181.56266647899</v>
      </c>
      <c r="S312" s="157">
        <f t="shared" si="195"/>
        <v>80843.973333199261</v>
      </c>
      <c r="T312" s="157">
        <f t="shared" si="195"/>
        <v>80843.973333199261</v>
      </c>
      <c r="U312" s="157">
        <f t="shared" si="195"/>
        <v>80843.973333199261</v>
      </c>
      <c r="V312" s="157">
        <f t="shared" si="195"/>
        <v>40408.399444190698</v>
      </c>
      <c r="W312" s="157">
        <f t="shared" si="195"/>
        <v>0</v>
      </c>
      <c r="X312" s="158">
        <f t="shared" si="195"/>
        <v>0</v>
      </c>
      <c r="Y312" s="156"/>
    </row>
    <row r="313" spans="2:25" hidden="1" outlineLevel="1">
      <c r="B313" s="452"/>
      <c r="C313" s="128" t="s">
        <v>67</v>
      </c>
      <c r="D313" s="104">
        <f>NPV(Tax_Equity_Rate,E312:N312)</f>
        <v>2637877.871694555</v>
      </c>
      <c r="E313" s="105">
        <f>D313/D317</f>
        <v>0.14482165383746651</v>
      </c>
      <c r="F313" s="254"/>
      <c r="G313" s="254"/>
      <c r="H313" s="254"/>
      <c r="I313" s="254"/>
      <c r="J313" s="254"/>
      <c r="K313" s="254"/>
      <c r="L313" s="254"/>
      <c r="M313" s="261"/>
      <c r="N313" s="261"/>
      <c r="O313" s="261"/>
      <c r="P313" s="261"/>
      <c r="Q313" s="261"/>
      <c r="R313" s="261"/>
      <c r="S313" s="261"/>
      <c r="T313" s="261"/>
      <c r="U313" s="261"/>
      <c r="V313" s="261"/>
      <c r="W313" s="261"/>
      <c r="X313" s="261"/>
      <c r="Y313" s="261"/>
    </row>
    <row r="314" spans="2:25" hidden="1" outlineLevel="1">
      <c r="B314" s="452"/>
      <c r="C314" s="125" t="s">
        <v>79</v>
      </c>
      <c r="D314" s="106">
        <f>NPV(Tax_Equity_Rate,E294:X294)</f>
        <v>2471928.9867359716</v>
      </c>
      <c r="E314" s="107">
        <f>D314/D317</f>
        <v>0.13571092425060097</v>
      </c>
    </row>
    <row r="315" spans="2:25" hidden="1" outlineLevel="1">
      <c r="B315" s="22">
        <f>Assumptions!F18</f>
        <v>0.73499999999999999</v>
      </c>
      <c r="C315" s="125" t="s">
        <v>68</v>
      </c>
      <c r="D315" s="106">
        <f>(D317-D313-D314)*$B315</f>
        <v>9632070.5427138489</v>
      </c>
      <c r="E315" s="107">
        <f>D315/D317</f>
        <v>0.52880855510527036</v>
      </c>
    </row>
    <row r="316" spans="2:25" hidden="1" outlineLevel="1">
      <c r="B316" s="22">
        <f>1-B315</f>
        <v>0.26500000000000001</v>
      </c>
      <c r="C316" s="125" t="s">
        <v>69</v>
      </c>
      <c r="D316" s="106">
        <f>(D317-D313-D314)*$B316</f>
        <v>3472787.3385294834</v>
      </c>
      <c r="E316" s="107">
        <f>D316/D317</f>
        <v>0.19065886680666211</v>
      </c>
    </row>
    <row r="317" spans="2:25" hidden="1" outlineLevel="1">
      <c r="C317" s="125" t="s">
        <v>70</v>
      </c>
      <c r="D317" s="106">
        <f>-D297</f>
        <v>18214664.73967386</v>
      </c>
      <c r="E317" s="108"/>
    </row>
    <row r="318" spans="2:25" ht="15.75" hidden="1" outlineLevel="1" thickBot="1">
      <c r="C318" s="127" t="s">
        <v>71</v>
      </c>
      <c r="D318" s="109">
        <f>SUM(D313:D316)-D317</f>
        <v>0</v>
      </c>
      <c r="E318" s="110"/>
    </row>
    <row r="319" spans="2:25" hidden="1" outlineLevel="1"/>
    <row r="320" spans="2:25" ht="15.75" collapsed="1" thickBot="1"/>
    <row r="321" spans="2:25" ht="18.75" thickBot="1">
      <c r="B321" s="82"/>
      <c r="C321" s="484" t="s">
        <v>138</v>
      </c>
      <c r="D321" s="485"/>
      <c r="E321" s="485"/>
      <c r="F321" s="485"/>
      <c r="G321" s="485"/>
      <c r="H321" s="486"/>
      <c r="Y321" s="261"/>
    </row>
    <row r="322" spans="2:25" hidden="1" outlineLevel="1">
      <c r="C322" s="124" t="s">
        <v>44</v>
      </c>
      <c r="D322" s="98"/>
      <c r="E322" s="98">
        <f>'Resource Options'!$E$19*INDEX('DATA (Nominal)'!$B$19:$BX$19,1,MATCH($B$1,'DATA (Nominal)'!$B$1:$BX$1,0))*8760</f>
        <v>240695.09517976042</v>
      </c>
      <c r="F322" s="98">
        <f>E322</f>
        <v>240695.09517976042</v>
      </c>
      <c r="G322" s="98">
        <f t="shared" ref="G322:X323" si="196">F322</f>
        <v>240695.09517976042</v>
      </c>
      <c r="H322" s="98">
        <f t="shared" si="196"/>
        <v>240695.09517976042</v>
      </c>
      <c r="I322" s="98">
        <f t="shared" si="196"/>
        <v>240695.09517976042</v>
      </c>
      <c r="J322" s="98">
        <f t="shared" si="196"/>
        <v>240695.09517976042</v>
      </c>
      <c r="K322" s="98">
        <f t="shared" si="196"/>
        <v>240695.09517976042</v>
      </c>
      <c r="L322" s="98">
        <f t="shared" si="196"/>
        <v>240695.09517976042</v>
      </c>
      <c r="M322" s="142">
        <f t="shared" si="196"/>
        <v>240695.09517976042</v>
      </c>
      <c r="N322" s="142">
        <f t="shared" si="196"/>
        <v>240695.09517976042</v>
      </c>
      <c r="O322" s="142">
        <f t="shared" si="196"/>
        <v>240695.09517976042</v>
      </c>
      <c r="P322" s="142">
        <f t="shared" si="196"/>
        <v>240695.09517976042</v>
      </c>
      <c r="Q322" s="142">
        <f t="shared" si="196"/>
        <v>240695.09517976042</v>
      </c>
      <c r="R322" s="142">
        <f t="shared" si="196"/>
        <v>240695.09517976042</v>
      </c>
      <c r="S322" s="142">
        <f t="shared" si="196"/>
        <v>240695.09517976042</v>
      </c>
      <c r="T322" s="142">
        <f t="shared" si="196"/>
        <v>240695.09517976042</v>
      </c>
      <c r="U322" s="142">
        <f t="shared" si="196"/>
        <v>240695.09517976042</v>
      </c>
      <c r="V322" s="142">
        <f t="shared" si="196"/>
        <v>240695.09517976042</v>
      </c>
      <c r="W322" s="142">
        <f t="shared" si="196"/>
        <v>240695.09517976042</v>
      </c>
      <c r="X322" s="454">
        <f t="shared" si="196"/>
        <v>240695.09517976042</v>
      </c>
      <c r="Y322" s="261"/>
    </row>
    <row r="323" spans="2:25" hidden="1" outlineLevel="1">
      <c r="C323" s="125" t="s">
        <v>45</v>
      </c>
      <c r="D323" s="114"/>
      <c r="E323" s="117">
        <f>INDEX('PPA Summary'!$3:$34,MATCH(_xlfn.CONCAT($C321,$C$1),'PPA Summary'!$D$3:$D$34,0),MATCH(B$1,'PPA Summary'!$2:$2,0))</f>
        <v>33.506432662021012</v>
      </c>
      <c r="F323" s="112">
        <f>E323</f>
        <v>33.506432662021012</v>
      </c>
      <c r="G323" s="112">
        <f t="shared" si="196"/>
        <v>33.506432662021012</v>
      </c>
      <c r="H323" s="112">
        <f t="shared" si="196"/>
        <v>33.506432662021012</v>
      </c>
      <c r="I323" s="112">
        <f t="shared" si="196"/>
        <v>33.506432662021012</v>
      </c>
      <c r="J323" s="112">
        <f t="shared" si="196"/>
        <v>33.506432662021012</v>
      </c>
      <c r="K323" s="112">
        <f t="shared" si="196"/>
        <v>33.506432662021012</v>
      </c>
      <c r="L323" s="112">
        <f t="shared" si="196"/>
        <v>33.506432662021012</v>
      </c>
      <c r="M323" s="117">
        <f t="shared" si="196"/>
        <v>33.506432662021012</v>
      </c>
      <c r="N323" s="117">
        <f t="shared" si="196"/>
        <v>33.506432662021012</v>
      </c>
      <c r="O323" s="117">
        <f t="shared" si="196"/>
        <v>33.506432662021012</v>
      </c>
      <c r="P323" s="117">
        <f t="shared" si="196"/>
        <v>33.506432662021012</v>
      </c>
      <c r="Q323" s="117">
        <f t="shared" si="196"/>
        <v>33.506432662021012</v>
      </c>
      <c r="R323" s="117">
        <f t="shared" si="196"/>
        <v>33.506432662021012</v>
      </c>
      <c r="S323" s="117">
        <f t="shared" si="196"/>
        <v>33.506432662021012</v>
      </c>
      <c r="T323" s="117">
        <f t="shared" si="196"/>
        <v>33.506432662021012</v>
      </c>
      <c r="U323" s="117">
        <f t="shared" si="196"/>
        <v>33.506432662021012</v>
      </c>
      <c r="V323" s="117">
        <f t="shared" si="196"/>
        <v>33.506432662021012</v>
      </c>
      <c r="W323" s="117">
        <f t="shared" si="196"/>
        <v>33.506432662021012</v>
      </c>
      <c r="X323" s="161">
        <f t="shared" si="196"/>
        <v>33.506432662021012</v>
      </c>
      <c r="Y323" s="261"/>
    </row>
    <row r="324" spans="2:25" hidden="1" outlineLevel="1">
      <c r="C324" s="258" t="s">
        <v>46</v>
      </c>
      <c r="D324" s="114"/>
      <c r="E324" s="114">
        <f>E323*E322</f>
        <v>8064833.9987193812</v>
      </c>
      <c r="F324" s="114">
        <f t="shared" ref="F324:X324" si="197">F323*F322</f>
        <v>8064833.9987193812</v>
      </c>
      <c r="G324" s="114">
        <f t="shared" si="197"/>
        <v>8064833.9987193812</v>
      </c>
      <c r="H324" s="114">
        <f t="shared" si="197"/>
        <v>8064833.9987193812</v>
      </c>
      <c r="I324" s="114">
        <f t="shared" si="197"/>
        <v>8064833.9987193812</v>
      </c>
      <c r="J324" s="114">
        <f t="shared" si="197"/>
        <v>8064833.9987193812</v>
      </c>
      <c r="K324" s="114">
        <f t="shared" si="197"/>
        <v>8064833.9987193812</v>
      </c>
      <c r="L324" s="114">
        <f t="shared" si="197"/>
        <v>8064833.9987193812</v>
      </c>
      <c r="M324" s="93">
        <f t="shared" si="197"/>
        <v>8064833.9987193812</v>
      </c>
      <c r="N324" s="93">
        <f t="shared" si="197"/>
        <v>8064833.9987193812</v>
      </c>
      <c r="O324" s="93">
        <f t="shared" si="197"/>
        <v>8064833.9987193812</v>
      </c>
      <c r="P324" s="93">
        <f t="shared" si="197"/>
        <v>8064833.9987193812</v>
      </c>
      <c r="Q324" s="93">
        <f t="shared" si="197"/>
        <v>8064833.9987193812</v>
      </c>
      <c r="R324" s="93">
        <f t="shared" si="197"/>
        <v>8064833.9987193812</v>
      </c>
      <c r="S324" s="93">
        <f t="shared" si="197"/>
        <v>8064833.9987193812</v>
      </c>
      <c r="T324" s="93">
        <f t="shared" si="197"/>
        <v>8064833.9987193812</v>
      </c>
      <c r="U324" s="93">
        <f t="shared" si="197"/>
        <v>8064833.9987193812</v>
      </c>
      <c r="V324" s="93">
        <f t="shared" si="197"/>
        <v>8064833.9987193812</v>
      </c>
      <c r="W324" s="93">
        <f t="shared" si="197"/>
        <v>8064833.9987193812</v>
      </c>
      <c r="X324" s="161">
        <f t="shared" si="197"/>
        <v>8064833.9987193812</v>
      </c>
      <c r="Y324" s="261"/>
    </row>
    <row r="325" spans="2:25" hidden="1" outlineLevel="1">
      <c r="C325" s="258"/>
      <c r="D325" s="114"/>
      <c r="E325" s="114"/>
      <c r="F325" s="114"/>
      <c r="G325" s="114"/>
      <c r="H325" s="114"/>
      <c r="I325" s="114"/>
      <c r="J325" s="114"/>
      <c r="K325" s="114"/>
      <c r="L325" s="114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161"/>
      <c r="Y325" s="261"/>
    </row>
    <row r="326" spans="2:25" hidden="1" outlineLevel="1">
      <c r="B326" s="92"/>
      <c r="C326" s="125" t="s">
        <v>47</v>
      </c>
      <c r="D326" s="114"/>
      <c r="E326" s="114">
        <f>'Resource Options'!$E$19*INDEX('DATA (Nominal)'!$B$189:$BX$189,1,MATCH(E$1,'DATA (Nominal)'!$B$1:$BX$1,0))*1000</f>
        <v>2154658.4270197633</v>
      </c>
      <c r="F326" s="114">
        <f>'Resource Options'!$E$19*INDEX('DATA (Nominal)'!$B$189:$BX$189,1,MATCH(F$1,'DATA (Nominal)'!$B$1:$BX$1,0))*1000</f>
        <v>2131000.5546657792</v>
      </c>
      <c r="G326" s="114">
        <f>'Resource Options'!$E$19*INDEX('DATA (Nominal)'!$B$189:$BX$189,1,MATCH(G$1,'DATA (Nominal)'!$B$1:$BX$1,0))*1000</f>
        <v>2105415.6572862766</v>
      </c>
      <c r="H326" s="114">
        <f>'Resource Options'!$E$19*INDEX('DATA (Nominal)'!$B$189:$BX$189,1,MATCH(H$1,'DATA (Nominal)'!$B$1:$BX$1,0))*1000</f>
        <v>2077148.2868507428</v>
      </c>
      <c r="I326" s="114">
        <f>'Resource Options'!$E$19*INDEX('DATA (Nominal)'!$B$189:$BX$189,1,MATCH(I$1,'DATA (Nominal)'!$B$1:$BX$1,0))*1000</f>
        <v>2046815.1716835233</v>
      </c>
      <c r="J326" s="114">
        <f>'Resource Options'!$E$19*INDEX('DATA (Nominal)'!$B$189:$BX$189,1,MATCH(J$1,'DATA (Nominal)'!$B$1:$BX$1,0))*1000</f>
        <v>2014335.6786287213</v>
      </c>
      <c r="K326" s="114">
        <f>'Resource Options'!$E$19*INDEX('DATA (Nominal)'!$B$189:$BX$189,1,MATCH(K$1,'DATA (Nominal)'!$B$1:$BX$1,0))*1000</f>
        <v>2045031.5088256907</v>
      </c>
      <c r="L326" s="114">
        <f>'Resource Options'!$E$19*INDEX('DATA (Nominal)'!$B$189:$BX$189,1,MATCH(L$1,'DATA (Nominal)'!$B$1:$BX$1,0))*1000</f>
        <v>2076138.8343853145</v>
      </c>
      <c r="M326" s="93">
        <f>'Resource Options'!$E$19*INDEX('DATA (Nominal)'!$B$189:$BX$189,1,MATCH(M$1,'DATA (Nominal)'!$B$1:$BX$1,0))*1000</f>
        <v>2107661.0922157797</v>
      </c>
      <c r="N326" s="93">
        <f>'Resource Options'!$E$19*INDEX('DATA (Nominal)'!$B$189:$BX$189,1,MATCH(N$1,'DATA (Nominal)'!$B$1:$BX$1,0))*1000</f>
        <v>2139601.6755496007</v>
      </c>
      <c r="O326" s="93">
        <f>'Resource Options'!$E$19*INDEX('DATA (Nominal)'!$B$189:$BX$189,1,MATCH(O$1,'DATA (Nominal)'!$B$1:$BX$1,0))*1000</f>
        <v>2171963.9303801572</v>
      </c>
      <c r="P326" s="93">
        <f>'Resource Options'!$E$19*INDEX('DATA (Nominal)'!$B$189:$BX$189,1,MATCH(P$1,'DATA (Nominal)'!$B$1:$BX$1,0))*1000</f>
        <v>2204751.1517638615</v>
      </c>
      <c r="Q326" s="93">
        <f>'Resource Options'!$E$19*INDEX('DATA (Nominal)'!$B$189:$BX$189,1,MATCH(Q$1,'DATA (Nominal)'!$B$1:$BX$1,0))*1000</f>
        <v>2237966.5799837573</v>
      </c>
      <c r="R326" s="93">
        <f>'Resource Options'!$E$19*INDEX('DATA (Nominal)'!$B$189:$BX$189,1,MATCH(R$1,'DATA (Nominal)'!$B$1:$BX$1,0))*1000</f>
        <v>2271613.3965702332</v>
      </c>
      <c r="S326" s="93">
        <f>'Resource Options'!$E$19*INDEX('DATA (Nominal)'!$B$189:$BX$189,1,MATCH(S$1,'DATA (Nominal)'!$B$1:$BX$1,0))*1000</f>
        <v>2305694.7201744146</v>
      </c>
      <c r="T326" s="93">
        <f>'Resource Options'!$E$19*INDEX('DATA (Nominal)'!$B$189:$BX$189,1,MATCH(T$1,'DATA (Nominal)'!$B$1:$BX$1,0))*1000</f>
        <v>2340213.602289665</v>
      </c>
      <c r="U326" s="93">
        <f>'Resource Options'!$E$19*INDEX('DATA (Nominal)'!$B$189:$BX$189,1,MATCH(U$1,'DATA (Nominal)'!$B$1:$BX$1,0))*1000</f>
        <v>2375173.0228165169</v>
      </c>
      <c r="V326" s="93">
        <f>'Resource Options'!$E$19*INDEX('DATA (Nominal)'!$B$189:$BX$189,1,MATCH(V$1,'DATA (Nominal)'!$B$1:$BX$1,0))*1000</f>
        <v>2410575.8854661905</v>
      </c>
      <c r="W326" s="93">
        <f>'Resource Options'!$E$19*INDEX('DATA (Nominal)'!$B$189:$BX$189,1,MATCH(W$1,'DATA (Nominal)'!$B$1:$BX$1,0))*1000</f>
        <v>2446425.0129977553</v>
      </c>
      <c r="X326" s="161">
        <f>'Resource Options'!$E$19*INDEX('DATA (Nominal)'!$B$189:$BX$189,1,MATCH(X$1,'DATA (Nominal)'!$B$1:$BX$1,0))*1000</f>
        <v>2482723.1422838285</v>
      </c>
      <c r="Y326" s="261"/>
    </row>
    <row r="327" spans="2:25" hidden="1" outlineLevel="1">
      <c r="C327" s="125" t="s">
        <v>48</v>
      </c>
      <c r="D327" s="114"/>
      <c r="E327" s="114">
        <f>E322*INDEX('DATA (Nominal)'!$B$114:$BX$114,1,MATCH(E$1,'DATA (Nominal)'!$B$1:$BX$1,0))</f>
        <v>0</v>
      </c>
      <c r="F327" s="114">
        <f>F322*INDEX('DATA (Nominal)'!$B$114:$BX$114,1,MATCH(F$1,'DATA (Nominal)'!$B$1:$BX$1,0))</f>
        <v>0</v>
      </c>
      <c r="G327" s="114">
        <f>G322*INDEX('DATA (Nominal)'!$B$114:$BX$114,1,MATCH(G$1,'DATA (Nominal)'!$B$1:$BX$1,0))</f>
        <v>0</v>
      </c>
      <c r="H327" s="114">
        <f>H322*INDEX('DATA (Nominal)'!$B$114:$BX$114,1,MATCH(H$1,'DATA (Nominal)'!$B$1:$BX$1,0))</f>
        <v>0</v>
      </c>
      <c r="I327" s="114">
        <f>I322*INDEX('DATA (Nominal)'!$B$114:$BX$114,1,MATCH(I$1,'DATA (Nominal)'!$B$1:$BX$1,0))</f>
        <v>0</v>
      </c>
      <c r="J327" s="114">
        <f>J322*INDEX('DATA (Nominal)'!$B$114:$BX$114,1,MATCH(J$1,'DATA (Nominal)'!$B$1:$BX$1,0))</f>
        <v>0</v>
      </c>
      <c r="K327" s="114">
        <f>K322*INDEX('DATA (Nominal)'!$B$114:$BX$114,1,MATCH(K$1,'DATA (Nominal)'!$B$1:$BX$1,0))</f>
        <v>0</v>
      </c>
      <c r="L327" s="114">
        <f>L322*INDEX('DATA (Nominal)'!$B$114:$BX$114,1,MATCH(L$1,'DATA (Nominal)'!$B$1:$BX$1,0))</f>
        <v>0</v>
      </c>
      <c r="M327" s="93">
        <f>M322*INDEX('DATA (Nominal)'!$B$114:$BX$114,1,MATCH(M$1,'DATA (Nominal)'!$B$1:$BX$1,0))</f>
        <v>0</v>
      </c>
      <c r="N327" s="93">
        <f>N322*INDEX('DATA (Nominal)'!$B$114:$BX$114,1,MATCH(N$1,'DATA (Nominal)'!$B$1:$BX$1,0))</f>
        <v>0</v>
      </c>
      <c r="O327" s="93">
        <f>O322*INDEX('DATA (Nominal)'!$B$114:$BX$114,1,MATCH(O$1,'DATA (Nominal)'!$B$1:$BX$1,0))</f>
        <v>0</v>
      </c>
      <c r="P327" s="93">
        <f>P322*INDEX('DATA (Nominal)'!$B$114:$BX$114,1,MATCH(P$1,'DATA (Nominal)'!$B$1:$BX$1,0))</f>
        <v>0</v>
      </c>
      <c r="Q327" s="93">
        <f>Q322*INDEX('DATA (Nominal)'!$B$114:$BX$114,1,MATCH(Q$1,'DATA (Nominal)'!$B$1:$BX$1,0))</f>
        <v>0</v>
      </c>
      <c r="R327" s="93">
        <f>R322*INDEX('DATA (Nominal)'!$B$114:$BX$114,1,MATCH(R$1,'DATA (Nominal)'!$B$1:$BX$1,0))</f>
        <v>0</v>
      </c>
      <c r="S327" s="93">
        <f>S322*INDEX('DATA (Nominal)'!$B$114:$BX$114,1,MATCH(S$1,'DATA (Nominal)'!$B$1:$BX$1,0))</f>
        <v>0</v>
      </c>
      <c r="T327" s="93">
        <f>T322*INDEX('DATA (Nominal)'!$B$114:$BX$114,1,MATCH(T$1,'DATA (Nominal)'!$B$1:$BX$1,0))</f>
        <v>0</v>
      </c>
      <c r="U327" s="93">
        <f>U322*INDEX('DATA (Nominal)'!$B$114:$BX$114,1,MATCH(U$1,'DATA (Nominal)'!$B$1:$BX$1,0))</f>
        <v>0</v>
      </c>
      <c r="V327" s="93">
        <f>V322*INDEX('DATA (Nominal)'!$B$114:$BX$114,1,MATCH(V$1,'DATA (Nominal)'!$B$1:$BX$1,0))</f>
        <v>0</v>
      </c>
      <c r="W327" s="93">
        <f>W322*INDEX('DATA (Nominal)'!$B$114:$BX$114,1,MATCH(W$1,'DATA (Nominal)'!$B$1:$BX$1,0))</f>
        <v>0</v>
      </c>
      <c r="X327" s="161">
        <f>X322*INDEX('DATA (Nominal)'!$B$114:$BX$114,1,MATCH(X$1,'DATA (Nominal)'!$B$1:$BX$1,0))</f>
        <v>0</v>
      </c>
      <c r="Y327" s="261"/>
    </row>
    <row r="328" spans="2:25" hidden="1" outlineLevel="1">
      <c r="C328" s="125" t="s">
        <v>127</v>
      </c>
      <c r="D328" s="114"/>
      <c r="E328" s="93">
        <f>E324*INDEX('DATA (Nominal)'!$B$334:$BX$334,1,MATCH(E$1,'DATA (Nominal)'!$B$1:$BX$1,0))</f>
        <v>22178.293496478298</v>
      </c>
      <c r="F328" s="114">
        <f>F324*INDEX('DATA (Nominal)'!$B$334:$BX$334,1,MATCH(F$1,'DATA (Nominal)'!$B$1:$BX$1,0))</f>
        <v>22178.293496478298</v>
      </c>
      <c r="G328" s="114">
        <f>G324*INDEX('DATA (Nominal)'!$B$334:$BX$334,1,MATCH(G$1,'DATA (Nominal)'!$B$1:$BX$1,0))</f>
        <v>22178.293496478298</v>
      </c>
      <c r="H328" s="114">
        <f>H324*INDEX('DATA (Nominal)'!$B$334:$BX$334,1,MATCH(H$1,'DATA (Nominal)'!$B$1:$BX$1,0))</f>
        <v>22178.293496478298</v>
      </c>
      <c r="I328" s="114">
        <f>I324*INDEX('DATA (Nominal)'!$B$334:$BX$334,1,MATCH(I$1,'DATA (Nominal)'!$B$1:$BX$1,0))</f>
        <v>22178.293496478298</v>
      </c>
      <c r="J328" s="114">
        <f>J324*INDEX('DATA (Nominal)'!$B$334:$BX$334,1,MATCH(J$1,'DATA (Nominal)'!$B$1:$BX$1,0))</f>
        <v>22178.293496478298</v>
      </c>
      <c r="K328" s="114">
        <f>K324*INDEX('DATA (Nominal)'!$B$334:$BX$334,1,MATCH(K$1,'DATA (Nominal)'!$B$1:$BX$1,0))</f>
        <v>22178.293496478298</v>
      </c>
      <c r="L328" s="114">
        <f>L324*INDEX('DATA (Nominal)'!$B$334:$BX$334,1,MATCH(L$1,'DATA (Nominal)'!$B$1:$BX$1,0))</f>
        <v>22178.293496478298</v>
      </c>
      <c r="M328" s="93">
        <f>M324*INDEX('DATA (Nominal)'!$B$334:$BX$334,1,MATCH(M$1,'DATA (Nominal)'!$B$1:$BX$1,0))</f>
        <v>22178.293496478298</v>
      </c>
      <c r="N328" s="93">
        <f>N324*INDEX('DATA (Nominal)'!$B$334:$BX$334,1,MATCH(N$1,'DATA (Nominal)'!$B$1:$BX$1,0))</f>
        <v>22178.293496478298</v>
      </c>
      <c r="O328" s="93">
        <f>O324*INDEX('DATA (Nominal)'!$B$334:$BX$334,1,MATCH(O$1,'DATA (Nominal)'!$B$1:$BX$1,0))</f>
        <v>22178.293496478298</v>
      </c>
      <c r="P328" s="93">
        <f>P324*INDEX('DATA (Nominal)'!$B$334:$BX$334,1,MATCH(P$1,'DATA (Nominal)'!$B$1:$BX$1,0))</f>
        <v>22178.293496478298</v>
      </c>
      <c r="Q328" s="93">
        <f>Q324*INDEX('DATA (Nominal)'!$B$334:$BX$334,1,MATCH(Q$1,'DATA (Nominal)'!$B$1:$BX$1,0))</f>
        <v>22178.293496478298</v>
      </c>
      <c r="R328" s="93">
        <f>R324*INDEX('DATA (Nominal)'!$B$334:$BX$334,1,MATCH(R$1,'DATA (Nominal)'!$B$1:$BX$1,0))</f>
        <v>22178.293496478298</v>
      </c>
      <c r="S328" s="93">
        <f>S324*INDEX('DATA (Nominal)'!$B$334:$BX$334,1,MATCH(S$1,'DATA (Nominal)'!$B$1:$BX$1,0))</f>
        <v>22178.293496478298</v>
      </c>
      <c r="T328" s="93">
        <f>T324*INDEX('DATA (Nominal)'!$B$334:$BX$334,1,MATCH(T$1,'DATA (Nominal)'!$B$1:$BX$1,0))</f>
        <v>22178.293496478298</v>
      </c>
      <c r="U328" s="93">
        <f>U324*INDEX('DATA (Nominal)'!$B$334:$BX$334,1,MATCH(U$1,'DATA (Nominal)'!$B$1:$BX$1,0))</f>
        <v>22178.293496478298</v>
      </c>
      <c r="V328" s="93">
        <f>V324*INDEX('DATA (Nominal)'!$B$334:$BX$334,1,MATCH(V$1,'DATA (Nominal)'!$B$1:$BX$1,0))</f>
        <v>22178.293496478298</v>
      </c>
      <c r="W328" s="93">
        <f>W324*INDEX('DATA (Nominal)'!$B$334:$BX$334,1,MATCH(W$1,'DATA (Nominal)'!$B$1:$BX$1,0))</f>
        <v>22178.293496478298</v>
      </c>
      <c r="X328" s="161">
        <f>X324*INDEX('DATA (Nominal)'!$B$334:$BX$334,1,MATCH(X$1,'DATA (Nominal)'!$B$1:$BX$1,0))</f>
        <v>22178.293496478298</v>
      </c>
      <c r="Y328" s="261"/>
    </row>
    <row r="329" spans="2:25" hidden="1" outlineLevel="1">
      <c r="C329" s="258" t="s">
        <v>49</v>
      </c>
      <c r="D329" s="114"/>
      <c r="E329" s="114">
        <f>D348*Property_Tax_Rate</f>
        <v>1200771.7513890117</v>
      </c>
      <c r="F329" s="114">
        <f>E348*Property_Tax_Rate</f>
        <v>1133865.3257973834</v>
      </c>
      <c r="G329" s="114">
        <f t="shared" ref="G329:X329" si="198">F348*Property_Tax_Rate</f>
        <v>1070686.894123225</v>
      </c>
      <c r="H329" s="114">
        <f t="shared" si="198"/>
        <v>1011028.7343349709</v>
      </c>
      <c r="I329" s="114">
        <f t="shared" si="198"/>
        <v>954694.69857294334</v>
      </c>
      <c r="J329" s="114">
        <f t="shared" si="198"/>
        <v>901499.56824205071</v>
      </c>
      <c r="K329" s="114">
        <f t="shared" si="198"/>
        <v>851268.44503841083</v>
      </c>
      <c r="L329" s="114">
        <f t="shared" si="198"/>
        <v>803836.17590767925</v>
      </c>
      <c r="M329" s="93">
        <f t="shared" si="198"/>
        <v>759046.81004442228</v>
      </c>
      <c r="N329" s="93">
        <f t="shared" si="198"/>
        <v>716753.08614722569</v>
      </c>
      <c r="O329" s="93">
        <f t="shared" si="198"/>
        <v>676815.94824370136</v>
      </c>
      <c r="P329" s="93">
        <f t="shared" si="198"/>
        <v>639104.0884934928</v>
      </c>
      <c r="Q329" s="93">
        <f t="shared" si="198"/>
        <v>603493.51546607784</v>
      </c>
      <c r="R329" s="93">
        <f t="shared" si="198"/>
        <v>569867.14647392428</v>
      </c>
      <c r="S329" s="93">
        <f t="shared" si="198"/>
        <v>538114.42262064724</v>
      </c>
      <c r="T329" s="93">
        <f t="shared" si="198"/>
        <v>508130.94529849745</v>
      </c>
      <c r="U329" s="93">
        <f t="shared" si="198"/>
        <v>479818.13294003642</v>
      </c>
      <c r="V329" s="93">
        <f t="shared" si="198"/>
        <v>453082.89689544169</v>
      </c>
      <c r="W329" s="93">
        <f t="shared" si="198"/>
        <v>427837.33536977461</v>
      </c>
      <c r="X329" s="161">
        <f t="shared" si="198"/>
        <v>403998.44441391574</v>
      </c>
      <c r="Y329" s="261"/>
    </row>
    <row r="330" spans="2:25" hidden="1" outlineLevel="1">
      <c r="C330" s="258" t="s">
        <v>50</v>
      </c>
      <c r="D330" s="114"/>
      <c r="E330" s="114">
        <f>SUM(E326:E329)</f>
        <v>3377608.4719052534</v>
      </c>
      <c r="F330" s="114">
        <f t="shared" ref="F330:X330" si="199">SUM(F326:F329)</f>
        <v>3287044.1739596408</v>
      </c>
      <c r="G330" s="114">
        <f t="shared" si="199"/>
        <v>3198280.8449059799</v>
      </c>
      <c r="H330" s="114">
        <f t="shared" si="199"/>
        <v>3110355.3146821917</v>
      </c>
      <c r="I330" s="114">
        <f t="shared" si="199"/>
        <v>3023688.1637529451</v>
      </c>
      <c r="J330" s="114">
        <f t="shared" si="199"/>
        <v>2938013.5403672503</v>
      </c>
      <c r="K330" s="114">
        <f t="shared" si="199"/>
        <v>2918478.2473605797</v>
      </c>
      <c r="L330" s="114">
        <f t="shared" si="199"/>
        <v>2902153.3037894722</v>
      </c>
      <c r="M330" s="93">
        <f t="shared" si="199"/>
        <v>2888886.1957566803</v>
      </c>
      <c r="N330" s="93">
        <f t="shared" si="199"/>
        <v>2878533.055193305</v>
      </c>
      <c r="O330" s="93">
        <f t="shared" si="199"/>
        <v>2870958.1721203369</v>
      </c>
      <c r="P330" s="93">
        <f t="shared" si="199"/>
        <v>2866033.5337538328</v>
      </c>
      <c r="Q330" s="93">
        <f t="shared" si="199"/>
        <v>2863638.3889463134</v>
      </c>
      <c r="R330" s="93">
        <f t="shared" si="199"/>
        <v>2863658.8365406357</v>
      </c>
      <c r="S330" s="93">
        <f t="shared" si="199"/>
        <v>2865987.43629154</v>
      </c>
      <c r="T330" s="93">
        <f t="shared" si="199"/>
        <v>2870522.8410846409</v>
      </c>
      <c r="U330" s="93">
        <f t="shared" si="199"/>
        <v>2877169.4492530315</v>
      </c>
      <c r="V330" s="93">
        <f t="shared" si="199"/>
        <v>2885837.0758581106</v>
      </c>
      <c r="W330" s="93">
        <f t="shared" si="199"/>
        <v>2896440.6418640083</v>
      </c>
      <c r="X330" s="161">
        <f t="shared" si="199"/>
        <v>2908899.8801942226</v>
      </c>
      <c r="Y330" s="261"/>
    </row>
    <row r="331" spans="2:25" hidden="1" outlineLevel="1">
      <c r="C331" s="258"/>
      <c r="D331" s="114"/>
      <c r="E331" s="114"/>
      <c r="F331" s="114"/>
      <c r="G331" s="114"/>
      <c r="H331" s="114"/>
      <c r="I331" s="114"/>
      <c r="J331" s="114"/>
      <c r="K331" s="114"/>
      <c r="L331" s="114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161"/>
      <c r="Y331" s="261"/>
    </row>
    <row r="332" spans="2:25" hidden="1" outlineLevel="1">
      <c r="C332" s="125" t="s">
        <v>51</v>
      </c>
      <c r="D332" s="114"/>
      <c r="E332" s="114">
        <f>E324-E330</f>
        <v>4687225.5268141273</v>
      </c>
      <c r="F332" s="114">
        <f>F324-F330</f>
        <v>4777789.8247597404</v>
      </c>
      <c r="G332" s="114">
        <f t="shared" ref="G332:X332" si="200">G324-G330</f>
        <v>4866553.1538134012</v>
      </c>
      <c r="H332" s="114">
        <f t="shared" si="200"/>
        <v>4954478.6840371899</v>
      </c>
      <c r="I332" s="114">
        <f t="shared" si="200"/>
        <v>5041145.834966436</v>
      </c>
      <c r="J332" s="114">
        <f t="shared" si="200"/>
        <v>5126820.4583521308</v>
      </c>
      <c r="K332" s="114">
        <f t="shared" si="200"/>
        <v>5146355.7513588015</v>
      </c>
      <c r="L332" s="114">
        <f t="shared" si="200"/>
        <v>5162680.694929909</v>
      </c>
      <c r="M332" s="93">
        <f t="shared" si="200"/>
        <v>5175947.8029627008</v>
      </c>
      <c r="N332" s="93">
        <f t="shared" si="200"/>
        <v>5186300.9435260762</v>
      </c>
      <c r="O332" s="93">
        <f t="shared" si="200"/>
        <v>5193875.8265990447</v>
      </c>
      <c r="P332" s="93">
        <f t="shared" si="200"/>
        <v>5198800.4649655484</v>
      </c>
      <c r="Q332" s="93">
        <f t="shared" si="200"/>
        <v>5201195.6097730678</v>
      </c>
      <c r="R332" s="93">
        <f t="shared" si="200"/>
        <v>5201175.1621787455</v>
      </c>
      <c r="S332" s="93">
        <f t="shared" si="200"/>
        <v>5198846.5624278411</v>
      </c>
      <c r="T332" s="93">
        <f t="shared" si="200"/>
        <v>5194311.1576347407</v>
      </c>
      <c r="U332" s="93">
        <f t="shared" si="200"/>
        <v>5187664.5494663492</v>
      </c>
      <c r="V332" s="93">
        <f t="shared" si="200"/>
        <v>5178996.9228612706</v>
      </c>
      <c r="W332" s="93">
        <f t="shared" si="200"/>
        <v>5168393.3568553729</v>
      </c>
      <c r="X332" s="161">
        <f t="shared" si="200"/>
        <v>5155934.1185251586</v>
      </c>
      <c r="Y332" s="261"/>
    </row>
    <row r="333" spans="2:25" hidden="1" outlineLevel="1">
      <c r="C333" s="125" t="s">
        <v>52</v>
      </c>
      <c r="D333" s="114"/>
      <c r="E333" s="93">
        <f>E332-E349-E340</f>
        <v>-17878477.807929255</v>
      </c>
      <c r="F333" s="114">
        <f>F332-F349-F340</f>
        <v>-29974050.719774134</v>
      </c>
      <c r="G333" s="114">
        <f t="shared" ref="G333:X333" si="201">G332-G349-G340</f>
        <v>-16755760.675239846</v>
      </c>
      <c r="H333" s="114">
        <f t="shared" si="201"/>
        <v>-8760484.9382601567</v>
      </c>
      <c r="I333" s="114">
        <f t="shared" si="201"/>
        <v>-8601326.4018896129</v>
      </c>
      <c r="J333" s="114">
        <f t="shared" si="201"/>
        <v>-2560194.8720627492</v>
      </c>
      <c r="K333" s="114">
        <f t="shared" si="201"/>
        <v>3419003.6400253214</v>
      </c>
      <c r="L333" s="114">
        <f t="shared" si="201"/>
        <v>3520450.967712672</v>
      </c>
      <c r="M333" s="93">
        <f t="shared" si="201"/>
        <v>3623522.1909881001</v>
      </c>
      <c r="N333" s="93">
        <f t="shared" si="201"/>
        <v>3728618.6731324568</v>
      </c>
      <c r="O333" s="93">
        <f t="shared" si="201"/>
        <v>3836147.7815733608</v>
      </c>
      <c r="P333" s="93">
        <f t="shared" si="201"/>
        <v>3946524.1277030362</v>
      </c>
      <c r="Q333" s="93">
        <f t="shared" si="201"/>
        <v>4060170.8242007019</v>
      </c>
      <c r="R333" s="93">
        <f t="shared" si="201"/>
        <v>4177520.7636394836</v>
      </c>
      <c r="S333" s="93">
        <f t="shared" si="201"/>
        <v>4299017.9222085048</v>
      </c>
      <c r="T333" s="93">
        <f t="shared" si="201"/>
        <v>4425118.6924429247</v>
      </c>
      <c r="U333" s="93">
        <f t="shared" si="201"/>
        <v>4556293.2489285674</v>
      </c>
      <c r="V333" s="93">
        <f t="shared" si="201"/>
        <v>4693026.9510334954</v>
      </c>
      <c r="W333" s="93">
        <f t="shared" si="201"/>
        <v>4835821.7868166547</v>
      </c>
      <c r="X333" s="161">
        <f t="shared" si="201"/>
        <v>4985197.862373895</v>
      </c>
      <c r="Y333" s="261"/>
    </row>
    <row r="334" spans="2:25" hidden="1" outlineLevel="1">
      <c r="C334" s="125" t="s">
        <v>53</v>
      </c>
      <c r="D334" s="114"/>
      <c r="E334" s="93">
        <f>INDEX('DATA (Nominal)'!$B$260:$BX$260,1,MATCH($B$1,'DATA (Nominal)'!$B$1:$BX$1,0))*INDEX('DATA (Nominal)'!$B$307:$BX$307,1,MATCH(E$1,'DATA (Nominal)'!$B$1:$BX$1,0))*E322</f>
        <v>6756044.9450969258</v>
      </c>
      <c r="F334" s="93">
        <f>INDEX('DATA (Nominal)'!$B$260:$BX$260,1,MATCH($B$1,'DATA (Nominal)'!$B$1:$BX$1,0))*INDEX('DATA (Nominal)'!$B$307:$BX$307,1,MATCH(F$1,'DATA (Nominal)'!$B$1:$BX$1,0))*F322</f>
        <v>6906929.9488707576</v>
      </c>
      <c r="G334" s="93">
        <f>INDEX('DATA (Nominal)'!$B$260:$BX$260,1,MATCH($B$1,'DATA (Nominal)'!$B$1:$BX$1,0))*INDEX('DATA (Nominal)'!$B$307:$BX$307,1,MATCH(G$1,'DATA (Nominal)'!$B$1:$BX$1,0))*G322</f>
        <v>7061184.7177288709</v>
      </c>
      <c r="H334" s="93">
        <f>INDEX('DATA (Nominal)'!$B$260:$BX$260,1,MATCH($B$1,'DATA (Nominal)'!$B$1:$BX$1,0))*INDEX('DATA (Nominal)'!$B$307:$BX$307,1,MATCH(H$1,'DATA (Nominal)'!$B$1:$BX$1,0))*H322</f>
        <v>7216530.7815189073</v>
      </c>
      <c r="I334" s="93">
        <f>INDEX('DATA (Nominal)'!$B$260:$BX$260,1,MATCH($B$1,'DATA (Nominal)'!$B$1:$BX$1,0))*INDEX('DATA (Nominal)'!$B$307:$BX$307,1,MATCH(I$1,'DATA (Nominal)'!$B$1:$BX$1,0))*I322</f>
        <v>7375294.4587123217</v>
      </c>
      <c r="J334" s="93">
        <f>INDEX('DATA (Nominal)'!$B$260:$BX$260,1,MATCH($B$1,'DATA (Nominal)'!$B$1:$BX$1,0))*INDEX('DATA (Nominal)'!$B$307:$BX$307,1,MATCH(J$1,'DATA (Nominal)'!$B$1:$BX$1,0))*J322</f>
        <v>7537550.9368039938</v>
      </c>
      <c r="K334" s="93">
        <f>INDEX('DATA (Nominal)'!$B$260:$BX$260,1,MATCH($B$1,'DATA (Nominal)'!$B$1:$BX$1,0))*INDEX('DATA (Nominal)'!$B$307:$BX$307,1,MATCH(K$1,'DATA (Nominal)'!$B$1:$BX$1,0))*K322</f>
        <v>7703377.0574136805</v>
      </c>
      <c r="L334" s="93">
        <f>INDEX('DATA (Nominal)'!$B$260:$BX$260,1,MATCH($B$1,'DATA (Nominal)'!$B$1:$BX$1,0))*INDEX('DATA (Nominal)'!$B$307:$BX$307,1,MATCH(L$1,'DATA (Nominal)'!$B$1:$BX$1,0))*L322</f>
        <v>7872851.3526767828</v>
      </c>
      <c r="M334" s="93">
        <f>INDEX('DATA (Nominal)'!$B$260:$BX$260,1,MATCH($B$1,'DATA (Nominal)'!$B$1:$BX$1,0))*INDEX('DATA (Nominal)'!$B$307:$BX$307,1,MATCH(M$1,'DATA (Nominal)'!$B$1:$BX$1,0))*M322</f>
        <v>8046054.0824356731</v>
      </c>
      <c r="N334" s="93">
        <f>INDEX('DATA (Nominal)'!$B$260:$BX$260,1,MATCH($B$1,'DATA (Nominal)'!$B$1:$BX$1,0))*INDEX('DATA (Nominal)'!$B$307:$BX$307,1,MATCH(N$1,'DATA (Nominal)'!$B$1:$BX$1,0))*N322</f>
        <v>8223067.2722492572</v>
      </c>
      <c r="O334" s="93"/>
      <c r="P334" s="93"/>
      <c r="Q334" s="93"/>
      <c r="R334" s="93"/>
      <c r="S334" s="93"/>
      <c r="T334" s="93"/>
      <c r="U334" s="93"/>
      <c r="V334" s="93"/>
      <c r="W334" s="93"/>
      <c r="X334" s="161"/>
      <c r="Y334" s="261"/>
    </row>
    <row r="335" spans="2:25" hidden="1" outlineLevel="1">
      <c r="C335" s="258" t="s">
        <v>54</v>
      </c>
      <c r="D335" s="114"/>
      <c r="E335" s="114">
        <f t="shared" ref="E335:X335" si="202">E333*Federal_Tax_Rate-E334</f>
        <v>-10510525.28476207</v>
      </c>
      <c r="F335" s="114">
        <f t="shared" si="202"/>
        <v>-13201480.600023326</v>
      </c>
      <c r="G335" s="114">
        <f t="shared" si="202"/>
        <v>-10579894.459529238</v>
      </c>
      <c r="H335" s="114">
        <f t="shared" si="202"/>
        <v>-9056232.6185535397</v>
      </c>
      <c r="I335" s="114">
        <f t="shared" si="202"/>
        <v>-9181573.0031091403</v>
      </c>
      <c r="J335" s="114">
        <f t="shared" si="202"/>
        <v>-8075191.8599371715</v>
      </c>
      <c r="K335" s="114">
        <f t="shared" si="202"/>
        <v>-6985386.2930083629</v>
      </c>
      <c r="L335" s="114">
        <f t="shared" si="202"/>
        <v>-7133556.6494571213</v>
      </c>
      <c r="M335" s="93">
        <f t="shared" si="202"/>
        <v>-7285114.4223281723</v>
      </c>
      <c r="N335" s="93">
        <f t="shared" si="202"/>
        <v>-7440057.3508914411</v>
      </c>
      <c r="O335" s="93">
        <f t="shared" si="202"/>
        <v>805591.03413040575</v>
      </c>
      <c r="P335" s="93">
        <f t="shared" si="202"/>
        <v>828770.06681763753</v>
      </c>
      <c r="Q335" s="93">
        <f t="shared" si="202"/>
        <v>852635.87308214733</v>
      </c>
      <c r="R335" s="93">
        <f t="shared" si="202"/>
        <v>877279.36036429147</v>
      </c>
      <c r="S335" s="93">
        <f t="shared" si="202"/>
        <v>902793.763663786</v>
      </c>
      <c r="T335" s="93">
        <f t="shared" si="202"/>
        <v>929274.92541301413</v>
      </c>
      <c r="U335" s="93">
        <f t="shared" si="202"/>
        <v>956821.58227499912</v>
      </c>
      <c r="V335" s="93">
        <f t="shared" si="202"/>
        <v>985535.65971703397</v>
      </c>
      <c r="W335" s="93">
        <f t="shared" si="202"/>
        <v>1015522.5752314974</v>
      </c>
      <c r="X335" s="161">
        <f t="shared" si="202"/>
        <v>1046891.551098518</v>
      </c>
      <c r="Y335" s="261"/>
    </row>
    <row r="336" spans="2:25" hidden="1" outlineLevel="1">
      <c r="C336" s="258"/>
      <c r="D336" s="114"/>
      <c r="E336" s="114"/>
      <c r="F336" s="114"/>
      <c r="G336" s="114"/>
      <c r="H336" s="114"/>
      <c r="I336" s="114"/>
      <c r="J336" s="114"/>
      <c r="K336" s="114"/>
      <c r="L336" s="114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161"/>
      <c r="Y336" s="261"/>
    </row>
    <row r="337" spans="2:25" hidden="1" outlineLevel="1">
      <c r="B337" s="37">
        <f>IRR(D337:Y337,0.1)</f>
        <v>7.5000002849383129E-2</v>
      </c>
      <c r="C337" s="125" t="s">
        <v>55</v>
      </c>
      <c r="D337" s="255">
        <f>-(1+AFUDC!$C$19)*INDEX('DATA (Nominal)'!$B$70:$BX$70,1,MATCH($B$1,'DATA (Nominal)'!$B$1:$BX$1,0))*1000000*'Resource Options'!$E$19/1000</f>
        <v>-120077175.13890117</v>
      </c>
      <c r="E337" s="254">
        <f t="shared" ref="E337:X337" si="203">E332-E335</f>
        <v>15197750.811576197</v>
      </c>
      <c r="F337" s="114">
        <f t="shared" si="203"/>
        <v>17979270.424783066</v>
      </c>
      <c r="G337" s="114">
        <f t="shared" si="203"/>
        <v>15446447.613342639</v>
      </c>
      <c r="H337" s="114">
        <f t="shared" si="203"/>
        <v>14010711.30259073</v>
      </c>
      <c r="I337" s="114">
        <f t="shared" si="203"/>
        <v>14222718.838075576</v>
      </c>
      <c r="J337" s="114">
        <f t="shared" si="203"/>
        <v>13202012.318289302</v>
      </c>
      <c r="K337" s="114">
        <f t="shared" si="203"/>
        <v>12131742.044367164</v>
      </c>
      <c r="L337" s="114">
        <f t="shared" si="203"/>
        <v>12296237.34438703</v>
      </c>
      <c r="M337" s="93">
        <f t="shared" si="203"/>
        <v>12461062.225290872</v>
      </c>
      <c r="N337" s="93">
        <f t="shared" si="203"/>
        <v>12626358.294417517</v>
      </c>
      <c r="O337" s="93">
        <f t="shared" si="203"/>
        <v>4388284.7924686391</v>
      </c>
      <c r="P337" s="93">
        <f t="shared" si="203"/>
        <v>4370030.3981479108</v>
      </c>
      <c r="Q337" s="93">
        <f t="shared" si="203"/>
        <v>4348559.7366909208</v>
      </c>
      <c r="R337" s="93">
        <f t="shared" si="203"/>
        <v>4323895.8018144537</v>
      </c>
      <c r="S337" s="93">
        <f t="shared" si="203"/>
        <v>4296052.7987640556</v>
      </c>
      <c r="T337" s="93">
        <f t="shared" si="203"/>
        <v>4265036.2322217263</v>
      </c>
      <c r="U337" s="93">
        <f t="shared" si="203"/>
        <v>4230842.9671913497</v>
      </c>
      <c r="V337" s="93">
        <f t="shared" si="203"/>
        <v>4193461.2631442365</v>
      </c>
      <c r="W337" s="93">
        <f t="shared" si="203"/>
        <v>4152870.7816238757</v>
      </c>
      <c r="X337" s="161">
        <f t="shared" si="203"/>
        <v>4109042.5674266405</v>
      </c>
      <c r="Y337" s="261">
        <f>D337*-0.3</f>
        <v>36023152.541670352</v>
      </c>
    </row>
    <row r="338" spans="2:25" hidden="1" outlineLevel="1">
      <c r="B338" s="37">
        <f>IRR(D338:Y338,0.1)</f>
        <v>9.7376065673805634E-2</v>
      </c>
      <c r="C338" s="125" t="s">
        <v>56</v>
      </c>
      <c r="D338" s="102">
        <f>-D354</f>
        <v>-14110937.382795267</v>
      </c>
      <c r="E338" s="254">
        <f t="shared" ref="E338:X338" si="204">E337-E340-E342-E350-E334</f>
        <v>879918.89148260187</v>
      </c>
      <c r="F338" s="114">
        <f t="shared" si="204"/>
        <v>938500.40944037493</v>
      </c>
      <c r="G338" s="114">
        <f t="shared" si="204"/>
        <v>994946.12671545055</v>
      </c>
      <c r="H338" s="114">
        <f t="shared" si="204"/>
        <v>1049977.730717673</v>
      </c>
      <c r="I338" s="114">
        <f t="shared" si="204"/>
        <v>1103221.5890091052</v>
      </c>
      <c r="J338" s="114">
        <f t="shared" si="204"/>
        <v>1154844.0750392852</v>
      </c>
      <c r="K338" s="114">
        <f t="shared" si="204"/>
        <v>1153333.1644155849</v>
      </c>
      <c r="L338" s="114">
        <f t="shared" si="204"/>
        <v>1148354.1691723503</v>
      </c>
      <c r="M338" s="93">
        <f t="shared" si="204"/>
        <v>1139976.3203173</v>
      </c>
      <c r="N338" s="93">
        <f t="shared" si="204"/>
        <v>1128259.1996303629</v>
      </c>
      <c r="O338" s="93">
        <f t="shared" si="204"/>
        <v>1113252.969930741</v>
      </c>
      <c r="P338" s="93">
        <f t="shared" si="204"/>
        <v>1094998.5756100127</v>
      </c>
      <c r="Q338" s="93">
        <f t="shared" si="204"/>
        <v>1073527.9141530227</v>
      </c>
      <c r="R338" s="93">
        <f t="shared" si="204"/>
        <v>1048863.9792765556</v>
      </c>
      <c r="S338" s="93">
        <f t="shared" si="204"/>
        <v>1021020.9762261575</v>
      </c>
      <c r="T338" s="93">
        <f t="shared" si="204"/>
        <v>990004.40968382824</v>
      </c>
      <c r="U338" s="93">
        <f t="shared" si="204"/>
        <v>955811.14465345163</v>
      </c>
      <c r="V338" s="93">
        <f t="shared" si="204"/>
        <v>918429.44060633844</v>
      </c>
      <c r="W338" s="93">
        <f t="shared" si="204"/>
        <v>877838.95908597764</v>
      </c>
      <c r="X338" s="161">
        <f t="shared" si="204"/>
        <v>834010.74488874245</v>
      </c>
      <c r="Y338" s="261">
        <f>Y337</f>
        <v>36023152.541670352</v>
      </c>
    </row>
    <row r="339" spans="2:25" hidden="1" outlineLevel="1">
      <c r="B339" s="21"/>
      <c r="C339" s="125"/>
      <c r="D339" s="102"/>
      <c r="E339" s="114"/>
      <c r="F339" s="114"/>
      <c r="G339" s="114"/>
      <c r="H339" s="114"/>
      <c r="I339" s="114"/>
      <c r="J339" s="114"/>
      <c r="K339" s="114"/>
      <c r="L339" s="114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161"/>
      <c r="Y339" s="261"/>
    </row>
    <row r="340" spans="2:25" hidden="1" outlineLevel="1">
      <c r="B340" s="452"/>
      <c r="C340" s="258" t="s">
        <v>57</v>
      </c>
      <c r="D340" s="114"/>
      <c r="E340" s="114">
        <f t="shared" ref="E340:X340" si="205">D343*Debt_Rate</f>
        <v>2152583.5611301833</v>
      </c>
      <c r="F340" s="114">
        <f t="shared" si="205"/>
        <v>2090848.9067527589</v>
      </c>
      <c r="G340" s="114">
        <f t="shared" si="205"/>
        <v>2025718.8463845761</v>
      </c>
      <c r="H340" s="114">
        <f t="shared" si="205"/>
        <v>1957006.6326961434</v>
      </c>
      <c r="I340" s="114">
        <f t="shared" si="205"/>
        <v>1884515.2472548469</v>
      </c>
      <c r="J340" s="114">
        <f t="shared" si="205"/>
        <v>1808036.8356142791</v>
      </c>
      <c r="K340" s="114">
        <f t="shared" si="205"/>
        <v>1727352.1113334801</v>
      </c>
      <c r="L340" s="114">
        <f t="shared" si="205"/>
        <v>1642229.727217237</v>
      </c>
      <c r="M340" s="93">
        <f t="shared" si="205"/>
        <v>1552425.6119746007</v>
      </c>
      <c r="N340" s="93">
        <f t="shared" si="205"/>
        <v>1457682.2703936193</v>
      </c>
      <c r="O340" s="93">
        <f t="shared" si="205"/>
        <v>1357728.0450256839</v>
      </c>
      <c r="P340" s="93">
        <f t="shared" si="205"/>
        <v>1252276.3372625122</v>
      </c>
      <c r="Q340" s="93">
        <f t="shared" si="205"/>
        <v>1141024.7855723661</v>
      </c>
      <c r="R340" s="93">
        <f t="shared" si="205"/>
        <v>1023654.3985392617</v>
      </c>
      <c r="S340" s="93">
        <f t="shared" si="205"/>
        <v>899828.64021933672</v>
      </c>
      <c r="T340" s="93">
        <f t="shared" si="205"/>
        <v>769192.46519181598</v>
      </c>
      <c r="U340" s="93">
        <f t="shared" si="205"/>
        <v>631371.30053778144</v>
      </c>
      <c r="V340" s="93">
        <f t="shared" si="205"/>
        <v>485969.97182777495</v>
      </c>
      <c r="W340" s="93">
        <f t="shared" si="205"/>
        <v>332571.57003871817</v>
      </c>
      <c r="X340" s="161">
        <f t="shared" si="205"/>
        <v>170736.25615126325</v>
      </c>
      <c r="Y340" s="261"/>
    </row>
    <row r="341" spans="2:25" hidden="1" outlineLevel="1">
      <c r="B341" s="452"/>
      <c r="C341" s="258" t="s">
        <v>58</v>
      </c>
      <c r="D341" s="114"/>
      <c r="E341" s="114">
        <f t="shared" ref="E341:X341" si="206">-PMT(Debt_Rate,20,$D353)</f>
        <v>3275031.8225378981</v>
      </c>
      <c r="F341" s="114">
        <f t="shared" si="206"/>
        <v>3275031.8225378981</v>
      </c>
      <c r="G341" s="114">
        <f t="shared" si="206"/>
        <v>3275031.8225378981</v>
      </c>
      <c r="H341" s="114">
        <f t="shared" si="206"/>
        <v>3275031.8225378981</v>
      </c>
      <c r="I341" s="114">
        <f t="shared" si="206"/>
        <v>3275031.8225378981</v>
      </c>
      <c r="J341" s="114">
        <f t="shared" si="206"/>
        <v>3275031.8225378981</v>
      </c>
      <c r="K341" s="114">
        <f t="shared" si="206"/>
        <v>3275031.8225378981</v>
      </c>
      <c r="L341" s="114">
        <f t="shared" si="206"/>
        <v>3275031.8225378981</v>
      </c>
      <c r="M341" s="93">
        <f t="shared" si="206"/>
        <v>3275031.8225378981</v>
      </c>
      <c r="N341" s="93">
        <f t="shared" si="206"/>
        <v>3275031.8225378981</v>
      </c>
      <c r="O341" s="93">
        <f t="shared" si="206"/>
        <v>3275031.8225378981</v>
      </c>
      <c r="P341" s="93">
        <f t="shared" si="206"/>
        <v>3275031.8225378981</v>
      </c>
      <c r="Q341" s="93">
        <f t="shared" si="206"/>
        <v>3275031.8225378981</v>
      </c>
      <c r="R341" s="93">
        <f t="shared" si="206"/>
        <v>3275031.8225378981</v>
      </c>
      <c r="S341" s="93">
        <f t="shared" si="206"/>
        <v>3275031.8225378981</v>
      </c>
      <c r="T341" s="93">
        <f t="shared" si="206"/>
        <v>3275031.8225378981</v>
      </c>
      <c r="U341" s="93">
        <f t="shared" si="206"/>
        <v>3275031.8225378981</v>
      </c>
      <c r="V341" s="93">
        <f t="shared" si="206"/>
        <v>3275031.8225378981</v>
      </c>
      <c r="W341" s="93">
        <f t="shared" si="206"/>
        <v>3275031.8225378981</v>
      </c>
      <c r="X341" s="161">
        <f t="shared" si="206"/>
        <v>3275031.8225378981</v>
      </c>
      <c r="Y341" s="261"/>
    </row>
    <row r="342" spans="2:25" hidden="1" outlineLevel="1">
      <c r="B342" s="452"/>
      <c r="C342" s="258" t="s">
        <v>59</v>
      </c>
      <c r="D342" s="114"/>
      <c r="E342" s="254">
        <f>E341-E340</f>
        <v>1122448.2614077148</v>
      </c>
      <c r="F342" s="114">
        <f t="shared" ref="F342:X342" si="207">F341-F340</f>
        <v>1184182.9157851392</v>
      </c>
      <c r="G342" s="114">
        <f t="shared" si="207"/>
        <v>1249312.976153322</v>
      </c>
      <c r="H342" s="114">
        <f t="shared" si="207"/>
        <v>1318025.1898417547</v>
      </c>
      <c r="I342" s="114">
        <f t="shared" si="207"/>
        <v>1390516.5752830512</v>
      </c>
      <c r="J342" s="114">
        <f t="shared" si="207"/>
        <v>1466994.9869236189</v>
      </c>
      <c r="K342" s="114">
        <f t="shared" si="207"/>
        <v>1547679.711204418</v>
      </c>
      <c r="L342" s="114">
        <f t="shared" si="207"/>
        <v>1632802.0953206611</v>
      </c>
      <c r="M342" s="93">
        <f t="shared" si="207"/>
        <v>1722606.2105632974</v>
      </c>
      <c r="N342" s="93">
        <f t="shared" si="207"/>
        <v>1817349.5521442788</v>
      </c>
      <c r="O342" s="93">
        <f t="shared" si="207"/>
        <v>1917303.7775122141</v>
      </c>
      <c r="P342" s="93">
        <f t="shared" si="207"/>
        <v>2022755.4852753859</v>
      </c>
      <c r="Q342" s="93">
        <f t="shared" si="207"/>
        <v>2134007.0369655322</v>
      </c>
      <c r="R342" s="93">
        <f t="shared" si="207"/>
        <v>2251377.4239986362</v>
      </c>
      <c r="S342" s="93">
        <f t="shared" si="207"/>
        <v>2375203.1823185612</v>
      </c>
      <c r="T342" s="93">
        <f t="shared" si="207"/>
        <v>2505839.3573460821</v>
      </c>
      <c r="U342" s="93">
        <f t="shared" si="207"/>
        <v>2643660.5220001168</v>
      </c>
      <c r="V342" s="93">
        <f t="shared" si="207"/>
        <v>2789061.8507101233</v>
      </c>
      <c r="W342" s="93">
        <f t="shared" si="207"/>
        <v>2942460.2524991799</v>
      </c>
      <c r="X342" s="161">
        <f t="shared" si="207"/>
        <v>3104295.5663866349</v>
      </c>
      <c r="Y342" s="261"/>
    </row>
    <row r="343" spans="2:25" hidden="1" outlineLevel="1">
      <c r="B343" s="452"/>
      <c r="C343" s="258" t="s">
        <v>60</v>
      </c>
      <c r="D343" s="114">
        <f>D353</f>
        <v>39137882.929639697</v>
      </c>
      <c r="E343" s="114">
        <f>D343-E342</f>
        <v>38015434.668231979</v>
      </c>
      <c r="F343" s="114">
        <f>E343-F342</f>
        <v>36831251.752446838</v>
      </c>
      <c r="G343" s="114">
        <f t="shared" ref="G343:X343" si="208">F343-G342</f>
        <v>35581938.776293516</v>
      </c>
      <c r="H343" s="114">
        <f t="shared" si="208"/>
        <v>34263913.586451761</v>
      </c>
      <c r="I343" s="114">
        <f t="shared" si="208"/>
        <v>32873397.011168711</v>
      </c>
      <c r="J343" s="114">
        <f t="shared" si="208"/>
        <v>31406402.024245091</v>
      </c>
      <c r="K343" s="114">
        <f t="shared" si="208"/>
        <v>29858722.313040674</v>
      </c>
      <c r="L343" s="114">
        <f t="shared" si="208"/>
        <v>28225920.217720013</v>
      </c>
      <c r="M343" s="93">
        <f t="shared" si="208"/>
        <v>26503314.007156715</v>
      </c>
      <c r="N343" s="93">
        <f t="shared" si="208"/>
        <v>24685964.455012437</v>
      </c>
      <c r="O343" s="93">
        <f t="shared" si="208"/>
        <v>22768660.677500222</v>
      </c>
      <c r="P343" s="93">
        <f t="shared" si="208"/>
        <v>20745905.192224838</v>
      </c>
      <c r="Q343" s="93">
        <f t="shared" si="208"/>
        <v>18611898.155259304</v>
      </c>
      <c r="R343" s="93">
        <f t="shared" si="208"/>
        <v>16360520.731260668</v>
      </c>
      <c r="S343" s="93">
        <f t="shared" si="208"/>
        <v>13985317.548942108</v>
      </c>
      <c r="T343" s="93">
        <f t="shared" si="208"/>
        <v>11479478.191596026</v>
      </c>
      <c r="U343" s="93">
        <f t="shared" si="208"/>
        <v>8835817.6695959084</v>
      </c>
      <c r="V343" s="93">
        <f t="shared" si="208"/>
        <v>6046755.8188857846</v>
      </c>
      <c r="W343" s="93">
        <f t="shared" si="208"/>
        <v>3104295.5663866047</v>
      </c>
      <c r="X343" s="161">
        <f t="shared" si="208"/>
        <v>-3.0267983675003052E-8</v>
      </c>
      <c r="Y343" s="261"/>
    </row>
    <row r="344" spans="2:25" hidden="1" outlineLevel="1">
      <c r="B344" s="452"/>
      <c r="C344" s="125"/>
      <c r="D344" s="114"/>
      <c r="E344" s="114"/>
      <c r="F344" s="114"/>
      <c r="G344" s="114"/>
      <c r="H344" s="114"/>
      <c r="I344" s="114"/>
      <c r="J344" s="114"/>
      <c r="K344" s="114"/>
      <c r="L344" s="114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161"/>
      <c r="Y344" s="261"/>
    </row>
    <row r="345" spans="2:25" hidden="1" outlineLevel="1">
      <c r="B345" s="452"/>
      <c r="C345" s="258" t="s">
        <v>61</v>
      </c>
      <c r="D345" s="114"/>
      <c r="E345" s="114">
        <f t="shared" ref="E345:X345" si="209">-$D337/25</f>
        <v>4803087.005556047</v>
      </c>
      <c r="F345" s="114">
        <f t="shared" si="209"/>
        <v>4803087.005556047</v>
      </c>
      <c r="G345" s="114">
        <f t="shared" si="209"/>
        <v>4803087.005556047</v>
      </c>
      <c r="H345" s="114">
        <f t="shared" si="209"/>
        <v>4803087.005556047</v>
      </c>
      <c r="I345" s="114">
        <f t="shared" si="209"/>
        <v>4803087.005556047</v>
      </c>
      <c r="J345" s="114">
        <f t="shared" si="209"/>
        <v>4803087.005556047</v>
      </c>
      <c r="K345" s="114">
        <f t="shared" si="209"/>
        <v>4803087.005556047</v>
      </c>
      <c r="L345" s="114">
        <f t="shared" si="209"/>
        <v>4803087.005556047</v>
      </c>
      <c r="M345" s="93">
        <f t="shared" si="209"/>
        <v>4803087.005556047</v>
      </c>
      <c r="N345" s="93">
        <f t="shared" si="209"/>
        <v>4803087.005556047</v>
      </c>
      <c r="O345" s="93">
        <f t="shared" si="209"/>
        <v>4803087.005556047</v>
      </c>
      <c r="P345" s="93">
        <f t="shared" si="209"/>
        <v>4803087.005556047</v>
      </c>
      <c r="Q345" s="93">
        <f t="shared" si="209"/>
        <v>4803087.005556047</v>
      </c>
      <c r="R345" s="93">
        <f t="shared" si="209"/>
        <v>4803087.005556047</v>
      </c>
      <c r="S345" s="93">
        <f t="shared" si="209"/>
        <v>4803087.005556047</v>
      </c>
      <c r="T345" s="93">
        <f t="shared" si="209"/>
        <v>4803087.005556047</v>
      </c>
      <c r="U345" s="93">
        <f t="shared" si="209"/>
        <v>4803087.005556047</v>
      </c>
      <c r="V345" s="93">
        <f t="shared" si="209"/>
        <v>4803087.005556047</v>
      </c>
      <c r="W345" s="93">
        <f t="shared" si="209"/>
        <v>4803087.005556047</v>
      </c>
      <c r="X345" s="161">
        <f t="shared" si="209"/>
        <v>4803087.005556047</v>
      </c>
      <c r="Y345" s="261"/>
    </row>
    <row r="346" spans="2:25" hidden="1" outlineLevel="1">
      <c r="B346" s="452"/>
      <c r="C346" s="125" t="s">
        <v>62</v>
      </c>
      <c r="D346" s="114"/>
      <c r="E346" s="114">
        <f>SUM($E345:E345)</f>
        <v>4803087.005556047</v>
      </c>
      <c r="F346" s="114">
        <f>SUM($E345:F345)</f>
        <v>9606174.0111120939</v>
      </c>
      <c r="G346" s="114">
        <f>SUM($E345:G345)</f>
        <v>14409261.016668141</v>
      </c>
      <c r="H346" s="114">
        <f>SUM($E345:H345)</f>
        <v>19212348.022224188</v>
      </c>
      <c r="I346" s="114">
        <f>SUM($E345:I345)</f>
        <v>24015435.027780235</v>
      </c>
      <c r="J346" s="114">
        <f>SUM($E345:J345)</f>
        <v>28818522.033336282</v>
      </c>
      <c r="K346" s="114">
        <f>SUM($E345:K345)</f>
        <v>33621609.038892329</v>
      </c>
      <c r="L346" s="114">
        <f>SUM($E345:L345)</f>
        <v>38424696.044448376</v>
      </c>
      <c r="M346" s="93">
        <f>SUM($E345:M345)</f>
        <v>43227783.050004423</v>
      </c>
      <c r="N346" s="93">
        <f>SUM($E345:N345)</f>
        <v>48030870.05556047</v>
      </c>
      <c r="O346" s="93">
        <f>SUM($E345:O345)</f>
        <v>52833957.061116517</v>
      </c>
      <c r="P346" s="93">
        <f>SUM($E345:P345)</f>
        <v>57637044.066672564</v>
      </c>
      <c r="Q346" s="93">
        <f>SUM($E345:Q345)</f>
        <v>62440131.072228611</v>
      </c>
      <c r="R346" s="93">
        <f>SUM($E345:R345)</f>
        <v>67243218.077784657</v>
      </c>
      <c r="S346" s="93">
        <f>SUM($E345:S345)</f>
        <v>72046305.083340704</v>
      </c>
      <c r="T346" s="93">
        <f>SUM($E345:T345)</f>
        <v>76849392.088896751</v>
      </c>
      <c r="U346" s="93">
        <f>SUM($E345:U345)</f>
        <v>81652479.094452798</v>
      </c>
      <c r="V346" s="93">
        <f>SUM($E345:V345)</f>
        <v>86455566.100008845</v>
      </c>
      <c r="W346" s="93">
        <f>SUM($E345:W345)</f>
        <v>91258653.105564892</v>
      </c>
      <c r="X346" s="161">
        <f>SUM($E345:X345)</f>
        <v>96061740.111120939</v>
      </c>
      <c r="Y346" s="261"/>
    </row>
    <row r="347" spans="2:25" hidden="1" outlineLevel="1">
      <c r="B347" s="452"/>
      <c r="C347" s="125" t="s">
        <v>63</v>
      </c>
      <c r="D347" s="114"/>
      <c r="E347" s="114">
        <f t="shared" ref="E347:G347" si="210">-$D337-E346</f>
        <v>115274088.13334513</v>
      </c>
      <c r="F347" s="114">
        <f t="shared" si="210"/>
        <v>110471001.12778908</v>
      </c>
      <c r="G347" s="114">
        <f t="shared" si="210"/>
        <v>105667914.12223303</v>
      </c>
      <c r="H347" s="254">
        <f>-$D337-H346</f>
        <v>100864827.11667699</v>
      </c>
      <c r="I347" s="114">
        <f t="shared" ref="I347:X347" si="211">-$D337-I346</f>
        <v>96061740.111120939</v>
      </c>
      <c r="J347" s="114">
        <f t="shared" si="211"/>
        <v>91258653.105564892</v>
      </c>
      <c r="K347" s="114">
        <f t="shared" si="211"/>
        <v>86455566.100008845</v>
      </c>
      <c r="L347" s="114">
        <f t="shared" si="211"/>
        <v>81652479.094452798</v>
      </c>
      <c r="M347" s="93">
        <f t="shared" si="211"/>
        <v>76849392.088896751</v>
      </c>
      <c r="N347" s="93">
        <f t="shared" si="211"/>
        <v>72046305.083340704</v>
      </c>
      <c r="O347" s="93">
        <f t="shared" si="211"/>
        <v>67243218.077784657</v>
      </c>
      <c r="P347" s="93">
        <f t="shared" si="211"/>
        <v>62440131.072228611</v>
      </c>
      <c r="Q347" s="93">
        <f t="shared" si="211"/>
        <v>57637044.066672564</v>
      </c>
      <c r="R347" s="93">
        <f t="shared" si="211"/>
        <v>52833957.061116517</v>
      </c>
      <c r="S347" s="93">
        <f t="shared" si="211"/>
        <v>48030870.05556047</v>
      </c>
      <c r="T347" s="93">
        <f t="shared" si="211"/>
        <v>43227783.050004423</v>
      </c>
      <c r="U347" s="93">
        <f t="shared" si="211"/>
        <v>38424696.044448376</v>
      </c>
      <c r="V347" s="93">
        <f t="shared" si="211"/>
        <v>33621609.038892329</v>
      </c>
      <c r="W347" s="93">
        <f t="shared" si="211"/>
        <v>28818522.033336282</v>
      </c>
      <c r="X347" s="161">
        <f t="shared" si="211"/>
        <v>24015435.027780235</v>
      </c>
      <c r="Y347" s="261"/>
    </row>
    <row r="348" spans="2:25" hidden="1" outlineLevel="1">
      <c r="B348" s="452"/>
      <c r="C348" s="125" t="s">
        <v>64</v>
      </c>
      <c r="D348" s="114">
        <f>-D337</f>
        <v>120077175.13890117</v>
      </c>
      <c r="E348" s="114">
        <f>D348/(($D348/$Y348)^(1/21))</f>
        <v>113386532.57973833</v>
      </c>
      <c r="F348" s="114">
        <f t="shared" ref="F348:J348" si="212">E348/(($D348/$Y348)^(1/21))</f>
        <v>107068689.41232249</v>
      </c>
      <c r="G348" s="114">
        <f t="shared" si="212"/>
        <v>101102873.43349709</v>
      </c>
      <c r="H348" s="114">
        <f t="shared" si="212"/>
        <v>95469469.857294336</v>
      </c>
      <c r="I348" s="114">
        <f t="shared" si="212"/>
        <v>90149956.824205071</v>
      </c>
      <c r="J348" s="254">
        <f t="shared" si="212"/>
        <v>85126844.503841087</v>
      </c>
      <c r="K348" s="254">
        <f>J348/(($D348/$Y348)^(1/21))</f>
        <v>80383617.59076792</v>
      </c>
      <c r="L348" s="114">
        <f t="shared" ref="L348:V348" si="213">K348/(($D348/$Y348)^(1/21))</f>
        <v>75904681.00444223</v>
      </c>
      <c r="M348" s="93">
        <f t="shared" si="213"/>
        <v>71675308.614722565</v>
      </c>
      <c r="N348" s="93">
        <f t="shared" si="213"/>
        <v>67681594.824370131</v>
      </c>
      <c r="O348" s="93">
        <f t="shared" si="213"/>
        <v>63910408.849349283</v>
      </c>
      <c r="P348" s="93">
        <f t="shared" si="213"/>
        <v>60349351.546607785</v>
      </c>
      <c r="Q348" s="93">
        <f t="shared" si="213"/>
        <v>56986714.647392429</v>
      </c>
      <c r="R348" s="93">
        <f t="shared" si="213"/>
        <v>53811442.262064718</v>
      </c>
      <c r="S348" s="93">
        <f t="shared" si="213"/>
        <v>50813094.529849745</v>
      </c>
      <c r="T348" s="93">
        <f t="shared" si="213"/>
        <v>47981813.294003643</v>
      </c>
      <c r="U348" s="93">
        <f t="shared" si="213"/>
        <v>45308289.689544171</v>
      </c>
      <c r="V348" s="93">
        <f t="shared" si="213"/>
        <v>42783733.536977462</v>
      </c>
      <c r="W348" s="93">
        <f>V348/(($D348/$Y348)^(1/21))</f>
        <v>40399844.441391572</v>
      </c>
      <c r="X348" s="161">
        <f t="shared" ref="X348" si="214">W348/(($D348/$Y348)^(1/21))</f>
        <v>38148784.501894675</v>
      </c>
      <c r="Y348" s="261">
        <f>Y337</f>
        <v>36023152.541670352</v>
      </c>
    </row>
    <row r="349" spans="2:25" hidden="1" outlineLevel="1">
      <c r="B349" s="452"/>
      <c r="C349" s="258" t="s">
        <v>65</v>
      </c>
      <c r="D349" s="114"/>
      <c r="E349" s="114">
        <f>-$D337*Assumptions!J$19*INDEX('DATA (Nominal)'!$B$349:$BX$349,1,MATCH($B$1,'DATA (Nominal)'!$B$1:$BX$1,0))</f>
        <v>20413119.7736132</v>
      </c>
      <c r="F349" s="114">
        <f>-$D337*Assumptions!K$19*INDEX('DATA (Nominal)'!$B$349:$BX$349,1,MATCH($B$1,'DATA (Nominal)'!$B$1:$BX$1,0))</f>
        <v>32660991.637781117</v>
      </c>
      <c r="G349" s="114">
        <f>-$D337*Assumptions!L$19*INDEX('DATA (Nominal)'!$B$349:$BX$349,1,MATCH($B$1,'DATA (Nominal)'!$B$1:$BX$1,0))</f>
        <v>19596594.982668672</v>
      </c>
      <c r="H349" s="114">
        <f>-$D337*Assumptions!M$19*INDEX('DATA (Nominal)'!$B$349:$BX$349,1,MATCH($B$1,'DATA (Nominal)'!$B$1:$BX$1,0))</f>
        <v>11757956.989601202</v>
      </c>
      <c r="I349" s="114">
        <f>-$D337*Assumptions!N$19*INDEX('DATA (Nominal)'!$B$349:$BX$349,1,MATCH($B$1,'DATA (Nominal)'!$B$1:$BX$1,0))</f>
        <v>11757956.989601202</v>
      </c>
      <c r="J349" s="114">
        <f>-$D337*Assumptions!O$19*INDEX('DATA (Nominal)'!$B$349:$BX$349,1,MATCH($B$1,'DATA (Nominal)'!$B$1:$BX$1,0))</f>
        <v>5878978.4948006012</v>
      </c>
      <c r="K349" s="114">
        <f>-$D337*Assumptions!P$19*INDEX('DATA (Nominal)'!$B$349:$BX$349,1,MATCH($B$1,'DATA (Nominal)'!$B$1:$BX$1,0))</f>
        <v>0</v>
      </c>
      <c r="L349" s="114">
        <f>-$D337*Assumptions!Q$19*INDEX('DATA (Nominal)'!$B$349:$BX$349,1,MATCH($B$1,'DATA (Nominal)'!$B$1:$BX$1,0))</f>
        <v>0</v>
      </c>
      <c r="M349" s="93">
        <f>-$D337*Assumptions!R$19*INDEX('DATA (Nominal)'!$B$349:$BX$349,1,MATCH($B$1,'DATA (Nominal)'!$B$1:$BX$1,0))</f>
        <v>0</v>
      </c>
      <c r="N349" s="93">
        <f>-$D337*Assumptions!S$19*INDEX('DATA (Nominal)'!$B$349:$BX$349,1,MATCH($B$1,'DATA (Nominal)'!$B$1:$BX$1,0))</f>
        <v>0</v>
      </c>
      <c r="O349" s="93">
        <f>-$D337*Assumptions!T$19*INDEX('DATA (Nominal)'!$B$349:$BX$349,1,MATCH($B$1,'DATA (Nominal)'!$B$1:$BX$1,0))</f>
        <v>0</v>
      </c>
      <c r="P349" s="93">
        <f>-$D337*Assumptions!U$19*INDEX('DATA (Nominal)'!$B$349:$BX$349,1,MATCH($B$1,'DATA (Nominal)'!$B$1:$BX$1,0))</f>
        <v>0</v>
      </c>
      <c r="Q349" s="93">
        <f>-$D337*Assumptions!V$19*INDEX('DATA (Nominal)'!$B$349:$BX$349,1,MATCH($B$1,'DATA (Nominal)'!$B$1:$BX$1,0))</f>
        <v>0</v>
      </c>
      <c r="R349" s="93">
        <f>-$D337*Assumptions!W$19*INDEX('DATA (Nominal)'!$B$349:$BX$349,1,MATCH($B$1,'DATA (Nominal)'!$B$1:$BX$1,0))</f>
        <v>0</v>
      </c>
      <c r="S349" s="93">
        <f>-$D337*Assumptions!X$19*INDEX('DATA (Nominal)'!$B$349:$BX$349,1,MATCH($B$1,'DATA (Nominal)'!$B$1:$BX$1,0))</f>
        <v>0</v>
      </c>
      <c r="T349" s="93">
        <f>-$D337*Assumptions!Y$19*INDEX('DATA (Nominal)'!$B$349:$BX$349,1,MATCH($B$1,'DATA (Nominal)'!$B$1:$BX$1,0))</f>
        <v>0</v>
      </c>
      <c r="U349" s="93">
        <f>-$D337*Assumptions!Z$19*INDEX('DATA (Nominal)'!$B$349:$BX$349,1,MATCH($B$1,'DATA (Nominal)'!$B$1:$BX$1,0))</f>
        <v>0</v>
      </c>
      <c r="V349" s="93">
        <f>-$D337*Assumptions!AA$19*INDEX('DATA (Nominal)'!$B$349:$BX$349,1,MATCH($B$1,'DATA (Nominal)'!$B$1:$BX$1,0))</f>
        <v>0</v>
      </c>
      <c r="W349" s="93">
        <f>-$D337*Assumptions!AB$19*INDEX('DATA (Nominal)'!$B$349:$BX$349,1,MATCH($B$1,'DATA (Nominal)'!$B$1:$BX$1,0))</f>
        <v>0</v>
      </c>
      <c r="X349" s="455">
        <f>-$D337*Assumptions!AC$19*INDEX('DATA (Nominal)'!$B$349:$BX$349,1,MATCH($B$1,'DATA (Nominal)'!$B$1:$BX$1,0))</f>
        <v>0</v>
      </c>
      <c r="Y349" s="261"/>
    </row>
    <row r="350" spans="2:25" ht="15.75" hidden="1" outlineLevel="1" thickBot="1">
      <c r="B350" s="452"/>
      <c r="C350" s="127" t="s">
        <v>66</v>
      </c>
      <c r="D350" s="103"/>
      <c r="E350" s="103">
        <f t="shared" ref="E350:X350" si="215">E349*Federal_Tax_Rate</f>
        <v>4286755.1524587721</v>
      </c>
      <c r="F350" s="103">
        <f t="shared" si="215"/>
        <v>6858808.2439340344</v>
      </c>
      <c r="G350" s="103">
        <f t="shared" si="215"/>
        <v>4115284.9463604209</v>
      </c>
      <c r="H350" s="103">
        <f t="shared" si="215"/>
        <v>2469170.9678162523</v>
      </c>
      <c r="I350" s="103">
        <f t="shared" si="215"/>
        <v>2469170.9678162523</v>
      </c>
      <c r="J350" s="103">
        <f t="shared" si="215"/>
        <v>1234585.4839081261</v>
      </c>
      <c r="K350" s="103">
        <f t="shared" si="215"/>
        <v>0</v>
      </c>
      <c r="L350" s="103">
        <f t="shared" si="215"/>
        <v>0</v>
      </c>
      <c r="M350" s="456">
        <f t="shared" si="215"/>
        <v>0</v>
      </c>
      <c r="N350" s="456">
        <f t="shared" si="215"/>
        <v>0</v>
      </c>
      <c r="O350" s="456">
        <f t="shared" si="215"/>
        <v>0</v>
      </c>
      <c r="P350" s="456">
        <f t="shared" si="215"/>
        <v>0</v>
      </c>
      <c r="Q350" s="456">
        <f t="shared" si="215"/>
        <v>0</v>
      </c>
      <c r="R350" s="456">
        <f t="shared" si="215"/>
        <v>0</v>
      </c>
      <c r="S350" s="456">
        <f t="shared" si="215"/>
        <v>0</v>
      </c>
      <c r="T350" s="456">
        <f t="shared" si="215"/>
        <v>0</v>
      </c>
      <c r="U350" s="456">
        <f t="shared" si="215"/>
        <v>0</v>
      </c>
      <c r="V350" s="456">
        <f t="shared" si="215"/>
        <v>0</v>
      </c>
      <c r="W350" s="456">
        <f t="shared" si="215"/>
        <v>0</v>
      </c>
      <c r="X350" s="457">
        <f t="shared" si="215"/>
        <v>0</v>
      </c>
      <c r="Y350" s="261"/>
    </row>
    <row r="351" spans="2:25" hidden="1" outlineLevel="1">
      <c r="B351" s="452"/>
      <c r="C351" s="128" t="s">
        <v>67</v>
      </c>
      <c r="D351" s="104">
        <f>NPV(Tax_Equity_Rate,E350:X350)</f>
        <v>17389775.091746785</v>
      </c>
      <c r="E351" s="105">
        <f>D351/D355</f>
        <v>0.14482165383746651</v>
      </c>
      <c r="F351" s="254"/>
      <c r="G351" s="254"/>
      <c r="H351" s="254"/>
      <c r="I351" s="254"/>
      <c r="J351" s="254"/>
      <c r="K351" s="254"/>
      <c r="L351" s="254"/>
      <c r="M351" s="261"/>
      <c r="N351" s="261"/>
      <c r="O351" s="261"/>
      <c r="P351" s="261"/>
      <c r="Q351" s="261"/>
      <c r="R351" s="261"/>
      <c r="S351" s="261"/>
      <c r="T351" s="261"/>
      <c r="U351" s="261"/>
      <c r="V351" s="261"/>
      <c r="W351" s="261"/>
      <c r="X351" s="261"/>
      <c r="Y351" s="261"/>
    </row>
    <row r="352" spans="2:25" hidden="1" outlineLevel="1">
      <c r="B352" s="452"/>
      <c r="C352" s="125" t="s">
        <v>79</v>
      </c>
      <c r="D352" s="106">
        <f>NPV(Tax_Equity_Rate,E334:X334)</f>
        <v>49438579.734719433</v>
      </c>
      <c r="E352" s="107">
        <f>D352/D355</f>
        <v>0.41172337438427054</v>
      </c>
    </row>
    <row r="353" spans="2:25" hidden="1" outlineLevel="1">
      <c r="B353" s="22">
        <f>Assumptions!F19</f>
        <v>0.73499999999999999</v>
      </c>
      <c r="C353" s="125" t="s">
        <v>68</v>
      </c>
      <c r="D353" s="106">
        <f>(D355-D351-D352)*$B353</f>
        <v>39137882.929639697</v>
      </c>
      <c r="E353" s="107">
        <f>D353/D355</f>
        <v>0.32593940425702328</v>
      </c>
    </row>
    <row r="354" spans="2:25" hidden="1" outlineLevel="1">
      <c r="B354" s="22">
        <f>1-B353</f>
        <v>0.26500000000000001</v>
      </c>
      <c r="C354" s="125" t="s">
        <v>69</v>
      </c>
      <c r="D354" s="106">
        <f>(D355-D351-D352)*$B354</f>
        <v>14110937.382795267</v>
      </c>
      <c r="E354" s="107">
        <f>D354/D355</f>
        <v>0.11751556752123971</v>
      </c>
    </row>
    <row r="355" spans="2:25" hidden="1" outlineLevel="1">
      <c r="C355" s="125" t="s">
        <v>70</v>
      </c>
      <c r="D355" s="106">
        <f>-D337</f>
        <v>120077175.13890117</v>
      </c>
      <c r="E355" s="108"/>
    </row>
    <row r="356" spans="2:25" ht="15.75" hidden="1" outlineLevel="1" thickBot="1">
      <c r="C356" s="127" t="s">
        <v>71</v>
      </c>
      <c r="D356" s="109">
        <f>SUM(D351:D354)-D355</f>
        <v>0</v>
      </c>
      <c r="E356" s="110"/>
    </row>
    <row r="357" spans="2:25" hidden="1" outlineLevel="1"/>
    <row r="358" spans="2:25" ht="15.75" collapsed="1" thickBot="1"/>
    <row r="359" spans="2:25" ht="18.75" thickBot="1">
      <c r="B359" s="82"/>
      <c r="C359" s="484" t="s">
        <v>10</v>
      </c>
      <c r="D359" s="485"/>
      <c r="E359" s="485"/>
      <c r="F359" s="485"/>
      <c r="G359" s="485"/>
      <c r="H359" s="486"/>
      <c r="Y359" s="261"/>
    </row>
    <row r="360" spans="2:25" outlineLevel="1">
      <c r="C360" s="124" t="s">
        <v>44</v>
      </c>
      <c r="D360" s="98"/>
      <c r="E360" s="98">
        <f>'Resource Options'!$E$20*INDEX('DATA (Nominal)'!$B$20:$BX$20,1,MATCH($B$1,'DATA (Nominal)'!$B$1:$BX$1,0))*8760</f>
        <v>254687.81526133773</v>
      </c>
      <c r="F360" s="98">
        <f>E360</f>
        <v>254687.81526133773</v>
      </c>
      <c r="G360" s="98">
        <f t="shared" ref="G360:X361" si="216">F360</f>
        <v>254687.81526133773</v>
      </c>
      <c r="H360" s="98">
        <f t="shared" si="216"/>
        <v>254687.81526133773</v>
      </c>
      <c r="I360" s="98">
        <f t="shared" si="216"/>
        <v>254687.81526133773</v>
      </c>
      <c r="J360" s="98">
        <f t="shared" si="216"/>
        <v>254687.81526133773</v>
      </c>
      <c r="K360" s="98">
        <f t="shared" si="216"/>
        <v>254687.81526133773</v>
      </c>
      <c r="L360" s="98">
        <f t="shared" si="216"/>
        <v>254687.81526133773</v>
      </c>
      <c r="M360" s="142">
        <f t="shared" si="216"/>
        <v>254687.81526133773</v>
      </c>
      <c r="N360" s="142">
        <f t="shared" si="216"/>
        <v>254687.81526133773</v>
      </c>
      <c r="O360" s="142">
        <f t="shared" si="216"/>
        <v>254687.81526133773</v>
      </c>
      <c r="P360" s="142">
        <f t="shared" si="216"/>
        <v>254687.81526133773</v>
      </c>
      <c r="Q360" s="142">
        <f t="shared" si="216"/>
        <v>254687.81526133773</v>
      </c>
      <c r="R360" s="142">
        <f t="shared" si="216"/>
        <v>254687.81526133773</v>
      </c>
      <c r="S360" s="142">
        <f t="shared" si="216"/>
        <v>254687.81526133773</v>
      </c>
      <c r="T360" s="142">
        <f t="shared" si="216"/>
        <v>254687.81526133773</v>
      </c>
      <c r="U360" s="142">
        <f t="shared" si="216"/>
        <v>254687.81526133773</v>
      </c>
      <c r="V360" s="142">
        <f t="shared" si="216"/>
        <v>254687.81526133773</v>
      </c>
      <c r="W360" s="142">
        <f t="shared" si="216"/>
        <v>254687.81526133773</v>
      </c>
      <c r="X360" s="454">
        <f t="shared" si="216"/>
        <v>254687.81526133773</v>
      </c>
      <c r="Y360" s="261"/>
    </row>
    <row r="361" spans="2:25" outlineLevel="1">
      <c r="C361" s="125" t="s">
        <v>45</v>
      </c>
      <c r="D361" s="114"/>
      <c r="E361" s="117">
        <f>INDEX('PPA Summary'!$3:$34,MATCH(_xlfn.CONCAT($C359,$C$1),'PPA Summary'!$D$3:$D$34,0),MATCH(B$1,'PPA Summary'!$2:$2,0))</f>
        <v>37.465596108595193</v>
      </c>
      <c r="F361" s="112">
        <f>E361</f>
        <v>37.465596108595193</v>
      </c>
      <c r="G361" s="112">
        <f t="shared" si="216"/>
        <v>37.465596108595193</v>
      </c>
      <c r="H361" s="112">
        <f t="shared" si="216"/>
        <v>37.465596108595193</v>
      </c>
      <c r="I361" s="112">
        <f t="shared" si="216"/>
        <v>37.465596108595193</v>
      </c>
      <c r="J361" s="112">
        <f t="shared" si="216"/>
        <v>37.465596108595193</v>
      </c>
      <c r="K361" s="112">
        <f t="shared" si="216"/>
        <v>37.465596108595193</v>
      </c>
      <c r="L361" s="112">
        <f t="shared" si="216"/>
        <v>37.465596108595193</v>
      </c>
      <c r="M361" s="117">
        <f t="shared" si="216"/>
        <v>37.465596108595193</v>
      </c>
      <c r="N361" s="117">
        <f t="shared" si="216"/>
        <v>37.465596108595193</v>
      </c>
      <c r="O361" s="117">
        <f t="shared" si="216"/>
        <v>37.465596108595193</v>
      </c>
      <c r="P361" s="117">
        <f t="shared" si="216"/>
        <v>37.465596108595193</v>
      </c>
      <c r="Q361" s="117">
        <f t="shared" si="216"/>
        <v>37.465596108595193</v>
      </c>
      <c r="R361" s="117">
        <f t="shared" si="216"/>
        <v>37.465596108595193</v>
      </c>
      <c r="S361" s="117">
        <f t="shared" si="216"/>
        <v>37.465596108595193</v>
      </c>
      <c r="T361" s="117">
        <f t="shared" si="216"/>
        <v>37.465596108595193</v>
      </c>
      <c r="U361" s="117">
        <f t="shared" si="216"/>
        <v>37.465596108595193</v>
      </c>
      <c r="V361" s="117">
        <f t="shared" si="216"/>
        <v>37.465596108595193</v>
      </c>
      <c r="W361" s="117">
        <f t="shared" si="216"/>
        <v>37.465596108595193</v>
      </c>
      <c r="X361" s="161">
        <f t="shared" si="216"/>
        <v>37.465596108595193</v>
      </c>
      <c r="Y361" s="261"/>
    </row>
    <row r="362" spans="2:25" outlineLevel="1">
      <c r="C362" s="258" t="s">
        <v>46</v>
      </c>
      <c r="D362" s="114"/>
      <c r="E362" s="114">
        <f>E361*E360</f>
        <v>9542030.8203617856</v>
      </c>
      <c r="F362" s="114">
        <f t="shared" ref="F362:X362" si="217">F361*F360</f>
        <v>9542030.8203617856</v>
      </c>
      <c r="G362" s="114">
        <f t="shared" si="217"/>
        <v>9542030.8203617856</v>
      </c>
      <c r="H362" s="114">
        <f t="shared" si="217"/>
        <v>9542030.8203617856</v>
      </c>
      <c r="I362" s="114">
        <f t="shared" si="217"/>
        <v>9542030.8203617856</v>
      </c>
      <c r="J362" s="114">
        <f t="shared" si="217"/>
        <v>9542030.8203617856</v>
      </c>
      <c r="K362" s="114">
        <f t="shared" si="217"/>
        <v>9542030.8203617856</v>
      </c>
      <c r="L362" s="114">
        <f t="shared" si="217"/>
        <v>9542030.8203617856</v>
      </c>
      <c r="M362" s="93">
        <f t="shared" si="217"/>
        <v>9542030.8203617856</v>
      </c>
      <c r="N362" s="93">
        <f t="shared" si="217"/>
        <v>9542030.8203617856</v>
      </c>
      <c r="O362" s="93">
        <f t="shared" si="217"/>
        <v>9542030.8203617856</v>
      </c>
      <c r="P362" s="93">
        <f t="shared" si="217"/>
        <v>9542030.8203617856</v>
      </c>
      <c r="Q362" s="93">
        <f t="shared" si="217"/>
        <v>9542030.8203617856</v>
      </c>
      <c r="R362" s="93">
        <f t="shared" si="217"/>
        <v>9542030.8203617856</v>
      </c>
      <c r="S362" s="93">
        <f t="shared" si="217"/>
        <v>9542030.8203617856</v>
      </c>
      <c r="T362" s="93">
        <f t="shared" si="217"/>
        <v>9542030.8203617856</v>
      </c>
      <c r="U362" s="93">
        <f t="shared" si="217"/>
        <v>9542030.8203617856</v>
      </c>
      <c r="V362" s="93">
        <f t="shared" si="217"/>
        <v>9542030.8203617856</v>
      </c>
      <c r="W362" s="93">
        <f t="shared" si="217"/>
        <v>9542030.8203617856</v>
      </c>
      <c r="X362" s="161">
        <f t="shared" si="217"/>
        <v>9542030.8203617856</v>
      </c>
      <c r="Y362" s="261"/>
    </row>
    <row r="363" spans="2:25" outlineLevel="1">
      <c r="C363" s="258"/>
      <c r="D363" s="114"/>
      <c r="E363" s="114"/>
      <c r="F363" s="114"/>
      <c r="G363" s="114"/>
      <c r="H363" s="114"/>
      <c r="I363" s="114"/>
      <c r="J363" s="114"/>
      <c r="K363" s="114"/>
      <c r="L363" s="114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161"/>
      <c r="Y363" s="261"/>
    </row>
    <row r="364" spans="2:25" outlineLevel="1">
      <c r="B364" s="92"/>
      <c r="C364" s="125" t="s">
        <v>47</v>
      </c>
      <c r="D364" s="114"/>
      <c r="E364" s="114">
        <f>'Resource Options'!$E$20*INDEX('DATA (Nominal)'!$B$190:$BX$190,1,MATCH(E$1,'DATA (Nominal)'!$B$1:$BX$1,0))*1000</f>
        <v>2154658.4270197633</v>
      </c>
      <c r="F364" s="114">
        <f>'Resource Options'!$E$20*INDEX('DATA (Nominal)'!$B$190:$BX$190,1,MATCH(F$1,'DATA (Nominal)'!$B$1:$BX$1,0))*1000</f>
        <v>2131000.5546657792</v>
      </c>
      <c r="G364" s="114">
        <f>'Resource Options'!$E$20*INDEX('DATA (Nominal)'!$B$190:$BX$190,1,MATCH(G$1,'DATA (Nominal)'!$B$1:$BX$1,0))*1000</f>
        <v>2105415.6572862766</v>
      </c>
      <c r="H364" s="114">
        <f>'Resource Options'!$E$20*INDEX('DATA (Nominal)'!$B$190:$BX$190,1,MATCH(H$1,'DATA (Nominal)'!$B$1:$BX$1,0))*1000</f>
        <v>2077148.2868507428</v>
      </c>
      <c r="I364" s="114">
        <f>'Resource Options'!$E$20*INDEX('DATA (Nominal)'!$B$190:$BX$190,1,MATCH(I$1,'DATA (Nominal)'!$B$1:$BX$1,0))*1000</f>
        <v>2046815.1716835233</v>
      </c>
      <c r="J364" s="114">
        <f>'Resource Options'!$E$20*INDEX('DATA (Nominal)'!$B$190:$BX$190,1,MATCH(J$1,'DATA (Nominal)'!$B$1:$BX$1,0))*1000</f>
        <v>2014335.6786287213</v>
      </c>
      <c r="K364" s="114">
        <f>'Resource Options'!$E$20*INDEX('DATA (Nominal)'!$B$190:$BX$190,1,MATCH(K$1,'DATA (Nominal)'!$B$1:$BX$1,0))*1000</f>
        <v>2045031.5088256907</v>
      </c>
      <c r="L364" s="114">
        <f>'Resource Options'!$E$20*INDEX('DATA (Nominal)'!$B$190:$BX$190,1,MATCH(L$1,'DATA (Nominal)'!$B$1:$BX$1,0))*1000</f>
        <v>2076138.8343853145</v>
      </c>
      <c r="M364" s="93">
        <f>'Resource Options'!$E$20*INDEX('DATA (Nominal)'!$B$190:$BX$190,1,MATCH(M$1,'DATA (Nominal)'!$B$1:$BX$1,0))*1000</f>
        <v>2107661.0922157797</v>
      </c>
      <c r="N364" s="93">
        <f>'Resource Options'!$E$20*INDEX('DATA (Nominal)'!$B$190:$BX$190,1,MATCH(N$1,'DATA (Nominal)'!$B$1:$BX$1,0))*1000</f>
        <v>2139601.6755496007</v>
      </c>
      <c r="O364" s="93">
        <f>'Resource Options'!$E$20*INDEX('DATA (Nominal)'!$B$190:$BX$190,1,MATCH(O$1,'DATA (Nominal)'!$B$1:$BX$1,0))*1000</f>
        <v>2171963.9303801572</v>
      </c>
      <c r="P364" s="93">
        <f>'Resource Options'!$E$20*INDEX('DATA (Nominal)'!$B$190:$BX$190,1,MATCH(P$1,'DATA (Nominal)'!$B$1:$BX$1,0))*1000</f>
        <v>2204751.1517638615</v>
      </c>
      <c r="Q364" s="93">
        <f>'Resource Options'!$E$20*INDEX('DATA (Nominal)'!$B$190:$BX$190,1,MATCH(Q$1,'DATA (Nominal)'!$B$1:$BX$1,0))*1000</f>
        <v>2237966.5799837573</v>
      </c>
      <c r="R364" s="93">
        <f>'Resource Options'!$E$20*INDEX('DATA (Nominal)'!$B$190:$BX$190,1,MATCH(R$1,'DATA (Nominal)'!$B$1:$BX$1,0))*1000</f>
        <v>2271613.3965702332</v>
      </c>
      <c r="S364" s="93">
        <f>'Resource Options'!$E$20*INDEX('DATA (Nominal)'!$B$190:$BX$190,1,MATCH(S$1,'DATA (Nominal)'!$B$1:$BX$1,0))*1000</f>
        <v>2305694.7201744146</v>
      </c>
      <c r="T364" s="93">
        <f>'Resource Options'!$E$20*INDEX('DATA (Nominal)'!$B$190:$BX$190,1,MATCH(T$1,'DATA (Nominal)'!$B$1:$BX$1,0))*1000</f>
        <v>2340213.602289665</v>
      </c>
      <c r="U364" s="93">
        <f>'Resource Options'!$E$20*INDEX('DATA (Nominal)'!$B$190:$BX$190,1,MATCH(U$1,'DATA (Nominal)'!$B$1:$BX$1,0))*1000</f>
        <v>2375173.0228165169</v>
      </c>
      <c r="V364" s="93">
        <f>'Resource Options'!$E$20*INDEX('DATA (Nominal)'!$B$190:$BX$190,1,MATCH(V$1,'DATA (Nominal)'!$B$1:$BX$1,0))*1000</f>
        <v>2410575.8854661905</v>
      </c>
      <c r="W364" s="93">
        <f>'Resource Options'!$E$20*INDEX('DATA (Nominal)'!$B$190:$BX$190,1,MATCH(W$1,'DATA (Nominal)'!$B$1:$BX$1,0))*1000</f>
        <v>2446425.0129977553</v>
      </c>
      <c r="X364" s="161">
        <f>'Resource Options'!$E$20*INDEX('DATA (Nominal)'!$B$190:$BX$190,1,MATCH(X$1,'DATA (Nominal)'!$B$1:$BX$1,0))*1000</f>
        <v>2482723.1422838285</v>
      </c>
      <c r="Y364" s="261"/>
    </row>
    <row r="365" spans="2:25" outlineLevel="1">
      <c r="C365" s="125" t="s">
        <v>48</v>
      </c>
      <c r="D365" s="114"/>
      <c r="E365" s="114">
        <f>E360*INDEX('DATA (Nominal)'!$B$115:$BX$115,1,MATCH(E$1,'DATA (Nominal)'!$B$1:$BX$1,0))</f>
        <v>0</v>
      </c>
      <c r="F365" s="114">
        <f>F360*INDEX('DATA (Nominal)'!$B$115:$BX$115,1,MATCH(F$1,'DATA (Nominal)'!$B$1:$BX$1,0))</f>
        <v>0</v>
      </c>
      <c r="G365" s="114">
        <f>G360*INDEX('DATA (Nominal)'!$B$115:$BX$115,1,MATCH(G$1,'DATA (Nominal)'!$B$1:$BX$1,0))</f>
        <v>0</v>
      </c>
      <c r="H365" s="114">
        <f>H360*INDEX('DATA (Nominal)'!$B$115:$BX$115,1,MATCH(H$1,'DATA (Nominal)'!$B$1:$BX$1,0))</f>
        <v>0</v>
      </c>
      <c r="I365" s="114">
        <f>I360*INDEX('DATA (Nominal)'!$B$115:$BX$115,1,MATCH(I$1,'DATA (Nominal)'!$B$1:$BX$1,0))</f>
        <v>0</v>
      </c>
      <c r="J365" s="114">
        <f>J360*INDEX('DATA (Nominal)'!$B$115:$BX$115,1,MATCH(J$1,'DATA (Nominal)'!$B$1:$BX$1,0))</f>
        <v>0</v>
      </c>
      <c r="K365" s="114">
        <f>K360*INDEX('DATA (Nominal)'!$B$115:$BX$115,1,MATCH(K$1,'DATA (Nominal)'!$B$1:$BX$1,0))</f>
        <v>0</v>
      </c>
      <c r="L365" s="114">
        <f>L360*INDEX('DATA (Nominal)'!$B$115:$BX$115,1,MATCH(L$1,'DATA (Nominal)'!$B$1:$BX$1,0))</f>
        <v>0</v>
      </c>
      <c r="M365" s="93">
        <f>M360*INDEX('DATA (Nominal)'!$B$115:$BX$115,1,MATCH(M$1,'DATA (Nominal)'!$B$1:$BX$1,0))</f>
        <v>0</v>
      </c>
      <c r="N365" s="93">
        <f>N360*INDEX('DATA (Nominal)'!$B$115:$BX$115,1,MATCH(N$1,'DATA (Nominal)'!$B$1:$BX$1,0))</f>
        <v>0</v>
      </c>
      <c r="O365" s="93">
        <f>O360*INDEX('DATA (Nominal)'!$B$115:$BX$115,1,MATCH(O$1,'DATA (Nominal)'!$B$1:$BX$1,0))</f>
        <v>0</v>
      </c>
      <c r="P365" s="93">
        <f>P360*INDEX('DATA (Nominal)'!$B$115:$BX$115,1,MATCH(P$1,'DATA (Nominal)'!$B$1:$BX$1,0))</f>
        <v>0</v>
      </c>
      <c r="Q365" s="93">
        <f>Q360*INDEX('DATA (Nominal)'!$B$115:$BX$115,1,MATCH(Q$1,'DATA (Nominal)'!$B$1:$BX$1,0))</f>
        <v>0</v>
      </c>
      <c r="R365" s="93">
        <f>R360*INDEX('DATA (Nominal)'!$B$115:$BX$115,1,MATCH(R$1,'DATA (Nominal)'!$B$1:$BX$1,0))</f>
        <v>0</v>
      </c>
      <c r="S365" s="93">
        <f>S360*INDEX('DATA (Nominal)'!$B$115:$BX$115,1,MATCH(S$1,'DATA (Nominal)'!$B$1:$BX$1,0))</f>
        <v>0</v>
      </c>
      <c r="T365" s="93">
        <f>T360*INDEX('DATA (Nominal)'!$B$115:$BX$115,1,MATCH(T$1,'DATA (Nominal)'!$B$1:$BX$1,0))</f>
        <v>0</v>
      </c>
      <c r="U365" s="93">
        <f>U360*INDEX('DATA (Nominal)'!$B$115:$BX$115,1,MATCH(U$1,'DATA (Nominal)'!$B$1:$BX$1,0))</f>
        <v>0</v>
      </c>
      <c r="V365" s="93">
        <f>V360*INDEX('DATA (Nominal)'!$B$115:$BX$115,1,MATCH(V$1,'DATA (Nominal)'!$B$1:$BX$1,0))</f>
        <v>0</v>
      </c>
      <c r="W365" s="93">
        <f>W360*INDEX('DATA (Nominal)'!$B$115:$BX$115,1,MATCH(W$1,'DATA (Nominal)'!$B$1:$BX$1,0))</f>
        <v>0</v>
      </c>
      <c r="X365" s="161">
        <f>X360*INDEX('DATA (Nominal)'!$B$115:$BX$115,1,MATCH(X$1,'DATA (Nominal)'!$B$1:$BX$1,0))</f>
        <v>0</v>
      </c>
      <c r="Y365" s="261"/>
    </row>
    <row r="366" spans="2:25" outlineLevel="1">
      <c r="C366" s="125" t="s">
        <v>127</v>
      </c>
      <c r="D366" s="114"/>
      <c r="E366" s="93">
        <f>E362*INDEX('DATA (Nominal)'!$B$335:$BX$335,1,MATCH(E$1,'DATA (Nominal)'!$B$1:$BX$1,0))</f>
        <v>0</v>
      </c>
      <c r="F366" s="114">
        <f>F362*INDEX('DATA (Nominal)'!$B$335:$BX$335,1,MATCH(F$1,'DATA (Nominal)'!$B$1:$BX$1,0))</f>
        <v>0</v>
      </c>
      <c r="G366" s="114">
        <f>G362*INDEX('DATA (Nominal)'!$B$335:$BX$335,1,MATCH(G$1,'DATA (Nominal)'!$B$1:$BX$1,0))</f>
        <v>0</v>
      </c>
      <c r="H366" s="114">
        <f>H362*INDEX('DATA (Nominal)'!$B$335:$BX$335,1,MATCH(H$1,'DATA (Nominal)'!$B$1:$BX$1,0))</f>
        <v>0</v>
      </c>
      <c r="I366" s="114">
        <f>I362*INDEX('DATA (Nominal)'!$B$335:$BX$335,1,MATCH(I$1,'DATA (Nominal)'!$B$1:$BX$1,0))</f>
        <v>0</v>
      </c>
      <c r="J366" s="114">
        <f>J362*INDEX('DATA (Nominal)'!$B$335:$BX$335,1,MATCH(J$1,'DATA (Nominal)'!$B$1:$BX$1,0))</f>
        <v>0</v>
      </c>
      <c r="K366" s="114">
        <f>K362*INDEX('DATA (Nominal)'!$B$335:$BX$335,1,MATCH(K$1,'DATA (Nominal)'!$B$1:$BX$1,0))</f>
        <v>0</v>
      </c>
      <c r="L366" s="114">
        <f>L362*INDEX('DATA (Nominal)'!$B$335:$BX$335,1,MATCH(L$1,'DATA (Nominal)'!$B$1:$BX$1,0))</f>
        <v>0</v>
      </c>
      <c r="M366" s="93">
        <f>M362*INDEX('DATA (Nominal)'!$B$335:$BX$335,1,MATCH(M$1,'DATA (Nominal)'!$B$1:$BX$1,0))</f>
        <v>0</v>
      </c>
      <c r="N366" s="93">
        <f>N362*INDEX('DATA (Nominal)'!$B$335:$BX$335,1,MATCH(N$1,'DATA (Nominal)'!$B$1:$BX$1,0))</f>
        <v>0</v>
      </c>
      <c r="O366" s="93">
        <f>O362*INDEX('DATA (Nominal)'!$B$335:$BX$335,1,MATCH(O$1,'DATA (Nominal)'!$B$1:$BX$1,0))</f>
        <v>0</v>
      </c>
      <c r="P366" s="93">
        <f>P362*INDEX('DATA (Nominal)'!$B$335:$BX$335,1,MATCH(P$1,'DATA (Nominal)'!$B$1:$BX$1,0))</f>
        <v>0</v>
      </c>
      <c r="Q366" s="93">
        <f>Q362*INDEX('DATA (Nominal)'!$B$335:$BX$335,1,MATCH(Q$1,'DATA (Nominal)'!$B$1:$BX$1,0))</f>
        <v>0</v>
      </c>
      <c r="R366" s="93">
        <f>R362*INDEX('DATA (Nominal)'!$B$335:$BX$335,1,MATCH(R$1,'DATA (Nominal)'!$B$1:$BX$1,0))</f>
        <v>0</v>
      </c>
      <c r="S366" s="93">
        <f>S362*INDEX('DATA (Nominal)'!$B$335:$BX$335,1,MATCH(S$1,'DATA (Nominal)'!$B$1:$BX$1,0))</f>
        <v>0</v>
      </c>
      <c r="T366" s="93">
        <f>T362*INDEX('DATA (Nominal)'!$B$335:$BX$335,1,MATCH(T$1,'DATA (Nominal)'!$B$1:$BX$1,0))</f>
        <v>0</v>
      </c>
      <c r="U366" s="93">
        <f>U362*INDEX('DATA (Nominal)'!$B$335:$BX$335,1,MATCH(U$1,'DATA (Nominal)'!$B$1:$BX$1,0))</f>
        <v>0</v>
      </c>
      <c r="V366" s="93">
        <f>V362*INDEX('DATA (Nominal)'!$B$335:$BX$335,1,MATCH(V$1,'DATA (Nominal)'!$B$1:$BX$1,0))</f>
        <v>0</v>
      </c>
      <c r="W366" s="93">
        <f>W362*INDEX('DATA (Nominal)'!$B$335:$BX$335,1,MATCH(W$1,'DATA (Nominal)'!$B$1:$BX$1,0))</f>
        <v>0</v>
      </c>
      <c r="X366" s="161">
        <f>X362*INDEX('DATA (Nominal)'!$B$335:$BX$335,1,MATCH(X$1,'DATA (Nominal)'!$B$1:$BX$1,0))</f>
        <v>0</v>
      </c>
      <c r="Y366" s="261"/>
    </row>
    <row r="367" spans="2:25" outlineLevel="1">
      <c r="C367" s="258" t="s">
        <v>49</v>
      </c>
      <c r="D367" s="114"/>
      <c r="E367" s="114">
        <f t="shared" ref="E367:X367" si="218">D386*Property_Tax_Rate</f>
        <v>1388537.4326960582</v>
      </c>
      <c r="F367" s="114">
        <f t="shared" si="218"/>
        <v>1311168.7934734887</v>
      </c>
      <c r="G367" s="114">
        <f t="shared" si="218"/>
        <v>1238111.0976898219</v>
      </c>
      <c r="H367" s="114">
        <f t="shared" si="218"/>
        <v>1169124.1416459861</v>
      </c>
      <c r="I367" s="114">
        <f t="shared" si="218"/>
        <v>1103981.1056777188</v>
      </c>
      <c r="J367" s="114">
        <f t="shared" si="218"/>
        <v>1042467.8084035722</v>
      </c>
      <c r="K367" s="114">
        <f t="shared" si="218"/>
        <v>984382.00252586079</v>
      </c>
      <c r="L367" s="114">
        <f t="shared" si="218"/>
        <v>929532.70986924367</v>
      </c>
      <c r="M367" s="93">
        <f t="shared" si="218"/>
        <v>877739.59347063582</v>
      </c>
      <c r="N367" s="93">
        <f t="shared" si="218"/>
        <v>828832.36465597025</v>
      </c>
      <c r="O367" s="93">
        <f t="shared" si="218"/>
        <v>782650.22315435635</v>
      </c>
      <c r="P367" s="93">
        <f t="shared" si="218"/>
        <v>739041.32840881031</v>
      </c>
      <c r="Q367" s="93">
        <f t="shared" si="218"/>
        <v>697862.30034529686</v>
      </c>
      <c r="R367" s="93">
        <f t="shared" si="218"/>
        <v>658977.74795868038</v>
      </c>
      <c r="S367" s="93">
        <f t="shared" si="218"/>
        <v>622259.82416564098</v>
      </c>
      <c r="T367" s="93">
        <f t="shared" si="218"/>
        <v>587587.80546097166</v>
      </c>
      <c r="U367" s="93">
        <f t="shared" si="218"/>
        <v>554847.69499522634</v>
      </c>
      <c r="V367" s="93">
        <f t="shared" si="218"/>
        <v>523931.84776868875</v>
      </c>
      <c r="W367" s="93">
        <f t="shared" si="218"/>
        <v>494738.61670935503</v>
      </c>
      <c r="X367" s="161">
        <f t="shared" si="218"/>
        <v>467172.01847128081</v>
      </c>
      <c r="Y367" s="261"/>
    </row>
    <row r="368" spans="2:25" outlineLevel="1">
      <c r="C368" s="258" t="s">
        <v>50</v>
      </c>
      <c r="D368" s="114"/>
      <c r="E368" s="114">
        <f>SUM(E364:E367)</f>
        <v>3543195.8597158212</v>
      </c>
      <c r="F368" s="114">
        <f t="shared" ref="F368:X368" si="219">SUM(F364:F367)</f>
        <v>3442169.3481392679</v>
      </c>
      <c r="G368" s="114">
        <f t="shared" si="219"/>
        <v>3343526.7549760984</v>
      </c>
      <c r="H368" s="114">
        <f t="shared" si="219"/>
        <v>3246272.4284967287</v>
      </c>
      <c r="I368" s="114">
        <f t="shared" si="219"/>
        <v>3150796.2773612421</v>
      </c>
      <c r="J368" s="114">
        <f t="shared" si="219"/>
        <v>3056803.4870322933</v>
      </c>
      <c r="K368" s="114">
        <f t="shared" si="219"/>
        <v>3029413.5113515514</v>
      </c>
      <c r="L368" s="114">
        <f t="shared" si="219"/>
        <v>3005671.5442545582</v>
      </c>
      <c r="M368" s="93">
        <f t="shared" si="219"/>
        <v>2985400.6856864155</v>
      </c>
      <c r="N368" s="93">
        <f t="shared" si="219"/>
        <v>2968434.0402055709</v>
      </c>
      <c r="O368" s="93">
        <f t="shared" si="219"/>
        <v>2954614.1535345134</v>
      </c>
      <c r="P368" s="93">
        <f t="shared" si="219"/>
        <v>2943792.4801726718</v>
      </c>
      <c r="Q368" s="93">
        <f t="shared" si="219"/>
        <v>2935828.8803290543</v>
      </c>
      <c r="R368" s="93">
        <f t="shared" si="219"/>
        <v>2930591.1445289133</v>
      </c>
      <c r="S368" s="93">
        <f t="shared" si="219"/>
        <v>2927954.5443400554</v>
      </c>
      <c r="T368" s="93">
        <f t="shared" si="219"/>
        <v>2927801.4077506368</v>
      </c>
      <c r="U368" s="93">
        <f t="shared" si="219"/>
        <v>2930020.7178117433</v>
      </c>
      <c r="V368" s="93">
        <f t="shared" si="219"/>
        <v>2934507.7332348791</v>
      </c>
      <c r="W368" s="93">
        <f t="shared" si="219"/>
        <v>2941163.6297071101</v>
      </c>
      <c r="X368" s="161">
        <f t="shared" si="219"/>
        <v>2949895.160755109</v>
      </c>
      <c r="Y368" s="261"/>
    </row>
    <row r="369" spans="2:25" outlineLevel="1">
      <c r="C369" s="258"/>
      <c r="D369" s="114"/>
      <c r="E369" s="114"/>
      <c r="F369" s="114"/>
      <c r="G369" s="114"/>
      <c r="H369" s="114"/>
      <c r="I369" s="114"/>
      <c r="J369" s="114"/>
      <c r="K369" s="114"/>
      <c r="L369" s="114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161"/>
      <c r="Y369" s="261"/>
    </row>
    <row r="370" spans="2:25" outlineLevel="1">
      <c r="C370" s="125" t="s">
        <v>51</v>
      </c>
      <c r="D370" s="114"/>
      <c r="E370" s="114">
        <f>E362-E368</f>
        <v>5998834.9606459644</v>
      </c>
      <c r="F370" s="114">
        <f t="shared" ref="F370:X370" si="220">F362-F368</f>
        <v>6099861.4722225182</v>
      </c>
      <c r="G370" s="114">
        <f t="shared" si="220"/>
        <v>6198504.0653856872</v>
      </c>
      <c r="H370" s="114">
        <f t="shared" si="220"/>
        <v>6295758.3918650569</v>
      </c>
      <c r="I370" s="114">
        <f t="shared" si="220"/>
        <v>6391234.5430005435</v>
      </c>
      <c r="J370" s="114">
        <f t="shared" si="220"/>
        <v>6485227.3333294922</v>
      </c>
      <c r="K370" s="114">
        <f t="shared" si="220"/>
        <v>6512617.3090102337</v>
      </c>
      <c r="L370" s="114">
        <f t="shared" si="220"/>
        <v>6536359.2761072274</v>
      </c>
      <c r="M370" s="93">
        <f t="shared" si="220"/>
        <v>6556630.1346753705</v>
      </c>
      <c r="N370" s="93">
        <f t="shared" si="220"/>
        <v>6573596.7801562147</v>
      </c>
      <c r="O370" s="93">
        <f t="shared" si="220"/>
        <v>6587416.6668272726</v>
      </c>
      <c r="P370" s="93">
        <f t="shared" si="220"/>
        <v>6598238.3401891142</v>
      </c>
      <c r="Q370" s="93">
        <f t="shared" si="220"/>
        <v>6606201.9400327317</v>
      </c>
      <c r="R370" s="93">
        <f t="shared" si="220"/>
        <v>6611439.6758328723</v>
      </c>
      <c r="S370" s="93">
        <f t="shared" si="220"/>
        <v>6614076.2760217302</v>
      </c>
      <c r="T370" s="93">
        <f t="shared" si="220"/>
        <v>6614229.4126111493</v>
      </c>
      <c r="U370" s="93">
        <f t="shared" si="220"/>
        <v>6612010.1025500428</v>
      </c>
      <c r="V370" s="93">
        <f t="shared" si="220"/>
        <v>6607523.087126907</v>
      </c>
      <c r="W370" s="93">
        <f t="shared" si="220"/>
        <v>6600867.1906546755</v>
      </c>
      <c r="X370" s="161">
        <f t="shared" si="220"/>
        <v>6592135.6596066765</v>
      </c>
      <c r="Y370" s="261"/>
    </row>
    <row r="371" spans="2:25" outlineLevel="1">
      <c r="C371" s="125" t="s">
        <v>52</v>
      </c>
      <c r="D371" s="114"/>
      <c r="E371" s="93">
        <f>E370-E387-E378</f>
        <v>-20291816.664640222</v>
      </c>
      <c r="F371" s="114">
        <f t="shared" ref="F371:X371" si="221">F370-F387-F378</f>
        <v>-34276853.187836953</v>
      </c>
      <c r="G371" s="114">
        <f t="shared" si="221"/>
        <v>-18989668.515384212</v>
      </c>
      <c r="H371" s="114">
        <f t="shared" si="221"/>
        <v>-9742318.0020729154</v>
      </c>
      <c r="I371" s="114">
        <f t="shared" si="221"/>
        <v>-9556403.2143048011</v>
      </c>
      <c r="J371" s="114">
        <f t="shared" si="221"/>
        <v>-2568718.3918485311</v>
      </c>
      <c r="K371" s="114">
        <f t="shared" si="221"/>
        <v>4357611.3178501409</v>
      </c>
      <c r="L371" s="114">
        <f t="shared" si="221"/>
        <v>4487550.0739797559</v>
      </c>
      <c r="M371" s="93">
        <f t="shared" si="221"/>
        <v>4619858.5449773148</v>
      </c>
      <c r="N371" s="93">
        <f t="shared" si="221"/>
        <v>4755024.8715711916</v>
      </c>
      <c r="O371" s="93">
        <f t="shared" si="221"/>
        <v>4893545.4218164999</v>
      </c>
      <c r="P371" s="93">
        <f t="shared" si="221"/>
        <v>5035926.2952491753</v>
      </c>
      <c r="Q371" s="93">
        <f t="shared" si="221"/>
        <v>5182684.8511675224</v>
      </c>
      <c r="R371" s="93">
        <f t="shared" si="221"/>
        <v>5334351.2656265022</v>
      </c>
      <c r="S371" s="93">
        <f t="shared" si="221"/>
        <v>5491470.1218004366</v>
      </c>
      <c r="T371" s="93">
        <f t="shared" si="221"/>
        <v>5654602.0384541107</v>
      </c>
      <c r="U371" s="93">
        <f t="shared" si="221"/>
        <v>5824325.3413607934</v>
      </c>
      <c r="V371" s="93">
        <f t="shared" si="221"/>
        <v>6001237.7826186754</v>
      </c>
      <c r="W371" s="93">
        <f t="shared" si="221"/>
        <v>6185958.312944917</v>
      </c>
      <c r="X371" s="161">
        <f t="shared" si="221"/>
        <v>6379128.9121693075</v>
      </c>
      <c r="Y371" s="261"/>
    </row>
    <row r="372" spans="2:25" outlineLevel="1">
      <c r="C372" s="125" t="s">
        <v>53</v>
      </c>
      <c r="D372" s="114"/>
      <c r="E372" s="93">
        <f>INDEX('DATA (Nominal)'!$B$261:$BX$261,1,MATCH($B$1,'DATA (Nominal)'!$B$1:$BX$1,0))*INDEX('DATA (Nominal)'!$B$308:$BX$308,1,MATCH(E$1,'DATA (Nominal)'!$B$1:$BX$1,0))*E360</f>
        <v>7148805.1120820232</v>
      </c>
      <c r="F372" s="93">
        <f>INDEX('DATA (Nominal)'!$B$261:$BX$261,1,MATCH($B$1,'DATA (Nominal)'!$B$1:$BX$1,0))*INDEX('DATA (Nominal)'!$B$308:$BX$308,1,MATCH(F$1,'DATA (Nominal)'!$B$1:$BX$1,0))*F360</f>
        <v>7308461.7595851896</v>
      </c>
      <c r="G372" s="93">
        <f>INDEX('DATA (Nominal)'!$B$261:$BX$261,1,MATCH($B$1,'DATA (Nominal)'!$B$1:$BX$1,0))*INDEX('DATA (Nominal)'!$B$308:$BX$308,1,MATCH(G$1,'DATA (Nominal)'!$B$1:$BX$1,0))*G360</f>
        <v>7471684.072215925</v>
      </c>
      <c r="H372" s="93">
        <f>INDEX('DATA (Nominal)'!$B$261:$BX$261,1,MATCH($B$1,'DATA (Nominal)'!$B$1:$BX$1,0))*INDEX('DATA (Nominal)'!$B$308:$BX$308,1,MATCH(H$1,'DATA (Nominal)'!$B$1:$BX$1,0))*H360</f>
        <v>7636061.121804676</v>
      </c>
      <c r="I372" s="93">
        <f>INDEX('DATA (Nominal)'!$B$261:$BX$261,1,MATCH($B$1,'DATA (Nominal)'!$B$1:$BX$1,0))*INDEX('DATA (Nominal)'!$B$308:$BX$308,1,MATCH(I$1,'DATA (Nominal)'!$B$1:$BX$1,0))*I360</f>
        <v>7804054.4664843781</v>
      </c>
      <c r="J372" s="93">
        <f>INDEX('DATA (Nominal)'!$B$261:$BX$261,1,MATCH($B$1,'DATA (Nominal)'!$B$1:$BX$1,0))*INDEX('DATA (Nominal)'!$B$308:$BX$308,1,MATCH(J$1,'DATA (Nominal)'!$B$1:$BX$1,0))*J360</f>
        <v>7975743.6647470351</v>
      </c>
      <c r="K372" s="93">
        <f>INDEX('DATA (Nominal)'!$B$261:$BX$261,1,MATCH($B$1,'DATA (Nominal)'!$B$1:$BX$1,0))*INDEX('DATA (Nominal)'!$B$308:$BX$308,1,MATCH(K$1,'DATA (Nominal)'!$B$1:$BX$1,0))*K360</f>
        <v>8151210.0253714686</v>
      </c>
      <c r="L372" s="93">
        <f>INDEX('DATA (Nominal)'!$B$261:$BX$261,1,MATCH($B$1,'DATA (Nominal)'!$B$1:$BX$1,0))*INDEX('DATA (Nominal)'!$B$308:$BX$308,1,MATCH(L$1,'DATA (Nominal)'!$B$1:$BX$1,0))*L360</f>
        <v>8330536.645929642</v>
      </c>
      <c r="M372" s="93">
        <f>INDEX('DATA (Nominal)'!$B$261:$BX$261,1,MATCH($B$1,'DATA (Nominal)'!$B$1:$BX$1,0))*INDEX('DATA (Nominal)'!$B$308:$BX$308,1,MATCH(M$1,'DATA (Nominal)'!$B$1:$BX$1,0))*M360</f>
        <v>8513808.4521400947</v>
      </c>
      <c r="N372" s="93">
        <f>INDEX('DATA (Nominal)'!$B$261:$BX$261,1,MATCH($B$1,'DATA (Nominal)'!$B$1:$BX$1,0))*INDEX('DATA (Nominal)'!$B$308:$BX$308,1,MATCH(N$1,'DATA (Nominal)'!$B$1:$BX$1,0))*N360</f>
        <v>8701112.2380871773</v>
      </c>
      <c r="O372" s="93"/>
      <c r="P372" s="93"/>
      <c r="Q372" s="93"/>
      <c r="R372" s="93"/>
      <c r="S372" s="93"/>
      <c r="T372" s="93"/>
      <c r="U372" s="93"/>
      <c r="V372" s="93"/>
      <c r="W372" s="93"/>
      <c r="X372" s="161"/>
      <c r="Y372" s="261"/>
    </row>
    <row r="373" spans="2:25" outlineLevel="1">
      <c r="C373" s="258" t="s">
        <v>54</v>
      </c>
      <c r="D373" s="114"/>
      <c r="E373" s="114">
        <f t="shared" ref="E373:X373" si="222">E371*Federal_Tax_Rate-E372</f>
        <v>-11410086.611656468</v>
      </c>
      <c r="F373" s="114">
        <f t="shared" si="222"/>
        <v>-14506600.929030949</v>
      </c>
      <c r="G373" s="114">
        <f t="shared" si="222"/>
        <v>-11459514.460446609</v>
      </c>
      <c r="H373" s="114">
        <f t="shared" si="222"/>
        <v>-9681947.9022399876</v>
      </c>
      <c r="I373" s="114">
        <f t="shared" si="222"/>
        <v>-9810899.1414883863</v>
      </c>
      <c r="J373" s="114">
        <f t="shared" si="222"/>
        <v>-8515174.527035227</v>
      </c>
      <c r="K373" s="114">
        <f t="shared" si="222"/>
        <v>-7236111.6486229394</v>
      </c>
      <c r="L373" s="114">
        <f t="shared" si="222"/>
        <v>-7388151.1303938935</v>
      </c>
      <c r="M373" s="93">
        <f t="shared" si="222"/>
        <v>-7543638.1576948585</v>
      </c>
      <c r="N373" s="93">
        <f t="shared" si="222"/>
        <v>-7702557.0150572266</v>
      </c>
      <c r="O373" s="93">
        <f t="shared" si="222"/>
        <v>1027644.5385814649</v>
      </c>
      <c r="P373" s="93">
        <f t="shared" si="222"/>
        <v>1057544.5220023268</v>
      </c>
      <c r="Q373" s="93">
        <f t="shared" si="222"/>
        <v>1088363.8187451796</v>
      </c>
      <c r="R373" s="93">
        <f t="shared" si="222"/>
        <v>1120213.7657815653</v>
      </c>
      <c r="S373" s="93">
        <f t="shared" si="222"/>
        <v>1153208.7255780916</v>
      </c>
      <c r="T373" s="93">
        <f t="shared" si="222"/>
        <v>1187466.4280753632</v>
      </c>
      <c r="U373" s="93">
        <f t="shared" si="222"/>
        <v>1223108.3216857666</v>
      </c>
      <c r="V373" s="93">
        <f t="shared" si="222"/>
        <v>1260259.9343499218</v>
      </c>
      <c r="W373" s="93">
        <f t="shared" si="222"/>
        <v>1299051.2457184326</v>
      </c>
      <c r="X373" s="161">
        <f t="shared" si="222"/>
        <v>1339617.0715555546</v>
      </c>
      <c r="Y373" s="261"/>
    </row>
    <row r="374" spans="2:25" outlineLevel="1">
      <c r="C374" s="258"/>
      <c r="D374" s="114"/>
      <c r="E374" s="114"/>
      <c r="F374" s="114"/>
      <c r="G374" s="114"/>
      <c r="H374" s="114"/>
      <c r="I374" s="114"/>
      <c r="J374" s="114"/>
      <c r="K374" s="114"/>
      <c r="L374" s="114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161"/>
      <c r="Y374" s="261"/>
    </row>
    <row r="375" spans="2:25" outlineLevel="1">
      <c r="B375" s="37">
        <f>IRR(D375:Y375,0.1)</f>
        <v>7.5000000523792298E-2</v>
      </c>
      <c r="C375" s="125" t="s">
        <v>55</v>
      </c>
      <c r="D375" s="255">
        <f>-(1+AFUDC!$C$20)*INDEX('DATA (Nominal)'!$B$71:$BX$71,1,MATCH($B$1,'DATA (Nominal)'!$B$1:$BX$1,0))*1000000*'Resource Options'!$E$20/1000</f>
        <v>-138853743.26960582</v>
      </c>
      <c r="E375" s="254">
        <f t="shared" ref="E375:X375" si="223">E370-E373</f>
        <v>17408921.572302431</v>
      </c>
      <c r="F375" s="114">
        <f t="shared" si="223"/>
        <v>20606462.401253469</v>
      </c>
      <c r="G375" s="114">
        <f t="shared" si="223"/>
        <v>17658018.525832295</v>
      </c>
      <c r="H375" s="114">
        <f t="shared" si="223"/>
        <v>15977706.294105045</v>
      </c>
      <c r="I375" s="114">
        <f t="shared" si="223"/>
        <v>16202133.68448893</v>
      </c>
      <c r="J375" s="114">
        <f t="shared" si="223"/>
        <v>15000401.86036472</v>
      </c>
      <c r="K375" s="114">
        <f t="shared" si="223"/>
        <v>13748728.957633173</v>
      </c>
      <c r="L375" s="114">
        <f t="shared" si="223"/>
        <v>13924510.406501122</v>
      </c>
      <c r="M375" s="93">
        <f t="shared" si="223"/>
        <v>14100268.29237023</v>
      </c>
      <c r="N375" s="93">
        <f t="shared" si="223"/>
        <v>14276153.795213442</v>
      </c>
      <c r="O375" s="93">
        <f t="shared" si="223"/>
        <v>5559772.1282458082</v>
      </c>
      <c r="P375" s="93">
        <f t="shared" si="223"/>
        <v>5540693.8181867879</v>
      </c>
      <c r="Q375" s="93">
        <f t="shared" si="223"/>
        <v>5517838.1212875526</v>
      </c>
      <c r="R375" s="93">
        <f t="shared" si="223"/>
        <v>5491225.9100513067</v>
      </c>
      <c r="S375" s="93">
        <f t="shared" si="223"/>
        <v>5460867.5504436381</v>
      </c>
      <c r="T375" s="93">
        <f t="shared" si="223"/>
        <v>5426762.9845357863</v>
      </c>
      <c r="U375" s="93">
        <f t="shared" si="223"/>
        <v>5388901.780864276</v>
      </c>
      <c r="V375" s="93">
        <f t="shared" si="223"/>
        <v>5347263.1527769854</v>
      </c>
      <c r="W375" s="93">
        <f t="shared" si="223"/>
        <v>5301815.9449362429</v>
      </c>
      <c r="X375" s="161">
        <f t="shared" si="223"/>
        <v>5252518.5880511217</v>
      </c>
      <c r="Y375" s="261">
        <f>D375*-0.3</f>
        <v>41656122.980881743</v>
      </c>
    </row>
    <row r="376" spans="2:25" outlineLevel="1">
      <c r="B376" s="37">
        <f>IRR(D376:Y376,0.1)</f>
        <v>9.9181834366283805E-2</v>
      </c>
      <c r="C376" s="125" t="s">
        <v>56</v>
      </c>
      <c r="D376" s="102">
        <f>-D392</f>
        <v>-17604490.943849009</v>
      </c>
      <c r="E376" s="254">
        <f t="shared" ref="E376:X376" si="224">E375-E378-E380-E388-E372</f>
        <v>1217181.124651365</v>
      </c>
      <c r="F376" s="114">
        <f t="shared" si="224"/>
        <v>1280818.1252642805</v>
      </c>
      <c r="G376" s="114">
        <f t="shared" si="224"/>
        <v>1341682.2634363258</v>
      </c>
      <c r="H376" s="114">
        <f t="shared" si="224"/>
        <v>1400511.1778546991</v>
      </c>
      <c r="I376" s="114">
        <f t="shared" si="224"/>
        <v>1456945.2235588813</v>
      </c>
      <c r="J376" s="114">
        <f t="shared" si="224"/>
        <v>1511162.8479727916</v>
      </c>
      <c r="K376" s="114">
        <f t="shared" si="224"/>
        <v>1511662.2314175898</v>
      </c>
      <c r="L376" s="114">
        <f t="shared" si="224"/>
        <v>1508117.0597273652</v>
      </c>
      <c r="M376" s="93">
        <f t="shared" si="224"/>
        <v>1500603.1393860225</v>
      </c>
      <c r="N376" s="93">
        <f t="shared" si="224"/>
        <v>1489184.8562821504</v>
      </c>
      <c r="O376" s="93">
        <f t="shared" si="224"/>
        <v>1473915.427401694</v>
      </c>
      <c r="P376" s="93">
        <f t="shared" si="224"/>
        <v>1454837.1173426737</v>
      </c>
      <c r="Q376" s="93">
        <f t="shared" si="224"/>
        <v>1431981.4204434385</v>
      </c>
      <c r="R376" s="93">
        <f t="shared" si="224"/>
        <v>1405369.2092071921</v>
      </c>
      <c r="S376" s="93">
        <f t="shared" si="224"/>
        <v>1375010.8495995244</v>
      </c>
      <c r="T376" s="93">
        <f t="shared" si="224"/>
        <v>1340906.2836916726</v>
      </c>
      <c r="U376" s="93">
        <f t="shared" si="224"/>
        <v>1303045.0800201623</v>
      </c>
      <c r="V376" s="93">
        <f t="shared" si="224"/>
        <v>1261406.4519328708</v>
      </c>
      <c r="W376" s="93">
        <f t="shared" si="224"/>
        <v>1215959.2440921287</v>
      </c>
      <c r="X376" s="161">
        <f t="shared" si="224"/>
        <v>1166661.8872070075</v>
      </c>
      <c r="Y376" s="261">
        <f>Y375</f>
        <v>41656122.980881743</v>
      </c>
    </row>
    <row r="377" spans="2:25" outlineLevel="1">
      <c r="B377" s="21"/>
      <c r="C377" s="125"/>
      <c r="D377" s="102"/>
      <c r="E377" s="114"/>
      <c r="F377" s="114"/>
      <c r="G377" s="114"/>
      <c r="H377" s="114"/>
      <c r="I377" s="114"/>
      <c r="J377" s="114"/>
      <c r="K377" s="114"/>
      <c r="L377" s="114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161"/>
      <c r="Y377" s="261"/>
    </row>
    <row r="378" spans="2:25" outlineLevel="1">
      <c r="B378" s="452"/>
      <c r="C378" s="258" t="s">
        <v>57</v>
      </c>
      <c r="D378" s="114"/>
      <c r="E378" s="114">
        <f t="shared" ref="E378:X378" si="225">D381*Debt_Rate</f>
        <v>2685515.2694531931</v>
      </c>
      <c r="F378" s="114">
        <f t="shared" si="225"/>
        <v>2608496.4907266926</v>
      </c>
      <c r="G378" s="114">
        <f t="shared" si="225"/>
        <v>2527241.6791702341</v>
      </c>
      <c r="H378" s="114">
        <f t="shared" si="225"/>
        <v>2441517.8529781708</v>
      </c>
      <c r="I378" s="114">
        <f t="shared" si="225"/>
        <v>2351079.2163455435</v>
      </c>
      <c r="J378" s="114">
        <f t="shared" si="225"/>
        <v>2255666.4546981226</v>
      </c>
      <c r="K378" s="114">
        <f t="shared" si="225"/>
        <v>2155005.9911600929</v>
      </c>
      <c r="L378" s="114">
        <f t="shared" si="225"/>
        <v>2048809.2021274716</v>
      </c>
      <c r="M378" s="93">
        <f t="shared" si="225"/>
        <v>1936771.5896980562</v>
      </c>
      <c r="N378" s="93">
        <f t="shared" si="225"/>
        <v>1818571.9085850229</v>
      </c>
      <c r="O378" s="93">
        <f t="shared" si="225"/>
        <v>1693871.2450107727</v>
      </c>
      <c r="P378" s="93">
        <f t="shared" si="225"/>
        <v>1562312.0449399389</v>
      </c>
      <c r="Q378" s="93">
        <f t="shared" si="225"/>
        <v>1423517.0888652094</v>
      </c>
      <c r="R378" s="93">
        <f t="shared" si="225"/>
        <v>1277088.4102063698</v>
      </c>
      <c r="S378" s="93">
        <f t="shared" si="225"/>
        <v>1122606.1542212937</v>
      </c>
      <c r="T378" s="93">
        <f t="shared" si="225"/>
        <v>959627.37415703875</v>
      </c>
      <c r="U378" s="93">
        <f t="shared" si="225"/>
        <v>787684.76118924958</v>
      </c>
      <c r="V378" s="93">
        <f t="shared" si="225"/>
        <v>606285.30450823205</v>
      </c>
      <c r="W378" s="93">
        <f t="shared" si="225"/>
        <v>414908.87770975853</v>
      </c>
      <c r="X378" s="161">
        <f t="shared" si="225"/>
        <v>213006.74743736899</v>
      </c>
      <c r="Y378" s="261"/>
    </row>
    <row r="379" spans="2:25" outlineLevel="1">
      <c r="B379" s="452"/>
      <c r="C379" s="258" t="s">
        <v>58</v>
      </c>
      <c r="D379" s="114"/>
      <c r="E379" s="114">
        <f t="shared" ref="E379:X379" si="226">-PMT(Debt_Rate,20,$D391)</f>
        <v>4085856.7008441142</v>
      </c>
      <c r="F379" s="114">
        <f t="shared" si="226"/>
        <v>4085856.7008441142</v>
      </c>
      <c r="G379" s="114">
        <f t="shared" si="226"/>
        <v>4085856.7008441142</v>
      </c>
      <c r="H379" s="114">
        <f t="shared" si="226"/>
        <v>4085856.7008441142</v>
      </c>
      <c r="I379" s="114">
        <f t="shared" si="226"/>
        <v>4085856.7008441142</v>
      </c>
      <c r="J379" s="114">
        <f t="shared" si="226"/>
        <v>4085856.7008441142</v>
      </c>
      <c r="K379" s="114">
        <f t="shared" si="226"/>
        <v>4085856.7008441142</v>
      </c>
      <c r="L379" s="114">
        <f t="shared" si="226"/>
        <v>4085856.7008441142</v>
      </c>
      <c r="M379" s="93">
        <f t="shared" si="226"/>
        <v>4085856.7008441142</v>
      </c>
      <c r="N379" s="93">
        <f t="shared" si="226"/>
        <v>4085856.7008441142</v>
      </c>
      <c r="O379" s="93">
        <f t="shared" si="226"/>
        <v>4085856.7008441142</v>
      </c>
      <c r="P379" s="93">
        <f t="shared" si="226"/>
        <v>4085856.7008441142</v>
      </c>
      <c r="Q379" s="93">
        <f t="shared" si="226"/>
        <v>4085856.7008441142</v>
      </c>
      <c r="R379" s="93">
        <f t="shared" si="226"/>
        <v>4085856.7008441142</v>
      </c>
      <c r="S379" s="93">
        <f t="shared" si="226"/>
        <v>4085856.7008441142</v>
      </c>
      <c r="T379" s="93">
        <f t="shared" si="226"/>
        <v>4085856.7008441142</v>
      </c>
      <c r="U379" s="93">
        <f t="shared" si="226"/>
        <v>4085856.7008441142</v>
      </c>
      <c r="V379" s="93">
        <f t="shared" si="226"/>
        <v>4085856.7008441142</v>
      </c>
      <c r="W379" s="93">
        <f t="shared" si="226"/>
        <v>4085856.7008441142</v>
      </c>
      <c r="X379" s="161">
        <f t="shared" si="226"/>
        <v>4085856.7008441142</v>
      </c>
      <c r="Y379" s="261"/>
    </row>
    <row r="380" spans="2:25" outlineLevel="1">
      <c r="B380" s="452"/>
      <c r="C380" s="258" t="s">
        <v>59</v>
      </c>
      <c r="D380" s="114"/>
      <c r="E380" s="254">
        <f>E379-E378</f>
        <v>1400341.4313909211</v>
      </c>
      <c r="F380" s="114">
        <f t="shared" ref="F380:X380" si="227">F379-F378</f>
        <v>1477360.2101174216</v>
      </c>
      <c r="G380" s="114">
        <f t="shared" si="227"/>
        <v>1558615.0216738801</v>
      </c>
      <c r="H380" s="114">
        <f t="shared" si="227"/>
        <v>1644338.8478659433</v>
      </c>
      <c r="I380" s="114">
        <f t="shared" si="227"/>
        <v>1734777.4844985707</v>
      </c>
      <c r="J380" s="114">
        <f t="shared" si="227"/>
        <v>1830190.2461459916</v>
      </c>
      <c r="K380" s="114">
        <f t="shared" si="227"/>
        <v>1930850.7096840213</v>
      </c>
      <c r="L380" s="114">
        <f t="shared" si="227"/>
        <v>2037047.4987166426</v>
      </c>
      <c r="M380" s="93">
        <f t="shared" si="227"/>
        <v>2149085.111146058</v>
      </c>
      <c r="N380" s="93">
        <f t="shared" si="227"/>
        <v>2267284.7922590915</v>
      </c>
      <c r="O380" s="93">
        <f t="shared" si="227"/>
        <v>2391985.4558333415</v>
      </c>
      <c r="P380" s="93">
        <f t="shared" si="227"/>
        <v>2523544.6559041752</v>
      </c>
      <c r="Q380" s="93">
        <f t="shared" si="227"/>
        <v>2662339.6119789048</v>
      </c>
      <c r="R380" s="93">
        <f t="shared" si="227"/>
        <v>2808768.2906377446</v>
      </c>
      <c r="S380" s="93">
        <f t="shared" si="227"/>
        <v>2963250.5466228202</v>
      </c>
      <c r="T380" s="93">
        <f t="shared" si="227"/>
        <v>3126229.3266870752</v>
      </c>
      <c r="U380" s="93">
        <f t="shared" si="227"/>
        <v>3298171.9396548644</v>
      </c>
      <c r="V380" s="93">
        <f t="shared" si="227"/>
        <v>3479571.3963358821</v>
      </c>
      <c r="W380" s="93">
        <f t="shared" si="227"/>
        <v>3670947.8231343557</v>
      </c>
      <c r="X380" s="161">
        <f t="shared" si="227"/>
        <v>3872849.9534067451</v>
      </c>
      <c r="Y380" s="261"/>
    </row>
    <row r="381" spans="2:25" outlineLevel="1">
      <c r="B381" s="452"/>
      <c r="C381" s="258" t="s">
        <v>60</v>
      </c>
      <c r="D381" s="114">
        <f>D391</f>
        <v>48827550.353694417</v>
      </c>
      <c r="E381" s="114">
        <f>D381-E380</f>
        <v>47427208.922303498</v>
      </c>
      <c r="F381" s="114">
        <f>E381-F380</f>
        <v>45949848.712186076</v>
      </c>
      <c r="G381" s="114">
        <f t="shared" ref="G381:X381" si="228">F381-G380</f>
        <v>44391233.690512195</v>
      </c>
      <c r="H381" s="114">
        <f t="shared" si="228"/>
        <v>42746894.842646249</v>
      </c>
      <c r="I381" s="114">
        <f t="shared" si="228"/>
        <v>41012117.358147681</v>
      </c>
      <c r="J381" s="114">
        <f t="shared" si="228"/>
        <v>39181927.112001687</v>
      </c>
      <c r="K381" s="114">
        <f t="shared" si="228"/>
        <v>37251076.402317666</v>
      </c>
      <c r="L381" s="114">
        <f t="shared" si="228"/>
        <v>35214028.903601021</v>
      </c>
      <c r="M381" s="93">
        <f t="shared" si="228"/>
        <v>33064943.792454962</v>
      </c>
      <c r="N381" s="93">
        <f t="shared" si="228"/>
        <v>30797659.000195868</v>
      </c>
      <c r="O381" s="93">
        <f t="shared" si="228"/>
        <v>28405673.544362526</v>
      </c>
      <c r="P381" s="93">
        <f t="shared" si="228"/>
        <v>25882128.888458353</v>
      </c>
      <c r="Q381" s="93">
        <f t="shared" si="228"/>
        <v>23219789.276479449</v>
      </c>
      <c r="R381" s="93">
        <f t="shared" si="228"/>
        <v>20411020.985841706</v>
      </c>
      <c r="S381" s="93">
        <f t="shared" si="228"/>
        <v>17447770.439218886</v>
      </c>
      <c r="T381" s="93">
        <f t="shared" si="228"/>
        <v>14321541.112531811</v>
      </c>
      <c r="U381" s="93">
        <f t="shared" si="228"/>
        <v>11023369.172876947</v>
      </c>
      <c r="V381" s="93">
        <f t="shared" si="228"/>
        <v>7543797.7765410645</v>
      </c>
      <c r="W381" s="93">
        <f t="shared" si="228"/>
        <v>3872849.9534067088</v>
      </c>
      <c r="X381" s="161">
        <f t="shared" si="228"/>
        <v>-3.6321580410003662E-8</v>
      </c>
      <c r="Y381" s="261"/>
    </row>
    <row r="382" spans="2:25" outlineLevel="1">
      <c r="B382" s="452"/>
      <c r="C382" s="125"/>
      <c r="D382" s="114"/>
      <c r="E382" s="114"/>
      <c r="F382" s="114"/>
      <c r="G382" s="114"/>
      <c r="H382" s="114"/>
      <c r="I382" s="114"/>
      <c r="J382" s="114"/>
      <c r="K382" s="114"/>
      <c r="L382" s="114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161"/>
      <c r="Y382" s="261"/>
    </row>
    <row r="383" spans="2:25" outlineLevel="1">
      <c r="B383" s="452"/>
      <c r="C383" s="258" t="s">
        <v>61</v>
      </c>
      <c r="D383" s="114"/>
      <c r="E383" s="114">
        <f t="shared" ref="E383:X383" si="229">-$D375/25</f>
        <v>5554149.7307842327</v>
      </c>
      <c r="F383" s="114">
        <f t="shared" si="229"/>
        <v>5554149.7307842327</v>
      </c>
      <c r="G383" s="114">
        <f t="shared" si="229"/>
        <v>5554149.7307842327</v>
      </c>
      <c r="H383" s="114">
        <f t="shared" si="229"/>
        <v>5554149.7307842327</v>
      </c>
      <c r="I383" s="114">
        <f t="shared" si="229"/>
        <v>5554149.7307842327</v>
      </c>
      <c r="J383" s="114">
        <f t="shared" si="229"/>
        <v>5554149.7307842327</v>
      </c>
      <c r="K383" s="114">
        <f t="shared" si="229"/>
        <v>5554149.7307842327</v>
      </c>
      <c r="L383" s="114">
        <f t="shared" si="229"/>
        <v>5554149.7307842327</v>
      </c>
      <c r="M383" s="93">
        <f t="shared" si="229"/>
        <v>5554149.7307842327</v>
      </c>
      <c r="N383" s="93">
        <f t="shared" si="229"/>
        <v>5554149.7307842327</v>
      </c>
      <c r="O383" s="93">
        <f t="shared" si="229"/>
        <v>5554149.7307842327</v>
      </c>
      <c r="P383" s="93">
        <f t="shared" si="229"/>
        <v>5554149.7307842327</v>
      </c>
      <c r="Q383" s="93">
        <f t="shared" si="229"/>
        <v>5554149.7307842327</v>
      </c>
      <c r="R383" s="93">
        <f t="shared" si="229"/>
        <v>5554149.7307842327</v>
      </c>
      <c r="S383" s="93">
        <f t="shared" si="229"/>
        <v>5554149.7307842327</v>
      </c>
      <c r="T383" s="93">
        <f t="shared" si="229"/>
        <v>5554149.7307842327</v>
      </c>
      <c r="U383" s="93">
        <f t="shared" si="229"/>
        <v>5554149.7307842327</v>
      </c>
      <c r="V383" s="93">
        <f t="shared" si="229"/>
        <v>5554149.7307842327</v>
      </c>
      <c r="W383" s="93">
        <f t="shared" si="229"/>
        <v>5554149.7307842327</v>
      </c>
      <c r="X383" s="161">
        <f t="shared" si="229"/>
        <v>5554149.7307842327</v>
      </c>
      <c r="Y383" s="261"/>
    </row>
    <row r="384" spans="2:25" outlineLevel="1">
      <c r="B384" s="452"/>
      <c r="C384" s="125" t="s">
        <v>62</v>
      </c>
      <c r="D384" s="114"/>
      <c r="E384" s="114">
        <f>SUM($E383:E383)</f>
        <v>5554149.7307842327</v>
      </c>
      <c r="F384" s="114">
        <f>SUM($E383:F383)</f>
        <v>11108299.461568465</v>
      </c>
      <c r="G384" s="114">
        <f>SUM($E383:G383)</f>
        <v>16662449.192352697</v>
      </c>
      <c r="H384" s="114">
        <f>SUM($E383:H383)</f>
        <v>22216598.923136931</v>
      </c>
      <c r="I384" s="114">
        <f>SUM($E383:I383)</f>
        <v>27770748.653921165</v>
      </c>
      <c r="J384" s="114">
        <f>SUM($E383:J383)</f>
        <v>33324898.384705398</v>
      </c>
      <c r="K384" s="114">
        <f>SUM($E383:K383)</f>
        <v>38879048.115489632</v>
      </c>
      <c r="L384" s="114">
        <f>SUM($E383:L383)</f>
        <v>44433197.846273862</v>
      </c>
      <c r="M384" s="93">
        <f>SUM($E383:M383)</f>
        <v>49987347.577058092</v>
      </c>
      <c r="N384" s="93">
        <f>SUM($E383:N383)</f>
        <v>55541497.307842322</v>
      </c>
      <c r="O384" s="93">
        <f>SUM($E383:O383)</f>
        <v>61095647.038626552</v>
      </c>
      <c r="P384" s="93">
        <f>SUM($E383:P383)</f>
        <v>66649796.769410782</v>
      </c>
      <c r="Q384" s="93">
        <f>SUM($E383:Q383)</f>
        <v>72203946.500195011</v>
      </c>
      <c r="R384" s="93">
        <f>SUM($E383:R383)</f>
        <v>77758096.230979249</v>
      </c>
      <c r="S384" s="93">
        <f>SUM($E383:S383)</f>
        <v>83312245.961763486</v>
      </c>
      <c r="T384" s="93">
        <f>SUM($E383:T383)</f>
        <v>88866395.692547724</v>
      </c>
      <c r="U384" s="93">
        <f>SUM($E383:U383)</f>
        <v>94420545.423331961</v>
      </c>
      <c r="V384" s="93">
        <f>SUM($E383:V383)</f>
        <v>99974695.154116198</v>
      </c>
      <c r="W384" s="93">
        <f>SUM($E383:W383)</f>
        <v>105528844.88490044</v>
      </c>
      <c r="X384" s="161">
        <f>SUM($E383:X383)</f>
        <v>111082994.61568467</v>
      </c>
      <c r="Y384" s="261"/>
    </row>
    <row r="385" spans="1:25" outlineLevel="1">
      <c r="B385" s="452"/>
      <c r="C385" s="125" t="s">
        <v>63</v>
      </c>
      <c r="D385" s="114"/>
      <c r="E385" s="114">
        <f t="shared" ref="E385:G385" si="230">-$D375-E384</f>
        <v>133299593.53882158</v>
      </c>
      <c r="F385" s="114">
        <f t="shared" si="230"/>
        <v>127745443.80803736</v>
      </c>
      <c r="G385" s="114">
        <f t="shared" si="230"/>
        <v>122191294.07725312</v>
      </c>
      <c r="H385" s="254">
        <f>-$D375-H384</f>
        <v>116637144.34646888</v>
      </c>
      <c r="I385" s="114">
        <f t="shared" ref="I385:X385" si="231">-$D375-I384</f>
        <v>111082994.61568466</v>
      </c>
      <c r="J385" s="114">
        <f t="shared" si="231"/>
        <v>105528844.88490042</v>
      </c>
      <c r="K385" s="114">
        <f t="shared" si="231"/>
        <v>99974695.154116184</v>
      </c>
      <c r="L385" s="114">
        <f t="shared" si="231"/>
        <v>94420545.423331946</v>
      </c>
      <c r="M385" s="93">
        <f t="shared" si="231"/>
        <v>88866395.692547724</v>
      </c>
      <c r="N385" s="93">
        <f t="shared" si="231"/>
        <v>83312245.961763501</v>
      </c>
      <c r="O385" s="93">
        <f t="shared" si="231"/>
        <v>77758096.230979264</v>
      </c>
      <c r="P385" s="93">
        <f t="shared" si="231"/>
        <v>72203946.500195026</v>
      </c>
      <c r="Q385" s="93">
        <f t="shared" si="231"/>
        <v>66649796.769410804</v>
      </c>
      <c r="R385" s="93">
        <f t="shared" si="231"/>
        <v>61095647.038626567</v>
      </c>
      <c r="S385" s="93">
        <f t="shared" si="231"/>
        <v>55541497.307842329</v>
      </c>
      <c r="T385" s="93">
        <f t="shared" si="231"/>
        <v>49987347.577058092</v>
      </c>
      <c r="U385" s="93">
        <f t="shared" si="231"/>
        <v>44433197.846273854</v>
      </c>
      <c r="V385" s="93">
        <f t="shared" si="231"/>
        <v>38879048.115489617</v>
      </c>
      <c r="W385" s="93">
        <f t="shared" si="231"/>
        <v>33324898.38470538</v>
      </c>
      <c r="X385" s="161">
        <f t="shared" si="231"/>
        <v>27770748.653921142</v>
      </c>
      <c r="Y385" s="261"/>
    </row>
    <row r="386" spans="1:25" outlineLevel="1">
      <c r="B386" s="452"/>
      <c r="C386" s="125" t="s">
        <v>64</v>
      </c>
      <c r="D386" s="114">
        <f>-D375</f>
        <v>138853743.26960582</v>
      </c>
      <c r="E386" s="114">
        <f>D386/(($D386/$Y386)^(1/21))</f>
        <v>131116879.34734885</v>
      </c>
      <c r="F386" s="114">
        <f t="shared" ref="F386:J386" si="232">E386/(($D386/$Y386)^(1/21))</f>
        <v>123811109.76898217</v>
      </c>
      <c r="G386" s="114">
        <f t="shared" si="232"/>
        <v>116912414.1645986</v>
      </c>
      <c r="H386" s="114">
        <f t="shared" si="232"/>
        <v>110398110.56777188</v>
      </c>
      <c r="I386" s="114">
        <f t="shared" si="232"/>
        <v>104246780.84035721</v>
      </c>
      <c r="J386" s="254">
        <f t="shared" si="232"/>
        <v>98438200.252586082</v>
      </c>
      <c r="K386" s="254">
        <f>J386/(($D386/$Y386)^(1/21))</f>
        <v>92953270.986924365</v>
      </c>
      <c r="L386" s="114">
        <f t="shared" ref="L386:V386" si="233">K386/(($D386/$Y386)^(1/21))</f>
        <v>87773959.347063586</v>
      </c>
      <c r="M386" s="93">
        <f t="shared" si="233"/>
        <v>82883236.465597019</v>
      </c>
      <c r="N386" s="93">
        <f t="shared" si="233"/>
        <v>78265022.315435633</v>
      </c>
      <c r="O386" s="93">
        <f t="shared" si="233"/>
        <v>73904132.840881035</v>
      </c>
      <c r="P386" s="93">
        <f t="shared" si="233"/>
        <v>69786230.034529686</v>
      </c>
      <c r="Q386" s="93">
        <f t="shared" si="233"/>
        <v>65897774.795868039</v>
      </c>
      <c r="R386" s="93">
        <f t="shared" si="233"/>
        <v>62225982.416564092</v>
      </c>
      <c r="S386" s="93">
        <f t="shared" si="233"/>
        <v>58758780.546097167</v>
      </c>
      <c r="T386" s="93">
        <f t="shared" si="233"/>
        <v>55484769.499522634</v>
      </c>
      <c r="U386" s="93">
        <f t="shared" si="233"/>
        <v>52393184.776868872</v>
      </c>
      <c r="V386" s="93">
        <f t="shared" si="233"/>
        <v>49473861.670935504</v>
      </c>
      <c r="W386" s="93">
        <f>V386/(($D386/$Y386)^(1/21))</f>
        <v>46717201.847128078</v>
      </c>
      <c r="X386" s="161">
        <f t="shared" ref="X386" si="234">W386/(($D386/$Y386)^(1/21))</f>
        <v>44114141.78544835</v>
      </c>
      <c r="Y386" s="261">
        <f>Y375</f>
        <v>41656122.980881743</v>
      </c>
    </row>
    <row r="387" spans="1:25" outlineLevel="1">
      <c r="B387" s="452"/>
      <c r="C387" s="258" t="s">
        <v>65</v>
      </c>
      <c r="D387" s="114"/>
      <c r="E387" s="114">
        <f>-$D375*Assumptions!J$20*INDEX('DATA (Nominal)'!$B$350:$BX$350,1,MATCH($B$1,'DATA (Nominal)'!$B$1:$BX$1,0))</f>
        <v>23605136.35583299</v>
      </c>
      <c r="F387" s="114">
        <f>-$D375*Assumptions!K$20*INDEX('DATA (Nominal)'!$B$350:$BX$350,1,MATCH($B$1,'DATA (Nominal)'!$B$1:$BX$1,0))</f>
        <v>37768218.16933278</v>
      </c>
      <c r="G387" s="114">
        <f>-$D375*Assumptions!L$20*INDEX('DATA (Nominal)'!$B$350:$BX$350,1,MATCH($B$1,'DATA (Nominal)'!$B$1:$BX$1,0))</f>
        <v>22660930.901599668</v>
      </c>
      <c r="H387" s="114">
        <f>-$D375*Assumptions!M$20*INDEX('DATA (Nominal)'!$B$350:$BX$350,1,MATCH($B$1,'DATA (Nominal)'!$B$1:$BX$1,0))</f>
        <v>13596558.540959802</v>
      </c>
      <c r="I387" s="114">
        <f>-$D375*Assumptions!N$20*INDEX('DATA (Nominal)'!$B$350:$BX$350,1,MATCH($B$1,'DATA (Nominal)'!$B$1:$BX$1,0))</f>
        <v>13596558.540959802</v>
      </c>
      <c r="J387" s="114">
        <f>-$D375*Assumptions!O$20*INDEX('DATA (Nominal)'!$B$350:$BX$350,1,MATCH($B$1,'DATA (Nominal)'!$B$1:$BX$1,0))</f>
        <v>6798279.2704799008</v>
      </c>
      <c r="K387" s="114">
        <f>-$D375*Assumptions!P$20*INDEX('DATA (Nominal)'!$B$350:$BX$350,1,MATCH($B$1,'DATA (Nominal)'!$B$1:$BX$1,0))</f>
        <v>0</v>
      </c>
      <c r="L387" s="114">
        <f>-$D375*Assumptions!Q$20*INDEX('DATA (Nominal)'!$B$350:$BX$350,1,MATCH($B$1,'DATA (Nominal)'!$B$1:$BX$1,0))</f>
        <v>0</v>
      </c>
      <c r="M387" s="93">
        <f>-$D375*Assumptions!R$20*INDEX('DATA (Nominal)'!$B$350:$BX$350,1,MATCH($B$1,'DATA (Nominal)'!$B$1:$BX$1,0))</f>
        <v>0</v>
      </c>
      <c r="N387" s="93">
        <f>-$D375*Assumptions!S$20*INDEX('DATA (Nominal)'!$B$350:$BX$350,1,MATCH($B$1,'DATA (Nominal)'!$B$1:$BX$1,0))</f>
        <v>0</v>
      </c>
      <c r="O387" s="93">
        <f>-$D375*Assumptions!T$20*INDEX('DATA (Nominal)'!$B$350:$BX$350,1,MATCH($B$1,'DATA (Nominal)'!$B$1:$BX$1,0))</f>
        <v>0</v>
      </c>
      <c r="P387" s="93">
        <f>-$D375*Assumptions!U$20*INDEX('DATA (Nominal)'!$B$350:$BX$350,1,MATCH($B$1,'DATA (Nominal)'!$B$1:$BX$1,0))</f>
        <v>0</v>
      </c>
      <c r="Q387" s="93">
        <f>-$D375*Assumptions!V$20*INDEX('DATA (Nominal)'!$B$350:$BX$350,1,MATCH($B$1,'DATA (Nominal)'!$B$1:$BX$1,0))</f>
        <v>0</v>
      </c>
      <c r="R387" s="93">
        <f>-$D375*Assumptions!W$20*INDEX('DATA (Nominal)'!$B$350:$BX$350,1,MATCH($B$1,'DATA (Nominal)'!$B$1:$BX$1,0))</f>
        <v>0</v>
      </c>
      <c r="S387" s="93">
        <f>-$D375*Assumptions!X$20*INDEX('DATA (Nominal)'!$B$350:$BX$350,1,MATCH($B$1,'DATA (Nominal)'!$B$1:$BX$1,0))</f>
        <v>0</v>
      </c>
      <c r="T387" s="93">
        <f>-$D375*Assumptions!Y$20*INDEX('DATA (Nominal)'!$B$350:$BX$350,1,MATCH($B$1,'DATA (Nominal)'!$B$1:$BX$1,0))</f>
        <v>0</v>
      </c>
      <c r="U387" s="93">
        <f>-$D375*Assumptions!Z$20*INDEX('DATA (Nominal)'!$B$350:$BX$350,1,MATCH($B$1,'DATA (Nominal)'!$B$1:$BX$1,0))</f>
        <v>0</v>
      </c>
      <c r="V387" s="93">
        <f>-$D375*Assumptions!AA$20*INDEX('DATA (Nominal)'!$B$350:$BX$350,1,MATCH($B$1,'DATA (Nominal)'!$B$1:$BX$1,0))</f>
        <v>0</v>
      </c>
      <c r="W387" s="93">
        <f>-$D375*Assumptions!AB$20*INDEX('DATA (Nominal)'!$B$350:$BX$350,1,MATCH($B$1,'DATA (Nominal)'!$B$1:$BX$1,0))</f>
        <v>0</v>
      </c>
      <c r="X387" s="455">
        <f>-$D375*Assumptions!AC$20*INDEX('DATA (Nominal)'!$B$350:$BX$350,1,MATCH($B$1,'DATA (Nominal)'!$B$1:$BX$1,0))</f>
        <v>0</v>
      </c>
      <c r="Y387" s="261"/>
    </row>
    <row r="388" spans="1:25" ht="15.75" outlineLevel="1" thickBot="1">
      <c r="B388" s="452"/>
      <c r="C388" s="127" t="s">
        <v>66</v>
      </c>
      <c r="D388" s="103"/>
      <c r="E388" s="103">
        <f t="shared" ref="E388:X388" si="235">E387*Federal_Tax_Rate</f>
        <v>4957078.6347249281</v>
      </c>
      <c r="F388" s="103">
        <f t="shared" si="235"/>
        <v>7931325.8155598836</v>
      </c>
      <c r="G388" s="103">
        <f t="shared" si="235"/>
        <v>4758795.48933593</v>
      </c>
      <c r="H388" s="103">
        <f t="shared" si="235"/>
        <v>2855277.2936015581</v>
      </c>
      <c r="I388" s="103">
        <f t="shared" si="235"/>
        <v>2855277.2936015581</v>
      </c>
      <c r="J388" s="103">
        <f t="shared" si="235"/>
        <v>1427638.646800779</v>
      </c>
      <c r="K388" s="103">
        <f t="shared" si="235"/>
        <v>0</v>
      </c>
      <c r="L388" s="103">
        <f t="shared" si="235"/>
        <v>0</v>
      </c>
      <c r="M388" s="456">
        <f t="shared" si="235"/>
        <v>0</v>
      </c>
      <c r="N388" s="456">
        <f t="shared" si="235"/>
        <v>0</v>
      </c>
      <c r="O388" s="456">
        <f t="shared" si="235"/>
        <v>0</v>
      </c>
      <c r="P388" s="456">
        <f t="shared" si="235"/>
        <v>0</v>
      </c>
      <c r="Q388" s="456">
        <f t="shared" si="235"/>
        <v>0</v>
      </c>
      <c r="R388" s="456">
        <f t="shared" si="235"/>
        <v>0</v>
      </c>
      <c r="S388" s="456">
        <f t="shared" si="235"/>
        <v>0</v>
      </c>
      <c r="T388" s="456">
        <f t="shared" si="235"/>
        <v>0</v>
      </c>
      <c r="U388" s="456">
        <f t="shared" si="235"/>
        <v>0</v>
      </c>
      <c r="V388" s="456">
        <f t="shared" si="235"/>
        <v>0</v>
      </c>
      <c r="W388" s="456">
        <f t="shared" si="235"/>
        <v>0</v>
      </c>
      <c r="X388" s="457">
        <f t="shared" si="235"/>
        <v>0</v>
      </c>
      <c r="Y388" s="261"/>
    </row>
    <row r="389" spans="1:25" outlineLevel="1">
      <c r="B389" s="452"/>
      <c r="C389" s="128" t="s">
        <v>67</v>
      </c>
      <c r="D389" s="104">
        <f>NPV(Tax_Equity_Rate,E388:X388)</f>
        <v>20109028.741827291</v>
      </c>
      <c r="E389" s="105">
        <f>D389/D393</f>
        <v>0.14482165383746645</v>
      </c>
      <c r="F389" s="254"/>
      <c r="G389" s="254"/>
      <c r="H389" s="254"/>
      <c r="I389" s="254"/>
      <c r="J389" s="254"/>
      <c r="K389" s="254"/>
      <c r="L389" s="254"/>
      <c r="M389" s="261"/>
      <c r="N389" s="261"/>
      <c r="O389" s="261"/>
      <c r="P389" s="261"/>
      <c r="Q389" s="261"/>
      <c r="R389" s="261"/>
      <c r="S389" s="261"/>
      <c r="T389" s="261"/>
      <c r="U389" s="261"/>
      <c r="V389" s="261"/>
      <c r="W389" s="261"/>
      <c r="X389" s="261"/>
      <c r="Y389" s="261"/>
    </row>
    <row r="390" spans="1:25" outlineLevel="1">
      <c r="B390" s="452"/>
      <c r="C390" s="125" t="s">
        <v>79</v>
      </c>
      <c r="D390" s="106">
        <f>NPV(Tax_Equity_Rate,E372:X372)</f>
        <v>52312673.230235092</v>
      </c>
      <c r="E390" s="107">
        <f>D390/D393</f>
        <v>0.37674658239974146</v>
      </c>
    </row>
    <row r="391" spans="1:25" outlineLevel="1">
      <c r="B391" s="22">
        <f>Assumptions!F20</f>
        <v>0.73499999999999999</v>
      </c>
      <c r="C391" s="125" t="s">
        <v>68</v>
      </c>
      <c r="D391" s="106">
        <f>(D393-D389-D390)*$B391</f>
        <v>48827550.353694417</v>
      </c>
      <c r="E391" s="107">
        <f>D391/D393</f>
        <v>0.35164734636565215</v>
      </c>
    </row>
    <row r="392" spans="1:25" outlineLevel="1">
      <c r="B392" s="22">
        <f>1-B391</f>
        <v>0.26500000000000001</v>
      </c>
      <c r="C392" s="125" t="s">
        <v>69</v>
      </c>
      <c r="D392" s="106">
        <f>(D393-D389-D390)*$B392</f>
        <v>17604490.943849009</v>
      </c>
      <c r="E392" s="107">
        <f>D392/D393</f>
        <v>0.12678441739713989</v>
      </c>
    </row>
    <row r="393" spans="1:25" outlineLevel="1">
      <c r="C393" s="125" t="s">
        <v>70</v>
      </c>
      <c r="D393" s="106">
        <f>-D375</f>
        <v>138853743.26960582</v>
      </c>
      <c r="E393" s="108"/>
    </row>
    <row r="394" spans="1:25" ht="15.75" outlineLevel="1" thickBot="1">
      <c r="C394" s="127" t="s">
        <v>71</v>
      </c>
      <c r="D394" s="109">
        <f>SUM(D389:D392)-D393</f>
        <v>0</v>
      </c>
      <c r="E394" s="110"/>
    </row>
    <row r="395" spans="1:25" outlineLevel="1"/>
    <row r="396" spans="1:25" ht="15.75" thickBot="1"/>
    <row r="397" spans="1:25" ht="18.75" thickBot="1">
      <c r="A397" s="86"/>
      <c r="B397" s="82"/>
      <c r="C397" s="484" t="s">
        <v>135</v>
      </c>
      <c r="D397" s="485"/>
      <c r="E397" s="485"/>
      <c r="F397" s="485"/>
      <c r="G397" s="485"/>
      <c r="H397" s="486"/>
      <c r="Y397" s="261"/>
    </row>
    <row r="398" spans="1:25" hidden="1" outlineLevel="1">
      <c r="C398" s="124" t="s">
        <v>44</v>
      </c>
      <c r="D398" s="153"/>
      <c r="E398" s="153">
        <f>'Resource Options'!$E$21*INDEX('DATA (Nominal)'!$B$21:$BX$21,1,MATCH($B$1,'DATA (Nominal)'!$B$1:$BX$1,0))*8760</f>
        <v>240695.09517976042</v>
      </c>
      <c r="F398" s="153">
        <f>'Resource Options'!$E$21*INDEX('DATA (Nominal)'!$B$21:$BX$21,1,MATCH($B$1,'DATA (Nominal)'!$B$1:$BX$1,0))*8760</f>
        <v>240695.09517976042</v>
      </c>
      <c r="G398" s="153">
        <f>'Resource Options'!$E$21*INDEX('DATA (Nominal)'!$B$21:$BX$21,1,MATCH($B$1,'DATA (Nominal)'!$B$1:$BX$1,0))*8760</f>
        <v>240695.09517976042</v>
      </c>
      <c r="H398" s="153">
        <f>'Resource Options'!$E$21*INDEX('DATA (Nominal)'!$B$21:$BX$21,1,MATCH($B$1,'DATA (Nominal)'!$B$1:$BX$1,0))*8760</f>
        <v>240695.09517976042</v>
      </c>
      <c r="I398" s="153">
        <f>'Resource Options'!$E$21*INDEX('DATA (Nominal)'!$B$21:$BX$21,1,MATCH($B$1,'DATA (Nominal)'!$B$1:$BX$1,0))*8760</f>
        <v>240695.09517976042</v>
      </c>
      <c r="J398" s="153">
        <f>'Resource Options'!$E$21*INDEX('DATA (Nominal)'!$B$21:$BX$21,1,MATCH($B$1,'DATA (Nominal)'!$B$1:$BX$1,0))*8760</f>
        <v>240695.09517976042</v>
      </c>
      <c r="K398" s="153">
        <f>'Resource Options'!$E$21*INDEX('DATA (Nominal)'!$B$21:$BX$21,1,MATCH($B$1,'DATA (Nominal)'!$B$1:$BX$1,0))*8760</f>
        <v>240695.09517976042</v>
      </c>
      <c r="L398" s="153">
        <f>'Resource Options'!$E$21*INDEX('DATA (Nominal)'!$B$21:$BX$21,1,MATCH($B$1,'DATA (Nominal)'!$B$1:$BX$1,0))*8760</f>
        <v>240695.09517976042</v>
      </c>
      <c r="M398" s="153">
        <f>'Resource Options'!$E$21*INDEX('DATA (Nominal)'!$B$21:$BX$21,1,MATCH($B$1,'DATA (Nominal)'!$B$1:$BX$1,0))*8760</f>
        <v>240695.09517976042</v>
      </c>
      <c r="N398" s="153">
        <f>'Resource Options'!$E$21*INDEX('DATA (Nominal)'!$B$21:$BX$21,1,MATCH($B$1,'DATA (Nominal)'!$B$1:$BX$1,0))*8760</f>
        <v>240695.09517976042</v>
      </c>
      <c r="O398" s="153">
        <f>'Resource Options'!$E$21*INDEX('DATA (Nominal)'!$B$21:$BX$21,1,MATCH($B$1,'DATA (Nominal)'!$B$1:$BX$1,0))*8760</f>
        <v>240695.09517976042</v>
      </c>
      <c r="P398" s="153">
        <f>'Resource Options'!$E$21*INDEX('DATA (Nominal)'!$B$21:$BX$21,1,MATCH($B$1,'DATA (Nominal)'!$B$1:$BX$1,0))*8760</f>
        <v>240695.09517976042</v>
      </c>
      <c r="Q398" s="153">
        <f>'Resource Options'!$E$21*INDEX('DATA (Nominal)'!$B$21:$BX$21,1,MATCH($B$1,'DATA (Nominal)'!$B$1:$BX$1,0))*8760</f>
        <v>240695.09517976042</v>
      </c>
      <c r="R398" s="153">
        <f>'Resource Options'!$E$21*INDEX('DATA (Nominal)'!$B$21:$BX$21,1,MATCH($B$1,'DATA (Nominal)'!$B$1:$BX$1,0))*8760</f>
        <v>240695.09517976042</v>
      </c>
      <c r="S398" s="153">
        <f>'Resource Options'!$E$21*INDEX('DATA (Nominal)'!$B$21:$BX$21,1,MATCH($B$1,'DATA (Nominal)'!$B$1:$BX$1,0))*8760</f>
        <v>240695.09517976042</v>
      </c>
      <c r="T398" s="153">
        <f>'Resource Options'!$E$21*INDEX('DATA (Nominal)'!$B$21:$BX$21,1,MATCH($B$1,'DATA (Nominal)'!$B$1:$BX$1,0))*8760</f>
        <v>240695.09517976042</v>
      </c>
      <c r="U398" s="153">
        <f>'Resource Options'!$E$21*INDEX('DATA (Nominal)'!$B$21:$BX$21,1,MATCH($B$1,'DATA (Nominal)'!$B$1:$BX$1,0))*8760</f>
        <v>240695.09517976042</v>
      </c>
      <c r="V398" s="153">
        <f>'Resource Options'!$E$21*INDEX('DATA (Nominal)'!$B$21:$BX$21,1,MATCH($B$1,'DATA (Nominal)'!$B$1:$BX$1,0))*8760</f>
        <v>240695.09517976042</v>
      </c>
      <c r="W398" s="153">
        <f>'Resource Options'!$E$21*INDEX('DATA (Nominal)'!$B$21:$BX$21,1,MATCH($B$1,'DATA (Nominal)'!$B$1:$BX$1,0))*8760</f>
        <v>240695.09517976042</v>
      </c>
      <c r="X398" s="159">
        <f>'Resource Options'!$E$21*INDEX('DATA (Nominal)'!$B$21:$BX$21,1,MATCH($B$1,'DATA (Nominal)'!$B$1:$BX$1,0))*8760</f>
        <v>240695.09517976042</v>
      </c>
      <c r="Y398" s="156"/>
    </row>
    <row r="399" spans="1:25" hidden="1" outlineLevel="1">
      <c r="C399" s="125" t="s">
        <v>45</v>
      </c>
      <c r="D399" s="151"/>
      <c r="E399" s="154">
        <f>PPA_SOLAR_PV_Single_Axis_Tracking_PTC</f>
        <v>33.506432662021012</v>
      </c>
      <c r="F399" s="154">
        <f>E399</f>
        <v>33.506432662021012</v>
      </c>
      <c r="G399" s="154">
        <f t="shared" ref="G399:V400" si="236">F399</f>
        <v>33.506432662021012</v>
      </c>
      <c r="H399" s="154">
        <f t="shared" si="236"/>
        <v>33.506432662021012</v>
      </c>
      <c r="I399" s="154">
        <f t="shared" si="236"/>
        <v>33.506432662021012</v>
      </c>
      <c r="J399" s="154">
        <f t="shared" si="236"/>
        <v>33.506432662021012</v>
      </c>
      <c r="K399" s="154">
        <f t="shared" si="236"/>
        <v>33.506432662021012</v>
      </c>
      <c r="L399" s="154">
        <f t="shared" si="236"/>
        <v>33.506432662021012</v>
      </c>
      <c r="M399" s="154">
        <f t="shared" si="236"/>
        <v>33.506432662021012</v>
      </c>
      <c r="N399" s="154">
        <f t="shared" si="236"/>
        <v>33.506432662021012</v>
      </c>
      <c r="O399" s="154">
        <f t="shared" si="236"/>
        <v>33.506432662021012</v>
      </c>
      <c r="P399" s="154">
        <f t="shared" si="236"/>
        <v>33.506432662021012</v>
      </c>
      <c r="Q399" s="154">
        <f t="shared" si="236"/>
        <v>33.506432662021012</v>
      </c>
      <c r="R399" s="154">
        <f t="shared" si="236"/>
        <v>33.506432662021012</v>
      </c>
      <c r="S399" s="154">
        <f t="shared" si="236"/>
        <v>33.506432662021012</v>
      </c>
      <c r="T399" s="154">
        <f t="shared" si="236"/>
        <v>33.506432662021012</v>
      </c>
      <c r="U399" s="154">
        <f t="shared" si="236"/>
        <v>33.506432662021012</v>
      </c>
      <c r="V399" s="154">
        <f t="shared" si="236"/>
        <v>33.506432662021012</v>
      </c>
      <c r="W399" s="154">
        <f t="shared" ref="W399:X400" si="237">V399</f>
        <v>33.506432662021012</v>
      </c>
      <c r="X399" s="152">
        <f t="shared" si="237"/>
        <v>33.506432662021012</v>
      </c>
      <c r="Y399" s="156"/>
    </row>
    <row r="400" spans="1:25" hidden="1" outlineLevel="1">
      <c r="C400" s="125" t="s">
        <v>111</v>
      </c>
      <c r="D400" s="151"/>
      <c r="E400" s="154">
        <f>INDEX('PPA Summary'!$75:$106,MATCH(_xlfn.CONCAT($C397,$C$1),'PPA Summary'!$D$75:$D$106,0),MATCH($B$1,'PPA Summary'!$74:$74,0))</f>
        <v>15.502628737563997</v>
      </c>
      <c r="F400" s="154">
        <f>E400</f>
        <v>15.502628737563997</v>
      </c>
      <c r="G400" s="154">
        <f t="shared" si="236"/>
        <v>15.502628737563997</v>
      </c>
      <c r="H400" s="154">
        <f t="shared" si="236"/>
        <v>15.502628737563997</v>
      </c>
      <c r="I400" s="154">
        <f t="shared" si="236"/>
        <v>15.502628737563997</v>
      </c>
      <c r="J400" s="154">
        <f t="shared" si="236"/>
        <v>15.502628737563997</v>
      </c>
      <c r="K400" s="154">
        <f t="shared" si="236"/>
        <v>15.502628737563997</v>
      </c>
      <c r="L400" s="154">
        <f t="shared" si="236"/>
        <v>15.502628737563997</v>
      </c>
      <c r="M400" s="154">
        <f t="shared" si="236"/>
        <v>15.502628737563997</v>
      </c>
      <c r="N400" s="154">
        <f t="shared" si="236"/>
        <v>15.502628737563997</v>
      </c>
      <c r="O400" s="154">
        <f t="shared" si="236"/>
        <v>15.502628737563997</v>
      </c>
      <c r="P400" s="154">
        <f t="shared" si="236"/>
        <v>15.502628737563997</v>
      </c>
      <c r="Q400" s="154">
        <f t="shared" si="236"/>
        <v>15.502628737563997</v>
      </c>
      <c r="R400" s="154">
        <f t="shared" si="236"/>
        <v>15.502628737563997</v>
      </c>
      <c r="S400" s="154">
        <f t="shared" si="236"/>
        <v>15.502628737563997</v>
      </c>
      <c r="T400" s="154">
        <f t="shared" si="236"/>
        <v>15.502628737563997</v>
      </c>
      <c r="U400" s="154">
        <f t="shared" si="236"/>
        <v>15.502628737563997</v>
      </c>
      <c r="V400" s="154">
        <f t="shared" si="236"/>
        <v>15.502628737563997</v>
      </c>
      <c r="W400" s="154">
        <f t="shared" si="237"/>
        <v>15.502628737563997</v>
      </c>
      <c r="X400" s="152">
        <f t="shared" si="237"/>
        <v>15.502628737563997</v>
      </c>
      <c r="Y400" s="156"/>
    </row>
    <row r="401" spans="2:25" hidden="1" outlineLevel="1">
      <c r="C401" s="258" t="s">
        <v>46</v>
      </c>
      <c r="D401" s="151"/>
      <c r="E401" s="151">
        <f>E399*E398+E400*12*'Resource Options'!$E$21*1000</f>
        <v>26667988.483796179</v>
      </c>
      <c r="F401" s="151">
        <f>F399*F398+F400*12*'Resource Options'!$E$21*1000</f>
        <v>26667988.483796179</v>
      </c>
      <c r="G401" s="151">
        <f>G399*G398+G400*12*'Resource Options'!$E$21*1000</f>
        <v>26667988.483796179</v>
      </c>
      <c r="H401" s="151">
        <f>H399*H398+H400*12*'Resource Options'!$E$21*1000</f>
        <v>26667988.483796179</v>
      </c>
      <c r="I401" s="151">
        <f>I399*I398+I400*12*'Resource Options'!$E$21*1000</f>
        <v>26667988.483796179</v>
      </c>
      <c r="J401" s="151">
        <f>J399*J398+J400*12*'Resource Options'!$E$21*1000</f>
        <v>26667988.483796179</v>
      </c>
      <c r="K401" s="151">
        <f>K399*K398+K400*12*'Resource Options'!$E$21*1000</f>
        <v>26667988.483796179</v>
      </c>
      <c r="L401" s="151">
        <f>L399*L398+L400*12*'Resource Options'!$E$21*1000</f>
        <v>26667988.483796179</v>
      </c>
      <c r="M401" s="151">
        <f>M399*M398+M400*12*'Resource Options'!$E$21*1000</f>
        <v>26667988.483796179</v>
      </c>
      <c r="N401" s="151">
        <f>N399*N398+N400*12*'Resource Options'!$E$21*1000</f>
        <v>26667988.483796179</v>
      </c>
      <c r="O401" s="151">
        <f>O399*O398+O400*12*'Resource Options'!$E$21*1000</f>
        <v>26667988.483796179</v>
      </c>
      <c r="P401" s="151">
        <f>P399*P398+P400*12*'Resource Options'!$E$21*1000</f>
        <v>26667988.483796179</v>
      </c>
      <c r="Q401" s="151">
        <f>Q399*Q398+Q400*12*'Resource Options'!$E$21*1000</f>
        <v>26667988.483796179</v>
      </c>
      <c r="R401" s="151">
        <f>R399*R398+R400*12*'Resource Options'!$E$21*1000</f>
        <v>26667988.483796179</v>
      </c>
      <c r="S401" s="151">
        <f>S399*S398+S400*12*'Resource Options'!$E$21*1000</f>
        <v>26667988.483796179</v>
      </c>
      <c r="T401" s="151">
        <f>T399*T398+T400*12*'Resource Options'!$E$21*1000</f>
        <v>26667988.483796179</v>
      </c>
      <c r="U401" s="151">
        <f>U399*U398+U400*12*'Resource Options'!$E$21*1000</f>
        <v>26667988.483796179</v>
      </c>
      <c r="V401" s="151">
        <f>V399*V398+V400*12*'Resource Options'!$E$21*1000</f>
        <v>26667988.483796179</v>
      </c>
      <c r="W401" s="151">
        <f>W399*W398+W400*12*'Resource Options'!$E$21*1000</f>
        <v>26667988.483796179</v>
      </c>
      <c r="X401" s="152">
        <f>X399*X398+X400*12*'Resource Options'!$E$21*1000</f>
        <v>26667988.483796179</v>
      </c>
      <c r="Y401" s="156"/>
    </row>
    <row r="402" spans="2:25" hidden="1" outlineLevel="1">
      <c r="C402" s="258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2"/>
      <c r="Y402" s="156"/>
    </row>
    <row r="403" spans="2:25" hidden="1" outlineLevel="1">
      <c r="B403" s="92"/>
      <c r="C403" s="125" t="s">
        <v>158</v>
      </c>
      <c r="D403" s="151"/>
      <c r="E403" s="151">
        <f>'Resource Options'!$E$21*INDEX('DATA (Nominal)'!$B$191:$BX$191,1,MATCH(E$1,'DATA (Nominal)'!$B$1:$BX$1,0))*1000*0.8</f>
        <v>1723726.7416158107</v>
      </c>
      <c r="F403" s="151">
        <f>'Resource Options'!$E$21*INDEX('DATA (Nominal)'!$B$191:$BX$191,1,MATCH(F$1,'DATA (Nominal)'!$B$1:$BX$1,0))*1000*0.8</f>
        <v>1704800.4437326235</v>
      </c>
      <c r="G403" s="151">
        <f>'Resource Options'!$E$21*INDEX('DATA (Nominal)'!$B$191:$BX$191,1,MATCH(G$1,'DATA (Nominal)'!$B$1:$BX$1,0))*1000*0.8</f>
        <v>1684332.5258290214</v>
      </c>
      <c r="H403" s="151">
        <f>'Resource Options'!$E$21*INDEX('DATA (Nominal)'!$B$191:$BX$191,1,MATCH(H$1,'DATA (Nominal)'!$B$1:$BX$1,0))*1000*0.8</f>
        <v>1661718.6294805943</v>
      </c>
      <c r="I403" s="151">
        <f>'Resource Options'!$E$21*INDEX('DATA (Nominal)'!$B$191:$BX$191,1,MATCH(I$1,'DATA (Nominal)'!$B$1:$BX$1,0))*1000*0.8</f>
        <v>1637452.1373468188</v>
      </c>
      <c r="J403" s="151">
        <f>'Resource Options'!$E$21*INDEX('DATA (Nominal)'!$B$191:$BX$191,1,MATCH(J$1,'DATA (Nominal)'!$B$1:$BX$1,0))*1000*0.8</f>
        <v>1611468.5429029772</v>
      </c>
      <c r="K403" s="151">
        <f>'Resource Options'!$E$21*INDEX('DATA (Nominal)'!$B$191:$BX$191,1,MATCH(K$1,'DATA (Nominal)'!$B$1:$BX$1,0))*1000*0.8</f>
        <v>1636025.2070605527</v>
      </c>
      <c r="L403" s="151">
        <f>'Resource Options'!$E$21*INDEX('DATA (Nominal)'!$B$191:$BX$191,1,MATCH(L$1,'DATA (Nominal)'!$B$1:$BX$1,0))*1000*0.8</f>
        <v>1660911.0675082516</v>
      </c>
      <c r="M403" s="151">
        <f>'Resource Options'!$E$21*INDEX('DATA (Nominal)'!$B$191:$BX$191,1,MATCH(M$1,'DATA (Nominal)'!$B$1:$BX$1,0))*1000*0.8</f>
        <v>1686128.8737726239</v>
      </c>
      <c r="N403" s="151">
        <f>'Resource Options'!$E$21*INDEX('DATA (Nominal)'!$B$191:$BX$191,1,MATCH(N$1,'DATA (Nominal)'!$B$1:$BX$1,0))*1000*0.8</f>
        <v>1711681.3404396807</v>
      </c>
      <c r="O403" s="151">
        <f>'Resource Options'!$E$21*INDEX('DATA (Nominal)'!$B$191:$BX$191,1,MATCH(O$1,'DATA (Nominal)'!$B$1:$BX$1,0))*1000*0.8</f>
        <v>1737571.1443041258</v>
      </c>
      <c r="P403" s="151">
        <f>'Resource Options'!$E$21*INDEX('DATA (Nominal)'!$B$191:$BX$191,1,MATCH(P$1,'DATA (Nominal)'!$B$1:$BX$1,0))*1000*0.8</f>
        <v>1763800.9214110894</v>
      </c>
      <c r="Q403" s="151">
        <f>'Resource Options'!$E$21*INDEX('DATA (Nominal)'!$B$191:$BX$191,1,MATCH(Q$1,'DATA (Nominal)'!$B$1:$BX$1,0))*1000*0.8</f>
        <v>1790373.2639870059</v>
      </c>
      <c r="R403" s="151">
        <f>'Resource Options'!$E$21*INDEX('DATA (Nominal)'!$B$191:$BX$191,1,MATCH(R$1,'DATA (Nominal)'!$B$1:$BX$1,0))*1000*0.8</f>
        <v>1817290.7172561865</v>
      </c>
      <c r="S403" s="151">
        <f>'Resource Options'!$E$21*INDEX('DATA (Nominal)'!$B$191:$BX$191,1,MATCH(S$1,'DATA (Nominal)'!$B$1:$BX$1,0))*1000*0.8</f>
        <v>1844555.7761395318</v>
      </c>
      <c r="T403" s="151">
        <f>'Resource Options'!$E$21*INDEX('DATA (Nominal)'!$B$191:$BX$191,1,MATCH(T$1,'DATA (Nominal)'!$B$1:$BX$1,0))*1000*0.8</f>
        <v>1872170.8818317321</v>
      </c>
      <c r="U403" s="151">
        <f>'Resource Options'!$E$21*INDEX('DATA (Nominal)'!$B$191:$BX$191,1,MATCH(U$1,'DATA (Nominal)'!$B$1:$BX$1,0))*1000*0.8</f>
        <v>1900138.4182532136</v>
      </c>
      <c r="V403" s="151">
        <f>'Resource Options'!$E$21*INDEX('DATA (Nominal)'!$B$191:$BX$191,1,MATCH(V$1,'DATA (Nominal)'!$B$1:$BX$1,0))*1000*0.8</f>
        <v>1928460.7083729524</v>
      </c>
      <c r="W403" s="151">
        <f>'Resource Options'!$E$21*INDEX('DATA (Nominal)'!$B$191:$BX$191,1,MATCH(W$1,'DATA (Nominal)'!$B$1:$BX$1,0))*1000*0.8</f>
        <v>1957140.0103982044</v>
      </c>
      <c r="X403" s="152">
        <f>'Resource Options'!$E$21*INDEX('DATA (Nominal)'!$B$191:$BX$191,1,MATCH(X$1,'DATA (Nominal)'!$B$1:$BX$1,0))*1000*0.8</f>
        <v>1986178.5138270629</v>
      </c>
      <c r="Y403" s="156"/>
    </row>
    <row r="404" spans="2:25" hidden="1" outlineLevel="1">
      <c r="B404" s="92"/>
      <c r="C404" s="125" t="s">
        <v>159</v>
      </c>
      <c r="D404" s="151"/>
      <c r="E404" s="151">
        <f>'Resource Options'!$E$21*INDEX('DATA (Nominal)'!$B$192:$BX$192,1,MATCH(E$1,'DATA (Nominal)'!$B$1:$BX$1,0))*1000*0.8</f>
        <v>2618934.0846368256</v>
      </c>
      <c r="F404" s="151">
        <f>'Resource Options'!$E$21*INDEX('DATA (Nominal)'!$B$192:$BX$192,1,MATCH(F$1,'DATA (Nominal)'!$B$1:$BX$1,0))*1000*0.8</f>
        <v>2563220.7096230499</v>
      </c>
      <c r="G404" s="151">
        <f>'Resource Options'!$E$21*INDEX('DATA (Nominal)'!$B$192:$BX$192,1,MATCH(G$1,'DATA (Nominal)'!$B$1:$BX$1,0))*1000*0.8</f>
        <v>2516685.1415582434</v>
      </c>
      <c r="H404" s="151">
        <f>'Resource Options'!$E$21*INDEX('DATA (Nominal)'!$B$192:$BX$192,1,MATCH(H$1,'DATA (Nominal)'!$B$1:$BX$1,0))*1000*0.8</f>
        <v>2452730.2047134908</v>
      </c>
      <c r="I404" s="151">
        <f>'Resource Options'!$E$21*INDEX('DATA (Nominal)'!$B$192:$BX$192,1,MATCH(I$1,'DATA (Nominal)'!$B$1:$BX$1,0))*1000*0.8</f>
        <v>2411842.5293008611</v>
      </c>
      <c r="J404" s="151">
        <f>'Resource Options'!$E$21*INDEX('DATA (Nominal)'!$B$192:$BX$192,1,MATCH(J$1,'DATA (Nominal)'!$B$1:$BX$1,0))*1000*0.8</f>
        <v>2367968.6747509949</v>
      </c>
      <c r="K404" s="151">
        <f>'Resource Options'!$E$21*INDEX('DATA (Nominal)'!$B$192:$BX$192,1,MATCH(K$1,'DATA (Nominal)'!$B$1:$BX$1,0))*1000*0.8</f>
        <v>2391016.1415578877</v>
      </c>
      <c r="L404" s="151">
        <f>'Resource Options'!$E$21*INDEX('DATA (Nominal)'!$B$192:$BX$192,1,MATCH(L$1,'DATA (Nominal)'!$B$1:$BX$1,0))*1000*0.8</f>
        <v>2412702.1792561747</v>
      </c>
      <c r="M404" s="151">
        <f>'Resource Options'!$E$21*INDEX('DATA (Nominal)'!$B$192:$BX$192,1,MATCH(M$1,'DATA (Nominal)'!$B$1:$BX$1,0))*1000*0.8</f>
        <v>2434185.1508006803</v>
      </c>
      <c r="N404" s="151">
        <f>'Resource Options'!$E$21*INDEX('DATA (Nominal)'!$B$192:$BX$192,1,MATCH(N$1,'DATA (Nominal)'!$B$1:$BX$1,0))*1000*0.8</f>
        <v>2455445.6252383837</v>
      </c>
      <c r="O404" s="151">
        <f>'Resource Options'!$E$21*INDEX('DATA (Nominal)'!$B$192:$BX$192,1,MATCH(O$1,'DATA (Nominal)'!$B$1:$BX$1,0))*1000*0.8</f>
        <v>2476463.4149383502</v>
      </c>
      <c r="P404" s="151">
        <f>'Resource Options'!$E$21*INDEX('DATA (Nominal)'!$B$192:$BX$192,1,MATCH(P$1,'DATA (Nominal)'!$B$1:$BX$1,0))*1000*0.8</f>
        <v>2497217.551702505</v>
      </c>
      <c r="Q404" s="151">
        <f>'Resource Options'!$E$21*INDEX('DATA (Nominal)'!$B$192:$BX$192,1,MATCH(Q$1,'DATA (Nominal)'!$B$1:$BX$1,0))*1000*0.8</f>
        <v>2517686.262191447</v>
      </c>
      <c r="R404" s="151">
        <f>'Resource Options'!$E$21*INDEX('DATA (Nominal)'!$B$192:$BX$192,1,MATCH(R$1,'DATA (Nominal)'!$B$1:$BX$1,0))*1000*0.8</f>
        <v>2537846.9426468881</v>
      </c>
      <c r="S404" s="151">
        <f>'Resource Options'!$E$21*INDEX('DATA (Nominal)'!$B$192:$BX$192,1,MATCH(S$1,'DATA (Nominal)'!$B$1:$BX$1,0))*1000*0.8</f>
        <v>2557676.1328914678</v>
      </c>
      <c r="T404" s="151">
        <f>'Resource Options'!$E$21*INDEX('DATA (Nominal)'!$B$192:$BX$192,1,MATCH(T$1,'DATA (Nominal)'!$B$1:$BX$1,0))*1000*0.8</f>
        <v>2577149.4895865582</v>
      </c>
      <c r="U404" s="151">
        <f>'Resource Options'!$E$21*INDEX('DATA (Nominal)'!$B$192:$BX$192,1,MATCH(U$1,'DATA (Nominal)'!$B$1:$BX$1,0))*1000*0.8</f>
        <v>2596241.7587279193</v>
      </c>
      <c r="V404" s="151">
        <f>'Resource Options'!$E$21*INDEX('DATA (Nominal)'!$B$192:$BX$192,1,MATCH(V$1,'DATA (Nominal)'!$B$1:$BX$1,0))*1000*0.8</f>
        <v>2614926.747358534</v>
      </c>
      <c r="W404" s="151">
        <f>'Resource Options'!$E$21*INDEX('DATA (Nominal)'!$B$192:$BX$192,1,MATCH(W$1,'DATA (Nominal)'!$B$1:$BX$1,0))*1000*0.8</f>
        <v>2633177.2944776812</v>
      </c>
      <c r="X404" s="152">
        <f>'Resource Options'!$E$21*INDEX('DATA (Nominal)'!$B$192:$BX$192,1,MATCH(X$1,'DATA (Nominal)'!$B$1:$BX$1,0))*1000*0.8</f>
        <v>2650965.2411243496</v>
      </c>
      <c r="Y404" s="156"/>
    </row>
    <row r="405" spans="2:25" hidden="1" outlineLevel="1">
      <c r="C405" s="125" t="s">
        <v>160</v>
      </c>
      <c r="D405" s="151"/>
      <c r="E405" s="151">
        <f>E398*INDEX('DATA (Nominal)'!$B$116:$BX$116,1,MATCH(E$1,'DATA (Nominal)'!$B$1:$BX$1,0))</f>
        <v>0</v>
      </c>
      <c r="F405" s="151">
        <f>F398*INDEX('DATA (Nominal)'!$B$116:$BX$116,1,MATCH(F$1,'DATA (Nominal)'!$B$1:$BX$1,0))</f>
        <v>0</v>
      </c>
      <c r="G405" s="151">
        <f>G398*INDEX('DATA (Nominal)'!$B$116:$BX$116,1,MATCH(G$1,'DATA (Nominal)'!$B$1:$BX$1,0))</f>
        <v>0</v>
      </c>
      <c r="H405" s="151">
        <f>H398*INDEX('DATA (Nominal)'!$B$116:$BX$116,1,MATCH(H$1,'DATA (Nominal)'!$B$1:$BX$1,0))</f>
        <v>0</v>
      </c>
      <c r="I405" s="151">
        <f>I398*INDEX('DATA (Nominal)'!$B$116:$BX$116,1,MATCH(I$1,'DATA (Nominal)'!$B$1:$BX$1,0))</f>
        <v>0</v>
      </c>
      <c r="J405" s="151">
        <f>J398*INDEX('DATA (Nominal)'!$B$116:$BX$116,1,MATCH(J$1,'DATA (Nominal)'!$B$1:$BX$1,0))</f>
        <v>0</v>
      </c>
      <c r="K405" s="151">
        <f>K398*INDEX('DATA (Nominal)'!$B$116:$BX$116,1,MATCH(K$1,'DATA (Nominal)'!$B$1:$BX$1,0))</f>
        <v>0</v>
      </c>
      <c r="L405" s="151">
        <f>L398*INDEX('DATA (Nominal)'!$B$116:$BX$116,1,MATCH(L$1,'DATA (Nominal)'!$B$1:$BX$1,0))</f>
        <v>0</v>
      </c>
      <c r="M405" s="151">
        <f>M398*INDEX('DATA (Nominal)'!$B$116:$BX$116,1,MATCH(M$1,'DATA (Nominal)'!$B$1:$BX$1,0))</f>
        <v>0</v>
      </c>
      <c r="N405" s="151">
        <f>N398*INDEX('DATA (Nominal)'!$B$116:$BX$116,1,MATCH(N$1,'DATA (Nominal)'!$B$1:$BX$1,0))</f>
        <v>0</v>
      </c>
      <c r="O405" s="151">
        <f>O398*INDEX('DATA (Nominal)'!$B$116:$BX$116,1,MATCH(O$1,'DATA (Nominal)'!$B$1:$BX$1,0))</f>
        <v>0</v>
      </c>
      <c r="P405" s="151">
        <f>P398*INDEX('DATA (Nominal)'!$B$116:$BX$116,1,MATCH(P$1,'DATA (Nominal)'!$B$1:$BX$1,0))</f>
        <v>0</v>
      </c>
      <c r="Q405" s="151">
        <f>Q398*INDEX('DATA (Nominal)'!$B$116:$BX$116,1,MATCH(Q$1,'DATA (Nominal)'!$B$1:$BX$1,0))</f>
        <v>0</v>
      </c>
      <c r="R405" s="151">
        <f>R398*INDEX('DATA (Nominal)'!$B$116:$BX$116,1,MATCH(R$1,'DATA (Nominal)'!$B$1:$BX$1,0))</f>
        <v>0</v>
      </c>
      <c r="S405" s="151">
        <f>S398*INDEX('DATA (Nominal)'!$B$116:$BX$116,1,MATCH(S$1,'DATA (Nominal)'!$B$1:$BX$1,0))</f>
        <v>0</v>
      </c>
      <c r="T405" s="151">
        <f>T398*INDEX('DATA (Nominal)'!$B$116:$BX$116,1,MATCH(T$1,'DATA (Nominal)'!$B$1:$BX$1,0))</f>
        <v>0</v>
      </c>
      <c r="U405" s="151">
        <f>U398*INDEX('DATA (Nominal)'!$B$116:$BX$116,1,MATCH(U$1,'DATA (Nominal)'!$B$1:$BX$1,0))</f>
        <v>0</v>
      </c>
      <c r="V405" s="151">
        <f>V398*INDEX('DATA (Nominal)'!$B$116:$BX$116,1,MATCH(V$1,'DATA (Nominal)'!$B$1:$BX$1,0))</f>
        <v>0</v>
      </c>
      <c r="W405" s="151">
        <f>W398*INDEX('DATA (Nominal)'!$B$116:$BX$116,1,MATCH(W$1,'DATA (Nominal)'!$B$1:$BX$1,0))</f>
        <v>0</v>
      </c>
      <c r="X405" s="152">
        <f>X398*INDEX('DATA (Nominal)'!$B$116:$BX$116,1,MATCH(X$1,'DATA (Nominal)'!$B$1:$BX$1,0))</f>
        <v>0</v>
      </c>
      <c r="Y405" s="156"/>
    </row>
    <row r="406" spans="2:25" hidden="1" outlineLevel="1">
      <c r="C406" s="125" t="s">
        <v>127</v>
      </c>
      <c r="D406" s="151"/>
      <c r="E406" s="151">
        <f>E398*E399*INDEX('DATA (Nominal)'!$B$336:$BX$336,1,MATCH(E$1,'DATA (Nominal)'!$B$1:$BX$1,0))</f>
        <v>22178.293496478298</v>
      </c>
      <c r="F406" s="151">
        <f>F398*F399*INDEX('DATA (Nominal)'!$B$336:$BX$336,1,MATCH(F$1,'DATA (Nominal)'!$B$1:$BX$1,0))</f>
        <v>22178.293496478298</v>
      </c>
      <c r="G406" s="151">
        <f>G398*G399*INDEX('DATA (Nominal)'!$B$336:$BX$336,1,MATCH(G$1,'DATA (Nominal)'!$B$1:$BX$1,0))</f>
        <v>22178.293496478298</v>
      </c>
      <c r="H406" s="151">
        <f>H398*H399*INDEX('DATA (Nominal)'!$B$336:$BX$336,1,MATCH(H$1,'DATA (Nominal)'!$B$1:$BX$1,0))</f>
        <v>22178.293496478298</v>
      </c>
      <c r="I406" s="151">
        <f>I398*I399*INDEX('DATA (Nominal)'!$B$336:$BX$336,1,MATCH(I$1,'DATA (Nominal)'!$B$1:$BX$1,0))</f>
        <v>22178.293496478298</v>
      </c>
      <c r="J406" s="151">
        <f>J398*J399*INDEX('DATA (Nominal)'!$B$336:$BX$336,1,MATCH(J$1,'DATA (Nominal)'!$B$1:$BX$1,0))</f>
        <v>22178.293496478298</v>
      </c>
      <c r="K406" s="151">
        <f>K398*K399*INDEX('DATA (Nominal)'!$B$336:$BX$336,1,MATCH(K$1,'DATA (Nominal)'!$B$1:$BX$1,0))</f>
        <v>22178.293496478298</v>
      </c>
      <c r="L406" s="151">
        <f>L398*L399*INDEX('DATA (Nominal)'!$B$336:$BX$336,1,MATCH(L$1,'DATA (Nominal)'!$B$1:$BX$1,0))</f>
        <v>22178.293496478298</v>
      </c>
      <c r="M406" s="151">
        <f>M398*M399*INDEX('DATA (Nominal)'!$B$336:$BX$336,1,MATCH(M$1,'DATA (Nominal)'!$B$1:$BX$1,0))</f>
        <v>22178.293496478298</v>
      </c>
      <c r="N406" s="151">
        <f>N398*N399*INDEX('DATA (Nominal)'!$B$336:$BX$336,1,MATCH(N$1,'DATA (Nominal)'!$B$1:$BX$1,0))</f>
        <v>22178.293496478298</v>
      </c>
      <c r="O406" s="151">
        <f>O398*O399*INDEX('DATA (Nominal)'!$B$336:$BX$336,1,MATCH(O$1,'DATA (Nominal)'!$B$1:$BX$1,0))</f>
        <v>22178.293496478298</v>
      </c>
      <c r="P406" s="151">
        <f>P398*P399*INDEX('DATA (Nominal)'!$B$336:$BX$336,1,MATCH(P$1,'DATA (Nominal)'!$B$1:$BX$1,0))</f>
        <v>22178.293496478298</v>
      </c>
      <c r="Q406" s="151">
        <f>Q398*Q399*INDEX('DATA (Nominal)'!$B$336:$BX$336,1,MATCH(Q$1,'DATA (Nominal)'!$B$1:$BX$1,0))</f>
        <v>22178.293496478298</v>
      </c>
      <c r="R406" s="151">
        <f>R398*R399*INDEX('DATA (Nominal)'!$B$336:$BX$336,1,MATCH(R$1,'DATA (Nominal)'!$B$1:$BX$1,0))</f>
        <v>22178.293496478298</v>
      </c>
      <c r="S406" s="151">
        <f>S398*S399*INDEX('DATA (Nominal)'!$B$336:$BX$336,1,MATCH(S$1,'DATA (Nominal)'!$B$1:$BX$1,0))</f>
        <v>22178.293496478298</v>
      </c>
      <c r="T406" s="151">
        <f>T398*T399*INDEX('DATA (Nominal)'!$B$336:$BX$336,1,MATCH(T$1,'DATA (Nominal)'!$B$1:$BX$1,0))</f>
        <v>22178.293496478298</v>
      </c>
      <c r="U406" s="151">
        <f>U398*U399*INDEX('DATA (Nominal)'!$B$336:$BX$336,1,MATCH(U$1,'DATA (Nominal)'!$B$1:$BX$1,0))</f>
        <v>22178.293496478298</v>
      </c>
      <c r="V406" s="151">
        <f>V398*V399*INDEX('DATA (Nominal)'!$B$336:$BX$336,1,MATCH(V$1,'DATA (Nominal)'!$B$1:$BX$1,0))</f>
        <v>22178.293496478298</v>
      </c>
      <c r="W406" s="151">
        <f>W398*W399*INDEX('DATA (Nominal)'!$B$336:$BX$336,1,MATCH(W$1,'DATA (Nominal)'!$B$1:$BX$1,0))</f>
        <v>22178.293496478298</v>
      </c>
      <c r="X406" s="152">
        <f>X398*X399*INDEX('DATA (Nominal)'!$B$336:$BX$336,1,MATCH(X$1,'DATA (Nominal)'!$B$1:$BX$1,0))</f>
        <v>22178.293496478298</v>
      </c>
      <c r="Y406" s="156"/>
    </row>
    <row r="407" spans="2:25" hidden="1" outlineLevel="1">
      <c r="C407" s="258" t="s">
        <v>49</v>
      </c>
      <c r="D407" s="151"/>
      <c r="E407" s="151">
        <f>D429*Property_Tax_Rate</f>
        <v>2582698.1524941134</v>
      </c>
      <c r="F407" s="151">
        <f t="shared" ref="F407:M407" si="238">E429*Property_Tax_Rate</f>
        <v>2438791.4511867287</v>
      </c>
      <c r="G407" s="151">
        <f t="shared" si="238"/>
        <v>2302903.1621979396</v>
      </c>
      <c r="H407" s="151">
        <f t="shared" si="238"/>
        <v>2174586.503442361</v>
      </c>
      <c r="I407" s="151">
        <f t="shared" si="238"/>
        <v>2053419.5873179405</v>
      </c>
      <c r="J407" s="151">
        <f t="shared" si="238"/>
        <v>1939004.0335972977</v>
      </c>
      <c r="K407" s="151">
        <f t="shared" si="238"/>
        <v>1830963.6596080901</v>
      </c>
      <c r="L407" s="151">
        <f t="shared" si="238"/>
        <v>1728943.2433959024</v>
      </c>
      <c r="M407" s="151">
        <f t="shared" si="238"/>
        <v>1632607.3558031064</v>
      </c>
      <c r="N407" s="151">
        <f>M429*Property_Tax_Rate</f>
        <v>1541639.2576237232</v>
      </c>
      <c r="O407" s="151">
        <f>N429*Property_Tax_Rate</f>
        <v>1455739.8582082891</v>
      </c>
      <c r="P407" s="151">
        <f t="shared" ref="P407:X407" si="239">O429*Property_Tax_Rate</f>
        <v>2050445.713329751</v>
      </c>
      <c r="Q407" s="151">
        <f t="shared" si="239"/>
        <v>1876831.3192997673</v>
      </c>
      <c r="R407" s="151">
        <f t="shared" si="239"/>
        <v>1717917.1231918493</v>
      </c>
      <c r="S407" s="151">
        <f t="shared" si="239"/>
        <v>1572458.4366254325</v>
      </c>
      <c r="T407" s="151">
        <f t="shared" si="239"/>
        <v>1439315.9609006164</v>
      </c>
      <c r="U407" s="151">
        <f t="shared" si="239"/>
        <v>1317446.8634917168</v>
      </c>
      <c r="V407" s="151">
        <f t="shared" si="239"/>
        <v>1205896.6101078405</v>
      </c>
      <c r="W407" s="151">
        <f t="shared" si="239"/>
        <v>1103791.4883454605</v>
      </c>
      <c r="X407" s="152">
        <f t="shared" si="239"/>
        <v>1010331.7643748352</v>
      </c>
      <c r="Y407" s="156"/>
    </row>
    <row r="408" spans="2:25" hidden="1" outlineLevel="1">
      <c r="C408" s="258" t="s">
        <v>50</v>
      </c>
      <c r="D408" s="151"/>
      <c r="E408" s="151">
        <f>SUM(E403:E407)</f>
        <v>6947537.2722432278</v>
      </c>
      <c r="F408" s="151">
        <f>SUM(F403:F407)</f>
        <v>6728990.89803888</v>
      </c>
      <c r="G408" s="151">
        <f t="shared" ref="G408:N408" si="240">SUM(G403:G407)</f>
        <v>6526099.1230816822</v>
      </c>
      <c r="H408" s="151">
        <f t="shared" si="240"/>
        <v>6311213.6311329249</v>
      </c>
      <c r="I408" s="151">
        <f t="shared" si="240"/>
        <v>6124892.5474620992</v>
      </c>
      <c r="J408" s="151">
        <f t="shared" si="240"/>
        <v>5940619.5447477484</v>
      </c>
      <c r="K408" s="151">
        <f t="shared" si="240"/>
        <v>5880183.301723009</v>
      </c>
      <c r="L408" s="151">
        <f t="shared" si="240"/>
        <v>5824734.7836568067</v>
      </c>
      <c r="M408" s="151">
        <f t="shared" si="240"/>
        <v>5775099.673872889</v>
      </c>
      <c r="N408" s="151">
        <f t="shared" si="240"/>
        <v>5730944.5167982653</v>
      </c>
      <c r="O408" s="151">
        <f>SUM(O403:O407)</f>
        <v>5691952.7109472435</v>
      </c>
      <c r="P408" s="151">
        <f t="shared" ref="P408:X408" si="241">SUM(P403:P407)</f>
        <v>6333642.479939824</v>
      </c>
      <c r="Q408" s="151">
        <f t="shared" si="241"/>
        <v>6207069.1389746983</v>
      </c>
      <c r="R408" s="151">
        <f t="shared" si="241"/>
        <v>6095233.0765914023</v>
      </c>
      <c r="S408" s="151">
        <f t="shared" si="241"/>
        <v>5996868.6391529106</v>
      </c>
      <c r="T408" s="151">
        <f t="shared" si="241"/>
        <v>5910814.6258153841</v>
      </c>
      <c r="U408" s="151">
        <f t="shared" si="241"/>
        <v>5836005.3339693276</v>
      </c>
      <c r="V408" s="151">
        <f t="shared" si="241"/>
        <v>5771462.3593358062</v>
      </c>
      <c r="W408" s="151">
        <f t="shared" si="241"/>
        <v>5716287.0867178254</v>
      </c>
      <c r="X408" s="152">
        <f t="shared" si="241"/>
        <v>5669653.8128227266</v>
      </c>
      <c r="Y408" s="156"/>
    </row>
    <row r="409" spans="2:25" hidden="1" outlineLevel="1">
      <c r="C409" s="258" t="s">
        <v>179</v>
      </c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>
        <f>INDEX('DATA (Nominal)'!$B$73:$BX$73,1,MATCH($O$1,'DATA (Nominal)'!$B$1:$BX$1,0))*1000000*(1+AFUDC!$D$21)*0.5*'Resource Options'!$D$21/1000</f>
        <v>65337462.950099073</v>
      </c>
      <c r="P409" s="151"/>
      <c r="Q409" s="151"/>
      <c r="R409" s="151"/>
      <c r="S409" s="151"/>
      <c r="T409" s="151"/>
      <c r="U409" s="151"/>
      <c r="V409" s="151"/>
      <c r="W409" s="151"/>
      <c r="X409" s="152"/>
      <c r="Y409" s="156"/>
    </row>
    <row r="410" spans="2:25" hidden="1" outlineLevel="1">
      <c r="C410" s="258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2"/>
      <c r="Y410" s="156"/>
    </row>
    <row r="411" spans="2:25" hidden="1" outlineLevel="1">
      <c r="C411" s="125" t="s">
        <v>51</v>
      </c>
      <c r="D411" s="151"/>
      <c r="E411" s="151">
        <f>E401-E408</f>
        <v>19720451.211552951</v>
      </c>
      <c r="F411" s="151">
        <f t="shared" ref="F411:N411" si="242">F401-F408</f>
        <v>19938997.5857573</v>
      </c>
      <c r="G411" s="151">
        <f t="shared" si="242"/>
        <v>20141889.360714495</v>
      </c>
      <c r="H411" s="151">
        <f t="shared" si="242"/>
        <v>20356774.852663256</v>
      </c>
      <c r="I411" s="151">
        <f t="shared" si="242"/>
        <v>20543095.936334081</v>
      </c>
      <c r="J411" s="151">
        <f t="shared" si="242"/>
        <v>20727368.939048432</v>
      </c>
      <c r="K411" s="151">
        <f t="shared" si="242"/>
        <v>20787805.182073168</v>
      </c>
      <c r="L411" s="151">
        <f t="shared" si="242"/>
        <v>20843253.700139374</v>
      </c>
      <c r="M411" s="151">
        <f t="shared" si="242"/>
        <v>20892888.809923291</v>
      </c>
      <c r="N411" s="151">
        <f t="shared" si="242"/>
        <v>20937043.966997914</v>
      </c>
      <c r="O411" s="151">
        <f>O401-O408</f>
        <v>20976035.772848934</v>
      </c>
      <c r="P411" s="151">
        <f>P401-P408</f>
        <v>20334346.003856353</v>
      </c>
      <c r="Q411" s="151">
        <f t="shared" ref="Q411:X411" si="243">Q401-Q408</f>
        <v>20460919.344821483</v>
      </c>
      <c r="R411" s="151">
        <f t="shared" si="243"/>
        <v>20572755.407204777</v>
      </c>
      <c r="S411" s="151">
        <f t="shared" si="243"/>
        <v>20671119.844643269</v>
      </c>
      <c r="T411" s="151">
        <f t="shared" si="243"/>
        <v>20757173.857980795</v>
      </c>
      <c r="U411" s="151">
        <f t="shared" si="243"/>
        <v>20831983.149826851</v>
      </c>
      <c r="V411" s="151">
        <f t="shared" si="243"/>
        <v>20896526.124460373</v>
      </c>
      <c r="W411" s="151">
        <f t="shared" si="243"/>
        <v>20951701.397078354</v>
      </c>
      <c r="X411" s="152">
        <f t="shared" si="243"/>
        <v>20998334.670973454</v>
      </c>
      <c r="Y411" s="156"/>
    </row>
    <row r="412" spans="2:25" hidden="1" outlineLevel="1">
      <c r="C412" s="125" t="s">
        <v>52</v>
      </c>
      <c r="D412" s="151"/>
      <c r="E412" s="151">
        <f>E411-E430-E419</f>
        <v>-31115401.304042924</v>
      </c>
      <c r="F412" s="151">
        <f t="shared" ref="F412:M412" si="244">F411-F430-F419</f>
        <v>-57041628.789208412</v>
      </c>
      <c r="G412" s="151">
        <f t="shared" si="244"/>
        <v>-28529302.717761293</v>
      </c>
      <c r="H412" s="151">
        <f t="shared" si="244"/>
        <v>-11233352.977122515</v>
      </c>
      <c r="I412" s="151">
        <f t="shared" si="244"/>
        <v>-10813654.595236782</v>
      </c>
      <c r="J412" s="151">
        <f t="shared" si="244"/>
        <v>2261721.6117054727</v>
      </c>
      <c r="K412" s="151">
        <f t="shared" si="244"/>
        <v>15226802.776687033</v>
      </c>
      <c r="L412" s="151">
        <f t="shared" si="244"/>
        <v>15556292.574302897</v>
      </c>
      <c r="M412" s="151">
        <f t="shared" si="244"/>
        <v>15895041.234011702</v>
      </c>
      <c r="N412" s="151">
        <f>N411-N430-N419</f>
        <v>16244211.186257083</v>
      </c>
      <c r="O412" s="151">
        <f>O411-O430-O419</f>
        <v>4546964.813572471</v>
      </c>
      <c r="P412" s="151">
        <f>P411-P430-P419</f>
        <v>-2221675.1266770037</v>
      </c>
      <c r="Q412" s="151">
        <f t="shared" ref="Q412:W412" si="245">Q411-Q430-Q419</f>
        <v>3046349.6952271909</v>
      </c>
      <c r="R412" s="151">
        <f t="shared" si="245"/>
        <v>7024879.7600847064</v>
      </c>
      <c r="S412" s="151">
        <f t="shared" si="245"/>
        <v>10089981.247302556</v>
      </c>
      <c r="T412" s="151">
        <f t="shared" si="245"/>
        <v>10845105.312336251</v>
      </c>
      <c r="U412" s="151">
        <f t="shared" si="245"/>
        <v>11625783.508721765</v>
      </c>
      <c r="V412" s="151">
        <f t="shared" si="245"/>
        <v>15351682.523736836</v>
      </c>
      <c r="W412" s="151">
        <f t="shared" si="245"/>
        <v>19107211.756033771</v>
      </c>
      <c r="X412" s="152">
        <f>X411-X430-X419</f>
        <v>19982705.502965026</v>
      </c>
      <c r="Y412" s="156"/>
    </row>
    <row r="413" spans="2:25" hidden="1" outlineLevel="1">
      <c r="C413" s="125" t="s">
        <v>53</v>
      </c>
      <c r="D413" s="151"/>
      <c r="E413" s="93">
        <f>INDEX('DATA (Nominal)'!$B$262:$BX$262,1,MATCH($B$1,'DATA (Nominal)'!$B$1:$BX$1,0))*INDEX('DATA (Nominal)'!$B$309:$BX$309,1,MATCH(E$1,'DATA (Nominal)'!$B$1:$BX$1,0))*E398</f>
        <v>6756044.9450969258</v>
      </c>
      <c r="F413" s="93">
        <f>INDEX('DATA (Nominal)'!$B$262:$BX$262,1,MATCH($B$1,'DATA (Nominal)'!$B$1:$BX$1,0))*INDEX('DATA (Nominal)'!$B$309:$BX$309,1,MATCH(F$1,'DATA (Nominal)'!$B$1:$BX$1,0))*F398</f>
        <v>6906929.9488707576</v>
      </c>
      <c r="G413" s="93">
        <f>INDEX('DATA (Nominal)'!$B$262:$BX$262,1,MATCH($B$1,'DATA (Nominal)'!$B$1:$BX$1,0))*INDEX('DATA (Nominal)'!$B$309:$BX$309,1,MATCH(G$1,'DATA (Nominal)'!$B$1:$BX$1,0))*G398</f>
        <v>7061184.7177288709</v>
      </c>
      <c r="H413" s="93">
        <f>INDEX('DATA (Nominal)'!$B$262:$BX$262,1,MATCH($B$1,'DATA (Nominal)'!$B$1:$BX$1,0))*INDEX('DATA (Nominal)'!$B$309:$BX$309,1,MATCH(H$1,'DATA (Nominal)'!$B$1:$BX$1,0))*H398</f>
        <v>7216530.7815189073</v>
      </c>
      <c r="I413" s="93">
        <f>INDEX('DATA (Nominal)'!$B$262:$BX$262,1,MATCH($B$1,'DATA (Nominal)'!$B$1:$BX$1,0))*INDEX('DATA (Nominal)'!$B$309:$BX$309,1,MATCH(I$1,'DATA (Nominal)'!$B$1:$BX$1,0))*I398</f>
        <v>7375294.4587123217</v>
      </c>
      <c r="J413" s="93">
        <f>INDEX('DATA (Nominal)'!$B$262:$BX$262,1,MATCH($B$1,'DATA (Nominal)'!$B$1:$BX$1,0))*INDEX('DATA (Nominal)'!$B$309:$BX$309,1,MATCH(J$1,'DATA (Nominal)'!$B$1:$BX$1,0))*J398</f>
        <v>7537550.9368039938</v>
      </c>
      <c r="K413" s="93">
        <f>INDEX('DATA (Nominal)'!$B$262:$BX$262,1,MATCH($B$1,'DATA (Nominal)'!$B$1:$BX$1,0))*INDEX('DATA (Nominal)'!$B$309:$BX$309,1,MATCH(K$1,'DATA (Nominal)'!$B$1:$BX$1,0))*K398</f>
        <v>7703377.0574136805</v>
      </c>
      <c r="L413" s="93">
        <f>INDEX('DATA (Nominal)'!$B$262:$BX$262,1,MATCH($B$1,'DATA (Nominal)'!$B$1:$BX$1,0))*INDEX('DATA (Nominal)'!$B$309:$BX$309,1,MATCH(L$1,'DATA (Nominal)'!$B$1:$BX$1,0))*L398</f>
        <v>7872851.3526767828</v>
      </c>
      <c r="M413" s="93">
        <f>INDEX('DATA (Nominal)'!$B$262:$BX$262,1,MATCH($B$1,'DATA (Nominal)'!$B$1:$BX$1,0))*INDEX('DATA (Nominal)'!$B$309:$BX$309,1,MATCH(M$1,'DATA (Nominal)'!$B$1:$BX$1,0))*M398</f>
        <v>8046054.0824356731</v>
      </c>
      <c r="N413" s="93">
        <f>INDEX('DATA (Nominal)'!$B$262:$BX$262,1,MATCH($B$1,'DATA (Nominal)'!$B$1:$BX$1,0))*INDEX('DATA (Nominal)'!$B$309:$BX$309,1,MATCH(N$1,'DATA (Nominal)'!$B$1:$BX$1,0))*N398</f>
        <v>8223067.2722492572</v>
      </c>
      <c r="O413" s="151"/>
      <c r="P413" s="151"/>
      <c r="Q413" s="151"/>
      <c r="R413" s="151"/>
      <c r="S413" s="151"/>
      <c r="T413" s="151"/>
      <c r="U413" s="151"/>
      <c r="V413" s="151"/>
      <c r="W413" s="151"/>
      <c r="X413" s="152"/>
      <c r="Y413" s="156"/>
    </row>
    <row r="414" spans="2:25" hidden="1" outlineLevel="1">
      <c r="C414" s="258" t="s">
        <v>54</v>
      </c>
      <c r="D414" s="151"/>
      <c r="E414" s="151">
        <f>E412*Federal_Tax_Rate-E413</f>
        <v>-13290279.218945939</v>
      </c>
      <c r="F414" s="151">
        <f>F412*Federal_Tax_Rate-F413</f>
        <v>-18885671.994604524</v>
      </c>
      <c r="G414" s="151">
        <f t="shared" ref="G414:N414" si="246">G412*Federal_Tax_Rate-G413</f>
        <v>-13052338.288458742</v>
      </c>
      <c r="H414" s="151">
        <f t="shared" si="246"/>
        <v>-9575534.906714635</v>
      </c>
      <c r="I414" s="151">
        <f t="shared" si="246"/>
        <v>-9646161.923712045</v>
      </c>
      <c r="J414" s="151">
        <f t="shared" si="246"/>
        <v>-7062589.3983458448</v>
      </c>
      <c r="K414" s="151">
        <f t="shared" si="246"/>
        <v>-4505748.4743094034</v>
      </c>
      <c r="L414" s="151">
        <f t="shared" si="246"/>
        <v>-4606029.9120731745</v>
      </c>
      <c r="M414" s="151">
        <f t="shared" si="246"/>
        <v>-4708095.4232932162</v>
      </c>
      <c r="N414" s="151">
        <f t="shared" si="246"/>
        <v>-4811782.9231352694</v>
      </c>
      <c r="O414" s="151">
        <f>O412*Federal_Tax_Rate-O413</f>
        <v>954862.61085021892</v>
      </c>
      <c r="P414" s="151">
        <f t="shared" ref="P414:X414" si="247">P412*Federal_Tax_Rate-P413</f>
        <v>-466551.77660217078</v>
      </c>
      <c r="Q414" s="151">
        <f t="shared" si="247"/>
        <v>639733.4359977101</v>
      </c>
      <c r="R414" s="151">
        <f t="shared" si="247"/>
        <v>1475224.7496177882</v>
      </c>
      <c r="S414" s="151">
        <f t="shared" si="247"/>
        <v>2118896.0619335365</v>
      </c>
      <c r="T414" s="151">
        <f t="shared" si="247"/>
        <v>2277472.1155906129</v>
      </c>
      <c r="U414" s="151">
        <f t="shared" si="247"/>
        <v>2441414.5368315708</v>
      </c>
      <c r="V414" s="151">
        <f t="shared" si="247"/>
        <v>3223853.3299847357</v>
      </c>
      <c r="W414" s="151">
        <f t="shared" si="247"/>
        <v>4012514.4687670916</v>
      </c>
      <c r="X414" s="152">
        <f t="shared" si="247"/>
        <v>4196368.1556226555</v>
      </c>
      <c r="Y414" s="156"/>
    </row>
    <row r="415" spans="2:25" hidden="1" outlineLevel="1">
      <c r="C415" s="258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2"/>
      <c r="Y415" s="156"/>
    </row>
    <row r="416" spans="2:25" hidden="1" outlineLevel="1">
      <c r="B416" s="37">
        <f>IRR(D416:Y416,0.1)</f>
        <v>7.5000000162874336E-2</v>
      </c>
      <c r="C416" s="125" t="s">
        <v>55</v>
      </c>
      <c r="D416" s="155">
        <f>SUM(D425:D426)</f>
        <v>-258269815.24941134</v>
      </c>
      <c r="E416" s="156">
        <f t="shared" ref="E416:K416" si="248">E411-E414</f>
        <v>33010730.430498891</v>
      </c>
      <c r="F416" s="151">
        <f t="shared" si="248"/>
        <v>38824669.580361828</v>
      </c>
      <c r="G416" s="151">
        <f t="shared" si="248"/>
        <v>33194227.649173237</v>
      </c>
      <c r="H416" s="151">
        <f t="shared" si="248"/>
        <v>29932309.759377889</v>
      </c>
      <c r="I416" s="151">
        <f t="shared" si="248"/>
        <v>30189257.860046126</v>
      </c>
      <c r="J416" s="151">
        <f t="shared" si="248"/>
        <v>27789958.337394275</v>
      </c>
      <c r="K416" s="151">
        <f t="shared" si="248"/>
        <v>25293553.656382572</v>
      </c>
      <c r="L416" s="151">
        <f>L411-L414</f>
        <v>25449283.612212546</v>
      </c>
      <c r="M416" s="151">
        <f t="shared" ref="M416:N416" si="249">M411-M414</f>
        <v>25600984.233216509</v>
      </c>
      <c r="N416" s="151">
        <f t="shared" si="249"/>
        <v>25748826.890133183</v>
      </c>
      <c r="O416" s="151">
        <f>O411-O414-O409</f>
        <v>-45316289.788100362</v>
      </c>
      <c r="P416" s="151">
        <f>P411-P414</f>
        <v>20800897.780458525</v>
      </c>
      <c r="Q416" s="151">
        <f t="shared" ref="Q416:X416" si="250">Q411-Q414</f>
        <v>19821185.908823773</v>
      </c>
      <c r="R416" s="151">
        <f t="shared" si="250"/>
        <v>19097530.657586988</v>
      </c>
      <c r="S416" s="151">
        <f t="shared" si="250"/>
        <v>18552223.782709733</v>
      </c>
      <c r="T416" s="151">
        <f t="shared" si="250"/>
        <v>18479701.742390182</v>
      </c>
      <c r="U416" s="151">
        <f t="shared" si="250"/>
        <v>18390568.612995282</v>
      </c>
      <c r="V416" s="151">
        <f t="shared" si="250"/>
        <v>17672672.794475637</v>
      </c>
      <c r="W416" s="151">
        <f t="shared" si="250"/>
        <v>16939186.928311262</v>
      </c>
      <c r="X416" s="152">
        <f t="shared" si="250"/>
        <v>16801966.515350796</v>
      </c>
      <c r="Y416" s="156">
        <f>D416*-0.3</f>
        <v>77480944.574823394</v>
      </c>
    </row>
    <row r="417" spans="2:25" hidden="1" outlineLevel="1">
      <c r="B417" s="37">
        <f>IRR(D417:Y417,0.1)</f>
        <v>0.12388438278982705</v>
      </c>
      <c r="C417" s="125" t="s">
        <v>56</v>
      </c>
      <c r="D417" s="155">
        <f>-D435</f>
        <v>-45428466.039503448</v>
      </c>
      <c r="E417" s="156">
        <f t="shared" ref="E417:M417" si="251">E416-E419-E422-E431-E413</f>
        <v>6490881.9565271614</v>
      </c>
      <c r="F417" s="151">
        <f t="shared" si="251"/>
        <v>6621796.6599738766</v>
      </c>
      <c r="G417" s="151">
        <f t="shared" si="251"/>
        <v>6738048.6987457229</v>
      </c>
      <c r="H417" s="151">
        <f t="shared" si="251"/>
        <v>6861353.9884514688</v>
      </c>
      <c r="I417" s="151">
        <f t="shared" si="251"/>
        <v>6959538.4119262947</v>
      </c>
      <c r="J417" s="151">
        <f t="shared" si="251"/>
        <v>7053409.3436511187</v>
      </c>
      <c r="K417" s="151">
        <f t="shared" si="251"/>
        <v>7046605.4744980726</v>
      </c>
      <c r="L417" s="151">
        <f t="shared" si="251"/>
        <v>7032861.1350649465</v>
      </c>
      <c r="M417" s="151">
        <f t="shared" si="251"/>
        <v>7011359.0263100173</v>
      </c>
      <c r="N417" s="151">
        <f>N416-N419-N422-N431-N413</f>
        <v>6982188.4934131075</v>
      </c>
      <c r="O417" s="151">
        <f>O416-O419-O422-O431-O413+O409</f>
        <v>1146330.0111341774</v>
      </c>
      <c r="P417" s="151">
        <f>P416-P419-P422-P431-P413</f>
        <v>525977.338514084</v>
      </c>
      <c r="Q417" s="151">
        <f>Q416-Q419-Q422-Q431-Q413</f>
        <v>506314.54622920277</v>
      </c>
      <c r="R417" s="151">
        <f t="shared" ref="R417:X417" si="252">R416-R419-R422-R431-R413</f>
        <v>468428.23862406774</v>
      </c>
      <c r="S417" s="151">
        <f t="shared" si="252"/>
        <v>412956.32348370505</v>
      </c>
      <c r="T417" s="151">
        <f t="shared" si="252"/>
        <v>340434.28316415427</v>
      </c>
      <c r="U417" s="151">
        <f t="shared" si="252"/>
        <v>251301.15376925422</v>
      </c>
      <c r="V417" s="151">
        <f t="shared" si="252"/>
        <v>145904.84792901855</v>
      </c>
      <c r="W417" s="151">
        <f t="shared" si="252"/>
        <v>24506.868427466601</v>
      </c>
      <c r="X417" s="152">
        <f t="shared" si="252"/>
        <v>-112713.5445329994</v>
      </c>
      <c r="Y417" s="156">
        <f>Y416</f>
        <v>77480944.574823394</v>
      </c>
    </row>
    <row r="418" spans="2:25" hidden="1" outlineLevel="1">
      <c r="B418" s="21"/>
      <c r="C418" s="125"/>
      <c r="D418" s="155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2"/>
      <c r="Y418" s="156"/>
    </row>
    <row r="419" spans="2:25" hidden="1" outlineLevel="1">
      <c r="B419" s="452"/>
      <c r="C419" s="258" t="s">
        <v>57</v>
      </c>
      <c r="D419" s="151"/>
      <c r="E419" s="151">
        <f t="shared" ref="E419:W419" si="253">D423*Debt_Rate</f>
        <v>6929983.9231959498</v>
      </c>
      <c r="F419" s="151">
        <f t="shared" si="253"/>
        <v>6731236.6271258323</v>
      </c>
      <c r="G419" s="151">
        <f t="shared" si="253"/>
        <v>6521558.2297718581</v>
      </c>
      <c r="H419" s="151">
        <f t="shared" si="253"/>
        <v>6300347.5205634153</v>
      </c>
      <c r="I419" s="151">
        <f t="shared" si="253"/>
        <v>6066970.2223485075</v>
      </c>
      <c r="J419" s="151">
        <f t="shared" si="253"/>
        <v>5820757.1727317814</v>
      </c>
      <c r="K419" s="151">
        <f t="shared" si="253"/>
        <v>5561002.4053861341</v>
      </c>
      <c r="L419" s="151">
        <f t="shared" si="253"/>
        <v>5286961.1258364767</v>
      </c>
      <c r="M419" s="151">
        <f t="shared" si="253"/>
        <v>4997847.575911588</v>
      </c>
      <c r="N419" s="151">
        <f t="shared" si="253"/>
        <v>4692832.7807408301</v>
      </c>
      <c r="O419" s="151">
        <f t="shared" si="253"/>
        <v>7094961.0022253105</v>
      </c>
      <c r="P419" s="151">
        <f t="shared" si="253"/>
        <v>6554876.4540540939</v>
      </c>
      <c r="Q419" s="151">
        <f t="shared" si="253"/>
        <v>5985087.2557334602</v>
      </c>
      <c r="R419" s="151">
        <f t="shared" si="253"/>
        <v>5383959.6515051918</v>
      </c>
      <c r="S419" s="151">
        <f t="shared" si="253"/>
        <v>4749770.0290443692</v>
      </c>
      <c r="T419" s="151">
        <f t="shared" si="253"/>
        <v>4080699.9773482005</v>
      </c>
      <c r="U419" s="151">
        <f t="shared" si="253"/>
        <v>3374831.072808743</v>
      </c>
      <c r="V419" s="151">
        <f t="shared" si="253"/>
        <v>2630139.3785196147</v>
      </c>
      <c r="W419" s="151">
        <f t="shared" si="253"/>
        <v>1844489.641044585</v>
      </c>
      <c r="X419" s="152">
        <f>W423*Debt_Rate</f>
        <v>1015629.1680084285</v>
      </c>
      <c r="Y419" s="156"/>
    </row>
    <row r="420" spans="2:25" hidden="1" outlineLevel="1">
      <c r="B420" s="452"/>
      <c r="C420" s="258" t="s">
        <v>113</v>
      </c>
      <c r="D420" s="151"/>
      <c r="E420" s="151">
        <f t="shared" ref="E420:X420" si="254">-PMT(Debt_Rate,20,$D434)</f>
        <v>10543571.124470817</v>
      </c>
      <c r="F420" s="151">
        <f t="shared" si="254"/>
        <v>10543571.124470817</v>
      </c>
      <c r="G420" s="151">
        <f t="shared" si="254"/>
        <v>10543571.124470817</v>
      </c>
      <c r="H420" s="151">
        <f t="shared" si="254"/>
        <v>10543571.124470817</v>
      </c>
      <c r="I420" s="151">
        <f t="shared" si="254"/>
        <v>10543571.124470817</v>
      </c>
      <c r="J420" s="151">
        <f t="shared" si="254"/>
        <v>10543571.124470817</v>
      </c>
      <c r="K420" s="151">
        <f t="shared" si="254"/>
        <v>10543571.124470817</v>
      </c>
      <c r="L420" s="151">
        <f t="shared" si="254"/>
        <v>10543571.124470817</v>
      </c>
      <c r="M420" s="151">
        <f t="shared" si="254"/>
        <v>10543571.124470817</v>
      </c>
      <c r="N420" s="151">
        <f t="shared" si="254"/>
        <v>10543571.124470817</v>
      </c>
      <c r="O420" s="151">
        <f t="shared" si="254"/>
        <v>10543571.124470817</v>
      </c>
      <c r="P420" s="151">
        <f t="shared" si="254"/>
        <v>10543571.124470817</v>
      </c>
      <c r="Q420" s="151">
        <f t="shared" si="254"/>
        <v>10543571.124470817</v>
      </c>
      <c r="R420" s="151">
        <f t="shared" si="254"/>
        <v>10543571.124470817</v>
      </c>
      <c r="S420" s="151">
        <f t="shared" si="254"/>
        <v>10543571.124470817</v>
      </c>
      <c r="T420" s="151">
        <f t="shared" si="254"/>
        <v>10543571.124470817</v>
      </c>
      <c r="U420" s="151">
        <f t="shared" si="254"/>
        <v>10543571.124470817</v>
      </c>
      <c r="V420" s="151">
        <f t="shared" si="254"/>
        <v>10543571.124470817</v>
      </c>
      <c r="W420" s="151">
        <f t="shared" si="254"/>
        <v>10543571.124470817</v>
      </c>
      <c r="X420" s="152">
        <f t="shared" si="254"/>
        <v>10543571.124470817</v>
      </c>
      <c r="Y420" s="156"/>
    </row>
    <row r="421" spans="2:25" hidden="1" outlineLevel="1">
      <c r="B421" s="452"/>
      <c r="C421" s="258" t="s">
        <v>161</v>
      </c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>
        <f>-PMT(Debt_Rate,10,$O409)*$B434</f>
        <v>6371108.9354129797</v>
      </c>
      <c r="P421" s="151">
        <f t="shared" ref="P421:X421" si="255">-PMT(Debt_Rate,10,$O409)*$B434</f>
        <v>6371108.9354129797</v>
      </c>
      <c r="Q421" s="151">
        <f t="shared" si="255"/>
        <v>6371108.9354129797</v>
      </c>
      <c r="R421" s="151">
        <f t="shared" si="255"/>
        <v>6371108.9354129797</v>
      </c>
      <c r="S421" s="151">
        <f t="shared" si="255"/>
        <v>6371108.9354129797</v>
      </c>
      <c r="T421" s="151">
        <f t="shared" si="255"/>
        <v>6371108.9354129797</v>
      </c>
      <c r="U421" s="151">
        <f t="shared" si="255"/>
        <v>6371108.9354129797</v>
      </c>
      <c r="V421" s="151">
        <f t="shared" si="255"/>
        <v>6371108.9354129797</v>
      </c>
      <c r="W421" s="151">
        <f t="shared" si="255"/>
        <v>6371108.9354129797</v>
      </c>
      <c r="X421" s="152">
        <f t="shared" si="255"/>
        <v>6371108.9354129797</v>
      </c>
      <c r="Y421" s="156"/>
    </row>
    <row r="422" spans="2:25" hidden="1" outlineLevel="1">
      <c r="B422" s="452"/>
      <c r="C422" s="258" t="s">
        <v>59</v>
      </c>
      <c r="D422" s="151"/>
      <c r="E422" s="156">
        <f>E421+E420-E419</f>
        <v>3613587.2012748672</v>
      </c>
      <c r="F422" s="151">
        <f t="shared" ref="F422:L422" si="256">F421+F420-F419</f>
        <v>3812334.4973449847</v>
      </c>
      <c r="G422" s="151">
        <f t="shared" si="256"/>
        <v>4022012.8946989588</v>
      </c>
      <c r="H422" s="151">
        <f t="shared" si="256"/>
        <v>4243223.6039074017</v>
      </c>
      <c r="I422" s="151">
        <f t="shared" si="256"/>
        <v>4476600.9021223094</v>
      </c>
      <c r="J422" s="151">
        <f t="shared" si="256"/>
        <v>4722813.9517390355</v>
      </c>
      <c r="K422" s="151">
        <f t="shared" si="256"/>
        <v>4982568.7190846829</v>
      </c>
      <c r="L422" s="151">
        <f t="shared" si="256"/>
        <v>5256609.9986343402</v>
      </c>
      <c r="M422" s="151">
        <f>M421+M420-M419</f>
        <v>5545723.5485592289</v>
      </c>
      <c r="N422" s="151">
        <f>N421+N420-N419</f>
        <v>5850738.3437299868</v>
      </c>
      <c r="O422" s="151">
        <f>O421+O420-O419</f>
        <v>9819719.0576584861</v>
      </c>
      <c r="P422" s="151">
        <f>P421+P420-P419</f>
        <v>10359803.605829701</v>
      </c>
      <c r="Q422" s="151">
        <f t="shared" ref="Q422:X422" si="257">Q421+Q420-Q419</f>
        <v>10929592.804150335</v>
      </c>
      <c r="R422" s="151">
        <f t="shared" si="257"/>
        <v>11530720.408378605</v>
      </c>
      <c r="S422" s="151">
        <f t="shared" si="257"/>
        <v>12164910.030839426</v>
      </c>
      <c r="T422" s="151">
        <f t="shared" si="257"/>
        <v>12833980.082535595</v>
      </c>
      <c r="U422" s="151">
        <f t="shared" si="257"/>
        <v>13539848.987075053</v>
      </c>
      <c r="V422" s="151">
        <f t="shared" si="257"/>
        <v>14284540.681364181</v>
      </c>
      <c r="W422" s="151">
        <f t="shared" si="257"/>
        <v>15070190.418839211</v>
      </c>
      <c r="X422" s="152">
        <f t="shared" si="257"/>
        <v>15899050.891875368</v>
      </c>
      <c r="Y422" s="156"/>
    </row>
    <row r="423" spans="2:25" hidden="1" outlineLevel="1">
      <c r="B423" s="452"/>
      <c r="C423" s="258" t="s">
        <v>60</v>
      </c>
      <c r="D423" s="151">
        <f>D434</f>
        <v>125999707.69447182</v>
      </c>
      <c r="E423" s="151">
        <f>D423-E422+(F409*$B$76)</f>
        <v>122386120.49319695</v>
      </c>
      <c r="F423" s="151">
        <f t="shared" ref="F423:L423" si="258">E423-F422+(G409*$B$76)</f>
        <v>118573785.99585196</v>
      </c>
      <c r="G423" s="151">
        <f t="shared" si="258"/>
        <v>114551773.101153</v>
      </c>
      <c r="H423" s="151">
        <f t="shared" si="258"/>
        <v>110308549.49724559</v>
      </c>
      <c r="I423" s="151">
        <f t="shared" si="258"/>
        <v>105831948.59512329</v>
      </c>
      <c r="J423" s="151">
        <f t="shared" si="258"/>
        <v>101109134.64338425</v>
      </c>
      <c r="K423" s="151">
        <f t="shared" si="258"/>
        <v>96126565.924299568</v>
      </c>
      <c r="L423" s="151">
        <f t="shared" si="258"/>
        <v>90869955.92566523</v>
      </c>
      <c r="M423" s="151">
        <f>L423-M422+(N409*$B$76)</f>
        <v>85324232.377105996</v>
      </c>
      <c r="N423" s="151">
        <f>M423-N422+(O409*$B$76)</f>
        <v>128999290.94955111</v>
      </c>
      <c r="O423" s="151">
        <f t="shared" ref="O423:X423" si="259">N423-O422+(P409*$B$76)</f>
        <v>119179571.89189261</v>
      </c>
      <c r="P423" s="151">
        <f t="shared" si="259"/>
        <v>108819768.28606291</v>
      </c>
      <c r="Q423" s="151">
        <f t="shared" si="259"/>
        <v>97890175.481912583</v>
      </c>
      <c r="R423" s="151">
        <f t="shared" si="259"/>
        <v>86359455.073533982</v>
      </c>
      <c r="S423" s="151">
        <f t="shared" si="259"/>
        <v>74194545.042694554</v>
      </c>
      <c r="T423" s="151">
        <f t="shared" si="259"/>
        <v>61360564.960158959</v>
      </c>
      <c r="U423" s="151">
        <f t="shared" si="259"/>
        <v>47820715.973083906</v>
      </c>
      <c r="V423" s="151">
        <f t="shared" si="259"/>
        <v>33536175.291719727</v>
      </c>
      <c r="W423" s="151">
        <f t="shared" si="259"/>
        <v>18465984.872880518</v>
      </c>
      <c r="X423" s="152">
        <f t="shared" si="259"/>
        <v>2566933.9810051508</v>
      </c>
      <c r="Y423" s="156"/>
    </row>
    <row r="424" spans="2:25" hidden="1" outlineLevel="1">
      <c r="B424" s="452"/>
      <c r="C424" s="125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2"/>
      <c r="Y424" s="156"/>
    </row>
    <row r="425" spans="2:25" hidden="1" outlineLevel="1">
      <c r="B425" s="452"/>
      <c r="C425" s="258" t="s">
        <v>162</v>
      </c>
      <c r="D425" s="151">
        <f>-INDEX('DATA (Nominal)'!$B$72:$BX$72,1,MATCH($B$1,'DATA (Nominal)'!$B$1:$BX$1,0))*1000000*(1+AFUDC!$C$21)*'Resource Options'!$E$21/1000</f>
        <v>-120077175.13890114</v>
      </c>
      <c r="E425" s="151">
        <f t="shared" ref="E425:X425" si="260">-$D425/20</f>
        <v>6003858.7569450568</v>
      </c>
      <c r="F425" s="151">
        <f t="shared" si="260"/>
        <v>6003858.7569450568</v>
      </c>
      <c r="G425" s="151">
        <f t="shared" si="260"/>
        <v>6003858.7569450568</v>
      </c>
      <c r="H425" s="151">
        <f t="shared" si="260"/>
        <v>6003858.7569450568</v>
      </c>
      <c r="I425" s="151">
        <f t="shared" si="260"/>
        <v>6003858.7569450568</v>
      </c>
      <c r="J425" s="151">
        <f t="shared" si="260"/>
        <v>6003858.7569450568</v>
      </c>
      <c r="K425" s="151">
        <f t="shared" si="260"/>
        <v>6003858.7569450568</v>
      </c>
      <c r="L425" s="151">
        <f t="shared" si="260"/>
        <v>6003858.7569450568</v>
      </c>
      <c r="M425" s="151">
        <f t="shared" si="260"/>
        <v>6003858.7569450568</v>
      </c>
      <c r="N425" s="151">
        <f t="shared" si="260"/>
        <v>6003858.7569450568</v>
      </c>
      <c r="O425" s="151">
        <f t="shared" si="260"/>
        <v>6003858.7569450568</v>
      </c>
      <c r="P425" s="151">
        <f t="shared" si="260"/>
        <v>6003858.7569450568</v>
      </c>
      <c r="Q425" s="151">
        <f t="shared" si="260"/>
        <v>6003858.7569450568</v>
      </c>
      <c r="R425" s="151">
        <f t="shared" si="260"/>
        <v>6003858.7569450568</v>
      </c>
      <c r="S425" s="151">
        <f t="shared" si="260"/>
        <v>6003858.7569450568</v>
      </c>
      <c r="T425" s="151">
        <f t="shared" si="260"/>
        <v>6003858.7569450568</v>
      </c>
      <c r="U425" s="151">
        <f t="shared" si="260"/>
        <v>6003858.7569450568</v>
      </c>
      <c r="V425" s="151">
        <f t="shared" si="260"/>
        <v>6003858.7569450568</v>
      </c>
      <c r="W425" s="151">
        <f t="shared" si="260"/>
        <v>6003858.7569450568</v>
      </c>
      <c r="X425" s="152">
        <f t="shared" si="260"/>
        <v>6003858.7569450568</v>
      </c>
      <c r="Y425" s="156"/>
    </row>
    <row r="426" spans="2:25" hidden="1" outlineLevel="1">
      <c r="B426" s="452"/>
      <c r="C426" s="258" t="s">
        <v>163</v>
      </c>
      <c r="D426" s="151">
        <f>-INDEX('DATA (Nominal)'!$B$73:$BX$73,1,MATCH($B$1,'DATA (Nominal)'!$B$1:$BX$1,0))*1000000*(1+AFUDC!$D$21)*'Resource Options'!$D$21/1000</f>
        <v>-138192640.1105102</v>
      </c>
      <c r="E426" s="151">
        <f t="shared" ref="E426:N426" si="261">-$D426/10</f>
        <v>13819264.01105102</v>
      </c>
      <c r="F426" s="151">
        <f t="shared" si="261"/>
        <v>13819264.01105102</v>
      </c>
      <c r="G426" s="151">
        <f t="shared" si="261"/>
        <v>13819264.01105102</v>
      </c>
      <c r="H426" s="151">
        <f t="shared" si="261"/>
        <v>13819264.01105102</v>
      </c>
      <c r="I426" s="151">
        <f t="shared" si="261"/>
        <v>13819264.01105102</v>
      </c>
      <c r="J426" s="151">
        <f t="shared" si="261"/>
        <v>13819264.01105102</v>
      </c>
      <c r="K426" s="151">
        <f t="shared" si="261"/>
        <v>13819264.01105102</v>
      </c>
      <c r="L426" s="151">
        <f t="shared" si="261"/>
        <v>13819264.01105102</v>
      </c>
      <c r="M426" s="151">
        <f t="shared" si="261"/>
        <v>13819264.01105102</v>
      </c>
      <c r="N426" s="151">
        <f t="shared" si="261"/>
        <v>13819264.01105102</v>
      </c>
      <c r="O426" s="151">
        <f t="shared" ref="O426:X426" si="262">$O409/10</f>
        <v>6533746.2950099073</v>
      </c>
      <c r="P426" s="151">
        <f t="shared" si="262"/>
        <v>6533746.2950099073</v>
      </c>
      <c r="Q426" s="151">
        <f t="shared" si="262"/>
        <v>6533746.2950099073</v>
      </c>
      <c r="R426" s="151">
        <f t="shared" si="262"/>
        <v>6533746.2950099073</v>
      </c>
      <c r="S426" s="151">
        <f t="shared" si="262"/>
        <v>6533746.2950099073</v>
      </c>
      <c r="T426" s="151">
        <f t="shared" si="262"/>
        <v>6533746.2950099073</v>
      </c>
      <c r="U426" s="151">
        <f t="shared" si="262"/>
        <v>6533746.2950099073</v>
      </c>
      <c r="V426" s="151">
        <f t="shared" si="262"/>
        <v>6533746.2950099073</v>
      </c>
      <c r="W426" s="151">
        <f t="shared" si="262"/>
        <v>6533746.2950099073</v>
      </c>
      <c r="X426" s="152">
        <f t="shared" si="262"/>
        <v>6533746.2950099073</v>
      </c>
      <c r="Y426" s="156"/>
    </row>
    <row r="427" spans="2:25" hidden="1" outlineLevel="1">
      <c r="B427" s="452"/>
      <c r="C427" s="125" t="s">
        <v>62</v>
      </c>
      <c r="D427" s="151"/>
      <c r="E427" s="151">
        <f>SUM($E425:E426)</f>
        <v>19823122.767996076</v>
      </c>
      <c r="F427" s="151">
        <f>SUM($E425:F426)</f>
        <v>39646245.535992153</v>
      </c>
      <c r="G427" s="151">
        <f>SUM($E425:G426)</f>
        <v>59469368.303988233</v>
      </c>
      <c r="H427" s="151">
        <f>SUM($E425:H426)</f>
        <v>79292491.071984306</v>
      </c>
      <c r="I427" s="151">
        <f>SUM($E425:I426)</f>
        <v>99115613.839980379</v>
      </c>
      <c r="J427" s="151">
        <f>SUM($E425:J426)</f>
        <v>118938736.60797645</v>
      </c>
      <c r="K427" s="151">
        <f>SUM($E425:K426)</f>
        <v>138761859.37597251</v>
      </c>
      <c r="L427" s="151">
        <f>SUM($E425:L426)</f>
        <v>158584982.14396861</v>
      </c>
      <c r="M427" s="151">
        <f>SUM($E425:M426)</f>
        <v>178408104.91196471</v>
      </c>
      <c r="N427" s="151">
        <f>SUM($E425:N426)</f>
        <v>198231227.67996079</v>
      </c>
      <c r="O427" s="151">
        <f>SUM($E425:O426)</f>
        <v>210768832.73191577</v>
      </c>
      <c r="P427" s="151">
        <f>SUM($E425:P426)</f>
        <v>223306437.78387073</v>
      </c>
      <c r="Q427" s="151">
        <f>SUM($E425:Q426)</f>
        <v>235844042.83582571</v>
      </c>
      <c r="R427" s="151">
        <f>SUM($E425:R426)</f>
        <v>248381647.8877807</v>
      </c>
      <c r="S427" s="151">
        <f>SUM($E425:S426)</f>
        <v>260919252.93973565</v>
      </c>
      <c r="T427" s="151">
        <f>SUM($E425:T426)</f>
        <v>273456857.99169064</v>
      </c>
      <c r="U427" s="151">
        <f>SUM($E425:U426)</f>
        <v>285994463.04364562</v>
      </c>
      <c r="V427" s="151">
        <f>SUM($E425:V426)</f>
        <v>298532068.09560061</v>
      </c>
      <c r="W427" s="151">
        <f>SUM($E425:W426)</f>
        <v>311069673.14755553</v>
      </c>
      <c r="X427" s="152">
        <f>SUM($E425:X426)</f>
        <v>323607278.19951051</v>
      </c>
      <c r="Y427" s="156"/>
    </row>
    <row r="428" spans="2:25" hidden="1" outlineLevel="1">
      <c r="B428" s="452"/>
      <c r="C428" s="125" t="s">
        <v>63</v>
      </c>
      <c r="D428" s="151"/>
      <c r="E428" s="151">
        <f>-$D416-E427</f>
        <v>238446692.48141527</v>
      </c>
      <c r="F428" s="151">
        <f t="shared" ref="F428:G428" si="263">-$D416-F427</f>
        <v>218623569.7134192</v>
      </c>
      <c r="G428" s="151">
        <f t="shared" si="263"/>
        <v>198800446.94542313</v>
      </c>
      <c r="H428" s="156">
        <f>-$D416-H427</f>
        <v>178977324.17742705</v>
      </c>
      <c r="I428" s="151">
        <f t="shared" ref="I428:L428" si="264">-$D416-I427</f>
        <v>159154201.40943098</v>
      </c>
      <c r="J428" s="151">
        <f t="shared" si="264"/>
        <v>139331078.64143491</v>
      </c>
      <c r="K428" s="151">
        <f t="shared" si="264"/>
        <v>119507955.87343884</v>
      </c>
      <c r="L428" s="151">
        <f t="shared" si="264"/>
        <v>99684833.105442733</v>
      </c>
      <c r="M428" s="151">
        <f>-$D416-M427</f>
        <v>79861710.33744663</v>
      </c>
      <c r="N428" s="151">
        <f>-$D416-N427</f>
        <v>60038587.569450557</v>
      </c>
      <c r="O428" s="151">
        <f>-$D416-O427+$O409</f>
        <v>112838445.46759465</v>
      </c>
      <c r="P428" s="151">
        <f t="shared" ref="P428:X428" si="265">-$D416-P427+$O409</f>
        <v>100300840.4156397</v>
      </c>
      <c r="Q428" s="151">
        <f t="shared" si="265"/>
        <v>87763235.363684714</v>
      </c>
      <c r="R428" s="151">
        <f t="shared" si="265"/>
        <v>75225630.311729729</v>
      </c>
      <c r="S428" s="151">
        <f t="shared" si="265"/>
        <v>62688025.259774767</v>
      </c>
      <c r="T428" s="151">
        <f t="shared" si="265"/>
        <v>50150420.207819782</v>
      </c>
      <c r="U428" s="151">
        <f t="shared" si="265"/>
        <v>37612815.155864798</v>
      </c>
      <c r="V428" s="151">
        <f t="shared" si="265"/>
        <v>25075210.103909813</v>
      </c>
      <c r="W428" s="151">
        <f t="shared" si="265"/>
        <v>12537605.051954888</v>
      </c>
      <c r="X428" s="152">
        <f t="shared" si="265"/>
        <v>-9.6857547760009766E-8</v>
      </c>
      <c r="Y428" s="156"/>
    </row>
    <row r="429" spans="2:25" hidden="1" outlineLevel="1">
      <c r="B429" s="452"/>
      <c r="C429" s="125" t="s">
        <v>64</v>
      </c>
      <c r="D429" s="151">
        <f>-D416</f>
        <v>258269815.24941134</v>
      </c>
      <c r="E429" s="151">
        <f>D429/(($D429/$Y429)^(1/21))</f>
        <v>243879145.11867288</v>
      </c>
      <c r="F429" s="151">
        <f t="shared" ref="F429:J429" si="266">E429/(($D429/$Y429)^(1/21))</f>
        <v>230290316.21979398</v>
      </c>
      <c r="G429" s="151">
        <f t="shared" si="266"/>
        <v>217458650.34423611</v>
      </c>
      <c r="H429" s="151">
        <f t="shared" si="266"/>
        <v>205341958.73179406</v>
      </c>
      <c r="I429" s="151">
        <f t="shared" si="266"/>
        <v>193900403.35972977</v>
      </c>
      <c r="J429" s="156">
        <f t="shared" si="266"/>
        <v>183096365.96080899</v>
      </c>
      <c r="K429" s="156">
        <f>J429/(($D429/$Y429)^(1/21))</f>
        <v>172894324.33959025</v>
      </c>
      <c r="L429" s="151">
        <f t="shared" ref="L429:M429" si="267">K429/(($D429/$Y429)^(1/21))</f>
        <v>163260735.58031064</v>
      </c>
      <c r="M429" s="151">
        <f t="shared" si="267"/>
        <v>154163925.76237231</v>
      </c>
      <c r="N429" s="151">
        <f>M429/(($D429/$Y429)^(1/21))</f>
        <v>145573985.82082891</v>
      </c>
      <c r="O429" s="151">
        <f>(N429+O409)/(($D429/($Y429+O409))^(1/21))</f>
        <v>205044571.33297509</v>
      </c>
      <c r="P429" s="151">
        <f>O429/(($O429/$Y429)^(1/11))</f>
        <v>187683131.92997673</v>
      </c>
      <c r="Q429" s="151">
        <f>P429/(($O429/$Y429)^(1/11))</f>
        <v>171791712.31918493</v>
      </c>
      <c r="R429" s="151">
        <f t="shared" ref="R429:X429" si="268">Q429/(($O429/$Y429)^(1/11))</f>
        <v>157245843.66254324</v>
      </c>
      <c r="S429" s="151">
        <f t="shared" si="268"/>
        <v>143931596.09006163</v>
      </c>
      <c r="T429" s="151">
        <f t="shared" si="268"/>
        <v>131744686.34917168</v>
      </c>
      <c r="U429" s="151">
        <f t="shared" si="268"/>
        <v>120589661.01078404</v>
      </c>
      <c r="V429" s="151">
        <f t="shared" si="268"/>
        <v>110379148.83454606</v>
      </c>
      <c r="W429" s="151">
        <f t="shared" si="268"/>
        <v>101033176.43748352</v>
      </c>
      <c r="X429" s="152">
        <f t="shared" si="268"/>
        <v>92478541.906031668</v>
      </c>
      <c r="Y429" s="156">
        <f>Y416</f>
        <v>77480944.574823394</v>
      </c>
    </row>
    <row r="430" spans="2:25" hidden="1" outlineLevel="1">
      <c r="B430" s="452"/>
      <c r="C430" s="258" t="s">
        <v>65</v>
      </c>
      <c r="D430" s="151"/>
      <c r="E430" s="151">
        <f>-$D416*Assumptions!J$21*INDEX('DATA (Nominal)'!$B$351:$BX$351,1,MATCH($B$1,'DATA (Nominal)'!$B$1:$BX$1,0))</f>
        <v>43905868.592399925</v>
      </c>
      <c r="F430" s="151">
        <f>-$D416*Assumptions!K$21*INDEX('DATA (Nominal)'!$B$351:$BX$351,1,MATCH($B$1,'DATA (Nominal)'!$B$1:$BX$1,0))</f>
        <v>70249389.747839883</v>
      </c>
      <c r="G430" s="151">
        <f>-$D416*Assumptions!L$21*INDEX('DATA (Nominal)'!$B$351:$BX$351,1,MATCH($B$1,'DATA (Nominal)'!$B$1:$BX$1,0))</f>
        <v>42149633.848703928</v>
      </c>
      <c r="H430" s="151">
        <f>-$D416*Assumptions!M$21*INDEX('DATA (Nominal)'!$B$351:$BX$351,1,MATCH($B$1,'DATA (Nominal)'!$B$1:$BX$1,0))</f>
        <v>25289780.309222355</v>
      </c>
      <c r="I430" s="151">
        <f>-$D416*Assumptions!N$21*INDEX('DATA (Nominal)'!$B$351:$BX$351,1,MATCH($B$1,'DATA (Nominal)'!$B$1:$BX$1,0))</f>
        <v>25289780.309222355</v>
      </c>
      <c r="J430" s="151">
        <f>-$D416*Assumptions!O$21*INDEX('DATA (Nominal)'!$B$351:$BX$351,1,MATCH($B$1,'DATA (Nominal)'!$B$1:$BX$1,0))</f>
        <v>12644890.154611178</v>
      </c>
      <c r="K430" s="151">
        <f>-$D416*Assumptions!P$21*INDEX('DATA (Nominal)'!$B$351:$BX$351,1,MATCH($B$1,'DATA (Nominal)'!$B$1:$BX$1,0))</f>
        <v>0</v>
      </c>
      <c r="L430" s="151">
        <f>-$D416*Assumptions!Q$21*INDEX('DATA (Nominal)'!$B$351:$BX$351,1,MATCH($B$1,'DATA (Nominal)'!$B$1:$BX$1,0))</f>
        <v>0</v>
      </c>
      <c r="M430" s="151">
        <f>-$D416*Assumptions!R$21*INDEX('DATA (Nominal)'!$B$351:$BX$351,1,MATCH($B$1,'DATA (Nominal)'!$B$1:$BX$1,0))</f>
        <v>0</v>
      </c>
      <c r="N430" s="151">
        <f>-$D416*Assumptions!S$21*INDEX('DATA (Nominal)'!$B$351:$BX$351,1,MATCH($B$1,'DATA (Nominal)'!$B$1:$BX$1,0))</f>
        <v>0</v>
      </c>
      <c r="O430" s="151">
        <f>$O409*Assumptions!T$21</f>
        <v>9334109.9570511524</v>
      </c>
      <c r="P430" s="151">
        <f>$O409*Assumptions!U$21</f>
        <v>16001144.676479263</v>
      </c>
      <c r="Q430" s="151">
        <f>$O409*Assumptions!V$21</f>
        <v>11429482.393860832</v>
      </c>
      <c r="R430" s="151">
        <f>$O409*Assumptions!W$21</f>
        <v>8163915.9956148798</v>
      </c>
      <c r="S430" s="151">
        <f>$O409*Assumptions!X$21</f>
        <v>5831368.5682963422</v>
      </c>
      <c r="T430" s="151">
        <f>$O409*Assumptions!Y$21</f>
        <v>5831368.5682963422</v>
      </c>
      <c r="U430" s="151">
        <f>$O409*Assumptions!Z$21</f>
        <v>5831368.5682963422</v>
      </c>
      <c r="V430" s="151">
        <f>$O409*Assumptions!AA$21</f>
        <v>2914704.2222039197</v>
      </c>
      <c r="W430" s="151">
        <f>$O409*Assumptions!AB$21</f>
        <v>0</v>
      </c>
      <c r="X430" s="160">
        <f>$O409*Assumptions!AC$21</f>
        <v>0</v>
      </c>
      <c r="Y430" s="156"/>
    </row>
    <row r="431" spans="2:25" ht="15.75" hidden="1" outlineLevel="1" thickBot="1">
      <c r="B431" s="452"/>
      <c r="C431" s="127" t="s">
        <v>66</v>
      </c>
      <c r="D431" s="157"/>
      <c r="E431" s="157">
        <f>E430*Federal_Tax_Rate</f>
        <v>9220232.4044039845</v>
      </c>
      <c r="F431" s="157">
        <f>F430*Federal_Tax_Rate</f>
        <v>14752371.847046375</v>
      </c>
      <c r="G431" s="157">
        <f t="shared" ref="G431:M431" si="269">G430*Federal_Tax_Rate</f>
        <v>8851423.1082278248</v>
      </c>
      <c r="H431" s="157">
        <f t="shared" si="269"/>
        <v>5310853.8649366945</v>
      </c>
      <c r="I431" s="157">
        <f t="shared" si="269"/>
        <v>5310853.8649366945</v>
      </c>
      <c r="J431" s="157">
        <f t="shared" si="269"/>
        <v>2655426.9324683473</v>
      </c>
      <c r="K431" s="157">
        <f t="shared" si="269"/>
        <v>0</v>
      </c>
      <c r="L431" s="157">
        <f t="shared" si="269"/>
        <v>0</v>
      </c>
      <c r="M431" s="157">
        <f t="shared" si="269"/>
        <v>0</v>
      </c>
      <c r="N431" s="157">
        <f>N430*Federal_Tax_Rate</f>
        <v>0</v>
      </c>
      <c r="O431" s="157">
        <f>O430*Federal_Tax_Rate</f>
        <v>1960163.0909807419</v>
      </c>
      <c r="P431" s="157">
        <f t="shared" ref="P431:X431" si="270">P430*Federal_Tax_Rate</f>
        <v>3360240.3820606451</v>
      </c>
      <c r="Q431" s="157">
        <f t="shared" si="270"/>
        <v>2400191.3027107748</v>
      </c>
      <c r="R431" s="157">
        <f t="shared" si="270"/>
        <v>1714422.3590791246</v>
      </c>
      <c r="S431" s="157">
        <f t="shared" si="270"/>
        <v>1224587.3993422319</v>
      </c>
      <c r="T431" s="157">
        <f t="shared" si="270"/>
        <v>1224587.3993422319</v>
      </c>
      <c r="U431" s="157">
        <f t="shared" si="270"/>
        <v>1224587.3993422319</v>
      </c>
      <c r="V431" s="157">
        <f t="shared" si="270"/>
        <v>612087.88666282315</v>
      </c>
      <c r="W431" s="157">
        <f t="shared" si="270"/>
        <v>0</v>
      </c>
      <c r="X431" s="158">
        <f t="shared" si="270"/>
        <v>0</v>
      </c>
      <c r="Y431" s="156"/>
    </row>
    <row r="432" spans="2:25" hidden="1" outlineLevel="1">
      <c r="B432" s="452"/>
      <c r="C432" s="128" t="s">
        <v>67</v>
      </c>
      <c r="D432" s="104">
        <f>NPV(Tax_Equity_Rate,E431:N431)</f>
        <v>37403061.780716673</v>
      </c>
      <c r="E432" s="105">
        <f>D432/D436</f>
        <v>0.14482165383746648</v>
      </c>
      <c r="F432" s="254"/>
      <c r="G432" s="254"/>
      <c r="H432" s="254"/>
      <c r="I432" s="254"/>
      <c r="J432" s="254"/>
      <c r="K432" s="254"/>
      <c r="L432" s="254"/>
      <c r="M432" s="261"/>
      <c r="N432" s="261"/>
      <c r="O432" s="261"/>
      <c r="P432" s="261"/>
      <c r="Q432" s="261"/>
      <c r="R432" s="261"/>
      <c r="S432" s="261"/>
      <c r="T432" s="261"/>
      <c r="U432" s="261"/>
      <c r="V432" s="261"/>
      <c r="W432" s="261"/>
      <c r="X432" s="261"/>
      <c r="Y432" s="261"/>
    </row>
    <row r="433" spans="1:25" hidden="1" outlineLevel="1">
      <c r="B433" s="452"/>
      <c r="C433" s="125" t="s">
        <v>79</v>
      </c>
      <c r="D433" s="106">
        <f>NPV(Tax_Equity_Rate,E413:X413)</f>
        <v>49438579.734719433</v>
      </c>
      <c r="E433" s="107">
        <f>D433/D436</f>
        <v>0.19142221357527422</v>
      </c>
    </row>
    <row r="434" spans="1:25" hidden="1" outlineLevel="1">
      <c r="B434" s="22">
        <f>Assumptions!F21</f>
        <v>0.73499999999999999</v>
      </c>
      <c r="C434" s="125" t="s">
        <v>68</v>
      </c>
      <c r="D434" s="106">
        <f>(D436-D432-D433)*$B434</f>
        <v>125999707.69447182</v>
      </c>
      <c r="E434" s="107">
        <f>D434/D436</f>
        <v>0.48786075745163565</v>
      </c>
    </row>
    <row r="435" spans="1:25" hidden="1" outlineLevel="1">
      <c r="B435" s="22">
        <f>1-B434</f>
        <v>0.26500000000000001</v>
      </c>
      <c r="C435" s="125" t="s">
        <v>69</v>
      </c>
      <c r="D435" s="106">
        <f>(D436-D432-D433)*$B435</f>
        <v>45428466.039503448</v>
      </c>
      <c r="E435" s="107">
        <f>D435/D436</f>
        <v>0.17589537513562375</v>
      </c>
    </row>
    <row r="436" spans="1:25" hidden="1" outlineLevel="1">
      <c r="C436" s="125" t="s">
        <v>70</v>
      </c>
      <c r="D436" s="106">
        <f>-D416</f>
        <v>258269815.24941134</v>
      </c>
      <c r="E436" s="108"/>
    </row>
    <row r="437" spans="1:25" ht="15.75" hidden="1" outlineLevel="1" thickBot="1">
      <c r="C437" s="127" t="s">
        <v>71</v>
      </c>
      <c r="D437" s="109">
        <f>SUM(D432:D435)-D436</f>
        <v>0</v>
      </c>
      <c r="E437" s="110"/>
    </row>
    <row r="438" spans="1:25" hidden="1" outlineLevel="1"/>
    <row r="439" spans="1:25" ht="15.75" collapsed="1" thickBot="1"/>
    <row r="440" spans="1:25" ht="18.75" thickBot="1">
      <c r="A440" s="86"/>
      <c r="B440" s="82"/>
      <c r="C440" s="484" t="s">
        <v>136</v>
      </c>
      <c r="D440" s="485"/>
      <c r="E440" s="485"/>
      <c r="F440" s="485"/>
      <c r="G440" s="485"/>
      <c r="H440" s="486"/>
      <c r="Y440" s="261"/>
    </row>
    <row r="441" spans="1:25" hidden="1" outlineLevel="1">
      <c r="C441" s="124" t="s">
        <v>44</v>
      </c>
      <c r="D441" s="153"/>
      <c r="E441" s="153">
        <f>'Resource Options'!$E$22*INDEX('DATA (Nominal)'!$B$22:$BX$22,1,MATCH($B$1,'DATA (Nominal)'!$B$1:$BX$1,0))*8760</f>
        <v>240695.09517976042</v>
      </c>
      <c r="F441" s="153">
        <f>'Resource Options'!$E$22*INDEX('DATA (Nominal)'!$B$22:$BX$22,1,MATCH($B$1,'DATA (Nominal)'!$B$1:$BX$1,0))*8760</f>
        <v>240695.09517976042</v>
      </c>
      <c r="G441" s="153">
        <f>'Resource Options'!$E$22*INDEX('DATA (Nominal)'!$B$22:$BX$22,1,MATCH($B$1,'DATA (Nominal)'!$B$1:$BX$1,0))*8760</f>
        <v>240695.09517976042</v>
      </c>
      <c r="H441" s="153">
        <f>'Resource Options'!$E$22*INDEX('DATA (Nominal)'!$B$22:$BX$22,1,MATCH($B$1,'DATA (Nominal)'!$B$1:$BX$1,0))*8760</f>
        <v>240695.09517976042</v>
      </c>
      <c r="I441" s="153">
        <f>'Resource Options'!$E$22*INDEX('DATA (Nominal)'!$B$22:$BX$22,1,MATCH($B$1,'DATA (Nominal)'!$B$1:$BX$1,0))*8760</f>
        <v>240695.09517976042</v>
      </c>
      <c r="J441" s="153">
        <f>'Resource Options'!$E$22*INDEX('DATA (Nominal)'!$B$22:$BX$22,1,MATCH($B$1,'DATA (Nominal)'!$B$1:$BX$1,0))*8760</f>
        <v>240695.09517976042</v>
      </c>
      <c r="K441" s="153">
        <f>'Resource Options'!$E$22*INDEX('DATA (Nominal)'!$B$22:$BX$22,1,MATCH($B$1,'DATA (Nominal)'!$B$1:$BX$1,0))*8760</f>
        <v>240695.09517976042</v>
      </c>
      <c r="L441" s="153">
        <f>'Resource Options'!$E$22*INDEX('DATA (Nominal)'!$B$22:$BX$22,1,MATCH($B$1,'DATA (Nominal)'!$B$1:$BX$1,0))*8760</f>
        <v>240695.09517976042</v>
      </c>
      <c r="M441" s="153">
        <f>'Resource Options'!$E$22*INDEX('DATA (Nominal)'!$B$22:$BX$22,1,MATCH($B$1,'DATA (Nominal)'!$B$1:$BX$1,0))*8760</f>
        <v>240695.09517976042</v>
      </c>
      <c r="N441" s="153">
        <f>'Resource Options'!$E$22*INDEX('DATA (Nominal)'!$B$22:$BX$22,1,MATCH($B$1,'DATA (Nominal)'!$B$1:$BX$1,0))*8760</f>
        <v>240695.09517976042</v>
      </c>
      <c r="O441" s="153">
        <f>'Resource Options'!$E$22*INDEX('DATA (Nominal)'!$B$22:$BX$22,1,MATCH($B$1,'DATA (Nominal)'!$B$1:$BX$1,0))*8760</f>
        <v>240695.09517976042</v>
      </c>
      <c r="P441" s="153">
        <f>'Resource Options'!$E$22*INDEX('DATA (Nominal)'!$B$22:$BX$22,1,MATCH($B$1,'DATA (Nominal)'!$B$1:$BX$1,0))*8760</f>
        <v>240695.09517976042</v>
      </c>
      <c r="Q441" s="153">
        <f>'Resource Options'!$E$22*INDEX('DATA (Nominal)'!$B$22:$BX$22,1,MATCH($B$1,'DATA (Nominal)'!$B$1:$BX$1,0))*8760</f>
        <v>240695.09517976042</v>
      </c>
      <c r="R441" s="153">
        <f>'Resource Options'!$E$22*INDEX('DATA (Nominal)'!$B$22:$BX$22,1,MATCH($B$1,'DATA (Nominal)'!$B$1:$BX$1,0))*8760</f>
        <v>240695.09517976042</v>
      </c>
      <c r="S441" s="153">
        <f>'Resource Options'!$E$22*INDEX('DATA (Nominal)'!$B$22:$BX$22,1,MATCH($B$1,'DATA (Nominal)'!$B$1:$BX$1,0))*8760</f>
        <v>240695.09517976042</v>
      </c>
      <c r="T441" s="153">
        <f>'Resource Options'!$E$22*INDEX('DATA (Nominal)'!$B$22:$BX$22,1,MATCH($B$1,'DATA (Nominal)'!$B$1:$BX$1,0))*8760</f>
        <v>240695.09517976042</v>
      </c>
      <c r="U441" s="153">
        <f>'Resource Options'!$E$22*INDEX('DATA (Nominal)'!$B$22:$BX$22,1,MATCH($B$1,'DATA (Nominal)'!$B$1:$BX$1,0))*8760</f>
        <v>240695.09517976042</v>
      </c>
      <c r="V441" s="153">
        <f>'Resource Options'!$E$22*INDEX('DATA (Nominal)'!$B$22:$BX$22,1,MATCH($B$1,'DATA (Nominal)'!$B$1:$BX$1,0))*8760</f>
        <v>240695.09517976042</v>
      </c>
      <c r="W441" s="153">
        <f>'Resource Options'!$E$22*INDEX('DATA (Nominal)'!$B$22:$BX$22,1,MATCH($B$1,'DATA (Nominal)'!$B$1:$BX$1,0))*8760</f>
        <v>240695.09517976042</v>
      </c>
      <c r="X441" s="159">
        <f>'Resource Options'!$E$22*INDEX('DATA (Nominal)'!$B$22:$BX$22,1,MATCH($B$1,'DATA (Nominal)'!$B$1:$BX$1,0))*8760</f>
        <v>240695.09517976042</v>
      </c>
      <c r="Y441" s="156"/>
    </row>
    <row r="442" spans="1:25" hidden="1" outlineLevel="1">
      <c r="C442" s="125" t="s">
        <v>45</v>
      </c>
      <c r="D442" s="151"/>
      <c r="E442" s="154">
        <f>PPA_SOLAR_PV_Single_Axis_Tracking_PTC</f>
        <v>33.506432662021012</v>
      </c>
      <c r="F442" s="154">
        <f>E442</f>
        <v>33.506432662021012</v>
      </c>
      <c r="G442" s="154">
        <f t="shared" ref="G442:V443" si="271">F442</f>
        <v>33.506432662021012</v>
      </c>
      <c r="H442" s="154">
        <f t="shared" si="271"/>
        <v>33.506432662021012</v>
      </c>
      <c r="I442" s="154">
        <f t="shared" si="271"/>
        <v>33.506432662021012</v>
      </c>
      <c r="J442" s="154">
        <f t="shared" si="271"/>
        <v>33.506432662021012</v>
      </c>
      <c r="K442" s="154">
        <f t="shared" si="271"/>
        <v>33.506432662021012</v>
      </c>
      <c r="L442" s="154">
        <f t="shared" si="271"/>
        <v>33.506432662021012</v>
      </c>
      <c r="M442" s="154">
        <f t="shared" si="271"/>
        <v>33.506432662021012</v>
      </c>
      <c r="N442" s="154">
        <f t="shared" si="271"/>
        <v>33.506432662021012</v>
      </c>
      <c r="O442" s="154">
        <f t="shared" si="271"/>
        <v>33.506432662021012</v>
      </c>
      <c r="P442" s="154">
        <f t="shared" si="271"/>
        <v>33.506432662021012</v>
      </c>
      <c r="Q442" s="154">
        <f t="shared" si="271"/>
        <v>33.506432662021012</v>
      </c>
      <c r="R442" s="154">
        <f t="shared" si="271"/>
        <v>33.506432662021012</v>
      </c>
      <c r="S442" s="154">
        <f t="shared" si="271"/>
        <v>33.506432662021012</v>
      </c>
      <c r="T442" s="154">
        <f t="shared" si="271"/>
        <v>33.506432662021012</v>
      </c>
      <c r="U442" s="154">
        <f t="shared" si="271"/>
        <v>33.506432662021012</v>
      </c>
      <c r="V442" s="154">
        <f t="shared" si="271"/>
        <v>33.506432662021012</v>
      </c>
      <c r="W442" s="154">
        <f t="shared" ref="W442:X443" si="272">V442</f>
        <v>33.506432662021012</v>
      </c>
      <c r="X442" s="152">
        <f t="shared" si="272"/>
        <v>33.506432662021012</v>
      </c>
      <c r="Y442" s="156"/>
    </row>
    <row r="443" spans="1:25" hidden="1" outlineLevel="1">
      <c r="C443" s="125" t="s">
        <v>111</v>
      </c>
      <c r="D443" s="151"/>
      <c r="E443" s="154">
        <f>INDEX('PPA Summary'!$75:$106,MATCH(_xlfn.CONCAT($C440,$C$1),'PPA Summary'!$D$75:$D$106,0),MATCH($B$1,'PPA Summary'!$74:$74,0))</f>
        <v>9.4554771544356431</v>
      </c>
      <c r="F443" s="154">
        <f>E443</f>
        <v>9.4554771544356431</v>
      </c>
      <c r="G443" s="154">
        <f t="shared" si="271"/>
        <v>9.4554771544356431</v>
      </c>
      <c r="H443" s="154">
        <f t="shared" si="271"/>
        <v>9.4554771544356431</v>
      </c>
      <c r="I443" s="154">
        <f t="shared" si="271"/>
        <v>9.4554771544356431</v>
      </c>
      <c r="J443" s="154">
        <f t="shared" si="271"/>
        <v>9.4554771544356431</v>
      </c>
      <c r="K443" s="154">
        <f t="shared" si="271"/>
        <v>9.4554771544356431</v>
      </c>
      <c r="L443" s="154">
        <f t="shared" si="271"/>
        <v>9.4554771544356431</v>
      </c>
      <c r="M443" s="154">
        <f t="shared" si="271"/>
        <v>9.4554771544356431</v>
      </c>
      <c r="N443" s="154">
        <f t="shared" si="271"/>
        <v>9.4554771544356431</v>
      </c>
      <c r="O443" s="154">
        <f t="shared" si="271"/>
        <v>9.4554771544356431</v>
      </c>
      <c r="P443" s="154">
        <f t="shared" si="271"/>
        <v>9.4554771544356431</v>
      </c>
      <c r="Q443" s="154">
        <f t="shared" si="271"/>
        <v>9.4554771544356431</v>
      </c>
      <c r="R443" s="154">
        <f t="shared" si="271"/>
        <v>9.4554771544356431</v>
      </c>
      <c r="S443" s="154">
        <f t="shared" si="271"/>
        <v>9.4554771544356431</v>
      </c>
      <c r="T443" s="154">
        <f t="shared" si="271"/>
        <v>9.4554771544356431</v>
      </c>
      <c r="U443" s="154">
        <f t="shared" si="271"/>
        <v>9.4554771544356431</v>
      </c>
      <c r="V443" s="154">
        <f t="shared" si="271"/>
        <v>9.4554771544356431</v>
      </c>
      <c r="W443" s="154">
        <f t="shared" si="272"/>
        <v>9.4554771544356431</v>
      </c>
      <c r="X443" s="152">
        <f t="shared" si="272"/>
        <v>9.4554771544356431</v>
      </c>
      <c r="Y443" s="156"/>
    </row>
    <row r="444" spans="1:25" hidden="1" outlineLevel="1">
      <c r="C444" s="258" t="s">
        <v>46</v>
      </c>
      <c r="D444" s="151"/>
      <c r="E444" s="151">
        <f>E442*E441+E443*12*'Resource Options'!$E$22*1000</f>
        <v>19411406.584042154</v>
      </c>
      <c r="F444" s="151">
        <f>F442*F441+F443*12*'Resource Options'!$E$22*1000</f>
        <v>19411406.584042154</v>
      </c>
      <c r="G444" s="151">
        <f>G442*G441+G443*12*'Resource Options'!$E$22*1000</f>
        <v>19411406.584042154</v>
      </c>
      <c r="H444" s="151">
        <f>H442*H441+H443*12*'Resource Options'!$E$22*1000</f>
        <v>19411406.584042154</v>
      </c>
      <c r="I444" s="151">
        <f>I442*I441+I443*12*'Resource Options'!$E$22*1000</f>
        <v>19411406.584042154</v>
      </c>
      <c r="J444" s="151">
        <f>J442*J441+J443*12*'Resource Options'!$E$22*1000</f>
        <v>19411406.584042154</v>
      </c>
      <c r="K444" s="151">
        <f>K442*K441+K443*12*'Resource Options'!$E$22*1000</f>
        <v>19411406.584042154</v>
      </c>
      <c r="L444" s="151">
        <f>L442*L441+L443*12*'Resource Options'!$E$22*1000</f>
        <v>19411406.584042154</v>
      </c>
      <c r="M444" s="151">
        <f>M442*M441+M443*12*'Resource Options'!$E$22*1000</f>
        <v>19411406.584042154</v>
      </c>
      <c r="N444" s="151">
        <f>N442*N441+N443*12*'Resource Options'!$E$22*1000</f>
        <v>19411406.584042154</v>
      </c>
      <c r="O444" s="151">
        <f>O442*O441+O443*12*'Resource Options'!$E$22*1000</f>
        <v>19411406.584042154</v>
      </c>
      <c r="P444" s="151">
        <f>P442*P441+P443*12*'Resource Options'!$E$22*1000</f>
        <v>19411406.584042154</v>
      </c>
      <c r="Q444" s="151">
        <f>Q442*Q441+Q443*12*'Resource Options'!$E$22*1000</f>
        <v>19411406.584042154</v>
      </c>
      <c r="R444" s="151">
        <f>R442*R441+R443*12*'Resource Options'!$E$22*1000</f>
        <v>19411406.584042154</v>
      </c>
      <c r="S444" s="151">
        <f>S442*S441+S443*12*'Resource Options'!$E$22*1000</f>
        <v>19411406.584042154</v>
      </c>
      <c r="T444" s="151">
        <f>T442*T441+T443*12*'Resource Options'!$E$22*1000</f>
        <v>19411406.584042154</v>
      </c>
      <c r="U444" s="151">
        <f>U442*U441+U443*12*'Resource Options'!$E$22*1000</f>
        <v>19411406.584042154</v>
      </c>
      <c r="V444" s="151">
        <f>V442*V441+V443*12*'Resource Options'!$E$22*1000</f>
        <v>19411406.584042154</v>
      </c>
      <c r="W444" s="151">
        <f>W442*W441+W443*12*'Resource Options'!$E$22*1000</f>
        <v>19411406.584042154</v>
      </c>
      <c r="X444" s="152">
        <f>X442*X441+X443*12*'Resource Options'!$E$22*1000</f>
        <v>19411406.584042154</v>
      </c>
      <c r="Y444" s="156"/>
    </row>
    <row r="445" spans="1:25" hidden="1" outlineLevel="1">
      <c r="C445" s="258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2"/>
      <c r="Y445" s="156"/>
    </row>
    <row r="446" spans="1:25" hidden="1" outlineLevel="1">
      <c r="B446" s="92"/>
      <c r="C446" s="125" t="s">
        <v>158</v>
      </c>
      <c r="D446" s="151"/>
      <c r="E446" s="151">
        <f>'Resource Options'!$E$22*INDEX('DATA (Nominal)'!$B$193:$BX$193,1,MATCH(E$1,'DATA (Nominal)'!$B$1:$BX$1,0))*1000*0.8</f>
        <v>1723726.7416158107</v>
      </c>
      <c r="F446" s="151">
        <f>'Resource Options'!$E$22*INDEX('DATA (Nominal)'!$B$193:$BX$193,1,MATCH(F$1,'DATA (Nominal)'!$B$1:$BX$1,0))*1000*0.8</f>
        <v>1704800.4437326235</v>
      </c>
      <c r="G446" s="151">
        <f>'Resource Options'!$E$22*INDEX('DATA (Nominal)'!$B$193:$BX$193,1,MATCH(G$1,'DATA (Nominal)'!$B$1:$BX$1,0))*1000*0.8</f>
        <v>1684332.5258290214</v>
      </c>
      <c r="H446" s="151">
        <f>'Resource Options'!$E$22*INDEX('DATA (Nominal)'!$B$193:$BX$193,1,MATCH(H$1,'DATA (Nominal)'!$B$1:$BX$1,0))*1000*0.8</f>
        <v>1661718.6294805943</v>
      </c>
      <c r="I446" s="151">
        <f>'Resource Options'!$E$22*INDEX('DATA (Nominal)'!$B$193:$BX$193,1,MATCH(I$1,'DATA (Nominal)'!$B$1:$BX$1,0))*1000*0.8</f>
        <v>1637452.1373468188</v>
      </c>
      <c r="J446" s="151">
        <f>'Resource Options'!$E$22*INDEX('DATA (Nominal)'!$B$193:$BX$193,1,MATCH(J$1,'DATA (Nominal)'!$B$1:$BX$1,0))*1000*0.8</f>
        <v>1611468.5429029772</v>
      </c>
      <c r="K446" s="151">
        <f>'Resource Options'!$E$22*INDEX('DATA (Nominal)'!$B$193:$BX$193,1,MATCH(K$1,'DATA (Nominal)'!$B$1:$BX$1,0))*1000*0.8</f>
        <v>1636025.2070605527</v>
      </c>
      <c r="L446" s="151">
        <f>'Resource Options'!$E$22*INDEX('DATA (Nominal)'!$B$193:$BX$193,1,MATCH(L$1,'DATA (Nominal)'!$B$1:$BX$1,0))*1000*0.8</f>
        <v>1660911.0675082516</v>
      </c>
      <c r="M446" s="151">
        <f>'Resource Options'!$E$22*INDEX('DATA (Nominal)'!$B$193:$BX$193,1,MATCH(M$1,'DATA (Nominal)'!$B$1:$BX$1,0))*1000*0.8</f>
        <v>1686128.8737726239</v>
      </c>
      <c r="N446" s="151">
        <f>'Resource Options'!$E$22*INDEX('DATA (Nominal)'!$B$193:$BX$193,1,MATCH(N$1,'DATA (Nominal)'!$B$1:$BX$1,0))*1000*0.8</f>
        <v>1711681.3404396807</v>
      </c>
      <c r="O446" s="151">
        <f>'Resource Options'!$E$22*INDEX('DATA (Nominal)'!$B$193:$BX$193,1,MATCH(O$1,'DATA (Nominal)'!$B$1:$BX$1,0))*1000*0.8</f>
        <v>1737571.1443041258</v>
      </c>
      <c r="P446" s="151">
        <f>'Resource Options'!$E$22*INDEX('DATA (Nominal)'!$B$193:$BX$193,1,MATCH(P$1,'DATA (Nominal)'!$B$1:$BX$1,0))*1000*0.8</f>
        <v>1763800.9214110894</v>
      </c>
      <c r="Q446" s="151">
        <f>'Resource Options'!$E$22*INDEX('DATA (Nominal)'!$B$193:$BX$193,1,MATCH(Q$1,'DATA (Nominal)'!$B$1:$BX$1,0))*1000*0.8</f>
        <v>1790373.2639870059</v>
      </c>
      <c r="R446" s="151">
        <f>'Resource Options'!$E$22*INDEX('DATA (Nominal)'!$B$193:$BX$193,1,MATCH(R$1,'DATA (Nominal)'!$B$1:$BX$1,0))*1000*0.8</f>
        <v>1817290.7172561865</v>
      </c>
      <c r="S446" s="151">
        <f>'Resource Options'!$E$22*INDEX('DATA (Nominal)'!$B$193:$BX$193,1,MATCH(S$1,'DATA (Nominal)'!$B$1:$BX$1,0))*1000*0.8</f>
        <v>1844555.7761395318</v>
      </c>
      <c r="T446" s="151">
        <f>'Resource Options'!$E$22*INDEX('DATA (Nominal)'!$B$193:$BX$193,1,MATCH(T$1,'DATA (Nominal)'!$B$1:$BX$1,0))*1000*0.8</f>
        <v>1872170.8818317321</v>
      </c>
      <c r="U446" s="151">
        <f>'Resource Options'!$E$22*INDEX('DATA (Nominal)'!$B$193:$BX$193,1,MATCH(U$1,'DATA (Nominal)'!$B$1:$BX$1,0))*1000*0.8</f>
        <v>1900138.4182532136</v>
      </c>
      <c r="V446" s="151">
        <f>'Resource Options'!$E$22*INDEX('DATA (Nominal)'!$B$193:$BX$193,1,MATCH(V$1,'DATA (Nominal)'!$B$1:$BX$1,0))*1000*0.8</f>
        <v>1928460.7083729524</v>
      </c>
      <c r="W446" s="151">
        <f>'Resource Options'!$E$22*INDEX('DATA (Nominal)'!$B$193:$BX$193,1,MATCH(W$1,'DATA (Nominal)'!$B$1:$BX$1,0))*1000*0.8</f>
        <v>1957140.0103982044</v>
      </c>
      <c r="X446" s="152">
        <f>'Resource Options'!$E$22*INDEX('DATA (Nominal)'!$B$193:$BX$193,1,MATCH(X$1,'DATA (Nominal)'!$B$1:$BX$1,0))*1000*0.8</f>
        <v>1986178.5138270629</v>
      </c>
      <c r="Y446" s="156"/>
    </row>
    <row r="447" spans="1:25" hidden="1" outlineLevel="1">
      <c r="B447" s="92"/>
      <c r="C447" s="125" t="s">
        <v>159</v>
      </c>
      <c r="D447" s="151"/>
      <c r="E447" s="151">
        <f>'Resource Options'!$E$22*INDEX('DATA (Nominal)'!$B$194:$BX$194,1,MATCH(E$1,'DATA (Nominal)'!$B$1:$BX$1,0))*1000*0.8</f>
        <v>1594446.4976514066</v>
      </c>
      <c r="F447" s="151">
        <f>'Resource Options'!$E$22*INDEX('DATA (Nominal)'!$B$194:$BX$194,1,MATCH(F$1,'DATA (Nominal)'!$B$1:$BX$1,0))*1000*0.8</f>
        <v>1581903.1220988305</v>
      </c>
      <c r="G447" s="151">
        <f>'Resource Options'!$E$22*INDEX('DATA (Nominal)'!$B$194:$BX$194,1,MATCH(G$1,'DATA (Nominal)'!$B$1:$BX$1,0))*1000*0.8</f>
        <v>1571330.3274178444</v>
      </c>
      <c r="H447" s="151">
        <f>'Resource Options'!$E$22*INDEX('DATA (Nominal)'!$B$194:$BX$194,1,MATCH(H$1,'DATA (Nominal)'!$B$1:$BX$1,0))*1000*0.8</f>
        <v>1545729.7858896446</v>
      </c>
      <c r="I447" s="151">
        <f>'Resource Options'!$E$22*INDEX('DATA (Nominal)'!$B$194:$BX$194,1,MATCH(I$1,'DATA (Nominal)'!$B$1:$BX$1,0))*1000*0.8</f>
        <v>1545341.6509175405</v>
      </c>
      <c r="J447" s="151">
        <f>'Resource Options'!$E$22*INDEX('DATA (Nominal)'!$B$194:$BX$194,1,MATCH(J$1,'DATA (Nominal)'!$B$1:$BX$1,0))*1000*0.8</f>
        <v>1533891.0501657855</v>
      </c>
      <c r="K447" s="151">
        <f>'Resource Options'!$E$22*INDEX('DATA (Nominal)'!$B$194:$BX$194,1,MATCH(K$1,'DATA (Nominal)'!$B$1:$BX$1,0))*1000*0.8</f>
        <v>1548981.0560302211</v>
      </c>
      <c r="L447" s="151">
        <f>'Resource Options'!$E$22*INDEX('DATA (Nominal)'!$B$194:$BX$194,1,MATCH(L$1,'DATA (Nominal)'!$B$1:$BX$1,0))*1000*0.8</f>
        <v>1563032.0810173675</v>
      </c>
      <c r="M447" s="151">
        <f>'Resource Options'!$E$22*INDEX('DATA (Nominal)'!$B$194:$BX$194,1,MATCH(M$1,'DATA (Nominal)'!$B$1:$BX$1,0))*1000*0.8</f>
        <v>1576951.6442728331</v>
      </c>
      <c r="N447" s="151">
        <f>'Resource Options'!$E$22*INDEX('DATA (Nominal)'!$B$194:$BX$194,1,MATCH(N$1,'DATA (Nominal)'!$B$1:$BX$1,0))*1000*0.8</f>
        <v>1590727.1607843265</v>
      </c>
      <c r="O447" s="151">
        <f>'Resource Options'!$E$22*INDEX('DATA (Nominal)'!$B$194:$BX$194,1,MATCH(O$1,'DATA (Nominal)'!$B$1:$BX$1,0))*1000*0.8</f>
        <v>1604345.5554264945</v>
      </c>
      <c r="P447" s="151">
        <f>'Resource Options'!$E$22*INDEX('DATA (Nominal)'!$B$194:$BX$194,1,MATCH(P$1,'DATA (Nominal)'!$B$1:$BX$1,0))*1000*0.8</f>
        <v>1617793.2474870987</v>
      </c>
      <c r="Q447" s="151">
        <f>'Resource Options'!$E$22*INDEX('DATA (Nominal)'!$B$194:$BX$194,1,MATCH(Q$1,'DATA (Nominal)'!$B$1:$BX$1,0))*1000*0.8</f>
        <v>1631056.134749542</v>
      </c>
      <c r="R447" s="151">
        <f>'Resource Options'!$E$22*INDEX('DATA (Nominal)'!$B$194:$BX$194,1,MATCH(R$1,'DATA (Nominal)'!$B$1:$BX$1,0))*1000*0.8</f>
        <v>1644119.5771197535</v>
      </c>
      <c r="S447" s="151">
        <f>'Resource Options'!$E$22*INDEX('DATA (Nominal)'!$B$194:$BX$194,1,MATCH(S$1,'DATA (Nominal)'!$B$1:$BX$1,0))*1000*0.8</f>
        <v>1656968.3797850355</v>
      </c>
      <c r="T447" s="151">
        <f>'Resource Options'!$E$22*INDEX('DATA (Nominal)'!$B$194:$BX$194,1,MATCH(T$1,'DATA (Nominal)'!$B$1:$BX$1,0))*1000*0.8</f>
        <v>1669586.7758922596</v>
      </c>
      <c r="U447" s="151">
        <f>'Resource Options'!$E$22*INDEX('DATA (Nominal)'!$B$194:$BX$194,1,MATCH(U$1,'DATA (Nominal)'!$B$1:$BX$1,0))*1000*0.8</f>
        <v>1681958.4087323863</v>
      </c>
      <c r="V447" s="151">
        <f>'Resource Options'!$E$22*INDEX('DATA (Nominal)'!$B$194:$BX$194,1,MATCH(V$1,'DATA (Nominal)'!$B$1:$BX$1,0))*1000*0.8</f>
        <v>1694066.3134179469</v>
      </c>
      <c r="W447" s="151">
        <f>'Resource Options'!$E$22*INDEX('DATA (Nominal)'!$B$194:$BX$194,1,MATCH(W$1,'DATA (Nominal)'!$B$1:$BX$1,0))*1000*0.8</f>
        <v>1705892.8980398488</v>
      </c>
      <c r="X447" s="152">
        <f>'Resource Options'!$E$22*INDEX('DATA (Nominal)'!$B$194:$BX$194,1,MATCH(X$1,'DATA (Nominal)'!$B$1:$BX$1,0))*1000*0.8</f>
        <v>1717419.9242894202</v>
      </c>
      <c r="Y447" s="156"/>
    </row>
    <row r="448" spans="1:25" hidden="1" outlineLevel="1">
      <c r="C448" s="125" t="s">
        <v>160</v>
      </c>
      <c r="D448" s="151"/>
      <c r="E448" s="151">
        <f>E441*INDEX('DATA (Nominal)'!$B$117:$BX$117,1,MATCH(E$1,'DATA (Nominal)'!$B$1:$BX$1,0))</f>
        <v>0</v>
      </c>
      <c r="F448" s="151">
        <f>F441*INDEX('DATA (Nominal)'!$B$117:$BX$117,1,MATCH(F$1,'DATA (Nominal)'!$B$1:$BX$1,0))</f>
        <v>0</v>
      </c>
      <c r="G448" s="151">
        <f>G441*INDEX('DATA (Nominal)'!$B$117:$BX$117,1,MATCH(G$1,'DATA (Nominal)'!$B$1:$BX$1,0))</f>
        <v>0</v>
      </c>
      <c r="H448" s="151">
        <f>H441*INDEX('DATA (Nominal)'!$B$117:$BX$117,1,MATCH(H$1,'DATA (Nominal)'!$B$1:$BX$1,0))</f>
        <v>0</v>
      </c>
      <c r="I448" s="151">
        <f>I441*INDEX('DATA (Nominal)'!$B$117:$BX$117,1,MATCH(I$1,'DATA (Nominal)'!$B$1:$BX$1,0))</f>
        <v>0</v>
      </c>
      <c r="J448" s="151">
        <f>J441*INDEX('DATA (Nominal)'!$B$117:$BX$117,1,MATCH(J$1,'DATA (Nominal)'!$B$1:$BX$1,0))</f>
        <v>0</v>
      </c>
      <c r="K448" s="151">
        <f>K441*INDEX('DATA (Nominal)'!$B$117:$BX$117,1,MATCH(K$1,'DATA (Nominal)'!$B$1:$BX$1,0))</f>
        <v>0</v>
      </c>
      <c r="L448" s="151">
        <f>L441*INDEX('DATA (Nominal)'!$B$117:$BX$117,1,MATCH(L$1,'DATA (Nominal)'!$B$1:$BX$1,0))</f>
        <v>0</v>
      </c>
      <c r="M448" s="151">
        <f>M441*INDEX('DATA (Nominal)'!$B$117:$BX$117,1,MATCH(M$1,'DATA (Nominal)'!$B$1:$BX$1,0))</f>
        <v>0</v>
      </c>
      <c r="N448" s="151">
        <f>N441*INDEX('DATA (Nominal)'!$B$117:$BX$117,1,MATCH(N$1,'DATA (Nominal)'!$B$1:$BX$1,0))</f>
        <v>0</v>
      </c>
      <c r="O448" s="151">
        <f>O441*INDEX('DATA (Nominal)'!$B$117:$BX$117,1,MATCH(O$1,'DATA (Nominal)'!$B$1:$BX$1,0))</f>
        <v>0</v>
      </c>
      <c r="P448" s="151">
        <f>P441*INDEX('DATA (Nominal)'!$B$117:$BX$117,1,MATCH(P$1,'DATA (Nominal)'!$B$1:$BX$1,0))</f>
        <v>0</v>
      </c>
      <c r="Q448" s="151">
        <f>Q441*INDEX('DATA (Nominal)'!$B$117:$BX$117,1,MATCH(Q$1,'DATA (Nominal)'!$B$1:$BX$1,0))</f>
        <v>0</v>
      </c>
      <c r="R448" s="151">
        <f>R441*INDEX('DATA (Nominal)'!$B$117:$BX$117,1,MATCH(R$1,'DATA (Nominal)'!$B$1:$BX$1,0))</f>
        <v>0</v>
      </c>
      <c r="S448" s="151">
        <f>S441*INDEX('DATA (Nominal)'!$B$117:$BX$117,1,MATCH(S$1,'DATA (Nominal)'!$B$1:$BX$1,0))</f>
        <v>0</v>
      </c>
      <c r="T448" s="151">
        <f>T441*INDEX('DATA (Nominal)'!$B$117:$BX$117,1,MATCH(T$1,'DATA (Nominal)'!$B$1:$BX$1,0))</f>
        <v>0</v>
      </c>
      <c r="U448" s="151">
        <f>U441*INDEX('DATA (Nominal)'!$B$117:$BX$117,1,MATCH(U$1,'DATA (Nominal)'!$B$1:$BX$1,0))</f>
        <v>0</v>
      </c>
      <c r="V448" s="151">
        <f>V441*INDEX('DATA (Nominal)'!$B$117:$BX$117,1,MATCH(V$1,'DATA (Nominal)'!$B$1:$BX$1,0))</f>
        <v>0</v>
      </c>
      <c r="W448" s="151">
        <f>W441*INDEX('DATA (Nominal)'!$B$117:$BX$117,1,MATCH(W$1,'DATA (Nominal)'!$B$1:$BX$1,0))</f>
        <v>0</v>
      </c>
      <c r="X448" s="152">
        <f>X441*INDEX('DATA (Nominal)'!$B$117:$BX$117,1,MATCH(X$1,'DATA (Nominal)'!$B$1:$BX$1,0))</f>
        <v>0</v>
      </c>
      <c r="Y448" s="156"/>
    </row>
    <row r="449" spans="2:25" hidden="1" outlineLevel="1">
      <c r="C449" s="125" t="s">
        <v>127</v>
      </c>
      <c r="D449" s="151"/>
      <c r="E449" s="151">
        <f>E441*E442*INDEX('DATA (Nominal)'!$B$337:$BX$337,1,MATCH(E$1,'DATA (Nominal)'!$B$1:$BX$1,0))</f>
        <v>22178.293496478298</v>
      </c>
      <c r="F449" s="151">
        <f>F441*F442*INDEX('DATA (Nominal)'!$B$337:$BX$337,1,MATCH(F$1,'DATA (Nominal)'!$B$1:$BX$1,0))</f>
        <v>22178.293496478298</v>
      </c>
      <c r="G449" s="151">
        <f>G441*G442*INDEX('DATA (Nominal)'!$B$337:$BX$337,1,MATCH(G$1,'DATA (Nominal)'!$B$1:$BX$1,0))</f>
        <v>22178.293496478298</v>
      </c>
      <c r="H449" s="151">
        <f>H441*H442*INDEX('DATA (Nominal)'!$B$337:$BX$337,1,MATCH(H$1,'DATA (Nominal)'!$B$1:$BX$1,0))</f>
        <v>22178.293496478298</v>
      </c>
      <c r="I449" s="151">
        <f>I441*I442*INDEX('DATA (Nominal)'!$B$337:$BX$337,1,MATCH(I$1,'DATA (Nominal)'!$B$1:$BX$1,0))</f>
        <v>22178.293496478298</v>
      </c>
      <c r="J449" s="151">
        <f>J441*J442*INDEX('DATA (Nominal)'!$B$337:$BX$337,1,MATCH(J$1,'DATA (Nominal)'!$B$1:$BX$1,0))</f>
        <v>22178.293496478298</v>
      </c>
      <c r="K449" s="151">
        <f>K441*K442*INDEX('DATA (Nominal)'!$B$337:$BX$337,1,MATCH(K$1,'DATA (Nominal)'!$B$1:$BX$1,0))</f>
        <v>22178.293496478298</v>
      </c>
      <c r="L449" s="151">
        <f>L441*L442*INDEX('DATA (Nominal)'!$B$337:$BX$337,1,MATCH(L$1,'DATA (Nominal)'!$B$1:$BX$1,0))</f>
        <v>22178.293496478298</v>
      </c>
      <c r="M449" s="151">
        <f>M441*M442*INDEX('DATA (Nominal)'!$B$337:$BX$337,1,MATCH(M$1,'DATA (Nominal)'!$B$1:$BX$1,0))</f>
        <v>22178.293496478298</v>
      </c>
      <c r="N449" s="151">
        <f>N441*N442*INDEX('DATA (Nominal)'!$B$337:$BX$337,1,MATCH(N$1,'DATA (Nominal)'!$B$1:$BX$1,0))</f>
        <v>22178.293496478298</v>
      </c>
      <c r="O449" s="151">
        <f>O441*O442*INDEX('DATA (Nominal)'!$B$337:$BX$337,1,MATCH(O$1,'DATA (Nominal)'!$B$1:$BX$1,0))</f>
        <v>22178.293496478298</v>
      </c>
      <c r="P449" s="151">
        <f>P441*P442*INDEX('DATA (Nominal)'!$B$337:$BX$337,1,MATCH(P$1,'DATA (Nominal)'!$B$1:$BX$1,0))</f>
        <v>22178.293496478298</v>
      </c>
      <c r="Q449" s="151">
        <f>Q441*Q442*INDEX('DATA (Nominal)'!$B$337:$BX$337,1,MATCH(Q$1,'DATA (Nominal)'!$B$1:$BX$1,0))</f>
        <v>22178.293496478298</v>
      </c>
      <c r="R449" s="151">
        <f>R441*R442*INDEX('DATA (Nominal)'!$B$337:$BX$337,1,MATCH(R$1,'DATA (Nominal)'!$B$1:$BX$1,0))</f>
        <v>22178.293496478298</v>
      </c>
      <c r="S449" s="151">
        <f>S441*S442*INDEX('DATA (Nominal)'!$B$337:$BX$337,1,MATCH(S$1,'DATA (Nominal)'!$B$1:$BX$1,0))</f>
        <v>22178.293496478298</v>
      </c>
      <c r="T449" s="151">
        <f>T441*T442*INDEX('DATA (Nominal)'!$B$337:$BX$337,1,MATCH(T$1,'DATA (Nominal)'!$B$1:$BX$1,0))</f>
        <v>22178.293496478298</v>
      </c>
      <c r="U449" s="151">
        <f>U441*U442*INDEX('DATA (Nominal)'!$B$337:$BX$337,1,MATCH(U$1,'DATA (Nominal)'!$B$1:$BX$1,0))</f>
        <v>22178.293496478298</v>
      </c>
      <c r="V449" s="151">
        <f>V441*V442*INDEX('DATA (Nominal)'!$B$337:$BX$337,1,MATCH(V$1,'DATA (Nominal)'!$B$1:$BX$1,0))</f>
        <v>22178.293496478298</v>
      </c>
      <c r="W449" s="151">
        <f>W441*W442*INDEX('DATA (Nominal)'!$B$337:$BX$337,1,MATCH(W$1,'DATA (Nominal)'!$B$1:$BX$1,0))</f>
        <v>22178.293496478298</v>
      </c>
      <c r="X449" s="152">
        <f>X441*X442*INDEX('DATA (Nominal)'!$B$337:$BX$337,1,MATCH(X$1,'DATA (Nominal)'!$B$1:$BX$1,0))</f>
        <v>22178.293496478298</v>
      </c>
      <c r="Y449" s="156"/>
    </row>
    <row r="450" spans="2:25" hidden="1" outlineLevel="1">
      <c r="C450" s="258" t="s">
        <v>49</v>
      </c>
      <c r="D450" s="151"/>
      <c r="E450" s="151">
        <f>D472*Property_Tax_Rate</f>
        <v>2042109.3486884851</v>
      </c>
      <c r="F450" s="151">
        <f t="shared" ref="F450:M450" si="273">E472*Property_Tax_Rate</f>
        <v>1928323.9960351223</v>
      </c>
      <c r="G450" s="151">
        <f t="shared" si="273"/>
        <v>1820878.7086122355</v>
      </c>
      <c r="H450" s="151">
        <f t="shared" si="273"/>
        <v>1719420.221028548</v>
      </c>
      <c r="I450" s="151">
        <f t="shared" si="273"/>
        <v>1623614.9516708094</v>
      </c>
      <c r="J450" s="151">
        <f t="shared" si="273"/>
        <v>1533147.905933134</v>
      </c>
      <c r="K450" s="151">
        <f t="shared" si="273"/>
        <v>1447721.6405578719</v>
      </c>
      <c r="L450" s="151">
        <f t="shared" si="273"/>
        <v>1367055.2856829099</v>
      </c>
      <c r="M450" s="151">
        <f t="shared" si="273"/>
        <v>1290883.621380029</v>
      </c>
      <c r="N450" s="151">
        <f>M472*Property_Tax_Rate</f>
        <v>1218956.2056480993</v>
      </c>
      <c r="O450" s="151">
        <f>N472*Property_Tax_Rate</f>
        <v>1151036.5509940761</v>
      </c>
      <c r="P450" s="151">
        <f t="shared" ref="P450:X450" si="274">O472*Property_Tax_Rate</f>
        <v>1524250.0583276618</v>
      </c>
      <c r="Q450" s="151">
        <f t="shared" si="274"/>
        <v>1403037.6126613372</v>
      </c>
      <c r="R450" s="151">
        <f t="shared" si="274"/>
        <v>1291464.3052086807</v>
      </c>
      <c r="S450" s="151">
        <f t="shared" si="274"/>
        <v>1188763.605891106</v>
      </c>
      <c r="T450" s="151">
        <f t="shared" si="274"/>
        <v>1094229.9411541848</v>
      </c>
      <c r="U450" s="151">
        <f t="shared" si="274"/>
        <v>1007213.8465416398</v>
      </c>
      <c r="V450" s="151">
        <f t="shared" si="274"/>
        <v>927117.50474963326</v>
      </c>
      <c r="W450" s="151">
        <f t="shared" si="274"/>
        <v>853390.63850692532</v>
      </c>
      <c r="X450" s="152">
        <f t="shared" si="274"/>
        <v>785526.73006419768</v>
      </c>
      <c r="Y450" s="156"/>
    </row>
    <row r="451" spans="2:25" hidden="1" outlineLevel="1">
      <c r="C451" s="258" t="s">
        <v>50</v>
      </c>
      <c r="D451" s="151"/>
      <c r="E451" s="151">
        <f>SUM(E446:E450)</f>
        <v>5382460.8814521804</v>
      </c>
      <c r="F451" s="151">
        <f>SUM(F446:F450)</f>
        <v>5237205.8553630542</v>
      </c>
      <c r="G451" s="151">
        <f t="shared" ref="G451:N451" si="275">SUM(G446:G450)</f>
        <v>5098719.8553555794</v>
      </c>
      <c r="H451" s="151">
        <f t="shared" si="275"/>
        <v>4949046.929895265</v>
      </c>
      <c r="I451" s="151">
        <f t="shared" si="275"/>
        <v>4828587.0334316473</v>
      </c>
      <c r="J451" s="151">
        <f t="shared" si="275"/>
        <v>4700685.7924983753</v>
      </c>
      <c r="K451" s="151">
        <f t="shared" si="275"/>
        <v>4654906.197145124</v>
      </c>
      <c r="L451" s="151">
        <f t="shared" si="275"/>
        <v>4613176.7277050074</v>
      </c>
      <c r="M451" s="151">
        <f t="shared" si="275"/>
        <v>4576142.4329219647</v>
      </c>
      <c r="N451" s="151">
        <f t="shared" si="275"/>
        <v>4543543.0003685849</v>
      </c>
      <c r="O451" s="151">
        <f>SUM(O446:O450)</f>
        <v>4515131.5442211749</v>
      </c>
      <c r="P451" s="151">
        <f t="shared" ref="P451:X451" si="276">SUM(P446:P450)</f>
        <v>4928022.5207223278</v>
      </c>
      <c r="Q451" s="151">
        <f t="shared" si="276"/>
        <v>4846645.3048943635</v>
      </c>
      <c r="R451" s="151">
        <f t="shared" si="276"/>
        <v>4775052.8930810988</v>
      </c>
      <c r="S451" s="151">
        <f t="shared" si="276"/>
        <v>4712466.0553121511</v>
      </c>
      <c r="T451" s="151">
        <f t="shared" si="276"/>
        <v>4658165.8923746552</v>
      </c>
      <c r="U451" s="151">
        <f t="shared" si="276"/>
        <v>4611488.9670237182</v>
      </c>
      <c r="V451" s="151">
        <f t="shared" si="276"/>
        <v>4571822.8200370111</v>
      </c>
      <c r="W451" s="151">
        <f t="shared" si="276"/>
        <v>4538601.840441457</v>
      </c>
      <c r="X451" s="152">
        <f t="shared" si="276"/>
        <v>4511303.4616771592</v>
      </c>
      <c r="Y451" s="156"/>
    </row>
    <row r="452" spans="2:25" hidden="1" outlineLevel="1">
      <c r="C452" s="258" t="s">
        <v>179</v>
      </c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>
        <f>INDEX('DATA (Nominal)'!$B$75:$BX$75,1,MATCH($O$1,'DATA (Nominal)'!$B$1:$BX$1,0))*1000000*(1+AFUDC!$D$22)*0.5*'Resource Options'!$D$22/1000</f>
        <v>42328050.418400481</v>
      </c>
      <c r="P452" s="151"/>
      <c r="Q452" s="151"/>
      <c r="R452" s="151"/>
      <c r="S452" s="151"/>
      <c r="T452" s="151"/>
      <c r="U452" s="151"/>
      <c r="V452" s="151"/>
      <c r="W452" s="151"/>
      <c r="X452" s="152"/>
      <c r="Y452" s="156"/>
    </row>
    <row r="453" spans="2:25" hidden="1" outlineLevel="1">
      <c r="C453" s="258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2"/>
      <c r="Y453" s="156"/>
    </row>
    <row r="454" spans="2:25" hidden="1" outlineLevel="1">
      <c r="C454" s="125" t="s">
        <v>51</v>
      </c>
      <c r="D454" s="151"/>
      <c r="E454" s="151">
        <f>E444-E451</f>
        <v>14028945.702589974</v>
      </c>
      <c r="F454" s="151">
        <f t="shared" ref="F454:N454" si="277">F444-F451</f>
        <v>14174200.7286791</v>
      </c>
      <c r="G454" s="151">
        <f t="shared" si="277"/>
        <v>14312686.728686575</v>
      </c>
      <c r="H454" s="151">
        <f t="shared" si="277"/>
        <v>14462359.654146889</v>
      </c>
      <c r="I454" s="151">
        <f t="shared" si="277"/>
        <v>14582819.550610507</v>
      </c>
      <c r="J454" s="151">
        <f t="shared" si="277"/>
        <v>14710720.791543778</v>
      </c>
      <c r="K454" s="151">
        <f t="shared" si="277"/>
        <v>14756500.386897031</v>
      </c>
      <c r="L454" s="151">
        <f t="shared" si="277"/>
        <v>14798229.856337147</v>
      </c>
      <c r="M454" s="151">
        <f t="shared" si="277"/>
        <v>14835264.15112019</v>
      </c>
      <c r="N454" s="151">
        <f t="shared" si="277"/>
        <v>14867863.58367357</v>
      </c>
      <c r="O454" s="151">
        <f>O444-O451</f>
        <v>14896275.03982098</v>
      </c>
      <c r="P454" s="151">
        <f t="shared" ref="P454:X454" si="278">P444-P451</f>
        <v>14483384.063319826</v>
      </c>
      <c r="Q454" s="151">
        <f t="shared" si="278"/>
        <v>14564761.279147791</v>
      </c>
      <c r="R454" s="151">
        <f t="shared" si="278"/>
        <v>14636353.690961055</v>
      </c>
      <c r="S454" s="151">
        <f t="shared" si="278"/>
        <v>14698940.528730003</v>
      </c>
      <c r="T454" s="151">
        <f t="shared" si="278"/>
        <v>14753240.691667499</v>
      </c>
      <c r="U454" s="151">
        <f t="shared" si="278"/>
        <v>14799917.617018435</v>
      </c>
      <c r="V454" s="151">
        <f t="shared" si="278"/>
        <v>14839583.764005143</v>
      </c>
      <c r="W454" s="151">
        <f t="shared" si="278"/>
        <v>14872804.743600696</v>
      </c>
      <c r="X454" s="152">
        <f t="shared" si="278"/>
        <v>14900103.122364994</v>
      </c>
      <c r="Y454" s="156"/>
    </row>
    <row r="455" spans="2:25" hidden="1" outlineLevel="1">
      <c r="C455" s="125" t="s">
        <v>52</v>
      </c>
      <c r="D455" s="151"/>
      <c r="E455" s="151">
        <f>E454-E473-E462</f>
        <v>-25748050.048374623</v>
      </c>
      <c r="F455" s="151">
        <f t="shared" ref="F455:M455" si="279">F454-F473-F462</f>
        <v>-46287160.365601808</v>
      </c>
      <c r="G455" s="151">
        <f t="shared" si="279"/>
        <v>-23777391.38782553</v>
      </c>
      <c r="H455" s="151">
        <f t="shared" si="279"/>
        <v>-10135273.040566612</v>
      </c>
      <c r="I455" s="151">
        <f t="shared" si="279"/>
        <v>-9844371.9928970095</v>
      </c>
      <c r="J455" s="151">
        <f t="shared" si="279"/>
        <v>461512.03373739589</v>
      </c>
      <c r="K455" s="151">
        <f t="shared" si="279"/>
        <v>10695164.262590511</v>
      </c>
      <c r="L455" s="151">
        <f t="shared" si="279"/>
        <v>10937032.783779323</v>
      </c>
      <c r="M455" s="151">
        <f t="shared" si="279"/>
        <v>11185213.778157242</v>
      </c>
      <c r="N455" s="151">
        <f>N454-N473-N462</f>
        <v>11440572.978783216</v>
      </c>
      <c r="O455" s="151">
        <f>O454-O473-O462</f>
        <v>3892354.2855314054</v>
      </c>
      <c r="P455" s="151">
        <f>P454-P473-P462</f>
        <v>-461800.53150714748</v>
      </c>
      <c r="Q455" s="151">
        <f t="shared" ref="Q455:W455" si="280">Q454-Q473-Q462</f>
        <v>2979944.7695810753</v>
      </c>
      <c r="R455" s="151">
        <f t="shared" si="280"/>
        <v>5587694.6306524351</v>
      </c>
      <c r="S455" s="151">
        <f t="shared" si="280"/>
        <v>7605127.4396187738</v>
      </c>
      <c r="T455" s="151">
        <f t="shared" si="280"/>
        <v>8127567.5752360914</v>
      </c>
      <c r="U455" s="151">
        <f t="shared" si="280"/>
        <v>8668132.1717642378</v>
      </c>
      <c r="V455" s="151">
        <f t="shared" si="280"/>
        <v>11118373.982520301</v>
      </c>
      <c r="W455" s="151">
        <f t="shared" si="280"/>
        <v>13589558.616492717</v>
      </c>
      <c r="X455" s="152">
        <f>X454-X473-X462</f>
        <v>14196800.333355691</v>
      </c>
      <c r="Y455" s="156"/>
    </row>
    <row r="456" spans="2:25" hidden="1" outlineLevel="1">
      <c r="C456" s="125" t="s">
        <v>53</v>
      </c>
      <c r="D456" s="151"/>
      <c r="E456" s="93">
        <f>INDEX('DATA (Nominal)'!$B$263:$BX$263,1,MATCH($B$1,'DATA (Nominal)'!$B$1:$BX$1,0))*INDEX('DATA (Nominal)'!$B$310:$BX$310,1,MATCH(E$1,'DATA (Nominal)'!$B$1:$BX$1,0))*E441</f>
        <v>6756044.9450969258</v>
      </c>
      <c r="F456" s="93">
        <f>INDEX('DATA (Nominal)'!$B$263:$BX$263,1,MATCH($B$1,'DATA (Nominal)'!$B$1:$BX$1,0))*INDEX('DATA (Nominal)'!$B$310:$BX$310,1,MATCH(F$1,'DATA (Nominal)'!$B$1:$BX$1,0))*F441</f>
        <v>6906929.9488707576</v>
      </c>
      <c r="G456" s="93">
        <f>INDEX('DATA (Nominal)'!$B$263:$BX$263,1,MATCH($B$1,'DATA (Nominal)'!$B$1:$BX$1,0))*INDEX('DATA (Nominal)'!$B$310:$BX$310,1,MATCH(G$1,'DATA (Nominal)'!$B$1:$BX$1,0))*G441</f>
        <v>7061184.7177288709</v>
      </c>
      <c r="H456" s="93">
        <f>INDEX('DATA (Nominal)'!$B$263:$BX$263,1,MATCH($B$1,'DATA (Nominal)'!$B$1:$BX$1,0))*INDEX('DATA (Nominal)'!$B$310:$BX$310,1,MATCH(H$1,'DATA (Nominal)'!$B$1:$BX$1,0))*H441</f>
        <v>7216530.7815189073</v>
      </c>
      <c r="I456" s="93">
        <f>INDEX('DATA (Nominal)'!$B$263:$BX$263,1,MATCH($B$1,'DATA (Nominal)'!$B$1:$BX$1,0))*INDEX('DATA (Nominal)'!$B$310:$BX$310,1,MATCH(I$1,'DATA (Nominal)'!$B$1:$BX$1,0))*I441</f>
        <v>7375294.4587123217</v>
      </c>
      <c r="J456" s="93">
        <f>INDEX('DATA (Nominal)'!$B$263:$BX$263,1,MATCH($B$1,'DATA (Nominal)'!$B$1:$BX$1,0))*INDEX('DATA (Nominal)'!$B$310:$BX$310,1,MATCH(J$1,'DATA (Nominal)'!$B$1:$BX$1,0))*J441</f>
        <v>7537550.9368039938</v>
      </c>
      <c r="K456" s="93">
        <f>INDEX('DATA (Nominal)'!$B$263:$BX$263,1,MATCH($B$1,'DATA (Nominal)'!$B$1:$BX$1,0))*INDEX('DATA (Nominal)'!$B$310:$BX$310,1,MATCH(K$1,'DATA (Nominal)'!$B$1:$BX$1,0))*K441</f>
        <v>7703377.0574136805</v>
      </c>
      <c r="L456" s="93">
        <f>INDEX('DATA (Nominal)'!$B$263:$BX$263,1,MATCH($B$1,'DATA (Nominal)'!$B$1:$BX$1,0))*INDEX('DATA (Nominal)'!$B$310:$BX$310,1,MATCH(L$1,'DATA (Nominal)'!$B$1:$BX$1,0))*L441</f>
        <v>7872851.3526767828</v>
      </c>
      <c r="M456" s="93">
        <f>INDEX('DATA (Nominal)'!$B$263:$BX$263,1,MATCH($B$1,'DATA (Nominal)'!$B$1:$BX$1,0))*INDEX('DATA (Nominal)'!$B$310:$BX$310,1,MATCH(M$1,'DATA (Nominal)'!$B$1:$BX$1,0))*M441</f>
        <v>8046054.0824356731</v>
      </c>
      <c r="N456" s="93">
        <f>INDEX('DATA (Nominal)'!$B$263:$BX$263,1,MATCH($B$1,'DATA (Nominal)'!$B$1:$BX$1,0))*INDEX('DATA (Nominal)'!$B$310:$BX$310,1,MATCH(N$1,'DATA (Nominal)'!$B$1:$BX$1,0))*N441</f>
        <v>8223067.2722492572</v>
      </c>
      <c r="O456" s="151"/>
      <c r="P456" s="151"/>
      <c r="Q456" s="151"/>
      <c r="R456" s="151"/>
      <c r="S456" s="151"/>
      <c r="T456" s="151"/>
      <c r="U456" s="151"/>
      <c r="V456" s="151"/>
      <c r="W456" s="151"/>
      <c r="X456" s="152"/>
      <c r="Y456" s="156"/>
    </row>
    <row r="457" spans="2:25" hidden="1" outlineLevel="1">
      <c r="C457" s="258" t="s">
        <v>54</v>
      </c>
      <c r="D457" s="151"/>
      <c r="E457" s="151">
        <f>E455*Federal_Tax_Rate-E456</f>
        <v>-12163135.455255598</v>
      </c>
      <c r="F457" s="151">
        <f>F455*Federal_Tax_Rate-F456</f>
        <v>-16627233.625647137</v>
      </c>
      <c r="G457" s="151">
        <f t="shared" ref="G457:N457" si="281">G455*Federal_Tax_Rate-G456</f>
        <v>-12054436.909172233</v>
      </c>
      <c r="H457" s="151">
        <f t="shared" si="281"/>
        <v>-9344938.1200378947</v>
      </c>
      <c r="I457" s="151">
        <f t="shared" si="281"/>
        <v>-9442612.5772206932</v>
      </c>
      <c r="J457" s="151">
        <f t="shared" si="281"/>
        <v>-7440633.4097191403</v>
      </c>
      <c r="K457" s="151">
        <f t="shared" si="281"/>
        <v>-5457392.5622696728</v>
      </c>
      <c r="L457" s="151">
        <f t="shared" si="281"/>
        <v>-5576074.4680831246</v>
      </c>
      <c r="M457" s="151">
        <f t="shared" si="281"/>
        <v>-5697159.1890226528</v>
      </c>
      <c r="N457" s="151">
        <f t="shared" si="281"/>
        <v>-5820546.9467047825</v>
      </c>
      <c r="O457" s="151">
        <f>O455*Federal_Tax_Rate-O456</f>
        <v>817394.39996159507</v>
      </c>
      <c r="P457" s="151">
        <f t="shared" ref="P457:X457" si="282">P455*Federal_Tax_Rate-P456</f>
        <v>-96978.111616500973</v>
      </c>
      <c r="Q457" s="151">
        <f t="shared" si="282"/>
        <v>625788.4016120258</v>
      </c>
      <c r="R457" s="151">
        <f t="shared" si="282"/>
        <v>1173415.8724370112</v>
      </c>
      <c r="S457" s="151">
        <f t="shared" si="282"/>
        <v>1597076.7623199425</v>
      </c>
      <c r="T457" s="151">
        <f t="shared" si="282"/>
        <v>1706789.190799579</v>
      </c>
      <c r="U457" s="151">
        <f t="shared" si="282"/>
        <v>1820307.7560704898</v>
      </c>
      <c r="V457" s="151">
        <f t="shared" si="282"/>
        <v>2334858.5363292629</v>
      </c>
      <c r="W457" s="151">
        <f t="shared" si="282"/>
        <v>2853807.3094634702</v>
      </c>
      <c r="X457" s="152">
        <f t="shared" si="282"/>
        <v>2981328.0700046951</v>
      </c>
      <c r="Y457" s="156"/>
    </row>
    <row r="458" spans="2:25" hidden="1" outlineLevel="1">
      <c r="C458" s="258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2"/>
      <c r="Y458" s="156"/>
    </row>
    <row r="459" spans="2:25" hidden="1" outlineLevel="1">
      <c r="B459" s="37">
        <f>IRR(D459:Y459,0.1)</f>
        <v>7.5000000053674132E-2</v>
      </c>
      <c r="C459" s="125" t="s">
        <v>55</v>
      </c>
      <c r="D459" s="155">
        <f>SUM(D468:D469)</f>
        <v>-204210934.8688485</v>
      </c>
      <c r="E459" s="156">
        <f t="shared" ref="E459:K459" si="283">E454-E457</f>
        <v>26192081.157845572</v>
      </c>
      <c r="F459" s="151">
        <f t="shared" si="283"/>
        <v>30801434.354326237</v>
      </c>
      <c r="G459" s="151">
        <f t="shared" si="283"/>
        <v>26367123.637858808</v>
      </c>
      <c r="H459" s="151">
        <f t="shared" si="283"/>
        <v>23807297.774184786</v>
      </c>
      <c r="I459" s="151">
        <f t="shared" si="283"/>
        <v>24025432.127831198</v>
      </c>
      <c r="J459" s="151">
        <f t="shared" si="283"/>
        <v>22151354.201262917</v>
      </c>
      <c r="K459" s="151">
        <f t="shared" si="283"/>
        <v>20213892.949166704</v>
      </c>
      <c r="L459" s="151">
        <f>L454-L457</f>
        <v>20374304.324420273</v>
      </c>
      <c r="M459" s="151">
        <f t="shared" ref="M459:N459" si="284">M454-M457</f>
        <v>20532423.340142842</v>
      </c>
      <c r="N459" s="151">
        <f t="shared" si="284"/>
        <v>20688410.530378353</v>
      </c>
      <c r="O459" s="151">
        <f>O454-O457-O452</f>
        <v>-28249169.778541096</v>
      </c>
      <c r="P459" s="151">
        <f>P454-P457</f>
        <v>14580362.174936328</v>
      </c>
      <c r="Q459" s="151">
        <f t="shared" ref="Q459:X459" si="285">Q454-Q457</f>
        <v>13938972.877535764</v>
      </c>
      <c r="R459" s="151">
        <f t="shared" si="285"/>
        <v>13462937.818524044</v>
      </c>
      <c r="S459" s="151">
        <f t="shared" si="285"/>
        <v>13101863.76641006</v>
      </c>
      <c r="T459" s="151">
        <f t="shared" si="285"/>
        <v>13046451.50086792</v>
      </c>
      <c r="U459" s="151">
        <f t="shared" si="285"/>
        <v>12979609.860947946</v>
      </c>
      <c r="V459" s="151">
        <f t="shared" si="285"/>
        <v>12504725.227675881</v>
      </c>
      <c r="W459" s="151">
        <f t="shared" si="285"/>
        <v>12018997.434137225</v>
      </c>
      <c r="X459" s="152">
        <f t="shared" si="285"/>
        <v>11918775.0523603</v>
      </c>
      <c r="Y459" s="156">
        <f>D459*-0.3</f>
        <v>61263280.460654549</v>
      </c>
    </row>
    <row r="460" spans="2:25" hidden="1" outlineLevel="1">
      <c r="B460" s="37">
        <f>IRR(D460:Y460,0.1)</f>
        <v>0.11906355169765348</v>
      </c>
      <c r="C460" s="125" t="s">
        <v>56</v>
      </c>
      <c r="D460" s="155">
        <f>-D478</f>
        <v>-33177520.300902732</v>
      </c>
      <c r="E460" s="156">
        <f t="shared" ref="E460:M460" si="286">E459-E462-E465-E474-E456</f>
        <v>4445477.8636479126</v>
      </c>
      <c r="F460" s="151">
        <f t="shared" si="286"/>
        <v>4529747.8314640112</v>
      </c>
      <c r="G460" s="151">
        <f t="shared" si="286"/>
        <v>4606993.7860219227</v>
      </c>
      <c r="H460" s="151">
        <f t="shared" si="286"/>
        <v>4691308.7224879367</v>
      </c>
      <c r="I460" s="151">
        <f t="shared" si="286"/>
        <v>4750679.3989409348</v>
      </c>
      <c r="J460" s="151">
        <f t="shared" si="286"/>
        <v>4813960.1422285317</v>
      </c>
      <c r="K460" s="151">
        <f t="shared" si="286"/>
        <v>4810287.9174701851</v>
      </c>
      <c r="L460" s="151">
        <f t="shared" si="286"/>
        <v>4801224.9974606521</v>
      </c>
      <c r="M460" s="151">
        <f t="shared" si="286"/>
        <v>4786141.2834243309</v>
      </c>
      <c r="N460" s="151">
        <f>N459-N462-N465-N474-N456</f>
        <v>4765115.2838462554</v>
      </c>
      <c r="O460" s="151">
        <f>O459-O462-O465-O474-O456+O452</f>
        <v>981343.27430228889</v>
      </c>
      <c r="P460" s="151">
        <f>P459-P462-P465-P474-P456</f>
        <v>575802.41379358713</v>
      </c>
      <c r="Q460" s="151">
        <f>Q459-Q462-Q465-Q474-Q456</f>
        <v>556368.79082587431</v>
      </c>
      <c r="R460" s="151">
        <f t="shared" ref="R460:X460" si="287">R459-R462-R465-R474-R456</f>
        <v>524600.48339560209</v>
      </c>
      <c r="S460" s="151">
        <f t="shared" si="287"/>
        <v>480859.82526836672</v>
      </c>
      <c r="T460" s="151">
        <f t="shared" si="287"/>
        <v>425447.55972622649</v>
      </c>
      <c r="U460" s="151">
        <f t="shared" si="287"/>
        <v>358605.91980625258</v>
      </c>
      <c r="V460" s="151">
        <f t="shared" si="287"/>
        <v>280521.36237644305</v>
      </c>
      <c r="W460" s="151">
        <f t="shared" si="287"/>
        <v>191326.97796240263</v>
      </c>
      <c r="X460" s="152">
        <f t="shared" si="287"/>
        <v>91104.596185479313</v>
      </c>
      <c r="Y460" s="156">
        <f>Y459</f>
        <v>61263280.460654549</v>
      </c>
    </row>
    <row r="461" spans="2:25" hidden="1" outlineLevel="1">
      <c r="B461" s="21"/>
      <c r="C461" s="125"/>
      <c r="D461" s="155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2"/>
      <c r="Y461" s="156"/>
    </row>
    <row r="462" spans="2:25" hidden="1" outlineLevel="1">
      <c r="B462" s="452"/>
      <c r="C462" s="258" t="s">
        <v>57</v>
      </c>
      <c r="D462" s="151"/>
      <c r="E462" s="151">
        <f t="shared" ref="E462:W462" si="288">D466*Debt_Rate</f>
        <v>5061136.8232603502</v>
      </c>
      <c r="F462" s="151">
        <f t="shared" si="288"/>
        <v>4915986.8099541133</v>
      </c>
      <c r="G462" s="151">
        <f t="shared" si="288"/>
        <v>4762853.545916033</v>
      </c>
      <c r="H462" s="151">
        <f t="shared" si="288"/>
        <v>4601297.9523558589</v>
      </c>
      <c r="I462" s="151">
        <f t="shared" si="288"/>
        <v>4430856.8011498749</v>
      </c>
      <c r="J462" s="151">
        <f t="shared" si="288"/>
        <v>4251041.3866275614</v>
      </c>
      <c r="K462" s="151">
        <f t="shared" si="288"/>
        <v>4061336.1243065209</v>
      </c>
      <c r="L462" s="151">
        <f t="shared" si="288"/>
        <v>3861197.0725578237</v>
      </c>
      <c r="M462" s="151">
        <f t="shared" si="288"/>
        <v>3650050.3729629479</v>
      </c>
      <c r="N462" s="151">
        <f t="shared" si="288"/>
        <v>3427290.6048903535</v>
      </c>
      <c r="O462" s="151">
        <f t="shared" si="288"/>
        <v>4956935.471516883</v>
      </c>
      <c r="P462" s="151">
        <f t="shared" si="288"/>
        <v>4579045.0473606959</v>
      </c>
      <c r="Q462" s="151">
        <f t="shared" si="288"/>
        <v>4180370.6498759189</v>
      </c>
      <c r="R462" s="151">
        <f t="shared" si="288"/>
        <v>3759769.1605294799</v>
      </c>
      <c r="S462" s="151">
        <f t="shared" si="288"/>
        <v>3316034.5892689861</v>
      </c>
      <c r="T462" s="151">
        <f t="shared" si="288"/>
        <v>2847894.6165891648</v>
      </c>
      <c r="U462" s="151">
        <f t="shared" si="288"/>
        <v>2354006.9454119536</v>
      </c>
      <c r="V462" s="151">
        <f t="shared" si="288"/>
        <v>1832955.4523199955</v>
      </c>
      <c r="W462" s="151">
        <f t="shared" si="288"/>
        <v>1283246.1271079802</v>
      </c>
      <c r="X462" s="152">
        <f>W466*Debt_Rate</f>
        <v>703302.78900930379</v>
      </c>
      <c r="Y462" s="156"/>
    </row>
    <row r="463" spans="2:25" hidden="1" outlineLevel="1">
      <c r="B463" s="452"/>
      <c r="C463" s="258" t="s">
        <v>113</v>
      </c>
      <c r="D463" s="151"/>
      <c r="E463" s="151">
        <f t="shared" ref="E463:X463" si="289">-PMT(Debt_Rate,20,$D477)</f>
        <v>7700227.9742828393</v>
      </c>
      <c r="F463" s="151">
        <f t="shared" si="289"/>
        <v>7700227.9742828393</v>
      </c>
      <c r="G463" s="151">
        <f t="shared" si="289"/>
        <v>7700227.9742828393</v>
      </c>
      <c r="H463" s="151">
        <f t="shared" si="289"/>
        <v>7700227.9742828393</v>
      </c>
      <c r="I463" s="151">
        <f t="shared" si="289"/>
        <v>7700227.9742828393</v>
      </c>
      <c r="J463" s="151">
        <f t="shared" si="289"/>
        <v>7700227.9742828393</v>
      </c>
      <c r="K463" s="151">
        <f t="shared" si="289"/>
        <v>7700227.9742828393</v>
      </c>
      <c r="L463" s="151">
        <f t="shared" si="289"/>
        <v>7700227.9742828393</v>
      </c>
      <c r="M463" s="151">
        <f t="shared" si="289"/>
        <v>7700227.9742828393</v>
      </c>
      <c r="N463" s="151">
        <f t="shared" si="289"/>
        <v>7700227.9742828393</v>
      </c>
      <c r="O463" s="151">
        <f t="shared" si="289"/>
        <v>7700227.9742828393</v>
      </c>
      <c r="P463" s="151">
        <f t="shared" si="289"/>
        <v>7700227.9742828393</v>
      </c>
      <c r="Q463" s="151">
        <f t="shared" si="289"/>
        <v>7700227.9742828393</v>
      </c>
      <c r="R463" s="151">
        <f t="shared" si="289"/>
        <v>7700227.9742828393</v>
      </c>
      <c r="S463" s="151">
        <f t="shared" si="289"/>
        <v>7700227.9742828393</v>
      </c>
      <c r="T463" s="151">
        <f t="shared" si="289"/>
        <v>7700227.9742828393</v>
      </c>
      <c r="U463" s="151">
        <f t="shared" si="289"/>
        <v>7700227.9742828393</v>
      </c>
      <c r="V463" s="151">
        <f t="shared" si="289"/>
        <v>7700227.9742828393</v>
      </c>
      <c r="W463" s="151">
        <f t="shared" si="289"/>
        <v>7700227.9742828393</v>
      </c>
      <c r="X463" s="152">
        <f t="shared" si="289"/>
        <v>7700227.9742828393</v>
      </c>
      <c r="Y463" s="156"/>
    </row>
    <row r="464" spans="2:25" hidden="1" outlineLevel="1">
      <c r="B464" s="452"/>
      <c r="C464" s="258" t="s">
        <v>161</v>
      </c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>
        <f t="shared" ref="O464:X464" si="290">-PMT(Debt_Rate,10,$O452)*$B477</f>
        <v>4127442.4818919827</v>
      </c>
      <c r="P464" s="151">
        <f t="shared" si="290"/>
        <v>4127442.4818919827</v>
      </c>
      <c r="Q464" s="151">
        <f t="shared" si="290"/>
        <v>4127442.4818919827</v>
      </c>
      <c r="R464" s="151">
        <f t="shared" si="290"/>
        <v>4127442.4818919827</v>
      </c>
      <c r="S464" s="151">
        <f t="shared" si="290"/>
        <v>4127442.4818919827</v>
      </c>
      <c r="T464" s="151">
        <f t="shared" si="290"/>
        <v>4127442.4818919827</v>
      </c>
      <c r="U464" s="151">
        <f t="shared" si="290"/>
        <v>4127442.4818919827</v>
      </c>
      <c r="V464" s="151">
        <f t="shared" si="290"/>
        <v>4127442.4818919827</v>
      </c>
      <c r="W464" s="151">
        <f t="shared" si="290"/>
        <v>4127442.4818919827</v>
      </c>
      <c r="X464" s="152">
        <f t="shared" si="290"/>
        <v>4127442.4818919827</v>
      </c>
      <c r="Y464" s="156"/>
    </row>
    <row r="465" spans="2:25" hidden="1" outlineLevel="1">
      <c r="B465" s="452"/>
      <c r="C465" s="258" t="s">
        <v>59</v>
      </c>
      <c r="D465" s="151"/>
      <c r="E465" s="156">
        <f>E464+E463-E462</f>
        <v>2639091.1510224892</v>
      </c>
      <c r="F465" s="151">
        <f t="shared" ref="F465:L465" si="291">F464+F463-F462</f>
        <v>2784241.164328726</v>
      </c>
      <c r="G465" s="151">
        <f t="shared" si="291"/>
        <v>2937374.4283668064</v>
      </c>
      <c r="H465" s="151">
        <f t="shared" si="291"/>
        <v>3098930.0219269805</v>
      </c>
      <c r="I465" s="151">
        <f t="shared" si="291"/>
        <v>3269371.1731329644</v>
      </c>
      <c r="J465" s="151">
        <f t="shared" si="291"/>
        <v>3449186.5876552779</v>
      </c>
      <c r="K465" s="151">
        <f t="shared" si="291"/>
        <v>3638891.8499763184</v>
      </c>
      <c r="L465" s="151">
        <f t="shared" si="291"/>
        <v>3839030.9017250156</v>
      </c>
      <c r="M465" s="151">
        <f>M464+M463-M462</f>
        <v>4050177.6013198914</v>
      </c>
      <c r="N465" s="151">
        <f>N464+N463-N462</f>
        <v>4272937.3693924863</v>
      </c>
      <c r="O465" s="151">
        <f>O464+O463-O462</f>
        <v>6870734.9846579395</v>
      </c>
      <c r="P465" s="151">
        <f>P464+P463-P462</f>
        <v>7248625.4088141266</v>
      </c>
      <c r="Q465" s="151">
        <f t="shared" ref="Q465:X465" si="292">Q464+Q463-Q462</f>
        <v>7647299.8062989041</v>
      </c>
      <c r="R465" s="151">
        <f t="shared" si="292"/>
        <v>8067901.2956453431</v>
      </c>
      <c r="S465" s="151">
        <f t="shared" si="292"/>
        <v>8511635.8669058364</v>
      </c>
      <c r="T465" s="151">
        <f t="shared" si="292"/>
        <v>8979775.8395856582</v>
      </c>
      <c r="U465" s="151">
        <f t="shared" si="292"/>
        <v>9473663.5107628684</v>
      </c>
      <c r="V465" s="151">
        <f t="shared" si="292"/>
        <v>9994715.0038548261</v>
      </c>
      <c r="W465" s="151">
        <f t="shared" si="292"/>
        <v>10544424.329066843</v>
      </c>
      <c r="X465" s="152">
        <f t="shared" si="292"/>
        <v>11124367.667165518</v>
      </c>
      <c r="Y465" s="156"/>
    </row>
    <row r="466" spans="2:25" hidden="1" outlineLevel="1">
      <c r="B466" s="452"/>
      <c r="C466" s="258" t="s">
        <v>60</v>
      </c>
      <c r="D466" s="151">
        <f>D477</f>
        <v>92020669.513824552</v>
      </c>
      <c r="E466" s="151">
        <f>D466-E465+(F452*$B$76)</f>
        <v>89381578.362802058</v>
      </c>
      <c r="F466" s="151">
        <f t="shared" ref="F466:L466" si="293">E466-F465+(G452*$B$76)</f>
        <v>86597337.198473334</v>
      </c>
      <c r="G466" s="151">
        <f t="shared" si="293"/>
        <v>83659962.770106524</v>
      </c>
      <c r="H466" s="151">
        <f t="shared" si="293"/>
        <v>80561032.74817954</v>
      </c>
      <c r="I466" s="151">
        <f t="shared" si="293"/>
        <v>77291661.575046569</v>
      </c>
      <c r="J466" s="151">
        <f t="shared" si="293"/>
        <v>73842474.987391293</v>
      </c>
      <c r="K466" s="151">
        <f t="shared" si="293"/>
        <v>70203583.137414977</v>
      </c>
      <c r="L466" s="151">
        <f t="shared" si="293"/>
        <v>66364552.23568996</v>
      </c>
      <c r="M466" s="151">
        <f>L466-M465+(N452*$B$76)</f>
        <v>62314374.634370066</v>
      </c>
      <c r="N466" s="151">
        <f>M466-N465+(O452*$B$76)</f>
        <v>90126099.482125148</v>
      </c>
      <c r="O466" s="151">
        <f t="shared" ref="O466:X466" si="294">N466-O465+(P452*$B$76)</f>
        <v>83255364.497467205</v>
      </c>
      <c r="P466" s="151">
        <f t="shared" si="294"/>
        <v>76006739.088653073</v>
      </c>
      <c r="Q466" s="151">
        <f t="shared" si="294"/>
        <v>68359439.282354176</v>
      </c>
      <c r="R466" s="151">
        <f t="shared" si="294"/>
        <v>60291537.986708835</v>
      </c>
      <c r="S466" s="151">
        <f t="shared" si="294"/>
        <v>51779902.119802997</v>
      </c>
      <c r="T466" s="151">
        <f t="shared" si="294"/>
        <v>42800126.280217335</v>
      </c>
      <c r="U466" s="151">
        <f t="shared" si="294"/>
        <v>33326462.769454464</v>
      </c>
      <c r="V466" s="151">
        <f t="shared" si="294"/>
        <v>23331747.765599638</v>
      </c>
      <c r="W466" s="151">
        <f t="shared" si="294"/>
        <v>12787323.436532795</v>
      </c>
      <c r="X466" s="152">
        <f t="shared" si="294"/>
        <v>1662955.7693672776</v>
      </c>
      <c r="Y466" s="156"/>
    </row>
    <row r="467" spans="2:25" hidden="1" outlineLevel="1">
      <c r="B467" s="452"/>
      <c r="C467" s="125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2"/>
      <c r="Y467" s="156"/>
    </row>
    <row r="468" spans="2:25" hidden="1" outlineLevel="1">
      <c r="B468" s="452"/>
      <c r="C468" s="258" t="s">
        <v>162</v>
      </c>
      <c r="D468" s="151">
        <f>-INDEX('DATA (Nominal)'!$B$74:$BX$74,1,MATCH($B$1,'DATA (Nominal)'!$B$1:$BX$1,0))*1000000*(1+AFUDC!$C$22)*'Resource Options'!$E$22/1000</f>
        <v>-120077175.13890114</v>
      </c>
      <c r="E468" s="151">
        <f t="shared" ref="E468:X468" si="295">-$D468/20</f>
        <v>6003858.7569450568</v>
      </c>
      <c r="F468" s="151">
        <f t="shared" si="295"/>
        <v>6003858.7569450568</v>
      </c>
      <c r="G468" s="151">
        <f t="shared" si="295"/>
        <v>6003858.7569450568</v>
      </c>
      <c r="H468" s="151">
        <f t="shared" si="295"/>
        <v>6003858.7569450568</v>
      </c>
      <c r="I468" s="151">
        <f t="shared" si="295"/>
        <v>6003858.7569450568</v>
      </c>
      <c r="J468" s="151">
        <f t="shared" si="295"/>
        <v>6003858.7569450568</v>
      </c>
      <c r="K468" s="151">
        <f t="shared" si="295"/>
        <v>6003858.7569450568</v>
      </c>
      <c r="L468" s="151">
        <f t="shared" si="295"/>
        <v>6003858.7569450568</v>
      </c>
      <c r="M468" s="151">
        <f t="shared" si="295"/>
        <v>6003858.7569450568</v>
      </c>
      <c r="N468" s="151">
        <f t="shared" si="295"/>
        <v>6003858.7569450568</v>
      </c>
      <c r="O468" s="151">
        <f t="shared" si="295"/>
        <v>6003858.7569450568</v>
      </c>
      <c r="P468" s="151">
        <f t="shared" si="295"/>
        <v>6003858.7569450568</v>
      </c>
      <c r="Q468" s="151">
        <f t="shared" si="295"/>
        <v>6003858.7569450568</v>
      </c>
      <c r="R468" s="151">
        <f t="shared" si="295"/>
        <v>6003858.7569450568</v>
      </c>
      <c r="S468" s="151">
        <f t="shared" si="295"/>
        <v>6003858.7569450568</v>
      </c>
      <c r="T468" s="151">
        <f t="shared" si="295"/>
        <v>6003858.7569450568</v>
      </c>
      <c r="U468" s="151">
        <f t="shared" si="295"/>
        <v>6003858.7569450568</v>
      </c>
      <c r="V468" s="151">
        <f t="shared" si="295"/>
        <v>6003858.7569450568</v>
      </c>
      <c r="W468" s="151">
        <f t="shared" si="295"/>
        <v>6003858.7569450568</v>
      </c>
      <c r="X468" s="152">
        <f t="shared" si="295"/>
        <v>6003858.7569450568</v>
      </c>
      <c r="Y468" s="156"/>
    </row>
    <row r="469" spans="2:25" hidden="1" outlineLevel="1">
      <c r="B469" s="452"/>
      <c r="C469" s="258" t="s">
        <v>163</v>
      </c>
      <c r="D469" s="151">
        <f>-INDEX('DATA (Nominal)'!$B$75:$BX$75,1,MATCH($B$1,'DATA (Nominal)'!$B$1:$BX$1,0))*1000000*(1+AFUDC!$D$22)*'Resource Options'!$D$22/1000</f>
        <v>-84133759.729947343</v>
      </c>
      <c r="E469" s="151">
        <f t="shared" ref="E469:N469" si="296">-$D469/10</f>
        <v>8413375.9729947336</v>
      </c>
      <c r="F469" s="151">
        <f t="shared" si="296"/>
        <v>8413375.9729947336</v>
      </c>
      <c r="G469" s="151">
        <f t="shared" si="296"/>
        <v>8413375.9729947336</v>
      </c>
      <c r="H469" s="151">
        <f t="shared" si="296"/>
        <v>8413375.9729947336</v>
      </c>
      <c r="I469" s="151">
        <f t="shared" si="296"/>
        <v>8413375.9729947336</v>
      </c>
      <c r="J469" s="151">
        <f t="shared" si="296"/>
        <v>8413375.9729947336</v>
      </c>
      <c r="K469" s="151">
        <f t="shared" si="296"/>
        <v>8413375.9729947336</v>
      </c>
      <c r="L469" s="151">
        <f t="shared" si="296"/>
        <v>8413375.9729947336</v>
      </c>
      <c r="M469" s="151">
        <f t="shared" si="296"/>
        <v>8413375.9729947336</v>
      </c>
      <c r="N469" s="151">
        <f t="shared" si="296"/>
        <v>8413375.9729947336</v>
      </c>
      <c r="O469" s="151">
        <f t="shared" ref="O469:X469" si="297">$O452/10</f>
        <v>4232805.0418400485</v>
      </c>
      <c r="P469" s="151">
        <f t="shared" si="297"/>
        <v>4232805.0418400485</v>
      </c>
      <c r="Q469" s="151">
        <f t="shared" si="297"/>
        <v>4232805.0418400485</v>
      </c>
      <c r="R469" s="151">
        <f t="shared" si="297"/>
        <v>4232805.0418400485</v>
      </c>
      <c r="S469" s="151">
        <f t="shared" si="297"/>
        <v>4232805.0418400485</v>
      </c>
      <c r="T469" s="151">
        <f t="shared" si="297"/>
        <v>4232805.0418400485</v>
      </c>
      <c r="U469" s="151">
        <f t="shared" si="297"/>
        <v>4232805.0418400485</v>
      </c>
      <c r="V469" s="151">
        <f t="shared" si="297"/>
        <v>4232805.0418400485</v>
      </c>
      <c r="W469" s="151">
        <f t="shared" si="297"/>
        <v>4232805.0418400485</v>
      </c>
      <c r="X469" s="152">
        <f t="shared" si="297"/>
        <v>4232805.0418400485</v>
      </c>
      <c r="Y469" s="156"/>
    </row>
    <row r="470" spans="2:25" hidden="1" outlineLevel="1">
      <c r="B470" s="452"/>
      <c r="C470" s="125" t="s">
        <v>62</v>
      </c>
      <c r="D470" s="151"/>
      <c r="E470" s="151">
        <f>SUM($E468:E469)</f>
        <v>14417234.72993979</v>
      </c>
      <c r="F470" s="151">
        <f>SUM($E468:F469)</f>
        <v>28834469.459879581</v>
      </c>
      <c r="G470" s="151">
        <f>SUM($E468:G469)</f>
        <v>43251704.189819366</v>
      </c>
      <c r="H470" s="151">
        <f>SUM($E468:H469)</f>
        <v>57668938.919759154</v>
      </c>
      <c r="I470" s="151">
        <f>SUM($E468:I469)</f>
        <v>72086173.649698943</v>
      </c>
      <c r="J470" s="151">
        <f>SUM($E468:J469)</f>
        <v>86503408.379638731</v>
      </c>
      <c r="K470" s="151">
        <f>SUM($E468:K469)</f>
        <v>100920643.10957852</v>
      </c>
      <c r="L470" s="151">
        <f>SUM($E468:L469)</f>
        <v>115337877.83951831</v>
      </c>
      <c r="M470" s="151">
        <f>SUM($E468:M469)</f>
        <v>129755112.5694581</v>
      </c>
      <c r="N470" s="151">
        <f>SUM($E468:N469)</f>
        <v>144172347.29939792</v>
      </c>
      <c r="O470" s="151">
        <f>SUM($E468:O469)</f>
        <v>154409011.09818301</v>
      </c>
      <c r="P470" s="151">
        <f>SUM($E468:P469)</f>
        <v>164645674.89696813</v>
      </c>
      <c r="Q470" s="151">
        <f>SUM($E468:Q469)</f>
        <v>174882338.69575325</v>
      </c>
      <c r="R470" s="151">
        <f>SUM($E468:R469)</f>
        <v>185119002.49453837</v>
      </c>
      <c r="S470" s="151">
        <f>SUM($E468:S469)</f>
        <v>195355666.29332346</v>
      </c>
      <c r="T470" s="151">
        <f>SUM($E468:T469)</f>
        <v>205592330.09210858</v>
      </c>
      <c r="U470" s="151">
        <f>SUM($E468:U469)</f>
        <v>215828993.8908937</v>
      </c>
      <c r="V470" s="151">
        <f>SUM($E468:V469)</f>
        <v>226065657.68967882</v>
      </c>
      <c r="W470" s="151">
        <f>SUM($E468:W469)</f>
        <v>236302321.48846394</v>
      </c>
      <c r="X470" s="152">
        <f>SUM($E468:X469)</f>
        <v>246538985.28724906</v>
      </c>
      <c r="Y470" s="156"/>
    </row>
    <row r="471" spans="2:25" hidden="1" outlineLevel="1">
      <c r="B471" s="452"/>
      <c r="C471" s="125" t="s">
        <v>63</v>
      </c>
      <c r="D471" s="151"/>
      <c r="E471" s="151">
        <f>-$D459-E470</f>
        <v>189793700.13890871</v>
      </c>
      <c r="F471" s="151">
        <f t="shared" ref="F471:G471" si="298">-$D459-F470</f>
        <v>175376465.40896893</v>
      </c>
      <c r="G471" s="151">
        <f t="shared" si="298"/>
        <v>160959230.67902914</v>
      </c>
      <c r="H471" s="156">
        <f>-$D459-H470</f>
        <v>146541995.94908935</v>
      </c>
      <c r="I471" s="151">
        <f t="shared" ref="I471:L471" si="299">-$D459-I470</f>
        <v>132124761.21914956</v>
      </c>
      <c r="J471" s="151">
        <f t="shared" si="299"/>
        <v>117707526.48920977</v>
      </c>
      <c r="K471" s="151">
        <f t="shared" si="299"/>
        <v>103290291.75926998</v>
      </c>
      <c r="L471" s="151">
        <f t="shared" si="299"/>
        <v>88873057.029330194</v>
      </c>
      <c r="M471" s="151">
        <f>-$D459-M470</f>
        <v>74455822.299390405</v>
      </c>
      <c r="N471" s="151">
        <f>-$D459-N470</f>
        <v>60038587.569450587</v>
      </c>
      <c r="O471" s="151">
        <f>-$D459-O470+$O452</f>
        <v>92129974.189065978</v>
      </c>
      <c r="P471" s="151">
        <f t="shared" ref="P471:X471" si="300">-$D459-P470+$O452</f>
        <v>81893310.390280858</v>
      </c>
      <c r="Q471" s="151">
        <f t="shared" si="300"/>
        <v>71656646.591495737</v>
      </c>
      <c r="R471" s="151">
        <f t="shared" si="300"/>
        <v>61419982.792710617</v>
      </c>
      <c r="S471" s="151">
        <f t="shared" si="300"/>
        <v>51183318.993925527</v>
      </c>
      <c r="T471" s="151">
        <f t="shared" si="300"/>
        <v>40946655.195140406</v>
      </c>
      <c r="U471" s="151">
        <f t="shared" si="300"/>
        <v>30709991.396355286</v>
      </c>
      <c r="V471" s="151">
        <f t="shared" si="300"/>
        <v>20473327.597570166</v>
      </c>
      <c r="W471" s="151">
        <f t="shared" si="300"/>
        <v>10236663.798785046</v>
      </c>
      <c r="X471" s="152">
        <f t="shared" si="300"/>
        <v>-7.4505805969238281E-8</v>
      </c>
      <c r="Y471" s="156"/>
    </row>
    <row r="472" spans="2:25" hidden="1" outlineLevel="1">
      <c r="B472" s="452"/>
      <c r="C472" s="125" t="s">
        <v>64</v>
      </c>
      <c r="D472" s="151">
        <f>-D459</f>
        <v>204210934.8688485</v>
      </c>
      <c r="E472" s="151">
        <f>D472/(($D472/$Y472)^(1/21))</f>
        <v>192832399.60351223</v>
      </c>
      <c r="F472" s="151">
        <f t="shared" ref="F472:J472" si="301">E472/(($D472/$Y472)^(1/21))</f>
        <v>182087870.86122355</v>
      </c>
      <c r="G472" s="151">
        <f t="shared" si="301"/>
        <v>171942022.10285479</v>
      </c>
      <c r="H472" s="151">
        <f t="shared" si="301"/>
        <v>162361495.16708094</v>
      </c>
      <c r="I472" s="151">
        <f t="shared" si="301"/>
        <v>153314790.5933134</v>
      </c>
      <c r="J472" s="156">
        <f t="shared" si="301"/>
        <v>144772164.05578718</v>
      </c>
      <c r="K472" s="156">
        <f>J472/(($D472/$Y472)^(1/21))</f>
        <v>136705528.56829098</v>
      </c>
      <c r="L472" s="151">
        <f t="shared" ref="L472:M472" si="302">K472/(($D472/$Y472)^(1/21))</f>
        <v>129088362.1380029</v>
      </c>
      <c r="M472" s="151">
        <f t="shared" si="302"/>
        <v>121895620.56480993</v>
      </c>
      <c r="N472" s="151">
        <f>M472/(($D472/$Y472)^(1/21))</f>
        <v>115103655.09940761</v>
      </c>
      <c r="O472" s="151">
        <f>(N472+O452)/(($D472/($Y472+O452))^(1/21))</f>
        <v>152425005.83276618</v>
      </c>
      <c r="P472" s="151">
        <f>O472/(($O472/$Y472)^(1/11))</f>
        <v>140303761.26613373</v>
      </c>
      <c r="Q472" s="151">
        <f>P472/(($O472/$Y472)^(1/11))</f>
        <v>129146430.52086806</v>
      </c>
      <c r="R472" s="151">
        <f t="shared" ref="R472:X472" si="303">Q472/(($O472/$Y472)^(1/11))</f>
        <v>118876360.5891106</v>
      </c>
      <c r="S472" s="151">
        <f t="shared" si="303"/>
        <v>109422994.11541848</v>
      </c>
      <c r="T472" s="151">
        <f t="shared" si="303"/>
        <v>100721384.65416397</v>
      </c>
      <c r="U472" s="151">
        <f t="shared" si="303"/>
        <v>92711750.474963322</v>
      </c>
      <c r="V472" s="151">
        <f t="shared" si="303"/>
        <v>85339063.850692526</v>
      </c>
      <c r="W472" s="151">
        <f t="shared" si="303"/>
        <v>78552673.006419763</v>
      </c>
      <c r="X472" s="152">
        <f t="shared" si="303"/>
        <v>72305954.131970882</v>
      </c>
      <c r="Y472" s="156">
        <f>Y459</f>
        <v>61263280.460654549</v>
      </c>
    </row>
    <row r="473" spans="2:25" hidden="1" outlineLevel="1">
      <c r="B473" s="452"/>
      <c r="C473" s="258" t="s">
        <v>65</v>
      </c>
      <c r="D473" s="151"/>
      <c r="E473" s="151">
        <f>-$D459*Assumptions!J$22*INDEX('DATA (Nominal)'!$B$352:$BX$352,1,MATCH($B$1,'DATA (Nominal)'!$B$1:$BX$1,0))</f>
        <v>34715858.927704245</v>
      </c>
      <c r="F473" s="151">
        <f>-$D459*Assumptions!K$22*INDEX('DATA (Nominal)'!$B$352:$BX$352,1,MATCH($B$1,'DATA (Nominal)'!$B$1:$BX$1,0))</f>
        <v>55545374.284326792</v>
      </c>
      <c r="G473" s="151">
        <f>-$D459*Assumptions!L$22*INDEX('DATA (Nominal)'!$B$352:$BX$352,1,MATCH($B$1,'DATA (Nominal)'!$B$1:$BX$1,0))</f>
        <v>33327224.570596073</v>
      </c>
      <c r="H473" s="151">
        <f>-$D459*Assumptions!M$22*INDEX('DATA (Nominal)'!$B$352:$BX$352,1,MATCH($B$1,'DATA (Nominal)'!$B$1:$BX$1,0))</f>
        <v>19996334.742357641</v>
      </c>
      <c r="I473" s="151">
        <f>-$D459*Assumptions!N$22*INDEX('DATA (Nominal)'!$B$352:$BX$352,1,MATCH($B$1,'DATA (Nominal)'!$B$1:$BX$1,0))</f>
        <v>19996334.742357641</v>
      </c>
      <c r="J473" s="151">
        <f>-$D459*Assumptions!O$22*INDEX('DATA (Nominal)'!$B$352:$BX$352,1,MATCH($B$1,'DATA (Nominal)'!$B$1:$BX$1,0))</f>
        <v>9998167.3711788207</v>
      </c>
      <c r="K473" s="151">
        <f>-$D459*Assumptions!P$22*INDEX('DATA (Nominal)'!$B$352:$BX$352,1,MATCH($B$1,'DATA (Nominal)'!$B$1:$BX$1,0))</f>
        <v>0</v>
      </c>
      <c r="L473" s="151">
        <f>-$D459*Assumptions!Q$22*INDEX('DATA (Nominal)'!$B$352:$BX$352,1,MATCH($B$1,'DATA (Nominal)'!$B$1:$BX$1,0))</f>
        <v>0</v>
      </c>
      <c r="M473" s="151">
        <f>-$D459*Assumptions!R$22*INDEX('DATA (Nominal)'!$B$352:$BX$352,1,MATCH($B$1,'DATA (Nominal)'!$B$1:$BX$1,0))</f>
        <v>0</v>
      </c>
      <c r="N473" s="151">
        <f>-$D459*Assumptions!S$22*INDEX('DATA (Nominal)'!$B$352:$BX$352,1,MATCH($B$1,'DATA (Nominal)'!$B$1:$BX$1,0))</f>
        <v>0</v>
      </c>
      <c r="O473" s="151">
        <f>$O452*Assumptions!T$22</f>
        <v>6046985.2827726919</v>
      </c>
      <c r="P473" s="151">
        <f>$O452*Assumptions!U$22</f>
        <v>10366139.547466278</v>
      </c>
      <c r="Q473" s="151">
        <f>$O452*Assumptions!V$22</f>
        <v>7404445.8596907966</v>
      </c>
      <c r="R473" s="151">
        <f>$O452*Assumptions!W$22</f>
        <v>5288889.89977914</v>
      </c>
      <c r="S473" s="151">
        <f>$O452*Assumptions!X$22</f>
        <v>3777778.4998422428</v>
      </c>
      <c r="T473" s="151">
        <f>$O452*Assumptions!Y$22</f>
        <v>3777778.4998422428</v>
      </c>
      <c r="U473" s="151">
        <f>$O452*Assumptions!Z$22</f>
        <v>3777778.4998422428</v>
      </c>
      <c r="V473" s="151">
        <f>$O452*Assumptions!AA$22</f>
        <v>1888254.3291648454</v>
      </c>
      <c r="W473" s="151">
        <f>$O452*Assumptions!AB$22</f>
        <v>0</v>
      </c>
      <c r="X473" s="160">
        <f>$O452*Assumptions!AC$22</f>
        <v>0</v>
      </c>
      <c r="Y473" s="156"/>
    </row>
    <row r="474" spans="2:25" ht="15.75" hidden="1" outlineLevel="1" thickBot="1">
      <c r="B474" s="452"/>
      <c r="C474" s="127" t="s">
        <v>66</v>
      </c>
      <c r="D474" s="157"/>
      <c r="E474" s="157">
        <f>E473*Federal_Tax_Rate</f>
        <v>7290330.374817891</v>
      </c>
      <c r="F474" s="157">
        <f>F473*Federal_Tax_Rate</f>
        <v>11664528.599708626</v>
      </c>
      <c r="G474" s="157">
        <f t="shared" ref="G474:M474" si="304">G473*Federal_Tax_Rate</f>
        <v>6998717.1598251751</v>
      </c>
      <c r="H474" s="157">
        <f t="shared" si="304"/>
        <v>4199230.2958951043</v>
      </c>
      <c r="I474" s="157">
        <f t="shared" si="304"/>
        <v>4199230.2958951043</v>
      </c>
      <c r="J474" s="157">
        <f t="shared" si="304"/>
        <v>2099615.1479475521</v>
      </c>
      <c r="K474" s="157">
        <f t="shared" si="304"/>
        <v>0</v>
      </c>
      <c r="L474" s="157">
        <f t="shared" si="304"/>
        <v>0</v>
      </c>
      <c r="M474" s="157">
        <f t="shared" si="304"/>
        <v>0</v>
      </c>
      <c r="N474" s="157">
        <f>N473*Federal_Tax_Rate</f>
        <v>0</v>
      </c>
      <c r="O474" s="157">
        <f>O473*Federal_Tax_Rate</f>
        <v>1269866.9093822653</v>
      </c>
      <c r="P474" s="157">
        <f t="shared" ref="P474:X474" si="305">P473*Federal_Tax_Rate</f>
        <v>2176889.3049679184</v>
      </c>
      <c r="Q474" s="157">
        <f t="shared" si="305"/>
        <v>1554933.6305350673</v>
      </c>
      <c r="R474" s="157">
        <f t="shared" si="305"/>
        <v>1110666.8789536194</v>
      </c>
      <c r="S474" s="157">
        <f t="shared" si="305"/>
        <v>793333.48496687098</v>
      </c>
      <c r="T474" s="157">
        <f t="shared" si="305"/>
        <v>793333.48496687098</v>
      </c>
      <c r="U474" s="157">
        <f t="shared" si="305"/>
        <v>793333.48496687098</v>
      </c>
      <c r="V474" s="157">
        <f t="shared" si="305"/>
        <v>396533.40912461752</v>
      </c>
      <c r="W474" s="157">
        <f t="shared" si="305"/>
        <v>0</v>
      </c>
      <c r="X474" s="158">
        <f t="shared" si="305"/>
        <v>0</v>
      </c>
      <c r="Y474" s="156"/>
    </row>
    <row r="475" spans="2:25" hidden="1" outlineLevel="1">
      <c r="B475" s="452"/>
      <c r="C475" s="128" t="s">
        <v>67</v>
      </c>
      <c r="D475" s="104">
        <f>NPV(Tax_Equity_Rate,E474:N474)</f>
        <v>29574165.319401789</v>
      </c>
      <c r="E475" s="105">
        <f>D475/D479</f>
        <v>0.14482165383746648</v>
      </c>
      <c r="F475" s="254"/>
      <c r="G475" s="254"/>
      <c r="H475" s="254"/>
      <c r="I475" s="254"/>
      <c r="J475" s="254"/>
      <c r="K475" s="254"/>
      <c r="L475" s="254"/>
      <c r="M475" s="261"/>
      <c r="N475" s="261"/>
      <c r="O475" s="261"/>
      <c r="P475" s="261"/>
      <c r="Q475" s="261"/>
      <c r="R475" s="261"/>
      <c r="S475" s="261"/>
      <c r="T475" s="261"/>
      <c r="U475" s="261"/>
      <c r="V475" s="261"/>
      <c r="W475" s="261"/>
      <c r="X475" s="261"/>
      <c r="Y475" s="261"/>
    </row>
    <row r="476" spans="2:25" hidden="1" outlineLevel="1">
      <c r="B476" s="452"/>
      <c r="C476" s="125" t="s">
        <v>79</v>
      </c>
      <c r="D476" s="106">
        <f>NPV(Tax_Equity_Rate,E456:X456)</f>
        <v>49438579.734719433</v>
      </c>
      <c r="E476" s="107">
        <f>D476/D479</f>
        <v>0.24209565352840012</v>
      </c>
    </row>
    <row r="477" spans="2:25" hidden="1" outlineLevel="1">
      <c r="B477" s="22">
        <f>Assumptions!F22</f>
        <v>0.73499999999999999</v>
      </c>
      <c r="C477" s="125" t="s">
        <v>68</v>
      </c>
      <c r="D477" s="106">
        <f>(D479-D475-D476)*$B477</f>
        <v>92020669.513824552</v>
      </c>
      <c r="E477" s="107">
        <f>D477/D479</f>
        <v>0.45061577908608808</v>
      </c>
    </row>
    <row r="478" spans="2:25" hidden="1" outlineLevel="1">
      <c r="B478" s="22">
        <f>1-B477</f>
        <v>0.26500000000000001</v>
      </c>
      <c r="C478" s="125" t="s">
        <v>69</v>
      </c>
      <c r="D478" s="106">
        <f>(D479-D475-D476)*$B478</f>
        <v>33177520.300902732</v>
      </c>
      <c r="E478" s="107">
        <f>D478/D479</f>
        <v>0.16246691354804535</v>
      </c>
    </row>
    <row r="479" spans="2:25" hidden="1" outlineLevel="1">
      <c r="C479" s="125" t="s">
        <v>70</v>
      </c>
      <c r="D479" s="106">
        <f>-D459</f>
        <v>204210934.8688485</v>
      </c>
      <c r="E479" s="108"/>
    </row>
    <row r="480" spans="2:25" ht="15.75" hidden="1" outlineLevel="1" thickBot="1">
      <c r="C480" s="127" t="s">
        <v>71</v>
      </c>
      <c r="D480" s="109">
        <f>SUM(D475:D478)-D479</f>
        <v>0</v>
      </c>
      <c r="E480" s="110"/>
    </row>
    <row r="481" spans="1:25" hidden="1" outlineLevel="1"/>
    <row r="482" spans="1:25" ht="15.75" collapsed="1" thickBot="1"/>
    <row r="483" spans="1:25" ht="18.75" thickBot="1">
      <c r="A483" s="86"/>
      <c r="B483" s="82"/>
      <c r="C483" s="484" t="s">
        <v>137</v>
      </c>
      <c r="D483" s="485"/>
      <c r="E483" s="485"/>
      <c r="F483" s="485"/>
      <c r="G483" s="485"/>
      <c r="H483" s="486"/>
      <c r="Y483" s="261"/>
    </row>
    <row r="484" spans="1:25" hidden="1" outlineLevel="1">
      <c r="C484" s="124" t="s">
        <v>44</v>
      </c>
      <c r="D484" s="153"/>
      <c r="E484" s="153">
        <f>'Resource Options'!$E$23*INDEX('DATA (Nominal)'!$B$23:$BX$23,1,MATCH($B$1,'DATA (Nominal)'!$B$1:$BX$1,0))*8760</f>
        <v>240695.09517976042</v>
      </c>
      <c r="F484" s="153">
        <f>'Resource Options'!$E$23*INDEX('DATA (Nominal)'!$B$23:$BX$23,1,MATCH($B$1,'DATA (Nominal)'!$B$1:$BX$1,0))*8760</f>
        <v>240695.09517976042</v>
      </c>
      <c r="G484" s="153">
        <f>'Resource Options'!$E$23*INDEX('DATA (Nominal)'!$B$23:$BX$23,1,MATCH($B$1,'DATA (Nominal)'!$B$1:$BX$1,0))*8760</f>
        <v>240695.09517976042</v>
      </c>
      <c r="H484" s="153">
        <f>'Resource Options'!$E$23*INDEX('DATA (Nominal)'!$B$23:$BX$23,1,MATCH($B$1,'DATA (Nominal)'!$B$1:$BX$1,0))*8760</f>
        <v>240695.09517976042</v>
      </c>
      <c r="I484" s="153">
        <f>'Resource Options'!$E$23*INDEX('DATA (Nominal)'!$B$23:$BX$23,1,MATCH($B$1,'DATA (Nominal)'!$B$1:$BX$1,0))*8760</f>
        <v>240695.09517976042</v>
      </c>
      <c r="J484" s="153">
        <f>'Resource Options'!$E$23*INDEX('DATA (Nominal)'!$B$23:$BX$23,1,MATCH($B$1,'DATA (Nominal)'!$B$1:$BX$1,0))*8760</f>
        <v>240695.09517976042</v>
      </c>
      <c r="K484" s="153">
        <f>'Resource Options'!$E$23*INDEX('DATA (Nominal)'!$B$23:$BX$23,1,MATCH($B$1,'DATA (Nominal)'!$B$1:$BX$1,0))*8760</f>
        <v>240695.09517976042</v>
      </c>
      <c r="L484" s="153">
        <f>'Resource Options'!$E$23*INDEX('DATA (Nominal)'!$B$23:$BX$23,1,MATCH($B$1,'DATA (Nominal)'!$B$1:$BX$1,0))*8760</f>
        <v>240695.09517976042</v>
      </c>
      <c r="M484" s="153">
        <f>'Resource Options'!$E$23*INDEX('DATA (Nominal)'!$B$23:$BX$23,1,MATCH($B$1,'DATA (Nominal)'!$B$1:$BX$1,0))*8760</f>
        <v>240695.09517976042</v>
      </c>
      <c r="N484" s="153">
        <f>'Resource Options'!$E$23*INDEX('DATA (Nominal)'!$B$23:$BX$23,1,MATCH($B$1,'DATA (Nominal)'!$B$1:$BX$1,0))*8760</f>
        <v>240695.09517976042</v>
      </c>
      <c r="O484" s="153">
        <f>'Resource Options'!$E$23*INDEX('DATA (Nominal)'!$B$23:$BX$23,1,MATCH($B$1,'DATA (Nominal)'!$B$1:$BX$1,0))*8760</f>
        <v>240695.09517976042</v>
      </c>
      <c r="P484" s="153">
        <f>'Resource Options'!$E$23*INDEX('DATA (Nominal)'!$B$23:$BX$23,1,MATCH($B$1,'DATA (Nominal)'!$B$1:$BX$1,0))*8760</f>
        <v>240695.09517976042</v>
      </c>
      <c r="Q484" s="153">
        <f>'Resource Options'!$E$23*INDEX('DATA (Nominal)'!$B$23:$BX$23,1,MATCH($B$1,'DATA (Nominal)'!$B$1:$BX$1,0))*8760</f>
        <v>240695.09517976042</v>
      </c>
      <c r="R484" s="153">
        <f>'Resource Options'!$E$23*INDEX('DATA (Nominal)'!$B$23:$BX$23,1,MATCH($B$1,'DATA (Nominal)'!$B$1:$BX$1,0))*8760</f>
        <v>240695.09517976042</v>
      </c>
      <c r="S484" s="153">
        <f>'Resource Options'!$E$23*INDEX('DATA (Nominal)'!$B$23:$BX$23,1,MATCH($B$1,'DATA (Nominal)'!$B$1:$BX$1,0))*8760</f>
        <v>240695.09517976042</v>
      </c>
      <c r="T484" s="153">
        <f>'Resource Options'!$E$23*INDEX('DATA (Nominal)'!$B$23:$BX$23,1,MATCH($B$1,'DATA (Nominal)'!$B$1:$BX$1,0))*8760</f>
        <v>240695.09517976042</v>
      </c>
      <c r="U484" s="153">
        <f>'Resource Options'!$E$23*INDEX('DATA (Nominal)'!$B$23:$BX$23,1,MATCH($B$1,'DATA (Nominal)'!$B$1:$BX$1,0))*8760</f>
        <v>240695.09517976042</v>
      </c>
      <c r="V484" s="153">
        <f>'Resource Options'!$E$23*INDEX('DATA (Nominal)'!$B$23:$BX$23,1,MATCH($B$1,'DATA (Nominal)'!$B$1:$BX$1,0))*8760</f>
        <v>240695.09517976042</v>
      </c>
      <c r="W484" s="153">
        <f>'Resource Options'!$E$23*INDEX('DATA (Nominal)'!$B$23:$BX$23,1,MATCH($B$1,'DATA (Nominal)'!$B$1:$BX$1,0))*8760</f>
        <v>240695.09517976042</v>
      </c>
      <c r="X484" s="159">
        <f>'Resource Options'!$E$23*INDEX('DATA (Nominal)'!$B$23:$BX$23,1,MATCH($B$1,'DATA (Nominal)'!$B$1:$BX$1,0))*8760</f>
        <v>240695.09517976042</v>
      </c>
      <c r="Y484" s="156"/>
    </row>
    <row r="485" spans="1:25" hidden="1" outlineLevel="1">
      <c r="C485" s="125" t="s">
        <v>45</v>
      </c>
      <c r="D485" s="151"/>
      <c r="E485" s="154">
        <f>PPA_SOLAR_PV_Single_Axis_Tracking_PTC</f>
        <v>33.506432662021012</v>
      </c>
      <c r="F485" s="154">
        <f>E485</f>
        <v>33.506432662021012</v>
      </c>
      <c r="G485" s="154">
        <f t="shared" ref="G485:V486" si="306">F485</f>
        <v>33.506432662021012</v>
      </c>
      <c r="H485" s="154">
        <f t="shared" si="306"/>
        <v>33.506432662021012</v>
      </c>
      <c r="I485" s="154">
        <f t="shared" si="306"/>
        <v>33.506432662021012</v>
      </c>
      <c r="J485" s="154">
        <f t="shared" si="306"/>
        <v>33.506432662021012</v>
      </c>
      <c r="K485" s="154">
        <f t="shared" si="306"/>
        <v>33.506432662021012</v>
      </c>
      <c r="L485" s="154">
        <f t="shared" si="306"/>
        <v>33.506432662021012</v>
      </c>
      <c r="M485" s="154">
        <f t="shared" si="306"/>
        <v>33.506432662021012</v>
      </c>
      <c r="N485" s="154">
        <f t="shared" si="306"/>
        <v>33.506432662021012</v>
      </c>
      <c r="O485" s="154">
        <f t="shared" si="306"/>
        <v>33.506432662021012</v>
      </c>
      <c r="P485" s="154">
        <f t="shared" si="306"/>
        <v>33.506432662021012</v>
      </c>
      <c r="Q485" s="154">
        <f t="shared" si="306"/>
        <v>33.506432662021012</v>
      </c>
      <c r="R485" s="154">
        <f t="shared" si="306"/>
        <v>33.506432662021012</v>
      </c>
      <c r="S485" s="154">
        <f t="shared" si="306"/>
        <v>33.506432662021012</v>
      </c>
      <c r="T485" s="154">
        <f t="shared" si="306"/>
        <v>33.506432662021012</v>
      </c>
      <c r="U485" s="154">
        <f t="shared" si="306"/>
        <v>33.506432662021012</v>
      </c>
      <c r="V485" s="154">
        <f t="shared" si="306"/>
        <v>33.506432662021012</v>
      </c>
      <c r="W485" s="154">
        <f t="shared" ref="W485:X486" si="307">V485</f>
        <v>33.506432662021012</v>
      </c>
      <c r="X485" s="152">
        <f t="shared" si="307"/>
        <v>33.506432662021012</v>
      </c>
      <c r="Y485" s="156"/>
    </row>
    <row r="486" spans="1:25" hidden="1" outlineLevel="1">
      <c r="C486" s="125" t="s">
        <v>111</v>
      </c>
      <c r="D486" s="151"/>
      <c r="E486" s="154">
        <f>INDEX('PPA Summary'!$75:$106,MATCH(_xlfn.CONCAT($C483,$C$1),'PPA Summary'!$D$75:$D$106,0),MATCH($B$1,'PPA Summary'!$74:$74,0))</f>
        <v>5.213547755375461</v>
      </c>
      <c r="F486" s="154">
        <f>E486</f>
        <v>5.213547755375461</v>
      </c>
      <c r="G486" s="154">
        <f t="shared" si="306"/>
        <v>5.213547755375461</v>
      </c>
      <c r="H486" s="154">
        <f t="shared" si="306"/>
        <v>5.213547755375461</v>
      </c>
      <c r="I486" s="154">
        <f t="shared" si="306"/>
        <v>5.213547755375461</v>
      </c>
      <c r="J486" s="154">
        <f t="shared" si="306"/>
        <v>5.213547755375461</v>
      </c>
      <c r="K486" s="154">
        <f t="shared" si="306"/>
        <v>5.213547755375461</v>
      </c>
      <c r="L486" s="154">
        <f t="shared" si="306"/>
        <v>5.213547755375461</v>
      </c>
      <c r="M486" s="154">
        <f t="shared" si="306"/>
        <v>5.213547755375461</v>
      </c>
      <c r="N486" s="154">
        <f t="shared" si="306"/>
        <v>5.213547755375461</v>
      </c>
      <c r="O486" s="154">
        <f t="shared" si="306"/>
        <v>5.213547755375461</v>
      </c>
      <c r="P486" s="154">
        <f t="shared" si="306"/>
        <v>5.213547755375461</v>
      </c>
      <c r="Q486" s="154">
        <f t="shared" si="306"/>
        <v>5.213547755375461</v>
      </c>
      <c r="R486" s="154">
        <f t="shared" si="306"/>
        <v>5.213547755375461</v>
      </c>
      <c r="S486" s="154">
        <f t="shared" si="306"/>
        <v>5.213547755375461</v>
      </c>
      <c r="T486" s="154">
        <f t="shared" si="306"/>
        <v>5.213547755375461</v>
      </c>
      <c r="U486" s="154">
        <f t="shared" si="306"/>
        <v>5.213547755375461</v>
      </c>
      <c r="V486" s="154">
        <f t="shared" si="306"/>
        <v>5.213547755375461</v>
      </c>
      <c r="W486" s="154">
        <f t="shared" si="307"/>
        <v>5.213547755375461</v>
      </c>
      <c r="X486" s="152">
        <f t="shared" si="307"/>
        <v>5.213547755375461</v>
      </c>
      <c r="Y486" s="156"/>
    </row>
    <row r="487" spans="1:25" hidden="1" outlineLevel="1">
      <c r="C487" s="258" t="s">
        <v>46</v>
      </c>
      <c r="D487" s="151"/>
      <c r="E487" s="151">
        <f>E485*E484+E486*12*'Resource Options'!$E$23*1000</f>
        <v>14321091.305169934</v>
      </c>
      <c r="F487" s="151">
        <f>F485*F484+F486*12*'Resource Options'!$E$23*1000</f>
        <v>14321091.305169934</v>
      </c>
      <c r="G487" s="151">
        <f>G485*G484+G486*12*'Resource Options'!$E$23*1000</f>
        <v>14321091.305169934</v>
      </c>
      <c r="H487" s="151">
        <f>H485*H484+H486*12*'Resource Options'!$E$23*1000</f>
        <v>14321091.305169934</v>
      </c>
      <c r="I487" s="151">
        <f>I485*I484+I486*12*'Resource Options'!$E$23*1000</f>
        <v>14321091.305169934</v>
      </c>
      <c r="J487" s="151">
        <f>J485*J484+J486*12*'Resource Options'!$E$23*1000</f>
        <v>14321091.305169934</v>
      </c>
      <c r="K487" s="151">
        <f>K485*K484+K486*12*'Resource Options'!$E$23*1000</f>
        <v>14321091.305169934</v>
      </c>
      <c r="L487" s="151">
        <f>L485*L484+L486*12*'Resource Options'!$E$23*1000</f>
        <v>14321091.305169934</v>
      </c>
      <c r="M487" s="151">
        <f>M485*M484+M486*12*'Resource Options'!$E$23*1000</f>
        <v>14321091.305169934</v>
      </c>
      <c r="N487" s="151">
        <f>N485*N484+N486*12*'Resource Options'!$E$23*1000</f>
        <v>14321091.305169934</v>
      </c>
      <c r="O487" s="151">
        <f>O485*O484+O486*12*'Resource Options'!$E$23*1000</f>
        <v>14321091.305169934</v>
      </c>
      <c r="P487" s="151">
        <f>P485*P484+P486*12*'Resource Options'!$E$23*1000</f>
        <v>14321091.305169934</v>
      </c>
      <c r="Q487" s="151">
        <f>Q485*Q484+Q486*12*'Resource Options'!$E$23*1000</f>
        <v>14321091.305169934</v>
      </c>
      <c r="R487" s="151">
        <f>R485*R484+R486*12*'Resource Options'!$E$23*1000</f>
        <v>14321091.305169934</v>
      </c>
      <c r="S487" s="151">
        <f>S485*S484+S486*12*'Resource Options'!$E$23*1000</f>
        <v>14321091.305169934</v>
      </c>
      <c r="T487" s="151">
        <f>T485*T484+T486*12*'Resource Options'!$E$23*1000</f>
        <v>14321091.305169934</v>
      </c>
      <c r="U487" s="151">
        <f>U485*U484+U486*12*'Resource Options'!$E$23*1000</f>
        <v>14321091.305169934</v>
      </c>
      <c r="V487" s="151">
        <f>V485*V484+V486*12*'Resource Options'!$E$23*1000</f>
        <v>14321091.305169934</v>
      </c>
      <c r="W487" s="151">
        <f>W485*W484+W486*12*'Resource Options'!$E$23*1000</f>
        <v>14321091.305169934</v>
      </c>
      <c r="X487" s="152">
        <f>X485*X484+X486*12*'Resource Options'!$E$23*1000</f>
        <v>14321091.305169934</v>
      </c>
      <c r="Y487" s="156"/>
    </row>
    <row r="488" spans="1:25" hidden="1" outlineLevel="1">
      <c r="C488" s="258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2"/>
      <c r="Y488" s="156"/>
    </row>
    <row r="489" spans="1:25" hidden="1" outlineLevel="1">
      <c r="B489" s="92"/>
      <c r="C489" s="125" t="s">
        <v>158</v>
      </c>
      <c r="D489" s="151"/>
      <c r="E489" s="151">
        <f>'Resource Options'!$E$23*INDEX('DATA (Nominal)'!$B$195:$BX$195,1,MATCH(E$1,'DATA (Nominal)'!$B$1:$BX$1,0))*1000*0.8</f>
        <v>1723726.7416158107</v>
      </c>
      <c r="F489" s="151">
        <f>'Resource Options'!$E$23*INDEX('DATA (Nominal)'!$B$195:$BX$195,1,MATCH(F$1,'DATA (Nominal)'!$B$1:$BX$1,0))*1000*0.8</f>
        <v>1704800.4437326235</v>
      </c>
      <c r="G489" s="151">
        <f>'Resource Options'!$E$23*INDEX('DATA (Nominal)'!$B$195:$BX$195,1,MATCH(G$1,'DATA (Nominal)'!$B$1:$BX$1,0))*1000*0.8</f>
        <v>1684332.5258290214</v>
      </c>
      <c r="H489" s="151">
        <f>'Resource Options'!$E$23*INDEX('DATA (Nominal)'!$B$195:$BX$195,1,MATCH(H$1,'DATA (Nominal)'!$B$1:$BX$1,0))*1000*0.8</f>
        <v>1661718.6294805943</v>
      </c>
      <c r="I489" s="151">
        <f>'Resource Options'!$E$23*INDEX('DATA (Nominal)'!$B$195:$BX$195,1,MATCH(I$1,'DATA (Nominal)'!$B$1:$BX$1,0))*1000*0.8</f>
        <v>1637452.1373468188</v>
      </c>
      <c r="J489" s="151">
        <f>'Resource Options'!$E$23*INDEX('DATA (Nominal)'!$B$195:$BX$195,1,MATCH(J$1,'DATA (Nominal)'!$B$1:$BX$1,0))*1000*0.8</f>
        <v>1611468.5429029772</v>
      </c>
      <c r="K489" s="151">
        <f>'Resource Options'!$E$23*INDEX('DATA (Nominal)'!$B$195:$BX$195,1,MATCH(K$1,'DATA (Nominal)'!$B$1:$BX$1,0))*1000*0.8</f>
        <v>1636025.2070605527</v>
      </c>
      <c r="L489" s="151">
        <f>'Resource Options'!$E$23*INDEX('DATA (Nominal)'!$B$195:$BX$195,1,MATCH(L$1,'DATA (Nominal)'!$B$1:$BX$1,0))*1000*0.8</f>
        <v>1660911.0675082516</v>
      </c>
      <c r="M489" s="151">
        <f>'Resource Options'!$E$23*INDEX('DATA (Nominal)'!$B$195:$BX$195,1,MATCH(M$1,'DATA (Nominal)'!$B$1:$BX$1,0))*1000*0.8</f>
        <v>1686128.8737726239</v>
      </c>
      <c r="N489" s="151">
        <f>'Resource Options'!$E$23*INDEX('DATA (Nominal)'!$B$195:$BX$195,1,MATCH(N$1,'DATA (Nominal)'!$B$1:$BX$1,0))*1000*0.8</f>
        <v>1711681.3404396807</v>
      </c>
      <c r="O489" s="151">
        <f>'Resource Options'!$E$23*INDEX('DATA (Nominal)'!$B$195:$BX$195,1,MATCH(O$1,'DATA (Nominal)'!$B$1:$BX$1,0))*1000*0.8</f>
        <v>1737571.1443041258</v>
      </c>
      <c r="P489" s="151">
        <f>'Resource Options'!$E$23*INDEX('DATA (Nominal)'!$B$195:$BX$195,1,MATCH(P$1,'DATA (Nominal)'!$B$1:$BX$1,0))*1000*0.8</f>
        <v>1763800.9214110894</v>
      </c>
      <c r="Q489" s="151">
        <f>'Resource Options'!$E$23*INDEX('DATA (Nominal)'!$B$195:$BX$195,1,MATCH(Q$1,'DATA (Nominal)'!$B$1:$BX$1,0))*1000*0.8</f>
        <v>1790373.2639870059</v>
      </c>
      <c r="R489" s="151">
        <f>'Resource Options'!$E$23*INDEX('DATA (Nominal)'!$B$195:$BX$195,1,MATCH(R$1,'DATA (Nominal)'!$B$1:$BX$1,0))*1000*0.8</f>
        <v>1817290.7172561865</v>
      </c>
      <c r="S489" s="151">
        <f>'Resource Options'!$E$23*INDEX('DATA (Nominal)'!$B$195:$BX$195,1,MATCH(S$1,'DATA (Nominal)'!$B$1:$BX$1,0))*1000*0.8</f>
        <v>1844555.7761395318</v>
      </c>
      <c r="T489" s="151">
        <f>'Resource Options'!$E$23*INDEX('DATA (Nominal)'!$B$195:$BX$195,1,MATCH(T$1,'DATA (Nominal)'!$B$1:$BX$1,0))*1000*0.8</f>
        <v>1872170.8818317321</v>
      </c>
      <c r="U489" s="151">
        <f>'Resource Options'!$E$23*INDEX('DATA (Nominal)'!$B$195:$BX$195,1,MATCH(U$1,'DATA (Nominal)'!$B$1:$BX$1,0))*1000*0.8</f>
        <v>1900138.4182532136</v>
      </c>
      <c r="V489" s="151">
        <f>'Resource Options'!$E$23*INDEX('DATA (Nominal)'!$B$195:$BX$195,1,MATCH(V$1,'DATA (Nominal)'!$B$1:$BX$1,0))*1000*0.8</f>
        <v>1928460.7083729524</v>
      </c>
      <c r="W489" s="151">
        <f>'Resource Options'!$E$23*INDEX('DATA (Nominal)'!$B$195:$BX$195,1,MATCH(W$1,'DATA (Nominal)'!$B$1:$BX$1,0))*1000*0.8</f>
        <v>1957140.0103982044</v>
      </c>
      <c r="X489" s="152">
        <f>'Resource Options'!$E$23*INDEX('DATA (Nominal)'!$B$195:$BX$195,1,MATCH(X$1,'DATA (Nominal)'!$B$1:$BX$1,0))*1000*0.8</f>
        <v>1986178.5138270629</v>
      </c>
      <c r="Y489" s="156"/>
    </row>
    <row r="490" spans="1:25" hidden="1" outlineLevel="1">
      <c r="B490" s="92"/>
      <c r="C490" s="125" t="s">
        <v>159</v>
      </c>
      <c r="D490" s="151"/>
      <c r="E490" s="151">
        <f>'Resource Options'!$E$23*INDEX('DATA (Nominal)'!$B$196:$BX$196,1,MATCH(E$1,'DATA (Nominal)'!$B$1:$BX$1,0))*1000*0.8</f>
        <v>1594446.4976514066</v>
      </c>
      <c r="F490" s="151">
        <f>'Resource Options'!$E$23*INDEX('DATA (Nominal)'!$B$196:$BX$196,1,MATCH(F$1,'DATA (Nominal)'!$B$1:$BX$1,0))*1000*0.8</f>
        <v>1581903.1220988305</v>
      </c>
      <c r="G490" s="151">
        <f>'Resource Options'!$E$23*INDEX('DATA (Nominal)'!$B$196:$BX$196,1,MATCH(G$1,'DATA (Nominal)'!$B$1:$BX$1,0))*1000*0.8</f>
        <v>1571330.3274178444</v>
      </c>
      <c r="H490" s="151">
        <f>'Resource Options'!$E$23*INDEX('DATA (Nominal)'!$B$196:$BX$196,1,MATCH(H$1,'DATA (Nominal)'!$B$1:$BX$1,0))*1000*0.8</f>
        <v>1545729.7858896446</v>
      </c>
      <c r="I490" s="151">
        <f>'Resource Options'!$E$23*INDEX('DATA (Nominal)'!$B$196:$BX$196,1,MATCH(I$1,'DATA (Nominal)'!$B$1:$BX$1,0))*1000*0.8</f>
        <v>1545341.6509175405</v>
      </c>
      <c r="J490" s="151">
        <f>'Resource Options'!$E$23*INDEX('DATA (Nominal)'!$B$196:$BX$196,1,MATCH(J$1,'DATA (Nominal)'!$B$1:$BX$1,0))*1000*0.8</f>
        <v>1533891.0501657855</v>
      </c>
      <c r="K490" s="151">
        <f>'Resource Options'!$E$23*INDEX('DATA (Nominal)'!$B$196:$BX$196,1,MATCH(K$1,'DATA (Nominal)'!$B$1:$BX$1,0))*1000*0.8</f>
        <v>1548981.0560302211</v>
      </c>
      <c r="L490" s="151">
        <f>'Resource Options'!$E$23*INDEX('DATA (Nominal)'!$B$196:$BX$196,1,MATCH(L$1,'DATA (Nominal)'!$B$1:$BX$1,0))*1000*0.8</f>
        <v>1563032.0810173675</v>
      </c>
      <c r="M490" s="151">
        <f>'Resource Options'!$E$23*INDEX('DATA (Nominal)'!$B$196:$BX$196,1,MATCH(M$1,'DATA (Nominal)'!$B$1:$BX$1,0))*1000*0.8</f>
        <v>1576951.6442728331</v>
      </c>
      <c r="N490" s="151">
        <f>'Resource Options'!$E$23*INDEX('DATA (Nominal)'!$B$196:$BX$196,1,MATCH(N$1,'DATA (Nominal)'!$B$1:$BX$1,0))*1000*0.8</f>
        <v>1590727.1607843265</v>
      </c>
      <c r="O490" s="151">
        <f>'Resource Options'!$E$23*INDEX('DATA (Nominal)'!$B$196:$BX$196,1,MATCH(O$1,'DATA (Nominal)'!$B$1:$BX$1,0))*1000*0.8</f>
        <v>1604345.5554264945</v>
      </c>
      <c r="P490" s="151">
        <f>'Resource Options'!$E$23*INDEX('DATA (Nominal)'!$B$196:$BX$196,1,MATCH(P$1,'DATA (Nominal)'!$B$1:$BX$1,0))*1000*0.8</f>
        <v>1617793.2474870987</v>
      </c>
      <c r="Q490" s="151">
        <f>'Resource Options'!$E$23*INDEX('DATA (Nominal)'!$B$196:$BX$196,1,MATCH(Q$1,'DATA (Nominal)'!$B$1:$BX$1,0))*1000*0.8</f>
        <v>1631056.134749542</v>
      </c>
      <c r="R490" s="151">
        <f>'Resource Options'!$E$23*INDEX('DATA (Nominal)'!$B$196:$BX$196,1,MATCH(R$1,'DATA (Nominal)'!$B$1:$BX$1,0))*1000*0.8</f>
        <v>1644119.5771197535</v>
      </c>
      <c r="S490" s="151">
        <f>'Resource Options'!$E$23*INDEX('DATA (Nominal)'!$B$196:$BX$196,1,MATCH(S$1,'DATA (Nominal)'!$B$1:$BX$1,0))*1000*0.8</f>
        <v>1656968.3797850355</v>
      </c>
      <c r="T490" s="151">
        <f>'Resource Options'!$E$23*INDEX('DATA (Nominal)'!$B$196:$BX$196,1,MATCH(T$1,'DATA (Nominal)'!$B$1:$BX$1,0))*1000*0.8</f>
        <v>1669586.7758922596</v>
      </c>
      <c r="U490" s="151">
        <f>'Resource Options'!$E$23*INDEX('DATA (Nominal)'!$B$196:$BX$196,1,MATCH(U$1,'DATA (Nominal)'!$B$1:$BX$1,0))*1000*0.8</f>
        <v>1681958.4087323863</v>
      </c>
      <c r="V490" s="151">
        <f>'Resource Options'!$E$23*INDEX('DATA (Nominal)'!$B$196:$BX$196,1,MATCH(V$1,'DATA (Nominal)'!$B$1:$BX$1,0))*1000*0.8</f>
        <v>1694066.3134179469</v>
      </c>
      <c r="W490" s="151">
        <f>'Resource Options'!$E$23*INDEX('DATA (Nominal)'!$B$196:$BX$196,1,MATCH(W$1,'DATA (Nominal)'!$B$1:$BX$1,0))*1000*0.8</f>
        <v>1705892.8980398488</v>
      </c>
      <c r="X490" s="152">
        <f>'Resource Options'!$E$23*INDEX('DATA (Nominal)'!$B$196:$BX$196,1,MATCH(X$1,'DATA (Nominal)'!$B$1:$BX$1,0))*1000*0.8</f>
        <v>1717419.9242894202</v>
      </c>
      <c r="Y490" s="156"/>
    </row>
    <row r="491" spans="1:25" hidden="1" outlineLevel="1">
      <c r="C491" s="125" t="s">
        <v>160</v>
      </c>
      <c r="D491" s="151"/>
      <c r="E491" s="151">
        <f>E484*INDEX('DATA (Nominal)'!$B$118:$BX$118,1,MATCH(E$1,'DATA (Nominal)'!$B$1:$BX$1,0))</f>
        <v>0</v>
      </c>
      <c r="F491" s="151">
        <f>F484*INDEX('DATA (Nominal)'!$B$118:$BX$118,1,MATCH(F$1,'DATA (Nominal)'!$B$1:$BX$1,0))</f>
        <v>0</v>
      </c>
      <c r="G491" s="151">
        <f>G484*INDEX('DATA (Nominal)'!$B$118:$BX$118,1,MATCH(G$1,'DATA (Nominal)'!$B$1:$BX$1,0))</f>
        <v>0</v>
      </c>
      <c r="H491" s="151">
        <f>H484*INDEX('DATA (Nominal)'!$B$118:$BX$118,1,MATCH(H$1,'DATA (Nominal)'!$B$1:$BX$1,0))</f>
        <v>0</v>
      </c>
      <c r="I491" s="151">
        <f>I484*INDEX('DATA (Nominal)'!$B$118:$BX$118,1,MATCH(I$1,'DATA (Nominal)'!$B$1:$BX$1,0))</f>
        <v>0</v>
      </c>
      <c r="J491" s="151">
        <f>J484*INDEX('DATA (Nominal)'!$B$118:$BX$118,1,MATCH(J$1,'DATA (Nominal)'!$B$1:$BX$1,0))</f>
        <v>0</v>
      </c>
      <c r="K491" s="151">
        <f>K484*INDEX('DATA (Nominal)'!$B$118:$BX$118,1,MATCH(K$1,'DATA (Nominal)'!$B$1:$BX$1,0))</f>
        <v>0</v>
      </c>
      <c r="L491" s="151">
        <f>L484*INDEX('DATA (Nominal)'!$B$118:$BX$118,1,MATCH(L$1,'DATA (Nominal)'!$B$1:$BX$1,0))</f>
        <v>0</v>
      </c>
      <c r="M491" s="151">
        <f>M484*INDEX('DATA (Nominal)'!$B$118:$BX$118,1,MATCH(M$1,'DATA (Nominal)'!$B$1:$BX$1,0))</f>
        <v>0</v>
      </c>
      <c r="N491" s="151">
        <f>N484*INDEX('DATA (Nominal)'!$B$118:$BX$118,1,MATCH(N$1,'DATA (Nominal)'!$B$1:$BX$1,0))</f>
        <v>0</v>
      </c>
      <c r="O491" s="151">
        <f>O484*INDEX('DATA (Nominal)'!$B$118:$BX$118,1,MATCH(O$1,'DATA (Nominal)'!$B$1:$BX$1,0))</f>
        <v>0</v>
      </c>
      <c r="P491" s="151">
        <f>P484*INDEX('DATA (Nominal)'!$B$118:$BX$118,1,MATCH(P$1,'DATA (Nominal)'!$B$1:$BX$1,0))</f>
        <v>0</v>
      </c>
      <c r="Q491" s="151">
        <f>Q484*INDEX('DATA (Nominal)'!$B$118:$BX$118,1,MATCH(Q$1,'DATA (Nominal)'!$B$1:$BX$1,0))</f>
        <v>0</v>
      </c>
      <c r="R491" s="151">
        <f>R484*INDEX('DATA (Nominal)'!$B$118:$BX$118,1,MATCH(R$1,'DATA (Nominal)'!$B$1:$BX$1,0))</f>
        <v>0</v>
      </c>
      <c r="S491" s="151">
        <f>S484*INDEX('DATA (Nominal)'!$B$118:$BX$118,1,MATCH(S$1,'DATA (Nominal)'!$B$1:$BX$1,0))</f>
        <v>0</v>
      </c>
      <c r="T491" s="151">
        <f>T484*INDEX('DATA (Nominal)'!$B$118:$BX$118,1,MATCH(T$1,'DATA (Nominal)'!$B$1:$BX$1,0))</f>
        <v>0</v>
      </c>
      <c r="U491" s="151">
        <f>U484*INDEX('DATA (Nominal)'!$B$118:$BX$118,1,MATCH(U$1,'DATA (Nominal)'!$B$1:$BX$1,0))</f>
        <v>0</v>
      </c>
      <c r="V491" s="151">
        <f>V484*INDEX('DATA (Nominal)'!$B$118:$BX$118,1,MATCH(V$1,'DATA (Nominal)'!$B$1:$BX$1,0))</f>
        <v>0</v>
      </c>
      <c r="W491" s="151">
        <f>W484*INDEX('DATA (Nominal)'!$B$118:$BX$118,1,MATCH(W$1,'DATA (Nominal)'!$B$1:$BX$1,0))</f>
        <v>0</v>
      </c>
      <c r="X491" s="152">
        <f>X484*INDEX('DATA (Nominal)'!$B$118:$BX$118,1,MATCH(X$1,'DATA (Nominal)'!$B$1:$BX$1,0))</f>
        <v>0</v>
      </c>
      <c r="Y491" s="156"/>
    </row>
    <row r="492" spans="1:25" hidden="1" outlineLevel="1">
      <c r="C492" s="125" t="s">
        <v>127</v>
      </c>
      <c r="D492" s="151"/>
      <c r="E492" s="151">
        <f>E484*E485*INDEX('DATA (Nominal)'!$B$338:$BX$338,1,MATCH(E$1,'DATA (Nominal)'!$B$1:$BX$1,0))</f>
        <v>22178.293496478298</v>
      </c>
      <c r="F492" s="151">
        <f>F484*F485*INDEX('DATA (Nominal)'!$B$338:$BX$338,1,MATCH(F$1,'DATA (Nominal)'!$B$1:$BX$1,0))</f>
        <v>22178.293496478298</v>
      </c>
      <c r="G492" s="151">
        <f>G484*G485*INDEX('DATA (Nominal)'!$B$338:$BX$338,1,MATCH(G$1,'DATA (Nominal)'!$B$1:$BX$1,0))</f>
        <v>22178.293496478298</v>
      </c>
      <c r="H492" s="151">
        <f>H484*H485*INDEX('DATA (Nominal)'!$B$338:$BX$338,1,MATCH(H$1,'DATA (Nominal)'!$B$1:$BX$1,0))</f>
        <v>22178.293496478298</v>
      </c>
      <c r="I492" s="151">
        <f>I484*I485*INDEX('DATA (Nominal)'!$B$338:$BX$338,1,MATCH(I$1,'DATA (Nominal)'!$B$1:$BX$1,0))</f>
        <v>22178.293496478298</v>
      </c>
      <c r="J492" s="151">
        <f>J484*J485*INDEX('DATA (Nominal)'!$B$338:$BX$338,1,MATCH(J$1,'DATA (Nominal)'!$B$1:$BX$1,0))</f>
        <v>22178.293496478298</v>
      </c>
      <c r="K492" s="151">
        <f>K484*K485*INDEX('DATA (Nominal)'!$B$338:$BX$338,1,MATCH(K$1,'DATA (Nominal)'!$B$1:$BX$1,0))</f>
        <v>22178.293496478298</v>
      </c>
      <c r="L492" s="151">
        <f>L484*L485*INDEX('DATA (Nominal)'!$B$338:$BX$338,1,MATCH(L$1,'DATA (Nominal)'!$B$1:$BX$1,0))</f>
        <v>22178.293496478298</v>
      </c>
      <c r="M492" s="151">
        <f>M484*M485*INDEX('DATA (Nominal)'!$B$338:$BX$338,1,MATCH(M$1,'DATA (Nominal)'!$B$1:$BX$1,0))</f>
        <v>22178.293496478298</v>
      </c>
      <c r="N492" s="151">
        <f>N484*N485*INDEX('DATA (Nominal)'!$B$338:$BX$338,1,MATCH(N$1,'DATA (Nominal)'!$B$1:$BX$1,0))</f>
        <v>22178.293496478298</v>
      </c>
      <c r="O492" s="151">
        <f>O484*O485*INDEX('DATA (Nominal)'!$B$338:$BX$338,1,MATCH(O$1,'DATA (Nominal)'!$B$1:$BX$1,0))</f>
        <v>22178.293496478298</v>
      </c>
      <c r="P492" s="151">
        <f>P484*P485*INDEX('DATA (Nominal)'!$B$338:$BX$338,1,MATCH(P$1,'DATA (Nominal)'!$B$1:$BX$1,0))</f>
        <v>22178.293496478298</v>
      </c>
      <c r="Q492" s="151">
        <f>Q484*Q485*INDEX('DATA (Nominal)'!$B$338:$BX$338,1,MATCH(Q$1,'DATA (Nominal)'!$B$1:$BX$1,0))</f>
        <v>22178.293496478298</v>
      </c>
      <c r="R492" s="151">
        <f>R484*R485*INDEX('DATA (Nominal)'!$B$338:$BX$338,1,MATCH(R$1,'DATA (Nominal)'!$B$1:$BX$1,0))</f>
        <v>22178.293496478298</v>
      </c>
      <c r="S492" s="151">
        <f>S484*S485*INDEX('DATA (Nominal)'!$B$338:$BX$338,1,MATCH(S$1,'DATA (Nominal)'!$B$1:$BX$1,0))</f>
        <v>22178.293496478298</v>
      </c>
      <c r="T492" s="151">
        <f>T484*T485*INDEX('DATA (Nominal)'!$B$338:$BX$338,1,MATCH(T$1,'DATA (Nominal)'!$B$1:$BX$1,0))</f>
        <v>22178.293496478298</v>
      </c>
      <c r="U492" s="151">
        <f>U484*U485*INDEX('DATA (Nominal)'!$B$338:$BX$338,1,MATCH(U$1,'DATA (Nominal)'!$B$1:$BX$1,0))</f>
        <v>22178.293496478298</v>
      </c>
      <c r="V492" s="151">
        <f>V484*V485*INDEX('DATA (Nominal)'!$B$338:$BX$338,1,MATCH(V$1,'DATA (Nominal)'!$B$1:$BX$1,0))</f>
        <v>22178.293496478298</v>
      </c>
      <c r="W492" s="151">
        <f>W484*W485*INDEX('DATA (Nominal)'!$B$338:$BX$338,1,MATCH(W$1,'DATA (Nominal)'!$B$1:$BX$1,0))</f>
        <v>22178.293496478298</v>
      </c>
      <c r="X492" s="152">
        <f>X484*X485*INDEX('DATA (Nominal)'!$B$338:$BX$338,1,MATCH(X$1,'DATA (Nominal)'!$B$1:$BX$1,0))</f>
        <v>22178.293496478298</v>
      </c>
      <c r="Y492" s="156"/>
    </row>
    <row r="493" spans="1:25" hidden="1" outlineLevel="1">
      <c r="C493" s="258" t="s">
        <v>49</v>
      </c>
      <c r="D493" s="151"/>
      <c r="E493" s="151">
        <f>D515*Property_Tax_Rate</f>
        <v>1621440.5500387482</v>
      </c>
      <c r="F493" s="151">
        <f t="shared" ref="F493:M493" si="308">E515*Property_Tax_Rate</f>
        <v>1531094.6609162525</v>
      </c>
      <c r="G493" s="151">
        <f t="shared" si="308"/>
        <v>1445782.8013677299</v>
      </c>
      <c r="H493" s="151">
        <f t="shared" si="308"/>
        <v>1365224.477681759</v>
      </c>
      <c r="I493" s="151">
        <f t="shared" si="308"/>
        <v>1289154.8251218761</v>
      </c>
      <c r="J493" s="151">
        <f t="shared" si="308"/>
        <v>1217323.737087592</v>
      </c>
      <c r="K493" s="151">
        <f t="shared" si="308"/>
        <v>1149495.0427981408</v>
      </c>
      <c r="L493" s="151">
        <f t="shared" si="308"/>
        <v>1085445.730795294</v>
      </c>
      <c r="M493" s="151">
        <f t="shared" si="308"/>
        <v>1024965.2157122253</v>
      </c>
      <c r="N493" s="151">
        <f>M515*Property_Tax_Rate</f>
        <v>967854.64589766227</v>
      </c>
      <c r="O493" s="151">
        <f>N515*Property_Tax_Rate</f>
        <v>913926.24961888848</v>
      </c>
      <c r="P493" s="151">
        <f t="shared" ref="P493:X493" si="309">O515*Property_Tax_Rate</f>
        <v>1081290.9341479181</v>
      </c>
      <c r="Q493" s="151">
        <f t="shared" si="309"/>
        <v>1005551.5846486904</v>
      </c>
      <c r="R493" s="151">
        <f t="shared" si="309"/>
        <v>935117.42072108365</v>
      </c>
      <c r="S493" s="151">
        <f t="shared" si="309"/>
        <v>869616.8390421829</v>
      </c>
      <c r="T493" s="151">
        <f t="shared" si="309"/>
        <v>808704.2653558678</v>
      </c>
      <c r="U493" s="151">
        <f t="shared" si="309"/>
        <v>752058.33125898079</v>
      </c>
      <c r="V493" s="151">
        <f t="shared" si="309"/>
        <v>699380.17869505868</v>
      </c>
      <c r="W493" s="151">
        <f t="shared" si="309"/>
        <v>650391.8832103106</v>
      </c>
      <c r="X493" s="152">
        <f t="shared" si="309"/>
        <v>604834.9876531082</v>
      </c>
      <c r="Y493" s="156"/>
    </row>
    <row r="494" spans="1:25" hidden="1" outlineLevel="1">
      <c r="C494" s="258" t="s">
        <v>50</v>
      </c>
      <c r="D494" s="151"/>
      <c r="E494" s="151">
        <f>SUM(E489:E493)</f>
        <v>4961792.0828024438</v>
      </c>
      <c r="F494" s="151">
        <f>SUM(F489:F493)</f>
        <v>4839976.5202441849</v>
      </c>
      <c r="G494" s="151">
        <f t="shared" ref="G494:N494" si="310">SUM(G489:G493)</f>
        <v>4723623.948111074</v>
      </c>
      <c r="H494" s="151">
        <f t="shared" si="310"/>
        <v>4594851.1865484761</v>
      </c>
      <c r="I494" s="151">
        <f t="shared" si="310"/>
        <v>4494126.9068827135</v>
      </c>
      <c r="J494" s="151">
        <f t="shared" si="310"/>
        <v>4384861.6236528326</v>
      </c>
      <c r="K494" s="151">
        <f t="shared" si="310"/>
        <v>4356679.5993853929</v>
      </c>
      <c r="L494" s="151">
        <f t="shared" si="310"/>
        <v>4331567.1728173913</v>
      </c>
      <c r="M494" s="151">
        <f t="shared" si="310"/>
        <v>4310224.0272541605</v>
      </c>
      <c r="N494" s="151">
        <f t="shared" si="310"/>
        <v>4292441.4406181481</v>
      </c>
      <c r="O494" s="151">
        <f>SUM(O489:O493)</f>
        <v>4278021.242845987</v>
      </c>
      <c r="P494" s="151">
        <f t="shared" ref="P494:X494" si="311">SUM(P489:P493)</f>
        <v>4485063.3965425845</v>
      </c>
      <c r="Q494" s="151">
        <f t="shared" si="311"/>
        <v>4449159.2768817162</v>
      </c>
      <c r="R494" s="151">
        <f t="shared" si="311"/>
        <v>4418706.0085935025</v>
      </c>
      <c r="S494" s="151">
        <f t="shared" si="311"/>
        <v>4393319.2884632284</v>
      </c>
      <c r="T494" s="151">
        <f t="shared" si="311"/>
        <v>4372640.2165763378</v>
      </c>
      <c r="U494" s="151">
        <f t="shared" si="311"/>
        <v>4356333.4517410593</v>
      </c>
      <c r="V494" s="151">
        <f t="shared" si="311"/>
        <v>4344085.4939824361</v>
      </c>
      <c r="W494" s="151">
        <f t="shared" si="311"/>
        <v>4335603.085144842</v>
      </c>
      <c r="X494" s="152">
        <f t="shared" si="311"/>
        <v>4330611.7192660701</v>
      </c>
      <c r="Y494" s="156"/>
    </row>
    <row r="495" spans="1:25" hidden="1" outlineLevel="1">
      <c r="C495" s="258" t="s">
        <v>179</v>
      </c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>
        <f>INDEX('DATA (Nominal)'!$B$77:$BX$77,1,MATCH($O$1,'DATA (Nominal)'!$B$1:$BX$1,0))*1000000*(1+AFUDC!$D$23)*0.5*'Resource Options'!$D$23/1000</f>
        <v>21164025.209200241</v>
      </c>
      <c r="P495" s="151"/>
      <c r="Q495" s="151"/>
      <c r="R495" s="151"/>
      <c r="S495" s="151"/>
      <c r="T495" s="151"/>
      <c r="U495" s="151"/>
      <c r="V495" s="151"/>
      <c r="W495" s="151"/>
      <c r="X495" s="152"/>
      <c r="Y495" s="156"/>
    </row>
    <row r="496" spans="1:25" hidden="1" outlineLevel="1">
      <c r="C496" s="258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2"/>
      <c r="Y496" s="156"/>
    </row>
    <row r="497" spans="2:25" hidden="1" outlineLevel="1">
      <c r="C497" s="125" t="s">
        <v>51</v>
      </c>
      <c r="D497" s="151"/>
      <c r="E497" s="151">
        <f>E487-E494</f>
        <v>9359299.2223674916</v>
      </c>
      <c r="F497" s="151">
        <f t="shared" ref="F497:N497" si="312">F487-F494</f>
        <v>9481114.7849257495</v>
      </c>
      <c r="G497" s="151">
        <f t="shared" si="312"/>
        <v>9597467.3570588604</v>
      </c>
      <c r="H497" s="151">
        <f t="shared" si="312"/>
        <v>9726240.1186214574</v>
      </c>
      <c r="I497" s="151">
        <f t="shared" si="312"/>
        <v>9826964.3982872218</v>
      </c>
      <c r="J497" s="151">
        <f t="shared" si="312"/>
        <v>9936229.6815171018</v>
      </c>
      <c r="K497" s="151">
        <f t="shared" si="312"/>
        <v>9964411.7057845406</v>
      </c>
      <c r="L497" s="151">
        <f t="shared" si="312"/>
        <v>9989524.1323525421</v>
      </c>
      <c r="M497" s="151">
        <f t="shared" si="312"/>
        <v>10010867.277915774</v>
      </c>
      <c r="N497" s="151">
        <f t="shared" si="312"/>
        <v>10028649.864551786</v>
      </c>
      <c r="O497" s="151">
        <f>O487-O494</f>
        <v>10043070.062323947</v>
      </c>
      <c r="P497" s="151">
        <f t="shared" ref="P497:X497" si="313">P487-P494</f>
        <v>9836027.9086273499</v>
      </c>
      <c r="Q497" s="151">
        <f t="shared" si="313"/>
        <v>9871932.0282882191</v>
      </c>
      <c r="R497" s="151">
        <f t="shared" si="313"/>
        <v>9902385.2965764329</v>
      </c>
      <c r="S497" s="151">
        <f t="shared" si="313"/>
        <v>9927772.0167067051</v>
      </c>
      <c r="T497" s="151">
        <f t="shared" si="313"/>
        <v>9948451.0885935966</v>
      </c>
      <c r="U497" s="151">
        <f t="shared" si="313"/>
        <v>9964757.8534288742</v>
      </c>
      <c r="V497" s="151">
        <f t="shared" si="313"/>
        <v>9977005.8111874983</v>
      </c>
      <c r="W497" s="151">
        <f t="shared" si="313"/>
        <v>9985488.2200250924</v>
      </c>
      <c r="X497" s="152">
        <f t="shared" si="313"/>
        <v>9990479.5859038644</v>
      </c>
      <c r="Y497" s="156"/>
    </row>
    <row r="498" spans="2:25" hidden="1" outlineLevel="1">
      <c r="C498" s="125" t="s">
        <v>52</v>
      </c>
      <c r="D498" s="151"/>
      <c r="E498" s="151">
        <f>E497-E516-E505</f>
        <v>-21812050.320486493</v>
      </c>
      <c r="F498" s="151">
        <f t="shared" ref="F498:M498" si="314">F497-F516-F505</f>
        <v>-38125486.034481637</v>
      </c>
      <c r="G498" s="151">
        <f t="shared" si="314"/>
        <v>-20258728.615723811</v>
      </c>
      <c r="H498" s="151">
        <f t="shared" si="314"/>
        <v>-9430058.0398839656</v>
      </c>
      <c r="I498" s="151">
        <f t="shared" si="314"/>
        <v>-9207867.4918945618</v>
      </c>
      <c r="J498" s="151">
        <f t="shared" si="314"/>
        <v>-1031882.3625935293</v>
      </c>
      <c r="K498" s="151">
        <f t="shared" si="314"/>
        <v>7070067.5879645403</v>
      </c>
      <c r="L498" s="151">
        <f t="shared" si="314"/>
        <v>7237810.732465012</v>
      </c>
      <c r="M498" s="151">
        <f t="shared" si="314"/>
        <v>7409629.2854469996</v>
      </c>
      <c r="N498" s="151">
        <f>N497-N516-N505</f>
        <v>7586163.4269098006</v>
      </c>
      <c r="O498" s="151">
        <f>O497-O516-O505</f>
        <v>3862245.662666318</v>
      </c>
      <c r="P498" s="151">
        <f>P497-P516-P505</f>
        <v>1737297.4425826077</v>
      </c>
      <c r="Q498" s="151">
        <f t="shared" ref="Q498:W498" si="315">Q497-Q516-Q505</f>
        <v>3509011.3807186787</v>
      </c>
      <c r="R498" s="151">
        <f t="shared" si="315"/>
        <v>4866228.5671524927</v>
      </c>
      <c r="S498" s="151">
        <f t="shared" si="315"/>
        <v>5930951.1520414222</v>
      </c>
      <c r="T498" s="151">
        <f t="shared" si="315"/>
        <v>6251018.2977819853</v>
      </c>
      <c r="U498" s="151">
        <f t="shared" si="315"/>
        <v>6583179.4805328855</v>
      </c>
      <c r="V498" s="151">
        <f t="shared" si="315"/>
        <v>7873415.9345311914</v>
      </c>
      <c r="W498" s="151">
        <f t="shared" si="315"/>
        <v>9177579.3714517448</v>
      </c>
      <c r="X498" s="152">
        <f>X497-X516-X505</f>
        <v>9553460.0633235816</v>
      </c>
      <c r="Y498" s="156"/>
    </row>
    <row r="499" spans="2:25" hidden="1" outlineLevel="1">
      <c r="C499" s="125" t="s">
        <v>53</v>
      </c>
      <c r="D499" s="151"/>
      <c r="E499" s="93">
        <f>INDEX('DATA (Nominal)'!$B$264:$BX$264,1,MATCH($B$1,'DATA (Nominal)'!$B$1:$BX$1,0))*INDEX('DATA (Nominal)'!$B$311:$BX$311,1,MATCH(E$1,'DATA (Nominal)'!$B$1:$BX$1,0))*E484</f>
        <v>6756044.9450969258</v>
      </c>
      <c r="F499" s="93">
        <f>INDEX('DATA (Nominal)'!$B$264:$BX$264,1,MATCH($B$1,'DATA (Nominal)'!$B$1:$BX$1,0))*INDEX('DATA (Nominal)'!$B$311:$BX$311,1,MATCH(F$1,'DATA (Nominal)'!$B$1:$BX$1,0))*F484</f>
        <v>6906929.9488707576</v>
      </c>
      <c r="G499" s="93">
        <f>INDEX('DATA (Nominal)'!$B$264:$BX$264,1,MATCH($B$1,'DATA (Nominal)'!$B$1:$BX$1,0))*INDEX('DATA (Nominal)'!$B$311:$BX$311,1,MATCH(G$1,'DATA (Nominal)'!$B$1:$BX$1,0))*G484</f>
        <v>7061184.7177288709</v>
      </c>
      <c r="H499" s="93">
        <f>INDEX('DATA (Nominal)'!$B$264:$BX$264,1,MATCH($B$1,'DATA (Nominal)'!$B$1:$BX$1,0))*INDEX('DATA (Nominal)'!$B$311:$BX$311,1,MATCH(H$1,'DATA (Nominal)'!$B$1:$BX$1,0))*H484</f>
        <v>7216530.7815189073</v>
      </c>
      <c r="I499" s="93">
        <f>INDEX('DATA (Nominal)'!$B$264:$BX$264,1,MATCH($B$1,'DATA (Nominal)'!$B$1:$BX$1,0))*INDEX('DATA (Nominal)'!$B$311:$BX$311,1,MATCH(I$1,'DATA (Nominal)'!$B$1:$BX$1,0))*I484</f>
        <v>7375294.4587123217</v>
      </c>
      <c r="J499" s="93">
        <f>INDEX('DATA (Nominal)'!$B$264:$BX$264,1,MATCH($B$1,'DATA (Nominal)'!$B$1:$BX$1,0))*INDEX('DATA (Nominal)'!$B$311:$BX$311,1,MATCH(J$1,'DATA (Nominal)'!$B$1:$BX$1,0))*J484</f>
        <v>7537550.9368039938</v>
      </c>
      <c r="K499" s="93">
        <f>INDEX('DATA (Nominal)'!$B$264:$BX$264,1,MATCH($B$1,'DATA (Nominal)'!$B$1:$BX$1,0))*INDEX('DATA (Nominal)'!$B$311:$BX$311,1,MATCH(K$1,'DATA (Nominal)'!$B$1:$BX$1,0))*K484</f>
        <v>7703377.0574136805</v>
      </c>
      <c r="L499" s="93">
        <f>INDEX('DATA (Nominal)'!$B$264:$BX$264,1,MATCH($B$1,'DATA (Nominal)'!$B$1:$BX$1,0))*INDEX('DATA (Nominal)'!$B$311:$BX$311,1,MATCH(L$1,'DATA (Nominal)'!$B$1:$BX$1,0))*L484</f>
        <v>7872851.3526767828</v>
      </c>
      <c r="M499" s="93">
        <f>INDEX('DATA (Nominal)'!$B$264:$BX$264,1,MATCH($B$1,'DATA (Nominal)'!$B$1:$BX$1,0))*INDEX('DATA (Nominal)'!$B$311:$BX$311,1,MATCH(M$1,'DATA (Nominal)'!$B$1:$BX$1,0))*M484</f>
        <v>8046054.0824356731</v>
      </c>
      <c r="N499" s="93">
        <f>INDEX('DATA (Nominal)'!$B$264:$BX$264,1,MATCH($B$1,'DATA (Nominal)'!$B$1:$BX$1,0))*INDEX('DATA (Nominal)'!$B$311:$BX$311,1,MATCH(N$1,'DATA (Nominal)'!$B$1:$BX$1,0))*N484</f>
        <v>8223067.2722492572</v>
      </c>
      <c r="O499" s="151"/>
      <c r="P499" s="151"/>
      <c r="Q499" s="151"/>
      <c r="R499" s="151"/>
      <c r="S499" s="151"/>
      <c r="T499" s="151"/>
      <c r="U499" s="151"/>
      <c r="V499" s="151"/>
      <c r="W499" s="151"/>
      <c r="X499" s="152"/>
      <c r="Y499" s="156"/>
    </row>
    <row r="500" spans="2:25" hidden="1" outlineLevel="1">
      <c r="C500" s="258" t="s">
        <v>54</v>
      </c>
      <c r="D500" s="151"/>
      <c r="E500" s="151">
        <f>E498*Federal_Tax_Rate-E499</f>
        <v>-11336575.512399089</v>
      </c>
      <c r="F500" s="151">
        <f>F498*Federal_Tax_Rate-F499</f>
        <v>-14913282.016111901</v>
      </c>
      <c r="G500" s="151">
        <f t="shared" ref="G500:N500" si="316">G498*Federal_Tax_Rate-G499</f>
        <v>-11315517.727030871</v>
      </c>
      <c r="H500" s="151">
        <f t="shared" si="316"/>
        <v>-9196842.9698945396</v>
      </c>
      <c r="I500" s="151">
        <f t="shared" si="316"/>
        <v>-9308946.6320101805</v>
      </c>
      <c r="J500" s="151">
        <f t="shared" si="316"/>
        <v>-7754246.2329486348</v>
      </c>
      <c r="K500" s="151">
        <f t="shared" si="316"/>
        <v>-6218662.8639411274</v>
      </c>
      <c r="L500" s="151">
        <f t="shared" si="316"/>
        <v>-6352911.0988591304</v>
      </c>
      <c r="M500" s="151">
        <f t="shared" si="316"/>
        <v>-6490031.9324918035</v>
      </c>
      <c r="N500" s="151">
        <f t="shared" si="316"/>
        <v>-6629972.9525981992</v>
      </c>
      <c r="O500" s="151">
        <f>O498*Federal_Tax_Rate-O499</f>
        <v>811071.58915992675</v>
      </c>
      <c r="P500" s="151">
        <f t="shared" ref="P500:X500" si="317">P498*Federal_Tax_Rate-P499</f>
        <v>364832.46294234763</v>
      </c>
      <c r="Q500" s="151">
        <f t="shared" si="317"/>
        <v>736892.38995092246</v>
      </c>
      <c r="R500" s="151">
        <f t="shared" si="317"/>
        <v>1021907.9991020234</v>
      </c>
      <c r="S500" s="151">
        <f t="shared" si="317"/>
        <v>1245499.7419286987</v>
      </c>
      <c r="T500" s="151">
        <f t="shared" si="317"/>
        <v>1312713.8425342168</v>
      </c>
      <c r="U500" s="151">
        <f t="shared" si="317"/>
        <v>1382467.6909119058</v>
      </c>
      <c r="V500" s="151">
        <f t="shared" si="317"/>
        <v>1653417.3462515501</v>
      </c>
      <c r="W500" s="151">
        <f t="shared" si="317"/>
        <v>1927291.6680048662</v>
      </c>
      <c r="X500" s="152">
        <f t="shared" si="317"/>
        <v>2006226.6132979521</v>
      </c>
      <c r="Y500" s="156"/>
    </row>
    <row r="501" spans="2:25" hidden="1" outlineLevel="1">
      <c r="C501" s="258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2"/>
      <c r="Y501" s="156"/>
    </row>
    <row r="502" spans="2:25" hidden="1" outlineLevel="1">
      <c r="B502" s="37">
        <f>IRR(D502:Y502,0.1)</f>
        <v>7.4999994588538232E-2</v>
      </c>
      <c r="C502" s="125" t="s">
        <v>55</v>
      </c>
      <c r="D502" s="155">
        <f>SUM(D511:D512)</f>
        <v>-162144055.00387481</v>
      </c>
      <c r="E502" s="156">
        <f t="shared" ref="E502:K502" si="318">E497-E500</f>
        <v>20695874.73476658</v>
      </c>
      <c r="F502" s="151">
        <f t="shared" si="318"/>
        <v>24394396.801037651</v>
      </c>
      <c r="G502" s="151">
        <f t="shared" si="318"/>
        <v>20912985.084089734</v>
      </c>
      <c r="H502" s="151">
        <f t="shared" si="318"/>
        <v>18923083.088515997</v>
      </c>
      <c r="I502" s="151">
        <f t="shared" si="318"/>
        <v>19135911.030297402</v>
      </c>
      <c r="J502" s="151">
        <f t="shared" si="318"/>
        <v>17690475.914465737</v>
      </c>
      <c r="K502" s="151">
        <f t="shared" si="318"/>
        <v>16183074.569725668</v>
      </c>
      <c r="L502" s="151">
        <f>L497-L500</f>
        <v>16342435.231211673</v>
      </c>
      <c r="M502" s="151">
        <f t="shared" ref="M502:N502" si="319">M497-M500</f>
        <v>16500899.210407577</v>
      </c>
      <c r="N502" s="151">
        <f t="shared" si="319"/>
        <v>16658622.817149986</v>
      </c>
      <c r="O502" s="151">
        <f>O497-O500-O495</f>
        <v>-11932026.736036221</v>
      </c>
      <c r="P502" s="151">
        <f>P497-P500</f>
        <v>9471195.445685003</v>
      </c>
      <c r="Q502" s="151">
        <f t="shared" ref="Q502:X502" si="320">Q497-Q500</f>
        <v>9135039.6383372974</v>
      </c>
      <c r="R502" s="151">
        <f t="shared" si="320"/>
        <v>8880477.2974744104</v>
      </c>
      <c r="S502" s="151">
        <f t="shared" si="320"/>
        <v>8682272.2747780066</v>
      </c>
      <c r="T502" s="151">
        <f t="shared" si="320"/>
        <v>8635737.2460593805</v>
      </c>
      <c r="U502" s="151">
        <f t="shared" si="320"/>
        <v>8582290.1625169683</v>
      </c>
      <c r="V502" s="151">
        <f t="shared" si="320"/>
        <v>8323588.4649359481</v>
      </c>
      <c r="W502" s="151">
        <f t="shared" si="320"/>
        <v>8058196.5520202257</v>
      </c>
      <c r="X502" s="152">
        <f t="shared" si="320"/>
        <v>7984252.972605912</v>
      </c>
      <c r="Y502" s="156">
        <f>D502*-0.3</f>
        <v>48643216.50116244</v>
      </c>
    </row>
    <row r="503" spans="2:25" hidden="1" outlineLevel="1">
      <c r="B503" s="37">
        <f>IRR(D503:Y503,0.1)</f>
        <v>0.11105884713830094</v>
      </c>
      <c r="C503" s="125" t="s">
        <v>56</v>
      </c>
      <c r="D503" s="155">
        <f>-D521</f>
        <v>-23644228.841848996</v>
      </c>
      <c r="E503" s="156">
        <f t="shared" ref="E503:M503" si="321">E502-E505-E508-E517-E499</f>
        <v>2663657.127620955</v>
      </c>
      <c r="F503" s="151">
        <f t="shared" si="321"/>
        <v>2738168.5319351945</v>
      </c>
      <c r="G503" s="151">
        <f t="shared" si="321"/>
        <v>2807169.4148576977</v>
      </c>
      <c r="H503" s="151">
        <f t="shared" si="321"/>
        <v>2884721.7767310431</v>
      </c>
      <c r="I503" s="151">
        <f t="shared" si="321"/>
        <v>2938786.0413190341</v>
      </c>
      <c r="J503" s="151">
        <f t="shared" si="321"/>
        <v>2998194.7633235352</v>
      </c>
      <c r="K503" s="151">
        <f t="shared" si="321"/>
        <v>2992067.6139016189</v>
      </c>
      <c r="L503" s="151">
        <f t="shared" si="321"/>
        <v>2981953.980124522</v>
      </c>
      <c r="M503" s="151">
        <f t="shared" si="321"/>
        <v>2967215.2295615356</v>
      </c>
      <c r="N503" s="151">
        <f>N502-N505-N508-N517-N499</f>
        <v>2947925.6464903597</v>
      </c>
      <c r="O503" s="151">
        <f>O502-O505-O508-O517-O499+O495</f>
        <v>1045713.8791165277</v>
      </c>
      <c r="P503" s="151">
        <f>P502-P505-P508-P517-P499</f>
        <v>831399.6538446839</v>
      </c>
      <c r="Q503" s="151">
        <f>Q502-Q505-Q508-Q517-Q499</f>
        <v>806221.68371340388</v>
      </c>
      <c r="R503" s="151">
        <f t="shared" ref="R503:X503" si="322">R502-R505-R508-R517-R499</f>
        <v>773792.71864124085</v>
      </c>
      <c r="S503" s="151">
        <f t="shared" si="322"/>
        <v>734254.39293821133</v>
      </c>
      <c r="T503" s="151">
        <f t="shared" si="322"/>
        <v>687719.3642195852</v>
      </c>
      <c r="U503" s="151">
        <f t="shared" si="322"/>
        <v>634272.28067717305</v>
      </c>
      <c r="V503" s="151">
        <f t="shared" si="322"/>
        <v>573970.6210172805</v>
      </c>
      <c r="W503" s="151">
        <f t="shared" si="322"/>
        <v>506845.41266386583</v>
      </c>
      <c r="X503" s="152">
        <f t="shared" si="322"/>
        <v>432901.83324955218</v>
      </c>
      <c r="Y503" s="156">
        <f>Y502</f>
        <v>48643216.50116244</v>
      </c>
    </row>
    <row r="504" spans="2:25" hidden="1" outlineLevel="1">
      <c r="B504" s="21"/>
      <c r="C504" s="125"/>
      <c r="D504" s="155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2"/>
      <c r="Y504" s="156"/>
    </row>
    <row r="505" spans="2:25" hidden="1" outlineLevel="1">
      <c r="B505" s="452"/>
      <c r="C505" s="258" t="s">
        <v>57</v>
      </c>
      <c r="D505" s="151"/>
      <c r="E505" s="151">
        <f t="shared" ref="E505:W505" si="323">D509*Debt_Rate</f>
        <v>3606860.1921952665</v>
      </c>
      <c r="F505" s="151">
        <f t="shared" si="323"/>
        <v>3503417.8583534355</v>
      </c>
      <c r="G505" s="151">
        <f t="shared" si="323"/>
        <v>3394286.1961503043</v>
      </c>
      <c r="H505" s="151">
        <f t="shared" si="323"/>
        <v>3279152.2925260006</v>
      </c>
      <c r="I505" s="151">
        <f t="shared" si="323"/>
        <v>3157686.0242023608</v>
      </c>
      <c r="J505" s="151">
        <f t="shared" si="323"/>
        <v>3029539.1111209202</v>
      </c>
      <c r="K505" s="151">
        <f t="shared" si="323"/>
        <v>2894344.1178200003</v>
      </c>
      <c r="L505" s="151">
        <f t="shared" si="323"/>
        <v>2751713.3998875301</v>
      </c>
      <c r="M505" s="151">
        <f t="shared" si="323"/>
        <v>2601237.9924687739</v>
      </c>
      <c r="N505" s="151">
        <f t="shared" si="323"/>
        <v>2442486.4376419857</v>
      </c>
      <c r="O505" s="151">
        <f t="shared" si="323"/>
        <v>3157331.7582712825</v>
      </c>
      <c r="P505" s="151">
        <f t="shared" si="323"/>
        <v>2915660.6923116031</v>
      </c>
      <c r="Q505" s="151">
        <f t="shared" si="323"/>
        <v>2660697.7177241421</v>
      </c>
      <c r="R505" s="151">
        <f t="shared" si="323"/>
        <v>2391711.7795343702</v>
      </c>
      <c r="S505" s="151">
        <f t="shared" si="323"/>
        <v>2107931.6147441608</v>
      </c>
      <c r="T505" s="151">
        <f t="shared" si="323"/>
        <v>1808543.5408904897</v>
      </c>
      <c r="U505" s="151">
        <f t="shared" si="323"/>
        <v>1492689.1229748668</v>
      </c>
      <c r="V505" s="151">
        <f t="shared" si="323"/>
        <v>1159462.7120738844</v>
      </c>
      <c r="W505" s="151">
        <f t="shared" si="323"/>
        <v>807908.84857334837</v>
      </c>
      <c r="X505" s="152">
        <f>W509*Debt_Rate</f>
        <v>437019.52258028276</v>
      </c>
      <c r="Y505" s="156"/>
    </row>
    <row r="506" spans="2:25" hidden="1" outlineLevel="1">
      <c r="B506" s="452"/>
      <c r="C506" s="258" t="s">
        <v>113</v>
      </c>
      <c r="D506" s="151"/>
      <c r="E506" s="151">
        <f t="shared" ref="E506:X506" si="324">-PMT(Debt_Rate,20,$D520)</f>
        <v>5487629.8984103687</v>
      </c>
      <c r="F506" s="151">
        <f t="shared" si="324"/>
        <v>5487629.8984103687</v>
      </c>
      <c r="G506" s="151">
        <f t="shared" si="324"/>
        <v>5487629.8984103687</v>
      </c>
      <c r="H506" s="151">
        <f t="shared" si="324"/>
        <v>5487629.8984103687</v>
      </c>
      <c r="I506" s="151">
        <f t="shared" si="324"/>
        <v>5487629.8984103687</v>
      </c>
      <c r="J506" s="151">
        <f t="shared" si="324"/>
        <v>5487629.8984103687</v>
      </c>
      <c r="K506" s="151">
        <f t="shared" si="324"/>
        <v>5487629.8984103687</v>
      </c>
      <c r="L506" s="151">
        <f t="shared" si="324"/>
        <v>5487629.8984103687</v>
      </c>
      <c r="M506" s="151">
        <f t="shared" si="324"/>
        <v>5487629.8984103687</v>
      </c>
      <c r="N506" s="151">
        <f t="shared" si="324"/>
        <v>5487629.8984103687</v>
      </c>
      <c r="O506" s="151">
        <f t="shared" si="324"/>
        <v>5487629.8984103687</v>
      </c>
      <c r="P506" s="151">
        <f t="shared" si="324"/>
        <v>5487629.8984103687</v>
      </c>
      <c r="Q506" s="151">
        <f t="shared" si="324"/>
        <v>5487629.8984103687</v>
      </c>
      <c r="R506" s="151">
        <f t="shared" si="324"/>
        <v>5487629.8984103687</v>
      </c>
      <c r="S506" s="151">
        <f t="shared" si="324"/>
        <v>5487629.8984103687</v>
      </c>
      <c r="T506" s="151">
        <f t="shared" si="324"/>
        <v>5487629.8984103687</v>
      </c>
      <c r="U506" s="151">
        <f t="shared" si="324"/>
        <v>5487629.8984103687</v>
      </c>
      <c r="V506" s="151">
        <f t="shared" si="324"/>
        <v>5487629.8984103687</v>
      </c>
      <c r="W506" s="151">
        <f t="shared" si="324"/>
        <v>5487629.8984103687</v>
      </c>
      <c r="X506" s="152">
        <f t="shared" si="324"/>
        <v>5487629.8984103687</v>
      </c>
      <c r="Y506" s="156"/>
    </row>
    <row r="507" spans="2:25" hidden="1" outlineLevel="1">
      <c r="B507" s="452"/>
      <c r="C507" s="258" t="s">
        <v>161</v>
      </c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>
        <f t="shared" ref="O507:X507" si="325">-PMT(Debt_Rate,10,$O495)*$B520</f>
        <v>2063721.2409459914</v>
      </c>
      <c r="P507" s="151">
        <f t="shared" si="325"/>
        <v>2063721.2409459914</v>
      </c>
      <c r="Q507" s="151">
        <f t="shared" si="325"/>
        <v>2063721.2409459914</v>
      </c>
      <c r="R507" s="151">
        <f t="shared" si="325"/>
        <v>2063721.2409459914</v>
      </c>
      <c r="S507" s="151">
        <f t="shared" si="325"/>
        <v>2063721.2409459914</v>
      </c>
      <c r="T507" s="151">
        <f t="shared" si="325"/>
        <v>2063721.2409459914</v>
      </c>
      <c r="U507" s="151">
        <f t="shared" si="325"/>
        <v>2063721.2409459914</v>
      </c>
      <c r="V507" s="151">
        <f t="shared" si="325"/>
        <v>2063721.2409459914</v>
      </c>
      <c r="W507" s="151">
        <f t="shared" si="325"/>
        <v>2063721.2409459914</v>
      </c>
      <c r="X507" s="152">
        <f t="shared" si="325"/>
        <v>2063721.2409459914</v>
      </c>
      <c r="Y507" s="156"/>
    </row>
    <row r="508" spans="2:25" hidden="1" outlineLevel="1">
      <c r="B508" s="452"/>
      <c r="C508" s="258" t="s">
        <v>59</v>
      </c>
      <c r="D508" s="151"/>
      <c r="E508" s="156">
        <f>E507+E506-E505</f>
        <v>1880769.7062151022</v>
      </c>
      <c r="F508" s="151">
        <f t="shared" ref="F508:L508" si="326">F507+F506-F505</f>
        <v>1984212.0400569332</v>
      </c>
      <c r="G508" s="151">
        <f t="shared" si="326"/>
        <v>2093343.7022600644</v>
      </c>
      <c r="H508" s="151">
        <f t="shared" si="326"/>
        <v>2208477.6058843681</v>
      </c>
      <c r="I508" s="151">
        <f t="shared" si="326"/>
        <v>2329943.8742080079</v>
      </c>
      <c r="J508" s="151">
        <f t="shared" si="326"/>
        <v>2458090.7872894485</v>
      </c>
      <c r="K508" s="151">
        <f t="shared" si="326"/>
        <v>2593285.7805903684</v>
      </c>
      <c r="L508" s="151">
        <f t="shared" si="326"/>
        <v>2735916.4985228386</v>
      </c>
      <c r="M508" s="151">
        <f>M507+M506-M505</f>
        <v>2886391.9059415949</v>
      </c>
      <c r="N508" s="151">
        <f>N507+N506-N505</f>
        <v>3045143.460768383</v>
      </c>
      <c r="O508" s="151">
        <f>O507+O506-O505</f>
        <v>4394019.3810850773</v>
      </c>
      <c r="P508" s="151">
        <f>P507+P506-P505</f>
        <v>4635690.4470447563</v>
      </c>
      <c r="Q508" s="151">
        <f t="shared" ref="Q508:X508" si="327">Q507+Q506-Q505</f>
        <v>4890653.4216322172</v>
      </c>
      <c r="R508" s="151">
        <f t="shared" si="327"/>
        <v>5159639.3598219901</v>
      </c>
      <c r="S508" s="151">
        <f t="shared" si="327"/>
        <v>5443419.5246121995</v>
      </c>
      <c r="T508" s="151">
        <f t="shared" si="327"/>
        <v>5742807.5984658701</v>
      </c>
      <c r="U508" s="151">
        <f t="shared" si="327"/>
        <v>6058662.0163814928</v>
      </c>
      <c r="V508" s="151">
        <f t="shared" si="327"/>
        <v>6391888.4272824749</v>
      </c>
      <c r="W508" s="151">
        <f t="shared" si="327"/>
        <v>6743442.2907830114</v>
      </c>
      <c r="X508" s="152">
        <f t="shared" si="327"/>
        <v>7114331.6167760771</v>
      </c>
      <c r="Y508" s="156"/>
    </row>
    <row r="509" spans="2:25" hidden="1" outlineLevel="1">
      <c r="B509" s="452"/>
      <c r="C509" s="258" t="s">
        <v>60</v>
      </c>
      <c r="D509" s="151">
        <f>D520</f>
        <v>65579276.221732117</v>
      </c>
      <c r="E509" s="151">
        <f>D509-E508+(F495*$B$76)</f>
        <v>63698506.515517011</v>
      </c>
      <c r="F509" s="151">
        <f t="shared" ref="F509:L509" si="328">E509-F508+(G495*$B$76)</f>
        <v>61714294.475460075</v>
      </c>
      <c r="G509" s="151">
        <f t="shared" si="328"/>
        <v>59620950.773200013</v>
      </c>
      <c r="H509" s="151">
        <f t="shared" si="328"/>
        <v>57412473.167315647</v>
      </c>
      <c r="I509" s="151">
        <f t="shared" si="328"/>
        <v>55082529.293107636</v>
      </c>
      <c r="J509" s="151">
        <f t="shared" si="328"/>
        <v>52624438.505818188</v>
      </c>
      <c r="K509" s="151">
        <f t="shared" si="328"/>
        <v>50031152.725227818</v>
      </c>
      <c r="L509" s="151">
        <f t="shared" si="328"/>
        <v>47295236.226704977</v>
      </c>
      <c r="M509" s="151">
        <f>L509-M508+(N495*$B$76)</f>
        <v>44408844.320763379</v>
      </c>
      <c r="N509" s="151">
        <f>M509-N508+(O495*$B$76)</f>
        <v>57406031.968568772</v>
      </c>
      <c r="O509" s="151">
        <f t="shared" ref="O509:X509" si="329">N509-O508+(P495*$B$76)</f>
        <v>53012012.587483697</v>
      </c>
      <c r="P509" s="151">
        <f t="shared" si="329"/>
        <v>48376322.140438944</v>
      </c>
      <c r="Q509" s="151">
        <f t="shared" si="329"/>
        <v>43485668.718806729</v>
      </c>
      <c r="R509" s="151">
        <f t="shared" si="329"/>
        <v>38326029.358984739</v>
      </c>
      <c r="S509" s="151">
        <f t="shared" si="329"/>
        <v>32882609.834372539</v>
      </c>
      <c r="T509" s="151">
        <f t="shared" si="329"/>
        <v>27139802.235906668</v>
      </c>
      <c r="U509" s="151">
        <f t="shared" si="329"/>
        <v>21081140.219525173</v>
      </c>
      <c r="V509" s="151">
        <f t="shared" si="329"/>
        <v>14689251.792242698</v>
      </c>
      <c r="W509" s="151">
        <f t="shared" si="329"/>
        <v>7945809.501459687</v>
      </c>
      <c r="X509" s="152">
        <f t="shared" si="329"/>
        <v>831477.88468360994</v>
      </c>
      <c r="Y509" s="156"/>
    </row>
    <row r="510" spans="2:25" hidden="1" outlineLevel="1">
      <c r="B510" s="452"/>
      <c r="C510" s="125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2"/>
      <c r="Y510" s="156"/>
    </row>
    <row r="511" spans="2:25" hidden="1" outlineLevel="1">
      <c r="B511" s="452"/>
      <c r="C511" s="258" t="s">
        <v>162</v>
      </c>
      <c r="D511" s="151">
        <f>-INDEX('DATA (Nominal)'!$B$76:$BX$76,1,MATCH($B$1,'DATA (Nominal)'!$B$1:$BX$1,0))*1000000*(1+AFUDC!$C$23)*'Resource Options'!$E$23/1000</f>
        <v>-120077175.13890114</v>
      </c>
      <c r="E511" s="151">
        <f t="shared" ref="E511:X511" si="330">-$D511/20</f>
        <v>6003858.7569450568</v>
      </c>
      <c r="F511" s="151">
        <f t="shared" si="330"/>
        <v>6003858.7569450568</v>
      </c>
      <c r="G511" s="151">
        <f t="shared" si="330"/>
        <v>6003858.7569450568</v>
      </c>
      <c r="H511" s="151">
        <f t="shared" si="330"/>
        <v>6003858.7569450568</v>
      </c>
      <c r="I511" s="151">
        <f t="shared" si="330"/>
        <v>6003858.7569450568</v>
      </c>
      <c r="J511" s="151">
        <f t="shared" si="330"/>
        <v>6003858.7569450568</v>
      </c>
      <c r="K511" s="151">
        <f t="shared" si="330"/>
        <v>6003858.7569450568</v>
      </c>
      <c r="L511" s="151">
        <f t="shared" si="330"/>
        <v>6003858.7569450568</v>
      </c>
      <c r="M511" s="151">
        <f t="shared" si="330"/>
        <v>6003858.7569450568</v>
      </c>
      <c r="N511" s="151">
        <f t="shared" si="330"/>
        <v>6003858.7569450568</v>
      </c>
      <c r="O511" s="151">
        <f t="shared" si="330"/>
        <v>6003858.7569450568</v>
      </c>
      <c r="P511" s="151">
        <f t="shared" si="330"/>
        <v>6003858.7569450568</v>
      </c>
      <c r="Q511" s="151">
        <f t="shared" si="330"/>
        <v>6003858.7569450568</v>
      </c>
      <c r="R511" s="151">
        <f t="shared" si="330"/>
        <v>6003858.7569450568</v>
      </c>
      <c r="S511" s="151">
        <f t="shared" si="330"/>
        <v>6003858.7569450568</v>
      </c>
      <c r="T511" s="151">
        <f t="shared" si="330"/>
        <v>6003858.7569450568</v>
      </c>
      <c r="U511" s="151">
        <f t="shared" si="330"/>
        <v>6003858.7569450568</v>
      </c>
      <c r="V511" s="151">
        <f t="shared" si="330"/>
        <v>6003858.7569450568</v>
      </c>
      <c r="W511" s="151">
        <f t="shared" si="330"/>
        <v>6003858.7569450568</v>
      </c>
      <c r="X511" s="152">
        <f t="shared" si="330"/>
        <v>6003858.7569450568</v>
      </c>
      <c r="Y511" s="156"/>
    </row>
    <row r="512" spans="2:25" hidden="1" outlineLevel="1">
      <c r="B512" s="452"/>
      <c r="C512" s="258" t="s">
        <v>163</v>
      </c>
      <c r="D512" s="151">
        <f>-INDEX('DATA (Nominal)'!$B$77:$BX$77,1,MATCH($B$1,'DATA (Nominal)'!$B$1:$BX$1,0))*1000000*(1+AFUDC!$D$23)*'Resource Options'!$D$23/1000</f>
        <v>-42066879.864973672</v>
      </c>
      <c r="E512" s="151">
        <f t="shared" ref="E512:N512" si="331">-$D512/10</f>
        <v>4206687.9864973668</v>
      </c>
      <c r="F512" s="151">
        <f t="shared" si="331"/>
        <v>4206687.9864973668</v>
      </c>
      <c r="G512" s="151">
        <f t="shared" si="331"/>
        <v>4206687.9864973668</v>
      </c>
      <c r="H512" s="151">
        <f t="shared" si="331"/>
        <v>4206687.9864973668</v>
      </c>
      <c r="I512" s="151">
        <f t="shared" si="331"/>
        <v>4206687.9864973668</v>
      </c>
      <c r="J512" s="151">
        <f t="shared" si="331"/>
        <v>4206687.9864973668</v>
      </c>
      <c r="K512" s="151">
        <f t="shared" si="331"/>
        <v>4206687.9864973668</v>
      </c>
      <c r="L512" s="151">
        <f t="shared" si="331"/>
        <v>4206687.9864973668</v>
      </c>
      <c r="M512" s="151">
        <f t="shared" si="331"/>
        <v>4206687.9864973668</v>
      </c>
      <c r="N512" s="151">
        <f t="shared" si="331"/>
        <v>4206687.9864973668</v>
      </c>
      <c r="O512" s="151">
        <f t="shared" ref="O512:X512" si="332">$O495/10</f>
        <v>2116402.5209200243</v>
      </c>
      <c r="P512" s="151">
        <f t="shared" si="332"/>
        <v>2116402.5209200243</v>
      </c>
      <c r="Q512" s="151">
        <f t="shared" si="332"/>
        <v>2116402.5209200243</v>
      </c>
      <c r="R512" s="151">
        <f t="shared" si="332"/>
        <v>2116402.5209200243</v>
      </c>
      <c r="S512" s="151">
        <f t="shared" si="332"/>
        <v>2116402.5209200243</v>
      </c>
      <c r="T512" s="151">
        <f t="shared" si="332"/>
        <v>2116402.5209200243</v>
      </c>
      <c r="U512" s="151">
        <f t="shared" si="332"/>
        <v>2116402.5209200243</v>
      </c>
      <c r="V512" s="151">
        <f t="shared" si="332"/>
        <v>2116402.5209200243</v>
      </c>
      <c r="W512" s="151">
        <f t="shared" si="332"/>
        <v>2116402.5209200243</v>
      </c>
      <c r="X512" s="152">
        <f t="shared" si="332"/>
        <v>2116402.5209200243</v>
      </c>
      <c r="Y512" s="156"/>
    </row>
    <row r="513" spans="2:25" hidden="1" outlineLevel="1">
      <c r="B513" s="452"/>
      <c r="C513" s="125" t="s">
        <v>62</v>
      </c>
      <c r="D513" s="151"/>
      <c r="E513" s="151">
        <f>SUM($E511:E512)</f>
        <v>10210546.743442424</v>
      </c>
      <c r="F513" s="151">
        <f>SUM($E511:F512)</f>
        <v>20421093.486884847</v>
      </c>
      <c r="G513" s="151">
        <f>SUM($E511:G512)</f>
        <v>30631640.230327263</v>
      </c>
      <c r="H513" s="151">
        <f>SUM($E511:H512)</f>
        <v>40842186.973769687</v>
      </c>
      <c r="I513" s="151">
        <f>SUM($E511:I512)</f>
        <v>51052733.717212111</v>
      </c>
      <c r="J513" s="151">
        <f>SUM($E511:J512)</f>
        <v>61263280.460654534</v>
      </c>
      <c r="K513" s="151">
        <f>SUM($E511:K512)</f>
        <v>71473827.204096973</v>
      </c>
      <c r="L513" s="151">
        <f>SUM($E511:L512)</f>
        <v>81684373.947539404</v>
      </c>
      <c r="M513" s="151">
        <f>SUM($E511:M512)</f>
        <v>91894920.69098185</v>
      </c>
      <c r="N513" s="151">
        <f>SUM($E511:N512)</f>
        <v>102105467.4344243</v>
      </c>
      <c r="O513" s="151">
        <f>SUM($E511:O512)</f>
        <v>110225728.71228938</v>
      </c>
      <c r="P513" s="151">
        <f>SUM($E511:P512)</f>
        <v>118345989.99015446</v>
      </c>
      <c r="Q513" s="151">
        <f>SUM($E511:Q512)</f>
        <v>126466251.26801954</v>
      </c>
      <c r="R513" s="151">
        <f>SUM($E511:R512)</f>
        <v>134586512.54588464</v>
      </c>
      <c r="S513" s="151">
        <f>SUM($E511:S512)</f>
        <v>142706773.82374978</v>
      </c>
      <c r="T513" s="151">
        <f>SUM($E511:T512)</f>
        <v>150827035.10161486</v>
      </c>
      <c r="U513" s="151">
        <f>SUM($E511:U512)</f>
        <v>158947296.37947997</v>
      </c>
      <c r="V513" s="151">
        <f>SUM($E511:V512)</f>
        <v>167067557.65734506</v>
      </c>
      <c r="W513" s="151">
        <f>SUM($E511:W512)</f>
        <v>175187818.93521017</v>
      </c>
      <c r="X513" s="152">
        <f>SUM($E511:X512)</f>
        <v>183308080.21307525</v>
      </c>
      <c r="Y513" s="156"/>
    </row>
    <row r="514" spans="2:25" hidden="1" outlineLevel="1">
      <c r="B514" s="452"/>
      <c r="C514" s="125" t="s">
        <v>63</v>
      </c>
      <c r="D514" s="151"/>
      <c r="E514" s="151">
        <f>-$D502-E513</f>
        <v>151933508.26043239</v>
      </c>
      <c r="F514" s="151">
        <f t="shared" ref="F514:G514" si="333">-$D502-F513</f>
        <v>141722961.51698995</v>
      </c>
      <c r="G514" s="151">
        <f t="shared" si="333"/>
        <v>131512414.77354755</v>
      </c>
      <c r="H514" s="156">
        <f>-$D502-H513</f>
        <v>121301868.03010511</v>
      </c>
      <c r="I514" s="151">
        <f t="shared" ref="I514:L514" si="334">-$D502-I513</f>
        <v>111091321.2866627</v>
      </c>
      <c r="J514" s="151">
        <f t="shared" si="334"/>
        <v>100880774.54322028</v>
      </c>
      <c r="K514" s="151">
        <f t="shared" si="334"/>
        <v>90670227.799777836</v>
      </c>
      <c r="L514" s="151">
        <f t="shared" si="334"/>
        <v>80459681.056335405</v>
      </c>
      <c r="M514" s="151">
        <f>-$D502-M513</f>
        <v>70249134.312892959</v>
      </c>
      <c r="N514" s="151">
        <f>-$D502-N513</f>
        <v>60038587.569450513</v>
      </c>
      <c r="O514" s="151">
        <f>-$D502-O513+$O495</f>
        <v>73082351.500785679</v>
      </c>
      <c r="P514" s="151">
        <f t="shared" ref="P514:X514" si="335">-$D502-P513+$O495</f>
        <v>64962090.222920589</v>
      </c>
      <c r="Q514" s="151">
        <f t="shared" si="335"/>
        <v>56841828.945055507</v>
      </c>
      <c r="R514" s="151">
        <f t="shared" si="335"/>
        <v>48721567.66719041</v>
      </c>
      <c r="S514" s="151">
        <f t="shared" si="335"/>
        <v>40601306.389325269</v>
      </c>
      <c r="T514" s="151">
        <f t="shared" si="335"/>
        <v>32481045.111460187</v>
      </c>
      <c r="U514" s="151">
        <f t="shared" si="335"/>
        <v>24360783.833595075</v>
      </c>
      <c r="V514" s="151">
        <f t="shared" si="335"/>
        <v>16240522.555729993</v>
      </c>
      <c r="W514" s="151">
        <f t="shared" si="335"/>
        <v>8120261.2778648809</v>
      </c>
      <c r="X514" s="152">
        <f t="shared" si="335"/>
        <v>-2.0116567611694336E-7</v>
      </c>
      <c r="Y514" s="156"/>
    </row>
    <row r="515" spans="2:25" hidden="1" outlineLevel="1">
      <c r="B515" s="452"/>
      <c r="C515" s="125" t="s">
        <v>64</v>
      </c>
      <c r="D515" s="151">
        <f>-D502</f>
        <v>162144055.00387481</v>
      </c>
      <c r="E515" s="151">
        <f>D515/(($D515/$Y515)^(1/21))</f>
        <v>153109466.09162524</v>
      </c>
      <c r="F515" s="151">
        <f t="shared" ref="F515:J515" si="336">E515/(($D515/$Y515)^(1/21))</f>
        <v>144578280.13677299</v>
      </c>
      <c r="G515" s="151">
        <f t="shared" si="336"/>
        <v>136522447.7681759</v>
      </c>
      <c r="H515" s="151">
        <f t="shared" si="336"/>
        <v>128915482.5121876</v>
      </c>
      <c r="I515" s="151">
        <f t="shared" si="336"/>
        <v>121732373.70875919</v>
      </c>
      <c r="J515" s="156">
        <f t="shared" si="336"/>
        <v>114949504.27981408</v>
      </c>
      <c r="K515" s="156">
        <f>J515/(($D515/$Y515)^(1/21))</f>
        <v>108544573.0795294</v>
      </c>
      <c r="L515" s="151">
        <f t="shared" ref="L515:M515" si="337">K515/(($D515/$Y515)^(1/21))</f>
        <v>102496521.57122253</v>
      </c>
      <c r="M515" s="151">
        <f t="shared" si="337"/>
        <v>96785464.589766219</v>
      </c>
      <c r="N515" s="151">
        <f>M515/(($D515/$Y515)^(1/21))</f>
        <v>91392624.96188885</v>
      </c>
      <c r="O515" s="151">
        <f>(N515+O495)/(($D515/($Y515+O495))^(1/21))</f>
        <v>108129093.41479181</v>
      </c>
      <c r="P515" s="151">
        <f>O515/(($O515/$Y515)^(1/11))</f>
        <v>100555158.46486904</v>
      </c>
      <c r="Q515" s="151">
        <f>P515/(($O515/$Y515)^(1/11))</f>
        <v>93511742.072108358</v>
      </c>
      <c r="R515" s="151">
        <f t="shared" ref="R515:X515" si="338">Q515/(($O515/$Y515)^(1/11))</f>
        <v>86961683.904218286</v>
      </c>
      <c r="S515" s="151">
        <f t="shared" si="338"/>
        <v>80870426.535586774</v>
      </c>
      <c r="T515" s="151">
        <f t="shared" si="338"/>
        <v>75205833.125898078</v>
      </c>
      <c r="U515" s="151">
        <f t="shared" si="338"/>
        <v>69938017.869505867</v>
      </c>
      <c r="V515" s="151">
        <f t="shared" si="338"/>
        <v>65039188.321031064</v>
      </c>
      <c r="W515" s="151">
        <f t="shared" si="338"/>
        <v>60483498.765310816</v>
      </c>
      <c r="X515" s="152">
        <f t="shared" si="338"/>
        <v>56246913.8580935</v>
      </c>
      <c r="Y515" s="156">
        <f>Y502</f>
        <v>48643216.50116244</v>
      </c>
    </row>
    <row r="516" spans="2:25" hidden="1" outlineLevel="1">
      <c r="B516" s="452"/>
      <c r="C516" s="258" t="s">
        <v>65</v>
      </c>
      <c r="D516" s="151"/>
      <c r="E516" s="151">
        <f>-$D502*Assumptions!J$23*INDEX('DATA (Nominal)'!$B$353:$BX$353,1,MATCH($B$1,'DATA (Nominal)'!$B$1:$BX$1,0))</f>
        <v>27564489.350658718</v>
      </c>
      <c r="F516" s="151">
        <f>-$D502*Assumptions!K$23*INDEX('DATA (Nominal)'!$B$353:$BX$353,1,MATCH($B$1,'DATA (Nominal)'!$B$1:$BX$1,0))</f>
        <v>44103182.961053953</v>
      </c>
      <c r="G516" s="151">
        <f>-$D502*Assumptions!L$23*INDEX('DATA (Nominal)'!$B$353:$BX$353,1,MATCH($B$1,'DATA (Nominal)'!$B$1:$BX$1,0))</f>
        <v>26461909.776632369</v>
      </c>
      <c r="H516" s="151">
        <f>-$D502*Assumptions!M$23*INDEX('DATA (Nominal)'!$B$353:$BX$353,1,MATCH($B$1,'DATA (Nominal)'!$B$1:$BX$1,0))</f>
        <v>15877145.865979422</v>
      </c>
      <c r="I516" s="151">
        <f>-$D502*Assumptions!N$23*INDEX('DATA (Nominal)'!$B$353:$BX$353,1,MATCH($B$1,'DATA (Nominal)'!$B$1:$BX$1,0))</f>
        <v>15877145.865979422</v>
      </c>
      <c r="J516" s="151">
        <f>-$D502*Assumptions!O$23*INDEX('DATA (Nominal)'!$B$353:$BX$353,1,MATCH($B$1,'DATA (Nominal)'!$B$1:$BX$1,0))</f>
        <v>7938572.9329897109</v>
      </c>
      <c r="K516" s="151">
        <f>-$D502*Assumptions!P$23*INDEX('DATA (Nominal)'!$B$353:$BX$353,1,MATCH($B$1,'DATA (Nominal)'!$B$1:$BX$1,0))</f>
        <v>0</v>
      </c>
      <c r="L516" s="151">
        <f>-$D502*Assumptions!Q$23*INDEX('DATA (Nominal)'!$B$353:$BX$353,1,MATCH($B$1,'DATA (Nominal)'!$B$1:$BX$1,0))</f>
        <v>0</v>
      </c>
      <c r="M516" s="151">
        <f>-$D502*Assumptions!R$23*INDEX('DATA (Nominal)'!$B$353:$BX$353,1,MATCH($B$1,'DATA (Nominal)'!$B$1:$BX$1,0))</f>
        <v>0</v>
      </c>
      <c r="N516" s="151">
        <f>-$D502*Assumptions!S$23*INDEX('DATA (Nominal)'!$B$353:$BX$353,1,MATCH($B$1,'DATA (Nominal)'!$B$1:$BX$1,0))</f>
        <v>0</v>
      </c>
      <c r="O516" s="151">
        <f>$O495*Assumptions!T$23</f>
        <v>3023492.641386346</v>
      </c>
      <c r="P516" s="151">
        <f>$O495*Assumptions!U$23</f>
        <v>5183069.773733139</v>
      </c>
      <c r="Q516" s="151">
        <f>$O495*Assumptions!V$23</f>
        <v>3702222.9298453983</v>
      </c>
      <c r="R516" s="151">
        <f>$O495*Assumptions!W$23</f>
        <v>2644444.94988957</v>
      </c>
      <c r="S516" s="151">
        <f>$O495*Assumptions!X$23</f>
        <v>1888889.2499211214</v>
      </c>
      <c r="T516" s="151">
        <f>$O495*Assumptions!Y$23</f>
        <v>1888889.2499211214</v>
      </c>
      <c r="U516" s="151">
        <f>$O495*Assumptions!Z$23</f>
        <v>1888889.2499211214</v>
      </c>
      <c r="V516" s="151">
        <f>$O495*Assumptions!AA$23</f>
        <v>944127.1645824227</v>
      </c>
      <c r="W516" s="151">
        <f>$O495*Assumptions!AB$23</f>
        <v>0</v>
      </c>
      <c r="X516" s="160">
        <f>$O495*Assumptions!AC$23</f>
        <v>0</v>
      </c>
      <c r="Y516" s="156"/>
    </row>
    <row r="517" spans="2:25" ht="15.75" hidden="1" outlineLevel="1" thickBot="1">
      <c r="B517" s="452"/>
      <c r="C517" s="127" t="s">
        <v>66</v>
      </c>
      <c r="D517" s="157"/>
      <c r="E517" s="157">
        <f>E516*Federal_Tax_Rate</f>
        <v>5788542.7636383306</v>
      </c>
      <c r="F517" s="157">
        <f>F516*Federal_Tax_Rate</f>
        <v>9261668.4218213297</v>
      </c>
      <c r="G517" s="157">
        <f t="shared" ref="G517:M517" si="339">G516*Federal_Tax_Rate</f>
        <v>5557001.0530927973</v>
      </c>
      <c r="H517" s="157">
        <f t="shared" si="339"/>
        <v>3334200.6318556783</v>
      </c>
      <c r="I517" s="157">
        <f t="shared" si="339"/>
        <v>3334200.6318556783</v>
      </c>
      <c r="J517" s="157">
        <f t="shared" si="339"/>
        <v>1667100.3159278391</v>
      </c>
      <c r="K517" s="157">
        <f t="shared" si="339"/>
        <v>0</v>
      </c>
      <c r="L517" s="157">
        <f t="shared" si="339"/>
        <v>0</v>
      </c>
      <c r="M517" s="157">
        <f t="shared" si="339"/>
        <v>0</v>
      </c>
      <c r="N517" s="157">
        <f>N516*Federal_Tax_Rate</f>
        <v>0</v>
      </c>
      <c r="O517" s="157">
        <f>O516*Federal_Tax_Rate</f>
        <v>634933.45469113265</v>
      </c>
      <c r="P517" s="157">
        <f t="shared" ref="P517:X517" si="340">P516*Federal_Tax_Rate</f>
        <v>1088444.6524839592</v>
      </c>
      <c r="Q517" s="157">
        <f t="shared" si="340"/>
        <v>777466.81526753365</v>
      </c>
      <c r="R517" s="157">
        <f t="shared" si="340"/>
        <v>555333.4394768097</v>
      </c>
      <c r="S517" s="157">
        <f t="shared" si="340"/>
        <v>396666.74248343549</v>
      </c>
      <c r="T517" s="157">
        <f t="shared" si="340"/>
        <v>396666.74248343549</v>
      </c>
      <c r="U517" s="157">
        <f t="shared" si="340"/>
        <v>396666.74248343549</v>
      </c>
      <c r="V517" s="157">
        <f t="shared" si="340"/>
        <v>198266.70456230876</v>
      </c>
      <c r="W517" s="157">
        <f t="shared" si="340"/>
        <v>0</v>
      </c>
      <c r="X517" s="158">
        <f t="shared" si="340"/>
        <v>0</v>
      </c>
      <c r="Y517" s="156"/>
    </row>
    <row r="518" spans="2:25" hidden="1" outlineLevel="1">
      <c r="B518" s="452"/>
      <c r="C518" s="128" t="s">
        <v>67</v>
      </c>
      <c r="D518" s="104">
        <f>NPV(Tax_Equity_Rate,E517:N517)</f>
        <v>23481970.205574282</v>
      </c>
      <c r="E518" s="105">
        <f>D518/D522</f>
        <v>0.14482165383746648</v>
      </c>
      <c r="F518" s="254"/>
      <c r="G518" s="254"/>
      <c r="H518" s="254"/>
      <c r="I518" s="254"/>
      <c r="J518" s="254"/>
      <c r="K518" s="254"/>
      <c r="L518" s="254"/>
      <c r="M518" s="261"/>
      <c r="N518" s="261"/>
      <c r="O518" s="261"/>
      <c r="P518" s="261"/>
      <c r="Q518" s="261"/>
      <c r="R518" s="261"/>
      <c r="S518" s="261"/>
      <c r="T518" s="261"/>
      <c r="U518" s="261"/>
      <c r="V518" s="261"/>
      <c r="W518" s="261"/>
      <c r="X518" s="261"/>
      <c r="Y518" s="261"/>
    </row>
    <row r="519" spans="2:25" hidden="1" outlineLevel="1">
      <c r="B519" s="452"/>
      <c r="C519" s="125" t="s">
        <v>79</v>
      </c>
      <c r="D519" s="106">
        <f>NPV(Tax_Equity_Rate,E499:X499)</f>
        <v>49438579.734719433</v>
      </c>
      <c r="E519" s="107">
        <f>D519/D522</f>
        <v>0.30490528766865971</v>
      </c>
    </row>
    <row r="520" spans="2:25" hidden="1" outlineLevel="1">
      <c r="B520" s="22">
        <f>Assumptions!F23</f>
        <v>0.73499999999999999</v>
      </c>
      <c r="C520" s="125" t="s">
        <v>68</v>
      </c>
      <c r="D520" s="106">
        <f>(D522-D518-D519)*$B520</f>
        <v>65579276.221732117</v>
      </c>
      <c r="E520" s="107">
        <f>D520/D522</f>
        <v>0.40445069799299732</v>
      </c>
    </row>
    <row r="521" spans="2:25" hidden="1" outlineLevel="1">
      <c r="B521" s="22">
        <f>1-B520</f>
        <v>0.26500000000000001</v>
      </c>
      <c r="C521" s="125" t="s">
        <v>69</v>
      </c>
      <c r="D521" s="106">
        <f>(D522-D518-D519)*$B521</f>
        <v>23644228.841848996</v>
      </c>
      <c r="E521" s="107">
        <f>D521/D522</f>
        <v>0.1458223605008766</v>
      </c>
    </row>
    <row r="522" spans="2:25" hidden="1" outlineLevel="1">
      <c r="C522" s="125" t="s">
        <v>70</v>
      </c>
      <c r="D522" s="106">
        <f>-D502</f>
        <v>162144055.00387481</v>
      </c>
      <c r="E522" s="108"/>
    </row>
    <row r="523" spans="2:25" ht="15.75" hidden="1" outlineLevel="1" thickBot="1">
      <c r="C523" s="127" t="s">
        <v>71</v>
      </c>
      <c r="D523" s="109">
        <f>SUM(D518:D521)-D522</f>
        <v>0</v>
      </c>
      <c r="E523" s="110"/>
    </row>
    <row r="524" spans="2:25" hidden="1" outlineLevel="1"/>
    <row r="525" spans="2:25" collapsed="1"/>
  </sheetData>
  <mergeCells count="15">
    <mergeCell ref="C118:H118"/>
    <mergeCell ref="A1:A2"/>
    <mergeCell ref="B1:B2"/>
    <mergeCell ref="C5:H5"/>
    <mergeCell ref="C41:H41"/>
    <mergeCell ref="C82:H82"/>
    <mergeCell ref="C397:H397"/>
    <mergeCell ref="C440:H440"/>
    <mergeCell ref="C483:H483"/>
    <mergeCell ref="C159:H159"/>
    <mergeCell ref="C197:H197"/>
    <mergeCell ref="C240:H240"/>
    <mergeCell ref="C278:H278"/>
    <mergeCell ref="C321:H321"/>
    <mergeCell ref="C359:H3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130</vt:i4>
      </vt:variant>
    </vt:vector>
  </HeadingPairs>
  <TitlesOfParts>
    <vt:vector size="150" baseType="lpstr">
      <vt:lpstr>Resource Options</vt:lpstr>
      <vt:lpstr>DATA (Real)</vt:lpstr>
      <vt:lpstr>DATA (Nominal)</vt:lpstr>
      <vt:lpstr>Assumptions</vt:lpstr>
      <vt:lpstr>AFUDC</vt:lpstr>
      <vt:lpstr>MACROS</vt:lpstr>
      <vt:lpstr>PRiSM Resource_Data</vt:lpstr>
      <vt:lpstr>Solar PPA</vt:lpstr>
      <vt:lpstr>Solar PPA (PTC)</vt:lpstr>
      <vt:lpstr>Wind PPA</vt:lpstr>
      <vt:lpstr>Other PPA</vt:lpstr>
      <vt:lpstr>Upgrades</vt:lpstr>
      <vt:lpstr>Ownership Storage</vt:lpstr>
      <vt:lpstr>Fuel Gen</vt:lpstr>
      <vt:lpstr>IRP Tables</vt:lpstr>
      <vt:lpstr>Levelized Cost Summary</vt:lpstr>
      <vt:lpstr>PPA Summary</vt:lpstr>
      <vt:lpstr>Storage Summary</vt:lpstr>
      <vt:lpstr>Upgrade Summary</vt:lpstr>
      <vt:lpstr>Fuel Gen Summary</vt:lpstr>
      <vt:lpstr>Capacity_Payment_SOLAR_100MW_200MWh</vt:lpstr>
      <vt:lpstr>Capacity_Payment_SOLAR_100MW_200MWh_PTC</vt:lpstr>
      <vt:lpstr>Capacity_Payment_SOLAR_100MW_400MWh</vt:lpstr>
      <vt:lpstr>Capacity_Payment_SOLAR_100MW_400MWh_PTC</vt:lpstr>
      <vt:lpstr>Capacity_Payment_SOLAR_50MW_200MWh</vt:lpstr>
      <vt:lpstr>Capacity_Payment_SOLAR_50MW_200MWh_PTC</vt:lpstr>
      <vt:lpstr>Capacity_Payment_SOLAR_Commercial_Plus_Storage</vt:lpstr>
      <vt:lpstr>Capacity_Payment_SOLAR_Commercial_Plus_Storage_PTC</vt:lpstr>
      <vt:lpstr>Capacity_Payment_SOLAR_Existing_Residential_Plus_Storage</vt:lpstr>
      <vt:lpstr>Capacity_Payment_SOLAR_Existing_Residential_Plus_Storage_PTC</vt:lpstr>
      <vt:lpstr>Capacity_Payment_SOLAR_New_Residential_Plus_Storage</vt:lpstr>
      <vt:lpstr>Capacity_Payment_SOLAR_New_Residential_Plus_Storage_PTC</vt:lpstr>
      <vt:lpstr>Capacity_Payment_SOLAR_PV_Fixed_Array_Plus_Storage</vt:lpstr>
      <vt:lpstr>Capacity_Payment_SOLAR_PV_Fixed_Array_Plus_Storage_PTC</vt:lpstr>
      <vt:lpstr>Debt_Rate</vt:lpstr>
      <vt:lpstr>Discount_Rate</vt:lpstr>
      <vt:lpstr>DiscRate</vt:lpstr>
      <vt:lpstr>FCF_Other_Geothermal</vt:lpstr>
      <vt:lpstr>FCF_Other_Small_Modular_Reactor</vt:lpstr>
      <vt:lpstr>FCF_SOLAR_100MW_200MWh</vt:lpstr>
      <vt:lpstr>FCF_SOLAR_100MW_200MWh_PTC</vt:lpstr>
      <vt:lpstr>FCF_SOLAR_100MW_400MWh</vt:lpstr>
      <vt:lpstr>FCF_SOLAR_100MW_400MWh_PTC</vt:lpstr>
      <vt:lpstr>FCF_SOLAR_50MW_200MWh</vt:lpstr>
      <vt:lpstr>FCF_SOLAR_50MW_200MWh_PTC</vt:lpstr>
      <vt:lpstr>FCF_SOLAR_Commercial</vt:lpstr>
      <vt:lpstr>FCF_SOLAR_Commercial_Plus_Storage</vt:lpstr>
      <vt:lpstr>FCF_SOLAR_Commercial_Plus_Storage_PTC</vt:lpstr>
      <vt:lpstr>FCF_SOLAR_Commercial_PTC</vt:lpstr>
      <vt:lpstr>FCF_SOLAR_Existing_Residential</vt:lpstr>
      <vt:lpstr>FCF_SOLAR_Existing_Residential_Plus_Storage</vt:lpstr>
      <vt:lpstr>FCF_SOLAR_Existing_Residential_Plus_Storage_PTC</vt:lpstr>
      <vt:lpstr>FCF_SOLAR_Existing_Residential_PTC</vt:lpstr>
      <vt:lpstr>FCF_SOLAR_New_Residential</vt:lpstr>
      <vt:lpstr>FCF_SOLAR_New_Residential_Plus_Storage</vt:lpstr>
      <vt:lpstr>FCF_SOLAR_New_Residential_Plus_Storage_PTC</vt:lpstr>
      <vt:lpstr>FCF_SOLAR_New_Residential_PTC</vt:lpstr>
      <vt:lpstr>FCF_SOLAR_PV_Fixed_Array</vt:lpstr>
      <vt:lpstr>FCF_SOLAR_PV_Fixed_Array_Plus_Storage</vt:lpstr>
      <vt:lpstr>FCF_SOLAR_PV_Fixed_Array_Plus_Storage_PTC</vt:lpstr>
      <vt:lpstr>FCF_SOLAR_PV_Fixed_Array_PTC</vt:lpstr>
      <vt:lpstr>FCF_SOLAR_PV_Single_Axis_Tracking</vt:lpstr>
      <vt:lpstr>FCF_SOLAR_PV_Single_Axis_Tracking_PTC</vt:lpstr>
      <vt:lpstr>FCF_SOLAR_Southern_NW_PV_Single_Axis_Tracking</vt:lpstr>
      <vt:lpstr>FCF_SOLAR_Southern_NW_PV_Single_Axis_Tracking_PTC</vt:lpstr>
      <vt:lpstr>FCF_TARGET_Other_Geothermal</vt:lpstr>
      <vt:lpstr>FCF_TARGET_Other_Small_Modular_Reactor</vt:lpstr>
      <vt:lpstr>FCF_TARGET_SOLAR_100MW_200MWh</vt:lpstr>
      <vt:lpstr>FCF_TARGET_SOLAR_100MW_200MWh_PTC</vt:lpstr>
      <vt:lpstr>FCF_TARGET_SOLAR_100MW_400MWh</vt:lpstr>
      <vt:lpstr>FCF_TARGET_SOLAR_100MW_400MWh_PTC</vt:lpstr>
      <vt:lpstr>FCF_TARGET_SOLAR_50MW_200MWh</vt:lpstr>
      <vt:lpstr>FCF_TARGET_SOLAR_50MW_200MWh_PTC</vt:lpstr>
      <vt:lpstr>FCF_TARGET_SOLAR_Commercial</vt:lpstr>
      <vt:lpstr>FCF_TARGET_SOLAR_Commercial_Plus_Storage</vt:lpstr>
      <vt:lpstr>FCF_TARGET_SOLAR_Commercial_Plus_Storage_PTC</vt:lpstr>
      <vt:lpstr>FCF_TARGET_SOLAR_Commercial_PTC</vt:lpstr>
      <vt:lpstr>FCF_TARGET_SOLAR_Existing_Residential</vt:lpstr>
      <vt:lpstr>FCF_TARGET_SOLAR_Existing_Residential_Plus_Storage</vt:lpstr>
      <vt:lpstr>FCF_TARGET_SOLAR_Existing_Residential_Plus_Storage_PTC</vt:lpstr>
      <vt:lpstr>FCF_TARGET_SOLAR_Existing_Residential_PTC</vt:lpstr>
      <vt:lpstr>FCF_TARGET_SOLAR_New_Residential</vt:lpstr>
      <vt:lpstr>FCF_TARGET_SOLAR_New_Residential_Plus_Storage</vt:lpstr>
      <vt:lpstr>FCF_TARGET_SOLAR_New_Residential_Plus_Storage_PTC</vt:lpstr>
      <vt:lpstr>FCF_TARGET_SOLAR_New_Residential_PTC</vt:lpstr>
      <vt:lpstr>FCF_TARGET_SOLAR_PV_Fixed_Array</vt:lpstr>
      <vt:lpstr>FCF_TARGET_SOLAR_PV_Fixed_Array_Plus_Storage</vt:lpstr>
      <vt:lpstr>FCF_TARGET_SOLAR_PV_Fixed_Array_Plus_Storage_PTC</vt:lpstr>
      <vt:lpstr>FCF_TARGET_SOLAR_PV_Fixed_Array_PTC</vt:lpstr>
      <vt:lpstr>FCF_TARGET_SOLAR_PV_Single_Axis_Tracking</vt:lpstr>
      <vt:lpstr>FCF_TARGET_SOLAR_PV_Single_Axis_Tracking_PTC</vt:lpstr>
      <vt:lpstr>FCF_TARGET_SOLAR_Southern_NW_PV_Single_Axis_Tracking</vt:lpstr>
      <vt:lpstr>FCF_TARGET_SOLAR_Southern_NW_PV_Single_Axis_Tracking_PTC</vt:lpstr>
      <vt:lpstr>FCF_TARGET_WIND_MONTANA</vt:lpstr>
      <vt:lpstr>FCF_TARGET_WIND_NW_OFF_SYSTEM</vt:lpstr>
      <vt:lpstr>FCF_TARGET_WIND_NW_ON_SYSTEM</vt:lpstr>
      <vt:lpstr>FCF_TARGET_WIND_OFFSHORE</vt:lpstr>
      <vt:lpstr>FCF_WIND_MONTANA</vt:lpstr>
      <vt:lpstr>FCF_WIND_NW_OFF_SYSTEM</vt:lpstr>
      <vt:lpstr>FCF_WIND_NW_ON_SYSTEM</vt:lpstr>
      <vt:lpstr>FCF_WIND_OFFSHORE</vt:lpstr>
      <vt:lpstr>Federal_Tax_Rate</vt:lpstr>
      <vt:lpstr>Fixed_kW_100hr_Iron_Oxide</vt:lpstr>
      <vt:lpstr>Fixed_kW_16hr_Li_Ion</vt:lpstr>
      <vt:lpstr>Fixed_kW_4hr_Li_Ion</vt:lpstr>
      <vt:lpstr>Fixed_kW_4hr_Vanadium</vt:lpstr>
      <vt:lpstr>Fixed_kW_4hr_Zinc_Bromide</vt:lpstr>
      <vt:lpstr>Fixed_kW_8hr_Li_Ion</vt:lpstr>
      <vt:lpstr>Fixed_kW_Dist_Scale_4hr_Li_Ion</vt:lpstr>
      <vt:lpstr>Fixed_kW_Dist_Scale_8hr_Li_Ion</vt:lpstr>
      <vt:lpstr>Fixed_kW_Liquid_Air</vt:lpstr>
      <vt:lpstr>Fixed_kW_Pumped_Hydro_16hr_100MW</vt:lpstr>
      <vt:lpstr>Fixed_kW_Pumped_Hydro_24hr_100MW</vt:lpstr>
      <vt:lpstr>Fixed_kW_Pumped_Hydro_8.5hr_400MW</vt:lpstr>
      <vt:lpstr>ID_Sales_Tax_Rate</vt:lpstr>
      <vt:lpstr>Misc_Fees</vt:lpstr>
      <vt:lpstr>Misc_Rev</vt:lpstr>
      <vt:lpstr>PPA_Other_Geothermal</vt:lpstr>
      <vt:lpstr>PPA_Other_Small_Modular_Reactor</vt:lpstr>
      <vt:lpstr>PPA_SOLAR_100MW_200MWh</vt:lpstr>
      <vt:lpstr>PPA_SOLAR_100MW_200MWh_PTC</vt:lpstr>
      <vt:lpstr>PPA_SOLAR_100MW_400MWh</vt:lpstr>
      <vt:lpstr>PPA_SOLAR_100MW_400MWh_PTC</vt:lpstr>
      <vt:lpstr>PPA_SOLAR_50MW_200MWh</vt:lpstr>
      <vt:lpstr>PPA_SOLAR_50MW_200MWh_PTC</vt:lpstr>
      <vt:lpstr>PPA_SOLAR_Commercial</vt:lpstr>
      <vt:lpstr>PPA_SOLAR_Commercial_Plus_Storage</vt:lpstr>
      <vt:lpstr>PPA_SOLAR_Commercial_Plus_Storage_PTC</vt:lpstr>
      <vt:lpstr>PPA_SOLAR_Commercial_PTC</vt:lpstr>
      <vt:lpstr>PPA_SOLAR_Existing_Residential</vt:lpstr>
      <vt:lpstr>PPA_SOLAR_Existing_Residential_Plus_Storage</vt:lpstr>
      <vt:lpstr>PPA_SOLAR_Existing_Residential_Plus_Storage_PTC</vt:lpstr>
      <vt:lpstr>PPA_SOLAR_Existing_Residential_PTC</vt:lpstr>
      <vt:lpstr>PPA_SOLAR_New_Residential</vt:lpstr>
      <vt:lpstr>PPA_SOLAR_New_Residential_PTC</vt:lpstr>
      <vt:lpstr>PPA_SOLAR_PV_Fixed_Array</vt:lpstr>
      <vt:lpstr>PPA_SOLAR_PV_Fixed_Array_Plus_Storage</vt:lpstr>
      <vt:lpstr>PPA_SOLAR_PV_Fixed_Array_Plus_Storage_PTC</vt:lpstr>
      <vt:lpstr>PPA_SOLAR_PV_Fixed_Array_PTC</vt:lpstr>
      <vt:lpstr>PPA_SOLAR_PV_Single_Axis_Tracking</vt:lpstr>
      <vt:lpstr>PPA_SOLAR_PV_Single_Axis_Tracking_PTC</vt:lpstr>
      <vt:lpstr>PPA_SOLAR_Southern_NW_PV_Single_Axis_Tracking</vt:lpstr>
      <vt:lpstr>PPA_SOLAR_Southern_NW_PV_Single_Axis_Tracking_PTC</vt:lpstr>
      <vt:lpstr>PPA_WIND_MONTANA</vt:lpstr>
      <vt:lpstr>PPA_WIND_NW_OFF_SYSTEM</vt:lpstr>
      <vt:lpstr>PPA_WIND_NW_ON_SYSTEM</vt:lpstr>
      <vt:lpstr>PPA_WIND_OFFSHORE</vt:lpstr>
      <vt:lpstr>Property_Tax_Rate</vt:lpstr>
      <vt:lpstr>Tax_Equity_Rate</vt:lpstr>
      <vt:lpstr>WA_Sales_Tax_Rate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Brutocao, Michael</dc:creator>
  <cp:lastModifiedBy>Brutocao, Michael</cp:lastModifiedBy>
  <dcterms:created xsi:type="dcterms:W3CDTF">2022-08-16T17:38:54Z</dcterms:created>
  <dcterms:modified xsi:type="dcterms:W3CDTF">2023-05-05T17:03:03Z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{3D26BDBF-30E4-4EEF-8EA4-DFF7F84D0958}</vt:lpwstr>
  </property>
</Properties>
</file>